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showInkAnnotation="0" codeName="ThisWorkbook" defaultThemeVersion="124226"/>
  <mc:AlternateContent xmlns:mc="http://schemas.openxmlformats.org/markup-compatibility/2006">
    <mc:Choice Requires="x15">
      <x15ac:absPath xmlns:x15ac="http://schemas.microsoft.com/office/spreadsheetml/2010/11/ac" url="C:\Users\Βασίλης\OneDrive\Υπολογιστής\"/>
    </mc:Choice>
  </mc:AlternateContent>
  <xr:revisionPtr revIDLastSave="0" documentId="13_ncr:1_{0DCC3C64-2411-4D4F-8E02-AD2256809D08}" xr6:coauthVersionLast="47" xr6:coauthVersionMax="47" xr10:uidLastSave="{00000000-0000-0000-0000-000000000000}"/>
  <bookViews>
    <workbookView xWindow="-108" yWindow="-108" windowWidth="23256" windowHeight="12456" xr2:uid="{00000000-000D-0000-FFFF-FFFF00000000}"/>
  </bookViews>
  <sheets>
    <sheet name="Sheet1 (2)" sheetId="9" r:id="rId1"/>
    <sheet name="DCF" sheetId="1" r:id="rId2"/>
    <sheet name="Sheet1" sheetId="5" state="veryHidden" r:id="rId3"/>
    <sheet name="Additional Data" sheetId="7" r:id="rId4"/>
    <sheet name="Data" sheetId="4" r:id="rId5"/>
    <sheet name="BBG_DATA" sheetId="6" state="veryHidden" r:id="rId6"/>
    <sheet name="Help" sheetId="8" r:id="rId7"/>
  </sheets>
  <definedNames>
    <definedName name="ADJ">Data!$F$3</definedName>
    <definedName name="ADJ_AVA">Data!$F$7</definedName>
    <definedName name="BB_CAL_DNA">DCF!$N$128:$S$128</definedName>
    <definedName name="BB_CAL_GRP">DCF!$N$77:$S$77</definedName>
    <definedName name="BB_CAL_NWC">DCF!$N$164:$S$164</definedName>
    <definedName name="BB_CAL_OPEX">DCF!$N$92:$S$92</definedName>
    <definedName name="BB_CAL_REV">DCF!$N$55:$S$55</definedName>
    <definedName name="BB_CAL_REV_PCT">DCF!$N$57:$S$57</definedName>
    <definedName name="BB_CAL_REV2">DCF!$N$16:$S$16</definedName>
    <definedName name="BB_CAL_TAX">DCF!$N$112:$S$112</definedName>
    <definedName name="BB_CAL_TAXLIB">DCF!$N$177:$S$177</definedName>
    <definedName name="BB_CAPEX_CAL">DCF!$N$146:$S$146</definedName>
    <definedName name="BB_CAPEX_DATA_ASSUM">DCF!$N$151:$S$153</definedName>
    <definedName name="BB_CAPEX_DNA_ERR">DCF!$N$159:$S$159</definedName>
    <definedName name="BB_CAPEX_DNA_ERR_MAX">DCF!$M$159</definedName>
    <definedName name="BB_CAPEX_DNA_ERR_MIN">DCF!$L$159</definedName>
    <definedName name="BB_CAPEX_ERR_LABELS">DCF!$H$158:$H$160</definedName>
    <definedName name="BB_CAPEX_GRTH_ERR">DCF!$N$158:$S$158</definedName>
    <definedName name="BB_CAPEX_GRTH_ERR_MAX">DCF!$M$158</definedName>
    <definedName name="BB_CAPEX_GRTH_ERR_MIN">DCF!$L$158</definedName>
    <definedName name="BB_CAPEX_NUM_EST_CAPEX">DCF!$N$160:$S$160</definedName>
    <definedName name="BB_CAPEX_NUM_EST_ERR_MIN_CAPEX">DCF!$L$160</definedName>
    <definedName name="BB_CAPEX_SEL_ROW">DCF!$N$149:$S$149</definedName>
    <definedName name="BB_CAPEX_USER_DATA">DCF!$N$155:$S$155</definedName>
    <definedName name="BB_DATA_TRIG">BBG_DATA!$A$1</definedName>
    <definedName name="BB_DNA_DATA_ASSUM">DCF!$N$133:$S$134</definedName>
    <definedName name="BB_DNA_ERR_LABELS">DCF!$H$139:$H$142</definedName>
    <definedName name="BB_DNA_GRTH_ERR">DCF!$N$139:$S$139</definedName>
    <definedName name="BB_DNA_GRTH_ERR_MAX">DCF!$M$139</definedName>
    <definedName name="BB_DNA_GRTH_ERR_MIN">DCF!$L$139</definedName>
    <definedName name="BB_DNA_NUM_EST_EBITDA">DCF!$N$142:$S$142</definedName>
    <definedName name="BB_DNA_NUM_EST_ERR_MIN_EBITDA">DCF!$L$142</definedName>
    <definedName name="BB_DNA_NUM_EST_ERR_MIN_OP">DCF!$L$141</definedName>
    <definedName name="BB_DNA_NUM_EST_ERR_MIN_REV">DCF!$L$140</definedName>
    <definedName name="BB_DNA_NUM_EST_OP">DCF!$N$141:$S$141</definedName>
    <definedName name="BB_DNA_NUM_EST_REV">DCF!$N$140:$S$140</definedName>
    <definedName name="BB_DNA_PCT">DCF!$N$129:$S$129</definedName>
    <definedName name="BB_DNA_SEL_ROW">DCF!$N$131:$S$131</definedName>
    <definedName name="BB_DNA_USER_DATA">DCF!$N$136:$S$136</definedName>
    <definedName name="BB_EBA_ERR_LABELS">DCF!$H$217</definedName>
    <definedName name="BB_EBA_ERR_MAX">DCF!$M$217</definedName>
    <definedName name="BB_EBA_ERR_MIN">DCF!$L$217</definedName>
    <definedName name="BB_FCF_ERR_LABELS">DCF!$H$202</definedName>
    <definedName name="BB_FCF_ERR_MAX">DCF!$M$202</definedName>
    <definedName name="BB_FCF_ERR_MIN">DCF!$L$202</definedName>
    <definedName name="BB_GRP_DATA_ASSUM">DCF!$N$82:$S$83</definedName>
    <definedName name="BB_GRP_ERR_LABELS">DCF!$H$88:$H$89</definedName>
    <definedName name="BB_GRP_GRTH_ERR">DCF!$N$88:$S$88</definedName>
    <definedName name="BB_GRP_GRTH_ERR_MAX">DCF!$M$88</definedName>
    <definedName name="BB_GRP_GRTH_ERR_MIN">DCF!$L$88</definedName>
    <definedName name="BB_GRP_NUM_EST_ERR_GRP">DCF!$N$89:$S$89</definedName>
    <definedName name="BB_GRP_NUM_EST_ERR_MIN_GRP">DCF!$L$89</definedName>
    <definedName name="BB_GRP_PCT">DCF!$N$78:$S$78</definedName>
    <definedName name="BB_GRP_SEL_ROW">DCF!$N$80:$S$80</definedName>
    <definedName name="BB_GRP_USER_DATA">DCF!$N$85:$S$85</definedName>
    <definedName name="BB_NWC_DATA_ASSUM">DCF!$N$169:$S$169</definedName>
    <definedName name="BB_NWC_ERR_LABELS">DCF!$H$174</definedName>
    <definedName name="BB_NWC_GRTH_ERR">DCF!$N$174:$S$174</definedName>
    <definedName name="BB_NWC_GRTH_ERR_MAX">DCF!$M$174</definedName>
    <definedName name="BB_NWC_GRTH_ERR_MIN">DCF!$L$174</definedName>
    <definedName name="BB_NWC_PCT">DCF!$N$165:$S$165</definedName>
    <definedName name="BB_NWC_SEL_ROW">DCF!$N$167:$S$167</definedName>
    <definedName name="BB_NWC_USER_DATA">DCF!$N$171:$S$171</definedName>
    <definedName name="BB_OPEX_DATA_ASSUM">DCF!$N$97:$S$98</definedName>
    <definedName name="BB_OPEX_ERR_LABELS">DCF!$H$103:$H$106</definedName>
    <definedName name="BB_OPEX_GRTH_ERR">DCF!$N$103:$S$103</definedName>
    <definedName name="BB_OPEX_GRTH_ERR_MAX">DCF!$M$103</definedName>
    <definedName name="BB_OPEX_GRTH_ERR_MIN">DCF!$L$103</definedName>
    <definedName name="BB_OPEX_NUM_EST_ERR_MIN_GM">DCF!$L$105</definedName>
    <definedName name="BB_OPEX_NUM_EST_ERR_MIN_OP">DCF!$L$106</definedName>
    <definedName name="BB_OPEX_NUM_EST_ERR_MIN_REV">DCF!$L$104</definedName>
    <definedName name="BB_OPEX_NUM_EST_GM">DCF!$N$105:$S$105</definedName>
    <definedName name="BB_OPEX_NUM_EST_OP">DCF!$N$106:$S$106</definedName>
    <definedName name="BB_OPEX_NUM_EST_REV">DCF!$N$104:$S$104</definedName>
    <definedName name="BB_OPEX_PCT">DCF!$N$93:$S$93</definedName>
    <definedName name="BB_OPEX_SEL_ROW">DCF!$N$95:$S$95</definedName>
    <definedName name="BB_OPEX_USER_DATA">DCF!$N$100:$S$100</definedName>
    <definedName name="BB_REV_ASSUM_SEL">DCF!$N$61:$S$66</definedName>
    <definedName name="BB_REV_DATA_ASSUM">DCF!$N$61:$S$63</definedName>
    <definedName name="BB_REV_ERR_LABELS">DCF!$H$69:$H$71</definedName>
    <definedName name="BB_REV_EST_MIN_MAX_RNG">DCF!$L$69:$M$69</definedName>
    <definedName name="BB_REV_GRTH_ERR">DCF!$N$69:$S$69</definedName>
    <definedName name="BB_REV_GRTH_ERR_MAX">DCF!$M$69</definedName>
    <definedName name="BB_REV_GRTH_ERR_MIN">DCF!$L$69</definedName>
    <definedName name="BB_REV_NUM_EST_ERR_EPS">DCF!$N$71:$S$71</definedName>
    <definedName name="BB_REV_NUM_EST_ERR_MIN_EPS">DCF!$L$71</definedName>
    <definedName name="BB_REV_NUM_EST_ERR_MIN_REV">DCF!$L$70</definedName>
    <definedName name="BB_REV_NUM_EST_ERR_REV">DCF!$N$70:$S$70</definedName>
    <definedName name="BB_REV_SEL_ROW">DCF!$N$59:$S$59</definedName>
    <definedName name="BB_REV_USER_DATA">DCF!$N$65:$S$66</definedName>
    <definedName name="BB_TAX_DATA_ASSUM">DCF!$N$117:$S$118</definedName>
    <definedName name="BB_TAX_ERR_LABELS">DCF!$H$123</definedName>
    <definedName name="BB_TAX_EST_ERR">DCF!$N$123:$S$123</definedName>
    <definedName name="BB_TAX_EST_ERR_MAX">DCF!$M$123</definedName>
    <definedName name="BB_TAX_EST_ERR_MIN">DCF!$L$123</definedName>
    <definedName name="BB_TAX_PCT">DCF!$N$113:$S$113</definedName>
    <definedName name="BB_TAX_SEL_ROW">DCF!$N$115:$S$115</definedName>
    <definedName name="BB_TAX_USER_DATA">DCF!$N$120:$S$120</definedName>
    <definedName name="BB_TAXLIB_DATA_ASSUM">DCF!$N$182:$S$182</definedName>
    <definedName name="BB_TAXLIB_GRTH_ERR">DCF!$N$187:$S$187</definedName>
    <definedName name="BB_TAXLIB_GRTH_ERR_MAX">DCF!$M$187</definedName>
    <definedName name="BB_TAXLIB_GRTH_ERR_MIN">DCF!$L$187</definedName>
    <definedName name="BB_TAXLIB_PCT">DCF!$N$178:$S$178</definedName>
    <definedName name="BB_TAXLIB_SEL_ROW">DCF!$N$180:$S$180</definedName>
    <definedName name="BB_TAXLIB_USER_DATA">DCF!$N$184:$S$184</definedName>
    <definedName name="CALL_PEND">Data!$E$36</definedName>
    <definedName name="CCY">Data!$C$3</definedName>
    <definedName name="CPX_ERR">DCF!$N$158:$S$160</definedName>
    <definedName name="CPX_IND">DCF!$N$149:$S$149</definedName>
    <definedName name="CPX_INP">DCF!$L$158:$L$160,DCF!$M$158:$M$159</definedName>
    <definedName name="CPX_SEL">DCF!$N$151:$S$155</definedName>
    <definedName name="CPX_VAL">DCF!$N$146:$S$146</definedName>
    <definedName name="DNA_ERR">DCF!$N$139:$S$142</definedName>
    <definedName name="DNA_IND">DCF!$N$131:$S$131</definedName>
    <definedName name="DNA_INP">DCF!$L$139:$L$142,DCF!$M$139</definedName>
    <definedName name="DNA_SEL">DCF!$N$133:$S$136</definedName>
    <definedName name="DNA_VAL">DCF!$N$129:$S$129</definedName>
    <definedName name="DNA_VAL2">DCF!$N$128:$S$128</definedName>
    <definedName name="EBA_ERR">DCF!$N$217:$S$217</definedName>
    <definedName name="EBA_INP">DCF!$L$217:$M$217</definedName>
    <definedName name="EBA_VAL">DCF!$N$211:$S$211</definedName>
    <definedName name="EBA_VAL3">DCF!$N$18:$S$18</definedName>
    <definedName name="EDIT_COL">DCF!$H$51</definedName>
    <definedName name="FCF_ERR">DCF!$N$202:$S$202</definedName>
    <definedName name="FCF_INP">DCF!$L$202:$M$202</definedName>
    <definedName name="FCF_VAL">DCF!$N$197:$S$197</definedName>
    <definedName name="FCF_VAL3">DCF!$N$20:$S$20</definedName>
    <definedName name="FMT_ERR">Data!$B$33</definedName>
    <definedName name="FMT_INP">Data!$B$31</definedName>
    <definedName name="FMT_SEL">Data!$B$32</definedName>
    <definedName name="FULL_MDL">DCF!$D$43</definedName>
    <definedName name="FULL_MDL_BTN">DCF!$E$15:$F$15</definedName>
    <definedName name="FundHeaderRow">DCF!$E$10</definedName>
    <definedName name="GRP_ERR">DCF!$N$88:$S$89</definedName>
    <definedName name="GRP_INP">DCF!$L$88:$M$88,DCF!$L$89</definedName>
    <definedName name="GRP_SEL">DCF!$N$82:$S$85</definedName>
    <definedName name="GRP_VAL">DCF!$N$78:$S$78</definedName>
    <definedName name="GRP_VAL2">DCF!$N$77:$S$77</definedName>
    <definedName name="GRP_VAL3">DCF!$N$80:$S$80</definedName>
    <definedName name="HELP_SALE_GO">#REF!</definedName>
    <definedName name="HLPBRD_IB">Help!$D$217:$R$220</definedName>
    <definedName name="HLPBRD_IR">Help!$S$10:$T$216</definedName>
    <definedName name="HLPBRD_OBR">Help!$U$221:$X$229</definedName>
    <definedName name="InputSelection">DCF!$S$46</definedName>
    <definedName name="LTT_ERR">DCF!$N$187:$S$187</definedName>
    <definedName name="LTT_IND">DCF!$N$180:$S$180</definedName>
    <definedName name="LTT_INP">DCF!$L$187:$M$187</definedName>
    <definedName name="LTT_SEL">DCF!$N$182:$S$184</definedName>
    <definedName name="LTT_VAL">DCF!$N$178:$S$178</definedName>
    <definedName name="LTT_VAL2">DCF!$N$177:$S$177</definedName>
    <definedName name="NWC_ERR">DCF!$N$174:$S$174</definedName>
    <definedName name="NWC_IND">DCF!$N$167:$S$167</definedName>
    <definedName name="NWC_INP">DCF!$L$174:$M$174</definedName>
    <definedName name="NWC_SEL">DCF!$N$169:$S$171</definedName>
    <definedName name="NWC_VAL">DCF!$N$165:$S$165</definedName>
    <definedName name="NWC_VAL2">DCF!$N$164:$S$164</definedName>
    <definedName name="OPX_ERR">DCF!$N$103:$S$106</definedName>
    <definedName name="OPX_IND">DCF!$N$95:$S$95</definedName>
    <definedName name="OPX_INP">DCF!$L$103:$L$106,DCF!$M$103</definedName>
    <definedName name="OPX_SEL">DCF!$N$97:$S$100</definedName>
    <definedName name="OPX_VAL">DCF!$N$93:$S$93</definedName>
    <definedName name="OPX_VAL2">DCF!$N$92:$S$92</definedName>
    <definedName name="OUT_ANA">DCF!$D$222</definedName>
    <definedName name="OUTPUT">DCF!$D$222</definedName>
    <definedName name="PER">Data!$C$28</definedName>
    <definedName name="PERIOD">Data!$B$28</definedName>
    <definedName name="_xlnm.Print_Area" localSheetId="1">DCF!$D$4:$V$281</definedName>
    <definedName name="REV_ERR">DCF!$N$69:$S$71</definedName>
    <definedName name="REV_INP">DCF!$L$69:$L$71,DCF!$M$69</definedName>
    <definedName name="REV_SEL">DCF!$N$61:$S$66</definedName>
    <definedName name="REV_VAL">DCF!$N$59:$S$59</definedName>
    <definedName name="REV_VAL2">DCF!$N$55:$S$55</definedName>
    <definedName name="REV_VAL3">DCF!$N$16:$S$16</definedName>
    <definedName name="SUM_ANA">DCF!$E$6</definedName>
    <definedName name="TAX_ERR">DCF!$N$123:$S$123</definedName>
    <definedName name="TAX_IND">DCF!$N$115:$S$115</definedName>
    <definedName name="TAX_INP">DCF!$L$123:$M$123</definedName>
    <definedName name="TAX_SEL">DCF!$N$117:$S$120</definedName>
    <definedName name="TAX_VAL">DCF!$N$113:$S$113</definedName>
    <definedName name="TAX_VAL2">DCF!$N$112:$S$112</definedName>
    <definedName name="TICKER">DCF!$F$6</definedName>
    <definedName name="TKR">DCF!$F$6&amp;" Equity"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0" i="1" l="1"/>
  <c r="Q20" i="1"/>
  <c r="P20" i="1"/>
  <c r="O20" i="1"/>
  <c r="N20" i="1"/>
  <c r="K225" i="1"/>
  <c r="G26" i="9"/>
  <c r="H26" i="9"/>
  <c r="I26" i="9"/>
  <c r="J26" i="9"/>
  <c r="F26" i="9"/>
  <c r="G27" i="9"/>
  <c r="H27" i="9"/>
  <c r="I27" i="9"/>
  <c r="J27" i="9"/>
  <c r="F27" i="9"/>
  <c r="G28" i="9"/>
  <c r="H28" i="9"/>
  <c r="I28" i="9"/>
  <c r="J28" i="9"/>
  <c r="F28" i="9"/>
  <c r="H23" i="9"/>
  <c r="I23" i="9"/>
  <c r="J23" i="9"/>
  <c r="G23" i="9"/>
  <c r="F23" i="9"/>
  <c r="T226" i="1"/>
  <c r="J211" i="1"/>
  <c r="K211" i="1"/>
  <c r="L211" i="1"/>
  <c r="M211" i="1"/>
  <c r="I211" i="1"/>
  <c r="O18" i="1"/>
  <c r="P18" i="1" s="1"/>
  <c r="Q18" i="1" s="1"/>
  <c r="R18" i="1" s="1"/>
  <c r="S18" i="1" s="1"/>
  <c r="N18" i="1"/>
  <c r="N110" i="1"/>
  <c r="J77" i="1"/>
  <c r="K77" i="1"/>
  <c r="L77" i="1"/>
  <c r="M77" i="1"/>
  <c r="I77" i="1"/>
  <c r="J75" i="1"/>
  <c r="K75" i="1"/>
  <c r="L75" i="1"/>
  <c r="M75" i="1"/>
  <c r="I75" i="1"/>
  <c r="N74" i="1"/>
  <c r="K56" i="1"/>
  <c r="L56" i="1"/>
  <c r="N56" i="1"/>
  <c r="O56" i="1"/>
  <c r="K55" i="1"/>
  <c r="L55" i="1"/>
  <c r="M55" i="1"/>
  <c r="M147" i="1" s="1"/>
  <c r="J55" i="1"/>
  <c r="J56" i="1" s="1"/>
  <c r="I55" i="1"/>
  <c r="I56" i="1" s="1"/>
  <c r="N16" i="1"/>
  <c r="O16" i="1" s="1"/>
  <c r="P16" i="1" s="1"/>
  <c r="Q16" i="1" s="1"/>
  <c r="R16" i="1" s="1"/>
  <c r="S16" i="1" s="1"/>
  <c r="D5" i="9"/>
  <c r="D6" i="9" s="1"/>
  <c r="D10" i="9"/>
  <c r="C13" i="9"/>
  <c r="C15" i="9"/>
  <c r="D13" i="9" s="1"/>
  <c r="A24" i="9"/>
  <c r="H24" i="9"/>
  <c r="H25" i="9" s="1"/>
  <c r="H29" i="9" s="1"/>
  <c r="I24" i="9"/>
  <c r="I25" i="9" s="1"/>
  <c r="I29" i="9" s="1"/>
  <c r="J24" i="9"/>
  <c r="J25" i="9" s="1"/>
  <c r="J29" i="9" s="1"/>
  <c r="F31" i="9"/>
  <c r="F33" i="9" s="1"/>
  <c r="F35" i="9" s="1"/>
  <c r="G31" i="9"/>
  <c r="H31" i="9"/>
  <c r="I31" i="9"/>
  <c r="J31" i="9"/>
  <c r="G32" i="9"/>
  <c r="H32" i="9" s="1"/>
  <c r="I32" i="9" s="1"/>
  <c r="P263" i="1"/>
  <c r="P262" i="1"/>
  <c r="P261" i="1"/>
  <c r="G265" i="1"/>
  <c r="G263" i="1"/>
  <c r="G262" i="1"/>
  <c r="G261" i="1"/>
  <c r="T227" i="1"/>
  <c r="T149" i="7"/>
  <c r="S149" i="7"/>
  <c r="R149" i="7"/>
  <c r="Q149" i="7"/>
  <c r="P149" i="7"/>
  <c r="O149" i="7"/>
  <c r="T131" i="7"/>
  <c r="S131" i="7"/>
  <c r="R131" i="7"/>
  <c r="Q131" i="7"/>
  <c r="P131" i="7"/>
  <c r="O131" i="7"/>
  <c r="T115" i="7"/>
  <c r="S115" i="7"/>
  <c r="R115" i="7"/>
  <c r="Q115" i="7"/>
  <c r="P115" i="7"/>
  <c r="O115" i="7"/>
  <c r="T95" i="7"/>
  <c r="S95" i="7"/>
  <c r="R95" i="7"/>
  <c r="Q95" i="7"/>
  <c r="P95" i="7"/>
  <c r="O95" i="7"/>
  <c r="T80" i="7"/>
  <c r="S80" i="7"/>
  <c r="R80" i="7"/>
  <c r="Q80" i="7"/>
  <c r="P80" i="7"/>
  <c r="O80" i="7"/>
  <c r="O78" i="1"/>
  <c r="P78" i="1"/>
  <c r="Q83" i="1" s="1"/>
  <c r="Q78" i="1"/>
  <c r="R78" i="1"/>
  <c r="S78" i="1"/>
  <c r="T59" i="7"/>
  <c r="S59" i="7"/>
  <c r="R59" i="7"/>
  <c r="Q59" i="7"/>
  <c r="P59" i="7"/>
  <c r="O59" i="7"/>
  <c r="E53" i="7"/>
  <c r="E52" i="7"/>
  <c r="Y134" i="1"/>
  <c r="Y151" i="1"/>
  <c r="N82" i="1"/>
  <c r="N80" i="1" s="1"/>
  <c r="S70" i="1"/>
  <c r="S140" i="1"/>
  <c r="S104" i="1"/>
  <c r="R70" i="1"/>
  <c r="R140" i="1"/>
  <c r="R104" i="1"/>
  <c r="Q70" i="1"/>
  <c r="Q140" i="1"/>
  <c r="Q104" i="1"/>
  <c r="N70" i="1"/>
  <c r="N140" i="1"/>
  <c r="N104" i="1"/>
  <c r="B28" i="4"/>
  <c r="C28" i="4" s="1"/>
  <c r="O140" i="1"/>
  <c r="O104" i="1"/>
  <c r="P70" i="1"/>
  <c r="P140" i="1"/>
  <c r="P104" i="1"/>
  <c r="Y60" i="1"/>
  <c r="Y97" i="1"/>
  <c r="N97" i="1"/>
  <c r="N95" i="1" s="1"/>
  <c r="N133" i="1"/>
  <c r="N131" i="1" s="1"/>
  <c r="B6" i="6"/>
  <c r="B5" i="6"/>
  <c r="B7" i="6"/>
  <c r="N151" i="1"/>
  <c r="B8" i="6"/>
  <c r="B3" i="6"/>
  <c r="B22" i="6"/>
  <c r="B21" i="6"/>
  <c r="O133" i="1"/>
  <c r="O131" i="1" s="1"/>
  <c r="C7" i="6"/>
  <c r="O97" i="1"/>
  <c r="O95" i="1" s="1"/>
  <c r="C5" i="6"/>
  <c r="C6" i="6"/>
  <c r="C3" i="6"/>
  <c r="O151" i="1"/>
  <c r="C8" i="6"/>
  <c r="P141" i="1"/>
  <c r="P106" i="1"/>
  <c r="P160" i="1"/>
  <c r="P142" i="1"/>
  <c r="P89" i="1"/>
  <c r="P105" i="1"/>
  <c r="Q142" i="1"/>
  <c r="Q141" i="1"/>
  <c r="Q106" i="1"/>
  <c r="Q160" i="1"/>
  <c r="Q89" i="1"/>
  <c r="Q105" i="1"/>
  <c r="N63" i="1"/>
  <c r="Q63" i="1" s="1"/>
  <c r="B4" i="6"/>
  <c r="N6" i="1"/>
  <c r="B24" i="6"/>
  <c r="O47" i="1"/>
  <c r="P47" i="1" s="1"/>
  <c r="F7" i="4"/>
  <c r="C5" i="4"/>
  <c r="C4" i="4"/>
  <c r="N141" i="1"/>
  <c r="N106" i="1"/>
  <c r="N160" i="1"/>
  <c r="N71" i="1"/>
  <c r="S71" i="1" s="1"/>
  <c r="N142" i="1"/>
  <c r="N89" i="1"/>
  <c r="N105" i="1"/>
  <c r="R142" i="1"/>
  <c r="R89" i="1"/>
  <c r="R105" i="1"/>
  <c r="R141" i="1"/>
  <c r="R106" i="1"/>
  <c r="R160" i="1"/>
  <c r="O142" i="1"/>
  <c r="O160" i="1"/>
  <c r="O89" i="1"/>
  <c r="O105" i="1"/>
  <c r="O141" i="1"/>
  <c r="O106" i="1"/>
  <c r="S160" i="1"/>
  <c r="S142" i="1"/>
  <c r="S89" i="1"/>
  <c r="S105" i="1"/>
  <c r="S141" i="1"/>
  <c r="S106" i="1"/>
  <c r="A26" i="6"/>
  <c r="B26" i="6" s="1"/>
  <c r="B36" i="4"/>
  <c r="C35" i="6"/>
  <c r="C34" i="6"/>
  <c r="C33" i="6"/>
  <c r="C32" i="6"/>
  <c r="C31" i="6"/>
  <c r="C30" i="6"/>
  <c r="C29" i="6"/>
  <c r="C28" i="6"/>
  <c r="C27" i="6"/>
  <c r="W8" i="1"/>
  <c r="S80" i="1"/>
  <c r="R80" i="1"/>
  <c r="Q80" i="1"/>
  <c r="P80" i="1"/>
  <c r="O80" i="1"/>
  <c r="R25" i="1"/>
  <c r="T238" i="1"/>
  <c r="T236" i="1"/>
  <c r="T237" i="1" s="1"/>
  <c r="T235" i="1"/>
  <c r="T234" i="1"/>
  <c r="T241" i="1"/>
  <c r="K243" i="1"/>
  <c r="T243" i="1" s="1"/>
  <c r="B33" i="6"/>
  <c r="B35" i="6"/>
  <c r="B30" i="6"/>
  <c r="B29" i="6"/>
  <c r="B31" i="6"/>
  <c r="B34" i="6"/>
  <c r="B32" i="6"/>
  <c r="B28" i="6"/>
  <c r="B27" i="6"/>
  <c r="L212" i="1"/>
  <c r="L19" i="1" s="1"/>
  <c r="K220" i="1"/>
  <c r="M92" i="1"/>
  <c r="M93" i="1" s="1"/>
  <c r="N98" i="1" s="1"/>
  <c r="L92" i="1"/>
  <c r="L93" i="1" s="1"/>
  <c r="K92" i="1"/>
  <c r="K93" i="1" s="1"/>
  <c r="J92" i="1"/>
  <c r="I92" i="1"/>
  <c r="I109" i="1" s="1"/>
  <c r="F10" i="6"/>
  <c r="E10" i="6" s="1"/>
  <c r="E11" i="6" s="1"/>
  <c r="N58" i="4"/>
  <c r="N57" i="4"/>
  <c r="N56" i="4"/>
  <c r="N55" i="4"/>
  <c r="N54" i="4"/>
  <c r="N53" i="4"/>
  <c r="N52" i="4"/>
  <c r="N51" i="4"/>
  <c r="N50" i="4"/>
  <c r="N49" i="4"/>
  <c r="N48" i="4"/>
  <c r="N47" i="4"/>
  <c r="N46" i="4"/>
  <c r="N45" i="4"/>
  <c r="N44" i="4"/>
  <c r="N43" i="4"/>
  <c r="N42" i="4"/>
  <c r="N41" i="4"/>
  <c r="N40" i="4"/>
  <c r="N39" i="4"/>
  <c r="N38" i="4"/>
  <c r="N37" i="4"/>
  <c r="N36" i="4"/>
  <c r="D10" i="6"/>
  <c r="N35" i="4"/>
  <c r="N34" i="4"/>
  <c r="N33" i="4"/>
  <c r="N32" i="4"/>
  <c r="N31" i="4"/>
  <c r="N30" i="4"/>
  <c r="N29" i="4"/>
  <c r="N28" i="4"/>
  <c r="N27" i="4"/>
  <c r="N26" i="4"/>
  <c r="N25" i="4"/>
  <c r="N24" i="4"/>
  <c r="N23" i="4"/>
  <c r="N22" i="4"/>
  <c r="N21" i="4"/>
  <c r="N20" i="4"/>
  <c r="N19" i="4"/>
  <c r="N18" i="4"/>
  <c r="N17" i="4"/>
  <c r="C17" i="4"/>
  <c r="N16" i="4"/>
  <c r="C16" i="4"/>
  <c r="N15" i="4"/>
  <c r="C15" i="4"/>
  <c r="N14" i="4"/>
  <c r="C14" i="4"/>
  <c r="N13" i="4"/>
  <c r="C13" i="4"/>
  <c r="N12" i="4"/>
  <c r="C12" i="4"/>
  <c r="N11" i="4"/>
  <c r="C11" i="4"/>
  <c r="N10" i="4"/>
  <c r="C10" i="4"/>
  <c r="N9" i="4"/>
  <c r="C9" i="4"/>
  <c r="N8" i="4"/>
  <c r="C8" i="4"/>
  <c r="N7" i="4"/>
  <c r="N6" i="4"/>
  <c r="C6" i="4"/>
  <c r="N5" i="4"/>
  <c r="N4" i="4"/>
  <c r="F3" i="4"/>
  <c r="C3" i="4"/>
  <c r="F242" i="1" s="1"/>
  <c r="F26" i="1" s="1"/>
  <c r="C21" i="6"/>
  <c r="C22" i="6"/>
  <c r="G3" i="6"/>
  <c r="G5" i="6"/>
  <c r="G6" i="6"/>
  <c r="S97" i="1"/>
  <c r="S95" i="1" s="1"/>
  <c r="G7" i="6"/>
  <c r="S133" i="1"/>
  <c r="S131" i="1" s="1"/>
  <c r="G8" i="6"/>
  <c r="S151" i="1"/>
  <c r="F19" i="6"/>
  <c r="E22" i="6"/>
  <c r="E21" i="6"/>
  <c r="D6" i="6"/>
  <c r="D7" i="6"/>
  <c r="D5" i="6"/>
  <c r="D8" i="6"/>
  <c r="P151" i="1"/>
  <c r="D3" i="6"/>
  <c r="P133" i="1"/>
  <c r="P97" i="1"/>
  <c r="P95" i="1" s="1"/>
  <c r="F22" i="6"/>
  <c r="F21" i="6"/>
  <c r="D21" i="6"/>
  <c r="D22" i="6"/>
  <c r="G21" i="6"/>
  <c r="G22" i="6"/>
  <c r="G18" i="6"/>
  <c r="G11" i="6"/>
  <c r="G16" i="6"/>
  <c r="G14" i="6"/>
  <c r="G17" i="6"/>
  <c r="G15" i="6"/>
  <c r="G12" i="6"/>
  <c r="G13" i="6"/>
  <c r="G19" i="6"/>
  <c r="F5" i="6"/>
  <c r="F7" i="6"/>
  <c r="F3" i="6"/>
  <c r="F8" i="6"/>
  <c r="R151" i="1"/>
  <c r="F6" i="6"/>
  <c r="R133" i="1"/>
  <c r="R131" i="1" s="1"/>
  <c r="R97" i="1"/>
  <c r="R95" i="1" s="1"/>
  <c r="E3" i="6"/>
  <c r="E7" i="6"/>
  <c r="E6" i="6"/>
  <c r="Q133" i="1"/>
  <c r="Q131" i="1" s="1"/>
  <c r="E5" i="6"/>
  <c r="Q97" i="1"/>
  <c r="Q95" i="1" s="1"/>
  <c r="E8" i="6"/>
  <c r="Q151" i="1"/>
  <c r="K50" i="7"/>
  <c r="J50" i="7"/>
  <c r="I50" i="7"/>
  <c r="H50" i="7"/>
  <c r="G50" i="7"/>
  <c r="F50" i="7"/>
  <c r="K54" i="7"/>
  <c r="J54" i="7"/>
  <c r="I54" i="7"/>
  <c r="J55" i="7" s="1"/>
  <c r="L177" i="1" s="1"/>
  <c r="L178" i="1" s="1"/>
  <c r="F54" i="7"/>
  <c r="G54" i="7"/>
  <c r="H54" i="7"/>
  <c r="J42" i="7"/>
  <c r="K42" i="7" s="1"/>
  <c r="K55" i="7"/>
  <c r="J41" i="7"/>
  <c r="K41" i="7" s="1"/>
  <c r="J40" i="7"/>
  <c r="K40" i="7" s="1"/>
  <c r="J39" i="7"/>
  <c r="K39" i="7" s="1"/>
  <c r="J38" i="7"/>
  <c r="J37" i="7"/>
  <c r="K37" i="7" s="1"/>
  <c r="J36" i="7"/>
  <c r="K36" i="7" s="1"/>
  <c r="J35" i="7"/>
  <c r="J34" i="7"/>
  <c r="J33" i="7"/>
  <c r="J9" i="7"/>
  <c r="F9" i="7"/>
  <c r="E62" i="5"/>
  <c r="E63" i="5"/>
  <c r="E57" i="5"/>
  <c r="E58" i="5"/>
  <c r="E59" i="5"/>
  <c r="E60" i="5" s="1"/>
  <c r="E52" i="5"/>
  <c r="E53" i="5"/>
  <c r="E54" i="5" s="1"/>
  <c r="E55" i="5" s="1"/>
  <c r="X46" i="5"/>
  <c r="X47" i="5" s="1"/>
  <c r="U46" i="5"/>
  <c r="U47" i="5"/>
  <c r="T46" i="5"/>
  <c r="T47" i="5" s="1"/>
  <c r="Q46" i="5"/>
  <c r="Q47" i="5"/>
  <c r="V45" i="5"/>
  <c r="W45" i="5" s="1"/>
  <c r="W46" i="5" s="1"/>
  <c r="W47" i="5" s="1"/>
  <c r="R45" i="5"/>
  <c r="R46" i="5" s="1"/>
  <c r="S45" i="5"/>
  <c r="S46" i="5" s="1"/>
  <c r="S47" i="5" s="1"/>
  <c r="M45" i="5"/>
  <c r="C45" i="5"/>
  <c r="B45" i="5"/>
  <c r="X41" i="5"/>
  <c r="X42" i="5"/>
  <c r="X43" i="5" s="1"/>
  <c r="X44" i="5" s="1"/>
  <c r="T41" i="5"/>
  <c r="T42" i="5" s="1"/>
  <c r="T43" i="5" s="1"/>
  <c r="T44" i="5" s="1"/>
  <c r="Q41" i="5"/>
  <c r="Q42" i="5"/>
  <c r="Q43" i="5"/>
  <c r="Q44" i="5" s="1"/>
  <c r="J41" i="5"/>
  <c r="J42" i="5"/>
  <c r="U40" i="5"/>
  <c r="R40" i="5"/>
  <c r="S40" i="5" s="1"/>
  <c r="S41" i="5" s="1"/>
  <c r="S42" i="5" s="1"/>
  <c r="S43" i="5" s="1"/>
  <c r="S44" i="5" s="1"/>
  <c r="G40" i="5"/>
  <c r="G41" i="5"/>
  <c r="G42" i="5" s="1"/>
  <c r="D40" i="5"/>
  <c r="D41" i="5" s="1"/>
  <c r="D42" i="5" s="1"/>
  <c r="L37" i="5"/>
  <c r="L38" i="5" s="1"/>
  <c r="L39" i="5" s="1"/>
  <c r="L40" i="5" s="1"/>
  <c r="L41" i="5" s="1"/>
  <c r="L42" i="5" s="1"/>
  <c r="L43" i="5" s="1"/>
  <c r="J37" i="5"/>
  <c r="I37" i="5"/>
  <c r="I38" i="5" s="1"/>
  <c r="I39" i="5" s="1"/>
  <c r="I40" i="5" s="1"/>
  <c r="I41" i="5" s="1"/>
  <c r="I42" i="5" s="1"/>
  <c r="I43" i="5" s="1"/>
  <c r="G37" i="5"/>
  <c r="G38" i="5" s="1"/>
  <c r="F37" i="5"/>
  <c r="D37" i="5"/>
  <c r="D38" i="5"/>
  <c r="X36" i="5"/>
  <c r="X37" i="5"/>
  <c r="X38" i="5"/>
  <c r="X39" i="5"/>
  <c r="T36" i="5"/>
  <c r="T37" i="5" s="1"/>
  <c r="T38" i="5" s="1"/>
  <c r="T39" i="5" s="1"/>
  <c r="Q36" i="5"/>
  <c r="Q37" i="5" s="1"/>
  <c r="Q38" i="5" s="1"/>
  <c r="Q39" i="5" s="1"/>
  <c r="U35" i="5"/>
  <c r="V35" i="5" s="1"/>
  <c r="W35" i="5" s="1"/>
  <c r="R35" i="5"/>
  <c r="C33" i="5"/>
  <c r="D30" i="5"/>
  <c r="E30" i="5" s="1"/>
  <c r="F30" i="5"/>
  <c r="G30" i="5" s="1"/>
  <c r="H30" i="5" s="1"/>
  <c r="I30" i="5" s="1"/>
  <c r="J30" i="5" s="1"/>
  <c r="K30" i="5" s="1"/>
  <c r="L30" i="5" s="1"/>
  <c r="M30" i="5" s="1"/>
  <c r="N30" i="5" s="1"/>
  <c r="O30" i="5" s="1"/>
  <c r="P30" i="5" s="1"/>
  <c r="Q30" i="5" s="1"/>
  <c r="R30" i="5" s="1"/>
  <c r="S30" i="5" s="1"/>
  <c r="T30" i="5" s="1"/>
  <c r="U30" i="5" s="1"/>
  <c r="V30" i="5" s="1"/>
  <c r="W30" i="5" s="1"/>
  <c r="X30" i="5" s="1"/>
  <c r="Y30" i="5" s="1"/>
  <c r="Z30" i="5" s="1"/>
  <c r="AA30" i="5" s="1"/>
  <c r="AB30" i="5" s="1"/>
  <c r="AC30" i="5"/>
  <c r="AD30" i="5" s="1"/>
  <c r="AE30" i="5" s="1"/>
  <c r="AF30" i="5" s="1"/>
  <c r="AG30" i="5" s="1"/>
  <c r="AH30" i="5" s="1"/>
  <c r="AI30" i="5" s="1"/>
  <c r="AJ30" i="5" s="1"/>
  <c r="AK30" i="5" s="1"/>
  <c r="AL30" i="5" s="1"/>
  <c r="AM30" i="5" s="1"/>
  <c r="AN30" i="5" s="1"/>
  <c r="AO30" i="5" s="1"/>
  <c r="AP30" i="5" s="1"/>
  <c r="AQ30" i="5" s="1"/>
  <c r="AR30" i="5" s="1"/>
  <c r="AS30" i="5" s="1"/>
  <c r="AT30" i="5" s="1"/>
  <c r="AU30" i="5" s="1"/>
  <c r="AV30" i="5" s="1"/>
  <c r="AW30" i="5" s="1"/>
  <c r="AX30" i="5" s="1"/>
  <c r="AY30" i="5" s="1"/>
  <c r="AZ30" i="5" s="1"/>
  <c r="BA30" i="5" s="1"/>
  <c r="BB30" i="5"/>
  <c r="BC30" i="5" s="1"/>
  <c r="BD30" i="5" s="1"/>
  <c r="BE30" i="5" s="1"/>
  <c r="BF30" i="5" s="1"/>
  <c r="BG30" i="5" s="1"/>
  <c r="BH30" i="5" s="1"/>
  <c r="BI30" i="5" s="1"/>
  <c r="BJ30" i="5" s="1"/>
  <c r="BK30" i="5" s="1"/>
  <c r="BL30" i="5" s="1"/>
  <c r="BM30" i="5" s="1"/>
  <c r="BN30" i="5" s="1"/>
  <c r="BO30" i="5" s="1"/>
  <c r="BP30" i="5" s="1"/>
  <c r="BQ30" i="5" s="1"/>
  <c r="BR30" i="5" s="1"/>
  <c r="BS30" i="5" s="1"/>
  <c r="BT30" i="5" s="1"/>
  <c r="BU30" i="5" s="1"/>
  <c r="BV30" i="5" s="1"/>
  <c r="BW30" i="5" s="1"/>
  <c r="BX30" i="5" s="1"/>
  <c r="BY30" i="5" s="1"/>
  <c r="BZ30" i="5" s="1"/>
  <c r="CA30" i="5"/>
  <c r="CB30" i="5" s="1"/>
  <c r="CC30" i="5" s="1"/>
  <c r="CD30" i="5" s="1"/>
  <c r="CE30" i="5" s="1"/>
  <c r="CF30" i="5" s="1"/>
  <c r="CG30" i="5" s="1"/>
  <c r="CH30" i="5" s="1"/>
  <c r="CI30" i="5" s="1"/>
  <c r="CJ30" i="5" s="1"/>
  <c r="CK30" i="5" s="1"/>
  <c r="CL30" i="5" s="1"/>
  <c r="CM30" i="5" s="1"/>
  <c r="CN30" i="5" s="1"/>
  <c r="CO30" i="5" s="1"/>
  <c r="CP30" i="5" s="1"/>
  <c r="CQ30" i="5" s="1"/>
  <c r="CR30" i="5" s="1"/>
  <c r="CS30" i="5" s="1"/>
  <c r="CT30" i="5" s="1"/>
  <c r="CU30" i="5" s="1"/>
  <c r="CV30" i="5" s="1"/>
  <c r="CW30" i="5" s="1"/>
  <c r="CX30" i="5" s="1"/>
  <c r="CY30" i="5" s="1"/>
  <c r="D29" i="5"/>
  <c r="E29" i="5" s="1"/>
  <c r="O27" i="5"/>
  <c r="P27" i="5"/>
  <c r="Q27" i="5" s="1"/>
  <c r="R27" i="5" s="1"/>
  <c r="S27" i="5" s="1"/>
  <c r="T27" i="5" s="1"/>
  <c r="U27" i="5" s="1"/>
  <c r="V27" i="5" s="1"/>
  <c r="W27" i="5" s="1"/>
  <c r="X27" i="5" s="1"/>
  <c r="Y27" i="5" s="1"/>
  <c r="Z27" i="5" s="1"/>
  <c r="AA27" i="5" s="1"/>
  <c r="AB27" i="5" s="1"/>
  <c r="AC27" i="5" s="1"/>
  <c r="AD27" i="5" s="1"/>
  <c r="AE27" i="5" s="1"/>
  <c r="AF27" i="5" s="1"/>
  <c r="AG27" i="5" s="1"/>
  <c r="AH27" i="5" s="1"/>
  <c r="AI27" i="5" s="1"/>
  <c r="AJ27" i="5" s="1"/>
  <c r="AK27" i="5" s="1"/>
  <c r="AL27" i="5" s="1"/>
  <c r="AM27" i="5" s="1"/>
  <c r="AN27" i="5" s="1"/>
  <c r="AO27" i="5" s="1"/>
  <c r="AP27" i="5" s="1"/>
  <c r="AQ27" i="5" s="1"/>
  <c r="AR27" i="5" s="1"/>
  <c r="AS27" i="5" s="1"/>
  <c r="AT27" i="5" s="1"/>
  <c r="AU27" i="5" s="1"/>
  <c r="AV27" i="5" s="1"/>
  <c r="AW27" i="5" s="1"/>
  <c r="AX27" i="5" s="1"/>
  <c r="AY27" i="5" s="1"/>
  <c r="AZ27" i="5" s="1"/>
  <c r="BA27" i="5" s="1"/>
  <c r="BB27" i="5" s="1"/>
  <c r="BC27" i="5" s="1"/>
  <c r="BD27" i="5" s="1"/>
  <c r="BE27" i="5" s="1"/>
  <c r="BF27" i="5" s="1"/>
  <c r="BG27" i="5" s="1"/>
  <c r="BH27" i="5" s="1"/>
  <c r="BI27" i="5" s="1"/>
  <c r="BJ27" i="5" s="1"/>
  <c r="BK27" i="5" s="1"/>
  <c r="BL27" i="5" s="1"/>
  <c r="BM27" i="5" s="1"/>
  <c r="BN27" i="5" s="1"/>
  <c r="BO27" i="5" s="1"/>
  <c r="BP27" i="5" s="1"/>
  <c r="BQ27" i="5" s="1"/>
  <c r="BR27" i="5" s="1"/>
  <c r="BS27" i="5" s="1"/>
  <c r="BT27" i="5" s="1"/>
  <c r="BU27" i="5" s="1"/>
  <c r="BV27" i="5" s="1"/>
  <c r="BW27" i="5" s="1"/>
  <c r="BX27" i="5" s="1"/>
  <c r="BY27" i="5" s="1"/>
  <c r="BZ27" i="5" s="1"/>
  <c r="CA27" i="5" s="1"/>
  <c r="CB27" i="5" s="1"/>
  <c r="CC27" i="5" s="1"/>
  <c r="CD27" i="5" s="1"/>
  <c r="CE27" i="5" s="1"/>
  <c r="CF27" i="5" s="1"/>
  <c r="CG27" i="5" s="1"/>
  <c r="CH27" i="5" s="1"/>
  <c r="CI27" i="5" s="1"/>
  <c r="CJ27" i="5" s="1"/>
  <c r="CK27" i="5" s="1"/>
  <c r="CL27" i="5" s="1"/>
  <c r="CM27" i="5" s="1"/>
  <c r="CN27" i="5" s="1"/>
  <c r="CO27" i="5" s="1"/>
  <c r="CP27" i="5" s="1"/>
  <c r="CQ27" i="5" s="1"/>
  <c r="CR27" i="5" s="1"/>
  <c r="CS27" i="5" s="1"/>
  <c r="CT27" i="5" s="1"/>
  <c r="CU27" i="5" s="1"/>
  <c r="CV27" i="5" s="1"/>
  <c r="CW27" i="5" s="1"/>
  <c r="CX27" i="5" s="1"/>
  <c r="CY27" i="5" s="1"/>
  <c r="D27" i="5"/>
  <c r="D26" i="5"/>
  <c r="D25" i="5"/>
  <c r="E25" i="5"/>
  <c r="F25" i="5" s="1"/>
  <c r="G25" i="5" s="1"/>
  <c r="H25" i="5" s="1"/>
  <c r="I25" i="5" s="1"/>
  <c r="J25" i="5" s="1"/>
  <c r="K25" i="5" s="1"/>
  <c r="L25" i="5" s="1"/>
  <c r="M25" i="5" s="1"/>
  <c r="N25" i="5" s="1"/>
  <c r="O25" i="5" s="1"/>
  <c r="P25" i="5" s="1"/>
  <c r="Q25" i="5" s="1"/>
  <c r="R25" i="5" s="1"/>
  <c r="S25" i="5" s="1"/>
  <c r="T25" i="5" s="1"/>
  <c r="U25" i="5" s="1"/>
  <c r="V25" i="5" s="1"/>
  <c r="W25" i="5" s="1"/>
  <c r="X25" i="5" s="1"/>
  <c r="Y25" i="5" s="1"/>
  <c r="Z25" i="5" s="1"/>
  <c r="AA25" i="5" s="1"/>
  <c r="AB25" i="5" s="1"/>
  <c r="AC25" i="5" s="1"/>
  <c r="AD25" i="5" s="1"/>
  <c r="AE25" i="5" s="1"/>
  <c r="AF25" i="5" s="1"/>
  <c r="AG25" i="5" s="1"/>
  <c r="AH25" i="5" s="1"/>
  <c r="AI25" i="5" s="1"/>
  <c r="AJ25" i="5" s="1"/>
  <c r="AK25" i="5" s="1"/>
  <c r="AL25" i="5" s="1"/>
  <c r="AM25" i="5" s="1"/>
  <c r="AN25" i="5" s="1"/>
  <c r="AO25" i="5" s="1"/>
  <c r="AP25" i="5" s="1"/>
  <c r="AQ25" i="5" s="1"/>
  <c r="AR25" i="5" s="1"/>
  <c r="AS25" i="5" s="1"/>
  <c r="AT25" i="5" s="1"/>
  <c r="AU25" i="5" s="1"/>
  <c r="AV25" i="5" s="1"/>
  <c r="AW25" i="5" s="1"/>
  <c r="AX25" i="5" s="1"/>
  <c r="AY25" i="5" s="1"/>
  <c r="AZ25" i="5" s="1"/>
  <c r="BA25" i="5"/>
  <c r="BB25" i="5" s="1"/>
  <c r="BC25" i="5" s="1"/>
  <c r="BD25" i="5" s="1"/>
  <c r="BE25" i="5" s="1"/>
  <c r="BF25" i="5" s="1"/>
  <c r="BG25" i="5" s="1"/>
  <c r="BH25" i="5" s="1"/>
  <c r="BI25" i="5" s="1"/>
  <c r="BJ25" i="5" s="1"/>
  <c r="BK25" i="5" s="1"/>
  <c r="BL25" i="5" s="1"/>
  <c r="BM25" i="5" s="1"/>
  <c r="BN25" i="5" s="1"/>
  <c r="BO25" i="5" s="1"/>
  <c r="BP25" i="5" s="1"/>
  <c r="BQ25" i="5" s="1"/>
  <c r="BR25" i="5" s="1"/>
  <c r="BS25" i="5" s="1"/>
  <c r="BT25" i="5" s="1"/>
  <c r="BU25" i="5" s="1"/>
  <c r="BV25" i="5" s="1"/>
  <c r="BW25" i="5" s="1"/>
  <c r="BX25" i="5" s="1"/>
  <c r="BY25" i="5" s="1"/>
  <c r="BZ25" i="5" s="1"/>
  <c r="CA25" i="5" s="1"/>
  <c r="CB25" i="5" s="1"/>
  <c r="CC25" i="5" s="1"/>
  <c r="CD25" i="5" s="1"/>
  <c r="CE25" i="5" s="1"/>
  <c r="CF25" i="5" s="1"/>
  <c r="CG25" i="5" s="1"/>
  <c r="CH25" i="5" s="1"/>
  <c r="CI25" i="5" s="1"/>
  <c r="CJ25" i="5" s="1"/>
  <c r="CK25" i="5" s="1"/>
  <c r="CL25" i="5" s="1"/>
  <c r="CM25" i="5" s="1"/>
  <c r="CN25" i="5" s="1"/>
  <c r="CO25" i="5" s="1"/>
  <c r="CP25" i="5" s="1"/>
  <c r="CQ25" i="5" s="1"/>
  <c r="CR25" i="5" s="1"/>
  <c r="CS25" i="5" s="1"/>
  <c r="CT25" i="5" s="1"/>
  <c r="CU25" i="5" s="1"/>
  <c r="CV25" i="5" s="1"/>
  <c r="CW25" i="5" s="1"/>
  <c r="CX25" i="5" s="1"/>
  <c r="CY25" i="5" s="1"/>
  <c r="R41" i="5"/>
  <c r="R42" i="5" s="1"/>
  <c r="R43" i="5" s="1"/>
  <c r="R44" i="5" s="1"/>
  <c r="R47" i="5"/>
  <c r="F29" i="5"/>
  <c r="V46" i="5"/>
  <c r="V47" i="5" s="1"/>
  <c r="S35" i="5"/>
  <c r="S36" i="5" s="1"/>
  <c r="S37" i="5" s="1"/>
  <c r="G45" i="5"/>
  <c r="S38" i="5"/>
  <c r="S39" i="5" s="1"/>
  <c r="O239" i="1"/>
  <c r="S207" i="1"/>
  <c r="S208" i="1" s="1"/>
  <c r="S190" i="1"/>
  <c r="R190" i="1"/>
  <c r="Q190" i="1"/>
  <c r="P190" i="1"/>
  <c r="O190" i="1"/>
  <c r="N190" i="1"/>
  <c r="M177" i="1"/>
  <c r="M178" i="1" s="1"/>
  <c r="AG174" i="1"/>
  <c r="AF174" i="1"/>
  <c r="AE174" i="1"/>
  <c r="AD174" i="1"/>
  <c r="AC174" i="1"/>
  <c r="AB174" i="1"/>
  <c r="J165" i="1"/>
  <c r="K165" i="1"/>
  <c r="L165" i="1"/>
  <c r="AG159" i="1"/>
  <c r="AF159" i="1"/>
  <c r="AE159" i="1"/>
  <c r="AD159" i="1"/>
  <c r="AC159" i="1"/>
  <c r="AB159" i="1"/>
  <c r="L159" i="1"/>
  <c r="I163" i="1"/>
  <c r="N152" i="1"/>
  <c r="J163" i="1"/>
  <c r="J147" i="1"/>
  <c r="K163" i="1"/>
  <c r="K147" i="1"/>
  <c r="L163" i="1"/>
  <c r="L147" i="1"/>
  <c r="M163" i="1"/>
  <c r="N153" i="1"/>
  <c r="I145" i="1"/>
  <c r="J145" i="1"/>
  <c r="J129" i="1"/>
  <c r="K145" i="1"/>
  <c r="K129" i="1"/>
  <c r="L145" i="1"/>
  <c r="L129" i="1"/>
  <c r="M145" i="1"/>
  <c r="M129" i="1"/>
  <c r="N134" i="1" s="1"/>
  <c r="N117" i="1"/>
  <c r="N118" i="1"/>
  <c r="I126" i="1"/>
  <c r="J126" i="1"/>
  <c r="J127" i="1" s="1"/>
  <c r="J111" i="1"/>
  <c r="K126" i="1"/>
  <c r="K127" i="1" s="1"/>
  <c r="K111" i="1"/>
  <c r="L126" i="1"/>
  <c r="L127" i="1" s="1"/>
  <c r="L111" i="1"/>
  <c r="M111" i="1"/>
  <c r="M126" i="1"/>
  <c r="I220" i="1"/>
  <c r="M212" i="1"/>
  <c r="M19" i="1" s="1"/>
  <c r="K212" i="1"/>
  <c r="K19" i="1" s="1"/>
  <c r="J78" i="1"/>
  <c r="K78" i="1"/>
  <c r="L78" i="1"/>
  <c r="M78" i="1"/>
  <c r="N83" i="1" s="1"/>
  <c r="J76" i="1"/>
  <c r="K76" i="1"/>
  <c r="L76" i="1"/>
  <c r="P83" i="1"/>
  <c r="P88" i="1"/>
  <c r="Q88" i="1"/>
  <c r="L57" i="1"/>
  <c r="L17" i="1" s="1"/>
  <c r="K57" i="1"/>
  <c r="K17" i="1" s="1"/>
  <c r="R83" i="1"/>
  <c r="S83" i="1"/>
  <c r="R88" i="1"/>
  <c r="F51" i="7"/>
  <c r="G51" i="7"/>
  <c r="H51" i="7"/>
  <c r="I51" i="7"/>
  <c r="J51" i="7"/>
  <c r="K51" i="7"/>
  <c r="S88" i="1"/>
  <c r="N34" i="1"/>
  <c r="F34" i="1"/>
  <c r="N33" i="1"/>
  <c r="F33" i="1"/>
  <c r="N32" i="1"/>
  <c r="F32" i="1"/>
  <c r="R29" i="1"/>
  <c r="J29" i="1"/>
  <c r="N27" i="1"/>
  <c r="F27" i="1"/>
  <c r="G271" i="1"/>
  <c r="G39" i="1" s="1"/>
  <c r="R24" i="1"/>
  <c r="E20" i="1"/>
  <c r="E19" i="1"/>
  <c r="E18" i="1"/>
  <c r="E17" i="1"/>
  <c r="E16" i="1"/>
  <c r="U10" i="1"/>
  <c r="T10" i="1"/>
  <c r="S10" i="1"/>
  <c r="R10" i="1"/>
  <c r="Q10" i="1"/>
  <c r="P10" i="1"/>
  <c r="O10" i="1"/>
  <c r="N10" i="1"/>
  <c r="M10" i="1"/>
  <c r="L10" i="1"/>
  <c r="K10" i="1"/>
  <c r="J10" i="1"/>
  <c r="I10" i="1"/>
  <c r="J212" i="1" l="1"/>
  <c r="J19" i="1" s="1"/>
  <c r="M165" i="1"/>
  <c r="M76" i="1"/>
  <c r="J220" i="1"/>
  <c r="L197" i="1"/>
  <c r="L198" i="1" s="1"/>
  <c r="L21" i="1" s="1"/>
  <c r="M56" i="1"/>
  <c r="M57" i="1"/>
  <c r="M17" i="1" s="1"/>
  <c r="N61" i="1"/>
  <c r="M109" i="1"/>
  <c r="J32" i="9"/>
  <c r="J33" i="9" s="1"/>
  <c r="I33" i="9"/>
  <c r="I35" i="9" s="1"/>
  <c r="J35" i="9"/>
  <c r="H33" i="9"/>
  <c r="H35" i="9" s="1"/>
  <c r="G24" i="9"/>
  <c r="G25" i="9" s="1"/>
  <c r="G29" i="9" s="1"/>
  <c r="D14" i="9"/>
  <c r="D15" i="9" s="1"/>
  <c r="G33" i="9"/>
  <c r="G35" i="9" s="1"/>
  <c r="F24" i="9"/>
  <c r="F25" i="9" s="1"/>
  <c r="F29" i="9" s="1"/>
  <c r="J109" i="1"/>
  <c r="E54" i="7"/>
  <c r="F55" i="7" s="1"/>
  <c r="S63" i="1"/>
  <c r="R63" i="1"/>
  <c r="J93" i="1"/>
  <c r="F11" i="6"/>
  <c r="G33" i="1"/>
  <c r="G32" i="1"/>
  <c r="G281" i="1"/>
  <c r="C26" i="6"/>
  <c r="P63" i="1"/>
  <c r="Q71" i="1"/>
  <c r="R209" i="1"/>
  <c r="H9" i="7"/>
  <c r="D9" i="7" s="1"/>
  <c r="O48" i="1" s="1"/>
  <c r="P48" i="1" s="1"/>
  <c r="J276" i="1" s="1"/>
  <c r="J252" i="1" s="1"/>
  <c r="F231" i="1"/>
  <c r="Q209" i="1"/>
  <c r="O230" i="1"/>
  <c r="O231" i="1"/>
  <c r="S209" i="1"/>
  <c r="P209" i="1"/>
  <c r="E56" i="1"/>
  <c r="P71" i="1"/>
  <c r="K109" i="1"/>
  <c r="E52" i="1"/>
  <c r="H66" i="1"/>
  <c r="M197" i="1"/>
  <c r="M198" i="1" s="1"/>
  <c r="M21" i="1" s="1"/>
  <c r="E10" i="1"/>
  <c r="L109" i="1"/>
  <c r="M220" i="1"/>
  <c r="H155" i="1"/>
  <c r="O242" i="1"/>
  <c r="N26" i="1" s="1"/>
  <c r="J249" i="1"/>
  <c r="E15" i="1"/>
  <c r="F243" i="1"/>
  <c r="F24" i="1" s="1"/>
  <c r="S249" i="1"/>
  <c r="J259" i="1"/>
  <c r="R71" i="1"/>
  <c r="L220" i="1"/>
  <c r="M127" i="1"/>
  <c r="L20" i="1"/>
  <c r="F38" i="5"/>
  <c r="O33" i="1"/>
  <c r="O39" i="1"/>
  <c r="P280" i="1"/>
  <c r="G34" i="1"/>
  <c r="G272" i="1"/>
  <c r="G40" i="1" s="1"/>
  <c r="N113" i="1"/>
  <c r="N115" i="1"/>
  <c r="L45" i="5"/>
  <c r="E209" i="1"/>
  <c r="O209" i="1"/>
  <c r="N209" i="1"/>
  <c r="F230" i="1"/>
  <c r="U36" i="5"/>
  <c r="U37" i="5" s="1"/>
  <c r="U38" i="5" s="1"/>
  <c r="U39" i="5" s="1"/>
  <c r="G29" i="5"/>
  <c r="H29" i="5" s="1"/>
  <c r="I29" i="5" s="1"/>
  <c r="J29" i="5" s="1"/>
  <c r="K29" i="5" s="1"/>
  <c r="L29" i="5" s="1"/>
  <c r="M29" i="5" s="1"/>
  <c r="N29" i="5" s="1"/>
  <c r="O29" i="5" s="1"/>
  <c r="P29" i="5" s="1"/>
  <c r="Q29" i="5" s="1"/>
  <c r="R29" i="5" s="1"/>
  <c r="S29" i="5" s="1"/>
  <c r="T29" i="5" s="1"/>
  <c r="U29" i="5" s="1"/>
  <c r="V29" i="5" s="1"/>
  <c r="W29" i="5" s="1"/>
  <c r="X29" i="5" s="1"/>
  <c r="Y29" i="5" s="1"/>
  <c r="Z29" i="5" s="1"/>
  <c r="AA29" i="5" s="1"/>
  <c r="AB29" i="5" s="1"/>
  <c r="AC29" i="5" s="1"/>
  <c r="AD29" i="5" s="1"/>
  <c r="AE29" i="5" s="1"/>
  <c r="AF29" i="5" s="1"/>
  <c r="AG29" i="5" s="1"/>
  <c r="AH29" i="5" s="1"/>
  <c r="AI29" i="5" s="1"/>
  <c r="AJ29" i="5" s="1"/>
  <c r="AK29" i="5" s="1"/>
  <c r="AL29" i="5" s="1"/>
  <c r="AM29" i="5" s="1"/>
  <c r="AN29" i="5" s="1"/>
  <c r="AO29" i="5" s="1"/>
  <c r="AP29" i="5" s="1"/>
  <c r="AQ29" i="5" s="1"/>
  <c r="AR29" i="5" s="1"/>
  <c r="AS29" i="5" s="1"/>
  <c r="AT29" i="5" s="1"/>
  <c r="AU29" i="5" s="1"/>
  <c r="AV29" i="5" s="1"/>
  <c r="AW29" i="5" s="1"/>
  <c r="AX29" i="5" s="1"/>
  <c r="AY29" i="5" s="1"/>
  <c r="AZ29" i="5" s="1"/>
  <c r="BA29" i="5" s="1"/>
  <c r="BB29" i="5" s="1"/>
  <c r="BC29" i="5" s="1"/>
  <c r="BD29" i="5" s="1"/>
  <c r="BE29" i="5" s="1"/>
  <c r="BF29" i="5" s="1"/>
  <c r="BG29" i="5" s="1"/>
  <c r="BH29" i="5" s="1"/>
  <c r="BI29" i="5" s="1"/>
  <c r="BJ29" i="5" s="1"/>
  <c r="BK29" i="5" s="1"/>
  <c r="BL29" i="5" s="1"/>
  <c r="BM29" i="5" s="1"/>
  <c r="BN29" i="5" s="1"/>
  <c r="BO29" i="5" s="1"/>
  <c r="BP29" i="5" s="1"/>
  <c r="BQ29" i="5" s="1"/>
  <c r="BR29" i="5" s="1"/>
  <c r="BS29" i="5" s="1"/>
  <c r="BT29" i="5" s="1"/>
  <c r="BU29" i="5" s="1"/>
  <c r="BV29" i="5" s="1"/>
  <c r="BW29" i="5" s="1"/>
  <c r="BX29" i="5" s="1"/>
  <c r="BY29" i="5" s="1"/>
  <c r="BZ29" i="5" s="1"/>
  <c r="CA29" i="5" s="1"/>
  <c r="CB29" i="5" s="1"/>
  <c r="CC29" i="5" s="1"/>
  <c r="CD29" i="5" s="1"/>
  <c r="CE29" i="5" s="1"/>
  <c r="CF29" i="5" s="1"/>
  <c r="CG29" i="5" s="1"/>
  <c r="CH29" i="5" s="1"/>
  <c r="CI29" i="5" s="1"/>
  <c r="CJ29" i="5" s="1"/>
  <c r="CK29" i="5" s="1"/>
  <c r="CL29" i="5" s="1"/>
  <c r="CM29" i="5" s="1"/>
  <c r="CN29" i="5" s="1"/>
  <c r="CO29" i="5" s="1"/>
  <c r="CP29" i="5" s="1"/>
  <c r="CQ29" i="5" s="1"/>
  <c r="CR29" i="5" s="1"/>
  <c r="CS29" i="5" s="1"/>
  <c r="CT29" i="5" s="1"/>
  <c r="CU29" i="5" s="1"/>
  <c r="CV29" i="5" s="1"/>
  <c r="CW29" i="5" s="1"/>
  <c r="CX29" i="5" s="1"/>
  <c r="CY29" i="5" s="1"/>
  <c r="I45" i="5"/>
  <c r="J38" i="5"/>
  <c r="J45" i="5" s="1"/>
  <c r="U41" i="5"/>
  <c r="U42" i="5" s="1"/>
  <c r="U43" i="5" s="1"/>
  <c r="U44" i="5" s="1"/>
  <c r="V40" i="5"/>
  <c r="R36" i="5"/>
  <c r="R37" i="5" s="1"/>
  <c r="R38" i="5" s="1"/>
  <c r="R39" i="5" s="1"/>
  <c r="E16" i="6"/>
  <c r="D12" i="6"/>
  <c r="D17" i="6"/>
  <c r="D13" i="6"/>
  <c r="D11" i="6"/>
  <c r="D18" i="6"/>
  <c r="D16" i="6"/>
  <c r="C10" i="6"/>
  <c r="D19" i="6"/>
  <c r="E12" i="6"/>
  <c r="E14" i="6"/>
  <c r="E15" i="6"/>
  <c r="E17" i="6"/>
  <c r="E18" i="6"/>
  <c r="E19" i="6"/>
  <c r="E13" i="6"/>
  <c r="D14" i="6"/>
  <c r="L34" i="7"/>
  <c r="K34" i="7"/>
  <c r="D15" i="6"/>
  <c r="P131" i="1"/>
  <c r="N146" i="1"/>
  <c r="N149" i="1"/>
  <c r="E27" i="5"/>
  <c r="F27" i="5" s="1"/>
  <c r="G27" i="5" s="1"/>
  <c r="H27" i="5" s="1"/>
  <c r="I27" i="5" s="1"/>
  <c r="J27" i="5" s="1"/>
  <c r="K27" i="5" s="1"/>
  <c r="L27" i="5" s="1"/>
  <c r="M27" i="5" s="1"/>
  <c r="E26" i="5"/>
  <c r="I55" i="7"/>
  <c r="K177" i="1" s="1"/>
  <c r="H55" i="7"/>
  <c r="J177" i="1" s="1"/>
  <c r="G55" i="7"/>
  <c r="I177" i="1" s="1"/>
  <c r="F14" i="6"/>
  <c r="N129" i="1"/>
  <c r="N93" i="1"/>
  <c r="N78" i="1"/>
  <c r="F15" i="6"/>
  <c r="F16" i="6"/>
  <c r="F13" i="6"/>
  <c r="K33" i="7"/>
  <c r="L33" i="7"/>
  <c r="F17" i="6"/>
  <c r="S259" i="1"/>
  <c r="K35" i="7"/>
  <c r="L35" i="7"/>
  <c r="O243" i="1"/>
  <c r="N24" i="1" s="1"/>
  <c r="F12" i="6"/>
  <c r="H194" i="1"/>
  <c r="D45" i="5"/>
  <c r="F18" i="6"/>
  <c r="D17" i="9" l="1"/>
  <c r="F39" i="5"/>
  <c r="F40" i="5" s="1"/>
  <c r="F41" i="5" s="1"/>
  <c r="F42" i="5" s="1"/>
  <c r="F43" i="5" s="1"/>
  <c r="F45" i="5"/>
  <c r="G277" i="1"/>
  <c r="M20" i="1"/>
  <c r="G270" i="1"/>
  <c r="G38" i="1" s="1"/>
  <c r="J268" i="1"/>
  <c r="J36" i="1" s="1"/>
  <c r="K276" i="1"/>
  <c r="K252" i="1" s="1"/>
  <c r="J260" i="1"/>
  <c r="J30" i="1" s="1"/>
  <c r="I276" i="1"/>
  <c r="I268" i="1" s="1"/>
  <c r="I36" i="1" s="1"/>
  <c r="M205" i="1"/>
  <c r="O34" i="1"/>
  <c r="O40" i="1"/>
  <c r="I197" i="1"/>
  <c r="J197" i="1"/>
  <c r="J178" i="1"/>
  <c r="V41" i="5"/>
  <c r="V42" i="5" s="1"/>
  <c r="V43" i="5" s="1"/>
  <c r="V44" i="5" s="1"/>
  <c r="W40" i="5"/>
  <c r="V36" i="5"/>
  <c r="V37" i="5" s="1"/>
  <c r="V38" i="5" s="1"/>
  <c r="V39" i="5" s="1"/>
  <c r="K178" i="1"/>
  <c r="K197" i="1"/>
  <c r="N88" i="1"/>
  <c r="O83" i="1"/>
  <c r="O88" i="1"/>
  <c r="F26" i="5"/>
  <c r="O98" i="1"/>
  <c r="O93" i="1" s="1"/>
  <c r="N103" i="1"/>
  <c r="O32" i="1"/>
  <c r="O38" i="1"/>
  <c r="G31" i="1"/>
  <c r="K43" i="7"/>
  <c r="L49" i="1" s="1"/>
  <c r="K44" i="7"/>
  <c r="L44" i="7"/>
  <c r="L45" i="7" s="1"/>
  <c r="L43" i="7"/>
  <c r="L47" i="1" s="1"/>
  <c r="N139" i="1"/>
  <c r="O134" i="1"/>
  <c r="O129" i="1" s="1"/>
  <c r="C12" i="6"/>
  <c r="B10" i="6"/>
  <c r="C14" i="6"/>
  <c r="C13" i="6"/>
  <c r="C18" i="6"/>
  <c r="C17" i="6"/>
  <c r="C16" i="6"/>
  <c r="C11" i="6"/>
  <c r="C19" i="6"/>
  <c r="C15" i="6"/>
  <c r="G273" i="1"/>
  <c r="G41" i="1" s="1"/>
  <c r="G35" i="1"/>
  <c r="N163" i="1"/>
  <c r="O153" i="1"/>
  <c r="O152" i="1"/>
  <c r="N69" i="1"/>
  <c r="B31" i="5"/>
  <c r="O117" i="1"/>
  <c r="O118" i="1"/>
  <c r="N123" i="1"/>
  <c r="N21" i="1" l="1"/>
  <c r="K260" i="1"/>
  <c r="K30" i="1" s="1"/>
  <c r="G269" i="1"/>
  <c r="G37" i="1" s="1"/>
  <c r="G26" i="5"/>
  <c r="H26" i="5" s="1"/>
  <c r="I26" i="5" s="1"/>
  <c r="J26" i="5" s="1"/>
  <c r="K26" i="5" s="1"/>
  <c r="L26" i="5" s="1"/>
  <c r="M26" i="5" s="1"/>
  <c r="N26" i="5" s="1"/>
  <c r="O26" i="5" s="1"/>
  <c r="P26" i="5" s="1"/>
  <c r="Q26" i="5" s="1"/>
  <c r="R26" i="5" s="1"/>
  <c r="S26" i="5" s="1"/>
  <c r="T26" i="5" s="1"/>
  <c r="U26" i="5" s="1"/>
  <c r="V26" i="5" s="1"/>
  <c r="W26" i="5" s="1"/>
  <c r="X26" i="5" s="1"/>
  <c r="Y26" i="5" s="1"/>
  <c r="Z26" i="5" s="1"/>
  <c r="AA26" i="5" s="1"/>
  <c r="AB26" i="5" s="1"/>
  <c r="AC26" i="5" s="1"/>
  <c r="AD26" i="5" s="1"/>
  <c r="AE26" i="5" s="1"/>
  <c r="AF26" i="5" s="1"/>
  <c r="AG26" i="5" s="1"/>
  <c r="AH26" i="5" s="1"/>
  <c r="AI26" i="5" s="1"/>
  <c r="AJ26" i="5" s="1"/>
  <c r="AK26" i="5" s="1"/>
  <c r="AL26" i="5" s="1"/>
  <c r="AM26" i="5" s="1"/>
  <c r="AN26" i="5" s="1"/>
  <c r="AO26" i="5" s="1"/>
  <c r="AP26" i="5" s="1"/>
  <c r="AQ26" i="5" s="1"/>
  <c r="AR26" i="5" s="1"/>
  <c r="AS26" i="5" s="1"/>
  <c r="AT26" i="5" s="1"/>
  <c r="AU26" i="5" s="1"/>
  <c r="AV26" i="5" s="1"/>
  <c r="AW26" i="5" s="1"/>
  <c r="AX26" i="5" s="1"/>
  <c r="AY26" i="5" s="1"/>
  <c r="AZ26" i="5" s="1"/>
  <c r="BA26" i="5" s="1"/>
  <c r="BB26" i="5" s="1"/>
  <c r="BC26" i="5" s="1"/>
  <c r="BD26" i="5" s="1"/>
  <c r="BE26" i="5" s="1"/>
  <c r="BF26" i="5" s="1"/>
  <c r="BG26" i="5" s="1"/>
  <c r="BH26" i="5" s="1"/>
  <c r="BI26" i="5" s="1"/>
  <c r="BJ26" i="5" s="1"/>
  <c r="BK26" i="5" s="1"/>
  <c r="BL26" i="5" s="1"/>
  <c r="BM26" i="5" s="1"/>
  <c r="BN26" i="5" s="1"/>
  <c r="BO26" i="5" s="1"/>
  <c r="BP26" i="5" s="1"/>
  <c r="BQ26" i="5" s="1"/>
  <c r="BR26" i="5" s="1"/>
  <c r="BS26" i="5" s="1"/>
  <c r="BT26" i="5" s="1"/>
  <c r="BU26" i="5" s="1"/>
  <c r="BV26" i="5" s="1"/>
  <c r="BW26" i="5" s="1"/>
  <c r="BX26" i="5" s="1"/>
  <c r="BY26" i="5" s="1"/>
  <c r="BZ26" i="5" s="1"/>
  <c r="CA26" i="5" s="1"/>
  <c r="CB26" i="5" s="1"/>
  <c r="CC26" i="5" s="1"/>
  <c r="CD26" i="5" s="1"/>
  <c r="CE26" i="5" s="1"/>
  <c r="CF26" i="5" s="1"/>
  <c r="CG26" i="5" s="1"/>
  <c r="CH26" i="5" s="1"/>
  <c r="CI26" i="5" s="1"/>
  <c r="CJ26" i="5" s="1"/>
  <c r="CK26" i="5" s="1"/>
  <c r="CL26" i="5" s="1"/>
  <c r="CM26" i="5" s="1"/>
  <c r="CN26" i="5" s="1"/>
  <c r="CO26" i="5" s="1"/>
  <c r="CP26" i="5" s="1"/>
  <c r="CQ26" i="5" s="1"/>
  <c r="CR26" i="5" s="1"/>
  <c r="CS26" i="5" s="1"/>
  <c r="CT26" i="5" s="1"/>
  <c r="CU26" i="5" s="1"/>
  <c r="CV26" i="5" s="1"/>
  <c r="CW26" i="5" s="1"/>
  <c r="CX26" i="5" s="1"/>
  <c r="CY26" i="5" s="1"/>
  <c r="B28" i="5"/>
  <c r="L276" i="1"/>
  <c r="L268" i="1" s="1"/>
  <c r="L36" i="1" s="1"/>
  <c r="K268" i="1"/>
  <c r="K36" i="1" s="1"/>
  <c r="I252" i="1"/>
  <c r="H276" i="1"/>
  <c r="H252" i="1" s="1"/>
  <c r="I260" i="1"/>
  <c r="I30" i="1" s="1"/>
  <c r="K45" i="7"/>
  <c r="O49" i="1" s="1"/>
  <c r="P49" i="1" s="1"/>
  <c r="K205" i="1"/>
  <c r="K20" i="1"/>
  <c r="L205" i="1"/>
  <c r="K198" i="1"/>
  <c r="K21" i="1" s="1"/>
  <c r="J20" i="1"/>
  <c r="J198" i="1"/>
  <c r="J21" i="1" s="1"/>
  <c r="J205" i="1"/>
  <c r="O115" i="1"/>
  <c r="O113" i="1"/>
  <c r="I205" i="1"/>
  <c r="I20" i="1"/>
  <c r="B13" i="6"/>
  <c r="B17" i="6"/>
  <c r="B11" i="6"/>
  <c r="B15" i="6"/>
  <c r="B12" i="6"/>
  <c r="B18" i="6"/>
  <c r="B16" i="6"/>
  <c r="B19" i="6"/>
  <c r="B14" i="6"/>
  <c r="O35" i="1"/>
  <c r="O41" i="1"/>
  <c r="O149" i="1"/>
  <c r="O146" i="1"/>
  <c r="W41" i="5"/>
  <c r="W42" i="5" s="1"/>
  <c r="W43" i="5" s="1"/>
  <c r="W44" i="5" s="1"/>
  <c r="W36" i="5"/>
  <c r="W37" i="5" s="1"/>
  <c r="W38" i="5" s="1"/>
  <c r="W39" i="5" s="1"/>
  <c r="O21" i="1"/>
  <c r="P134" i="1"/>
  <c r="P129" i="1" s="1"/>
  <c r="O139" i="1"/>
  <c r="H260" i="1"/>
  <c r="H30" i="1" s="1"/>
  <c r="H268" i="1"/>
  <c r="H36" i="1" s="1"/>
  <c r="N128" i="1"/>
  <c r="N109" i="1"/>
  <c r="N191" i="1"/>
  <c r="N147" i="1"/>
  <c r="N158" i="1" s="1"/>
  <c r="L252" i="1"/>
  <c r="L260" i="1"/>
  <c r="L30" i="1" s="1"/>
  <c r="P98" i="1"/>
  <c r="P93" i="1" s="1"/>
  <c r="O103" i="1"/>
  <c r="O37" i="1"/>
  <c r="O31" i="1"/>
  <c r="A1" i="6" l="1"/>
  <c r="P153" i="1"/>
  <c r="O163" i="1"/>
  <c r="P152" i="1"/>
  <c r="P103" i="1"/>
  <c r="Q98" i="1"/>
  <c r="Q93" i="1" s="1"/>
  <c r="N145" i="1"/>
  <c r="N159" i="1"/>
  <c r="P139" i="1"/>
  <c r="Q134" i="1"/>
  <c r="Q129" i="1" s="1"/>
  <c r="P118" i="1"/>
  <c r="O123" i="1"/>
  <c r="P117" i="1"/>
  <c r="N112" i="1" l="1"/>
  <c r="N211" i="1"/>
  <c r="N212" i="1" s="1"/>
  <c r="N217" i="1" s="1"/>
  <c r="P146" i="1"/>
  <c r="P149" i="1"/>
  <c r="P115" i="1"/>
  <c r="P113" i="1"/>
  <c r="R134" i="1"/>
  <c r="R129" i="1" s="1"/>
  <c r="Q139" i="1"/>
  <c r="R98" i="1"/>
  <c r="R93" i="1" s="1"/>
  <c r="Q103" i="1"/>
  <c r="N127" i="1" l="1"/>
  <c r="P62" i="1"/>
  <c r="N220" i="1"/>
  <c r="S20" i="1"/>
  <c r="S98" i="1"/>
  <c r="S93" i="1" s="1"/>
  <c r="S103" i="1" s="1"/>
  <c r="R103" i="1"/>
  <c r="Q118" i="1"/>
  <c r="P123" i="1"/>
  <c r="Q117" i="1"/>
  <c r="Q153" i="1"/>
  <c r="P163" i="1"/>
  <c r="Q152" i="1"/>
  <c r="O77" i="1"/>
  <c r="O74" i="1" s="1"/>
  <c r="O191" i="1"/>
  <c r="P61" i="1"/>
  <c r="O128" i="1"/>
  <c r="O109" i="1"/>
  <c r="O147" i="1"/>
  <c r="O158" i="1" s="1"/>
  <c r="R139" i="1"/>
  <c r="S134" i="1"/>
  <c r="S129" i="1" s="1"/>
  <c r="S139" i="1" s="1"/>
  <c r="O110" i="1" l="1"/>
  <c r="O111" i="1" s="1"/>
  <c r="Q115" i="1"/>
  <c r="Q113" i="1"/>
  <c r="P59" i="1"/>
  <c r="P57" i="1"/>
  <c r="O145" i="1"/>
  <c r="O159" i="1"/>
  <c r="Q149" i="1"/>
  <c r="Q146" i="1"/>
  <c r="O211" i="1" l="1"/>
  <c r="O212" i="1" s="1"/>
  <c r="O217" i="1" s="1"/>
  <c r="O112" i="1"/>
  <c r="O127" i="1" s="1"/>
  <c r="R153" i="1"/>
  <c r="Q163" i="1"/>
  <c r="R152" i="1"/>
  <c r="Q123" i="1"/>
  <c r="R118" i="1"/>
  <c r="R117" i="1"/>
  <c r="P69" i="1"/>
  <c r="P55" i="1"/>
  <c r="P56" i="1" s="1"/>
  <c r="O220" i="1" l="1"/>
  <c r="P21" i="1"/>
  <c r="Q62" i="1"/>
  <c r="R146" i="1"/>
  <c r="R149" i="1"/>
  <c r="R113" i="1"/>
  <c r="R115" i="1"/>
  <c r="P128" i="1"/>
  <c r="P109" i="1"/>
  <c r="Q61" i="1"/>
  <c r="P77" i="1"/>
  <c r="P74" i="1" s="1"/>
  <c r="P191" i="1"/>
  <c r="P147" i="1"/>
  <c r="P158" i="1" s="1"/>
  <c r="P145" i="1" l="1"/>
  <c r="P159" i="1"/>
  <c r="P110" i="1"/>
  <c r="Q57" i="1"/>
  <c r="Q59" i="1"/>
  <c r="S118" i="1"/>
  <c r="R123" i="1"/>
  <c r="S117" i="1"/>
  <c r="R163" i="1"/>
  <c r="S153" i="1"/>
  <c r="S152" i="1"/>
  <c r="S115" i="1" l="1"/>
  <c r="S113" i="1"/>
  <c r="S123" i="1" s="1"/>
  <c r="S149" i="1"/>
  <c r="S146" i="1"/>
  <c r="Q69" i="1"/>
  <c r="Q55" i="1"/>
  <c r="Q56" i="1" s="1"/>
  <c r="P111" i="1"/>
  <c r="P112" i="1"/>
  <c r="P211" i="1"/>
  <c r="Q21" i="1" l="1"/>
  <c r="R62" i="1"/>
  <c r="P127" i="1"/>
  <c r="S163" i="1"/>
  <c r="Q109" i="1"/>
  <c r="Q128" i="1"/>
  <c r="R61" i="1"/>
  <c r="Q77" i="1"/>
  <c r="Q74" i="1" s="1"/>
  <c r="Q191" i="1"/>
  <c r="Q147" i="1"/>
  <c r="Q158" i="1" s="1"/>
  <c r="P212" i="1"/>
  <c r="P217" i="1" s="1"/>
  <c r="P220" i="1"/>
  <c r="Q110" i="1" l="1"/>
  <c r="Q111" i="1" s="1"/>
  <c r="Q145" i="1"/>
  <c r="Q159" i="1"/>
  <c r="R57" i="1"/>
  <c r="R59" i="1"/>
  <c r="Q211" i="1" l="1"/>
  <c r="Q212" i="1" s="1"/>
  <c r="Q217" i="1" s="1"/>
  <c r="Q112" i="1"/>
  <c r="Q127" i="1"/>
  <c r="R69" i="1"/>
  <c r="R55" i="1"/>
  <c r="R56" i="1" s="1"/>
  <c r="Q220" i="1" l="1"/>
  <c r="S62" i="1"/>
  <c r="S61" i="1"/>
  <c r="R109" i="1"/>
  <c r="R77" i="1"/>
  <c r="R74" i="1" s="1"/>
  <c r="R110" i="1" s="1"/>
  <c r="R128" i="1"/>
  <c r="R191" i="1"/>
  <c r="R147" i="1"/>
  <c r="R158" i="1" s="1"/>
  <c r="R21" i="1" l="1"/>
  <c r="R211" i="1"/>
  <c r="R111" i="1"/>
  <c r="R112" i="1"/>
  <c r="R145" i="1"/>
  <c r="R159" i="1"/>
  <c r="S59" i="1"/>
  <c r="S57" i="1"/>
  <c r="R127" i="1" l="1"/>
  <c r="S69" i="1"/>
  <c r="S55" i="1"/>
  <c r="S56" i="1" s="1"/>
  <c r="R212" i="1"/>
  <c r="R217" i="1" s="1"/>
  <c r="R220" i="1"/>
  <c r="S21" i="1" l="1"/>
  <c r="S109" i="1"/>
  <c r="S191" i="1"/>
  <c r="S77" i="1"/>
  <c r="S74" i="1" s="1"/>
  <c r="S128" i="1"/>
  <c r="S147" i="1"/>
  <c r="S158" i="1" s="1"/>
  <c r="S110" i="1" l="1"/>
  <c r="S112" i="1" s="1"/>
  <c r="S145" i="1"/>
  <c r="S159" i="1"/>
  <c r="S111" i="1" l="1"/>
  <c r="S211" i="1"/>
  <c r="S220" i="1" s="1"/>
  <c r="S127" i="1"/>
  <c r="S212" i="1" l="1"/>
  <c r="S217" i="1" s="1"/>
  <c r="T211" i="1"/>
  <c r="T225" i="1" s="1"/>
  <c r="S276" i="1" l="1"/>
  <c r="T228" i="1"/>
  <c r="T230" i="1" s="1"/>
  <c r="S268" i="1" l="1"/>
  <c r="R36" i="1" s="1"/>
  <c r="T276" i="1"/>
  <c r="R276" i="1"/>
  <c r="S252" i="1"/>
  <c r="S260" i="1"/>
  <c r="R30" i="1" s="1"/>
  <c r="U276" i="1" l="1"/>
  <c r="T260" i="1"/>
  <c r="S30" i="1" s="1"/>
  <c r="T252" i="1"/>
  <c r="T268" i="1"/>
  <c r="S36" i="1" s="1"/>
  <c r="Q276" i="1"/>
  <c r="R252" i="1"/>
  <c r="R260" i="1"/>
  <c r="Q30" i="1" s="1"/>
  <c r="R268" i="1"/>
  <c r="Q36" i="1" s="1"/>
  <c r="Q260" i="1" l="1"/>
  <c r="P30" i="1" s="1"/>
  <c r="Q268" i="1"/>
  <c r="P36" i="1" s="1"/>
  <c r="Q252" i="1"/>
  <c r="U268" i="1"/>
  <c r="T36" i="1" s="1"/>
  <c r="U260" i="1"/>
  <c r="T30" i="1" s="1"/>
  <c r="U252" i="1"/>
  <c r="J57" i="1" l="1"/>
  <c r="J17" i="1" s="1"/>
  <c r="I212" i="1"/>
  <c r="I19" i="1" s="1"/>
  <c r="N62" i="1"/>
  <c r="N59" i="1" s="1"/>
  <c r="I198" i="1"/>
  <c r="I21" i="1" s="1"/>
  <c r="I147" i="1" l="1"/>
  <c r="I129" i="1"/>
  <c r="I93" i="1"/>
  <c r="I165" i="1"/>
  <c r="N169" i="1" s="1"/>
  <c r="N165" i="1" s="1"/>
  <c r="N164" i="1" s="1"/>
  <c r="I178" i="1"/>
  <c r="N182" i="1" s="1"/>
  <c r="N178" i="1" s="1"/>
  <c r="O182" i="1" s="1"/>
  <c r="O178" i="1" s="1"/>
  <c r="I127" i="1"/>
  <c r="I78" i="1"/>
  <c r="I111" i="1"/>
  <c r="O169" i="1" l="1"/>
  <c r="O165" i="1" s="1"/>
  <c r="P169" i="1" s="1"/>
  <c r="P165" i="1" s="1"/>
  <c r="N174" i="1"/>
  <c r="N187" i="1"/>
  <c r="N177" i="1"/>
  <c r="N197" i="1" s="1"/>
  <c r="O177" i="1"/>
  <c r="O187" i="1"/>
  <c r="P182" i="1"/>
  <c r="P178" i="1" s="1"/>
  <c r="O164" i="1" l="1"/>
  <c r="O197" i="1" s="1"/>
  <c r="O205" i="1" s="1"/>
  <c r="O174" i="1"/>
  <c r="N210" i="1"/>
  <c r="N205" i="1"/>
  <c r="N198" i="1"/>
  <c r="N202" i="1" s="1"/>
  <c r="P177" i="1"/>
  <c r="P187" i="1"/>
  <c r="P174" i="1"/>
  <c r="P164" i="1"/>
  <c r="Q169" i="1"/>
  <c r="Q165" i="1" s="1"/>
  <c r="Q182" i="1"/>
  <c r="Q178" i="1" s="1"/>
  <c r="O198" i="1" l="1"/>
  <c r="O202" i="1" s="1"/>
  <c r="O210" i="1"/>
  <c r="P197" i="1"/>
  <c r="P198" i="1" s="1"/>
  <c r="R182" i="1"/>
  <c r="R178" i="1" s="1"/>
  <c r="S182" i="1" s="1"/>
  <c r="S178" i="1" s="1"/>
  <c r="Q174" i="1"/>
  <c r="Q164" i="1"/>
  <c r="Q177" i="1"/>
  <c r="Q187" i="1"/>
  <c r="R169" i="1"/>
  <c r="R165" i="1" s="1"/>
  <c r="P202" i="1" l="1"/>
  <c r="P205" i="1"/>
  <c r="P210" i="1"/>
  <c r="R177" i="1"/>
  <c r="R187" i="1"/>
  <c r="Q197" i="1"/>
  <c r="Q210" i="1" s="1"/>
  <c r="S177" i="1"/>
  <c r="S187" i="1"/>
  <c r="R174" i="1"/>
  <c r="R164" i="1"/>
  <c r="S169" i="1"/>
  <c r="S165" i="1" s="1"/>
  <c r="R197" i="1" l="1"/>
  <c r="R210" i="1" s="1"/>
  <c r="Q205" i="1"/>
  <c r="Q198" i="1"/>
  <c r="Q202" i="1" s="1"/>
  <c r="S174" i="1"/>
  <c r="S164" i="1"/>
  <c r="S197" i="1" s="1"/>
  <c r="R256" i="1" l="1"/>
  <c r="R264" i="1" s="1"/>
  <c r="R272" i="1" s="1"/>
  <c r="Q40" i="1" s="1"/>
  <c r="R198" i="1"/>
  <c r="R202" i="1" s="1"/>
  <c r="R205" i="1"/>
  <c r="M49" i="1"/>
  <c r="U256" i="1"/>
  <c r="U264" i="1" s="1"/>
  <c r="U272" i="1" s="1"/>
  <c r="T40" i="1" s="1"/>
  <c r="Q255" i="1"/>
  <c r="Q263" i="1" s="1"/>
  <c r="Q271" i="1" s="1"/>
  <c r="P39" i="1" s="1"/>
  <c r="T256" i="1"/>
  <c r="T264" i="1" s="1"/>
  <c r="S34" i="1" s="1"/>
  <c r="Q257" i="1"/>
  <c r="Q265" i="1" s="1"/>
  <c r="P35" i="1" s="1"/>
  <c r="R254" i="1"/>
  <c r="R262" i="1" s="1"/>
  <c r="Q32" i="1" s="1"/>
  <c r="R253" i="1"/>
  <c r="R261" i="1" s="1"/>
  <c r="R269" i="1" s="1"/>
  <c r="Q37" i="1" s="1"/>
  <c r="U253" i="1"/>
  <c r="U261" i="1" s="1"/>
  <c r="U269" i="1" s="1"/>
  <c r="T37" i="1" s="1"/>
  <c r="T254" i="1"/>
  <c r="T262" i="1" s="1"/>
  <c r="T270" i="1" s="1"/>
  <c r="S38" i="1" s="1"/>
  <c r="Q256" i="1"/>
  <c r="Q264" i="1" s="1"/>
  <c r="P34" i="1" s="1"/>
  <c r="T255" i="1"/>
  <c r="T263" i="1" s="1"/>
  <c r="T271" i="1" s="1"/>
  <c r="S39" i="1" s="1"/>
  <c r="R257" i="1"/>
  <c r="R265" i="1" s="1"/>
  <c r="R273" i="1" s="1"/>
  <c r="Q41" i="1" s="1"/>
  <c r="N49" i="1"/>
  <c r="Q34" i="1"/>
  <c r="S205" i="1"/>
  <c r="S198" i="1"/>
  <c r="T197" i="1"/>
  <c r="N48" i="1" s="1"/>
  <c r="S210" i="1"/>
  <c r="K231" i="1" s="1"/>
  <c r="U255" i="1"/>
  <c r="U263" i="1" s="1"/>
  <c r="S257" i="1"/>
  <c r="S265" i="1" s="1"/>
  <c r="T253" i="1"/>
  <c r="T261" i="1" s="1"/>
  <c r="Q254" i="1"/>
  <c r="Q262" i="1" s="1"/>
  <c r="S254" i="1"/>
  <c r="S262" i="1" s="1"/>
  <c r="T257" i="1"/>
  <c r="T265" i="1" s="1"/>
  <c r="U254" i="1"/>
  <c r="U262" i="1" s="1"/>
  <c r="S253" i="1"/>
  <c r="S261" i="1" s="1"/>
  <c r="Q253" i="1"/>
  <c r="Q261" i="1" s="1"/>
  <c r="S255" i="1"/>
  <c r="S263" i="1" s="1"/>
  <c r="R255" i="1"/>
  <c r="R263" i="1" s="1"/>
  <c r="S256" i="1"/>
  <c r="S264" i="1" s="1"/>
  <c r="U257" i="1"/>
  <c r="U265" i="1" s="1"/>
  <c r="S202" i="1" l="1"/>
  <c r="P33" i="1"/>
  <c r="T34" i="1"/>
  <c r="Q273" i="1"/>
  <c r="P41" i="1" s="1"/>
  <c r="Q31" i="1"/>
  <c r="T272" i="1"/>
  <c r="S40" i="1" s="1"/>
  <c r="T31" i="1"/>
  <c r="R270" i="1"/>
  <c r="Q38" i="1" s="1"/>
  <c r="Q272" i="1"/>
  <c r="P40" i="1" s="1"/>
  <c r="S33" i="1"/>
  <c r="S32" i="1"/>
  <c r="Q35" i="1"/>
  <c r="T231" i="1"/>
  <c r="S232" i="1" s="1"/>
  <c r="T239" i="1" s="1"/>
  <c r="S242" i="1" s="1"/>
  <c r="R26" i="1" s="1"/>
  <c r="R33" i="1"/>
  <c r="S271" i="1"/>
  <c r="R39" i="1" s="1"/>
  <c r="P32" i="1"/>
  <c r="Q270" i="1"/>
  <c r="P38" i="1" s="1"/>
  <c r="T273" i="1"/>
  <c r="S41" i="1" s="1"/>
  <c r="S35" i="1"/>
  <c r="P31" i="1"/>
  <c r="Q269" i="1"/>
  <c r="P37" i="1" s="1"/>
  <c r="T269" i="1"/>
  <c r="S37" i="1" s="1"/>
  <c r="S31" i="1"/>
  <c r="J255" i="1"/>
  <c r="J263" i="1" s="1"/>
  <c r="H253" i="1"/>
  <c r="H261" i="1" s="1"/>
  <c r="H254" i="1"/>
  <c r="H262" i="1" s="1"/>
  <c r="J278" i="1"/>
  <c r="T281" i="1"/>
  <c r="R277" i="1"/>
  <c r="S281" i="1"/>
  <c r="S280" i="1"/>
  <c r="H278" i="1"/>
  <c r="T278" i="1"/>
  <c r="I254" i="1"/>
  <c r="I262" i="1" s="1"/>
  <c r="K255" i="1"/>
  <c r="K263" i="1" s="1"/>
  <c r="H255" i="1"/>
  <c r="H263" i="1" s="1"/>
  <c r="U281" i="1"/>
  <c r="R280" i="1"/>
  <c r="K279" i="1"/>
  <c r="U278" i="1"/>
  <c r="L257" i="1"/>
  <c r="L265" i="1" s="1"/>
  <c r="L253" i="1"/>
  <c r="L261" i="1" s="1"/>
  <c r="Q278" i="1"/>
  <c r="I277" i="1"/>
  <c r="R279" i="1"/>
  <c r="I278" i="1"/>
  <c r="T279" i="1"/>
  <c r="Q277" i="1"/>
  <c r="I280" i="1"/>
  <c r="K257" i="1"/>
  <c r="K265" i="1" s="1"/>
  <c r="J256" i="1"/>
  <c r="J264" i="1" s="1"/>
  <c r="H279" i="1"/>
  <c r="R278" i="1"/>
  <c r="K253" i="1"/>
  <c r="K261" i="1" s="1"/>
  <c r="H257" i="1"/>
  <c r="H265" i="1" s="1"/>
  <c r="Q279" i="1"/>
  <c r="H281" i="1"/>
  <c r="H280" i="1"/>
  <c r="K278" i="1"/>
  <c r="J253" i="1"/>
  <c r="J261" i="1" s="1"/>
  <c r="H256" i="1"/>
  <c r="H264" i="1" s="1"/>
  <c r="L256" i="1"/>
  <c r="L264" i="1" s="1"/>
  <c r="J254" i="1"/>
  <c r="J262" i="1" s="1"/>
  <c r="L255" i="1"/>
  <c r="L263" i="1" s="1"/>
  <c r="J280" i="1"/>
  <c r="J279" i="1"/>
  <c r="U279" i="1"/>
  <c r="U277" i="1"/>
  <c r="I257" i="1"/>
  <c r="I265" i="1" s="1"/>
  <c r="K280" i="1"/>
  <c r="K277" i="1"/>
  <c r="L277" i="1"/>
  <c r="U280" i="1"/>
  <c r="I253" i="1"/>
  <c r="I261" i="1" s="1"/>
  <c r="L254" i="1"/>
  <c r="L262" i="1" s="1"/>
  <c r="I281" i="1"/>
  <c r="R281" i="1"/>
  <c r="T280" i="1"/>
  <c r="S279" i="1"/>
  <c r="J257" i="1"/>
  <c r="J265" i="1" s="1"/>
  <c r="H277" i="1"/>
  <c r="T277" i="1"/>
  <c r="L278" i="1"/>
  <c r="Q281" i="1"/>
  <c r="I256" i="1"/>
  <c r="I264" i="1" s="1"/>
  <c r="L280" i="1"/>
  <c r="J277" i="1"/>
  <c r="K281" i="1"/>
  <c r="K228" i="1"/>
  <c r="K230" i="1" s="1"/>
  <c r="J232" i="1" s="1"/>
  <c r="K239" i="1" s="1"/>
  <c r="J242" i="1" s="1"/>
  <c r="I279" i="1"/>
  <c r="Q280" i="1"/>
  <c r="S277" i="1"/>
  <c r="K256" i="1"/>
  <c r="K264" i="1" s="1"/>
  <c r="L281" i="1"/>
  <c r="J281" i="1"/>
  <c r="S278" i="1"/>
  <c r="K254" i="1"/>
  <c r="K262" i="1" s="1"/>
  <c r="L279" i="1"/>
  <c r="I255" i="1"/>
  <c r="I263" i="1" s="1"/>
  <c r="R34" i="1"/>
  <c r="S272" i="1"/>
  <c r="R40" i="1" s="1"/>
  <c r="R35" i="1"/>
  <c r="S273" i="1"/>
  <c r="R41" i="1" s="1"/>
  <c r="R32" i="1"/>
  <c r="S270" i="1"/>
  <c r="R38" i="1" s="1"/>
  <c r="T35" i="1"/>
  <c r="U273" i="1"/>
  <c r="T41" i="1" s="1"/>
  <c r="S269" i="1"/>
  <c r="R37" i="1" s="1"/>
  <c r="R31" i="1"/>
  <c r="T33" i="1"/>
  <c r="U271" i="1"/>
  <c r="T39" i="1" s="1"/>
  <c r="Q33" i="1"/>
  <c r="R271" i="1"/>
  <c r="Q39" i="1" s="1"/>
  <c r="M48" i="1"/>
  <c r="T32" i="1"/>
  <c r="U270" i="1"/>
  <c r="T38" i="1" s="1"/>
  <c r="S244" i="1" l="1"/>
  <c r="R27" i="1" s="1"/>
  <c r="J244" i="1"/>
  <c r="J27" i="1" s="1"/>
  <c r="J26" i="1"/>
  <c r="I272" i="1"/>
  <c r="I40" i="1" s="1"/>
  <c r="I34" i="1"/>
  <c r="J269" i="1"/>
  <c r="J37" i="1" s="1"/>
  <c r="J31" i="1"/>
  <c r="L270" i="1"/>
  <c r="L38" i="1" s="1"/>
  <c r="L32" i="1"/>
  <c r="J34" i="1"/>
  <c r="J272" i="1"/>
  <c r="J40" i="1" s="1"/>
  <c r="K271" i="1"/>
  <c r="K39" i="1" s="1"/>
  <c r="K33" i="1"/>
  <c r="H272" i="1"/>
  <c r="H40" i="1" s="1"/>
  <c r="H34" i="1"/>
  <c r="H33" i="1"/>
  <c r="H271" i="1"/>
  <c r="H39" i="1" s="1"/>
  <c r="K35" i="1"/>
  <c r="K273" i="1"/>
  <c r="K41" i="1" s="1"/>
  <c r="L31" i="1"/>
  <c r="L269" i="1"/>
  <c r="L37" i="1" s="1"/>
  <c r="I32" i="1"/>
  <c r="I270" i="1"/>
  <c r="I38" i="1" s="1"/>
  <c r="H32" i="1"/>
  <c r="H270" i="1"/>
  <c r="H38" i="1" s="1"/>
  <c r="I271" i="1"/>
  <c r="I39" i="1" s="1"/>
  <c r="I33" i="1"/>
  <c r="L35" i="1"/>
  <c r="L273" i="1"/>
  <c r="L41" i="1" s="1"/>
  <c r="H269" i="1"/>
  <c r="H37" i="1" s="1"/>
  <c r="H31" i="1"/>
  <c r="I35" i="1"/>
  <c r="I273" i="1"/>
  <c r="I41" i="1" s="1"/>
  <c r="I269" i="1"/>
  <c r="I37" i="1" s="1"/>
  <c r="I31" i="1"/>
  <c r="J273" i="1"/>
  <c r="J41" i="1" s="1"/>
  <c r="J35" i="1"/>
  <c r="L271" i="1"/>
  <c r="L39" i="1" s="1"/>
  <c r="L33" i="1"/>
  <c r="J33" i="1"/>
  <c r="J271" i="1"/>
  <c r="J39" i="1" s="1"/>
  <c r="K272" i="1"/>
  <c r="K40" i="1" s="1"/>
  <c r="K34" i="1"/>
  <c r="K32" i="1"/>
  <c r="K270" i="1"/>
  <c r="K38" i="1" s="1"/>
  <c r="J270" i="1"/>
  <c r="J38" i="1" s="1"/>
  <c r="J32" i="1"/>
  <c r="H35" i="1"/>
  <c r="H273" i="1"/>
  <c r="H41" i="1" s="1"/>
  <c r="L34" i="1"/>
  <c r="L272" i="1"/>
  <c r="L40" i="1" s="1"/>
  <c r="K31" i="1"/>
  <c r="K269" i="1"/>
  <c r="K37" i="1" s="1"/>
  <c r="O71" i="1"/>
  <c r="O65" i="1"/>
  <c r="O59" i="1"/>
  <c r="O64" i="1"/>
  <c r="O58" i="1"/>
  <c r="O69" i="1"/>
  <c r="O67" i="1"/>
  <c r="O57" i="1"/>
  <c r="O63" i="1"/>
  <c r="O70" i="1"/>
  <c r="O73" i="1"/>
  <c r="O66" i="1"/>
  <c r="O62" i="1"/>
  <c r="O72" i="1"/>
  <c r="O68" i="1"/>
  <c r="O61" i="1"/>
  <c r="O6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A619F18A-DF40-4661-B90B-4F1C29A24E46}">
      <text>
        <r>
          <rPr>
            <sz val="11"/>
            <color rgb="FF000000"/>
            <rFont val="Calibri"/>
            <family val="2"/>
            <charset val="161"/>
          </rPr>
          <t>Comment:
    Rm=9 from historical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Vasileios Topsidis</author>
    <author>bvieira2</author>
    <author>yqian7</author>
    <author>Bruno</author>
  </authors>
  <commentList>
    <comment ref="N20" authorId="0" shapeId="0" xr:uid="{00000000-0006-0000-0000-000001000000}">
      <text>
        <r>
          <rPr>
            <sz val="9"/>
            <color rgb="FF000000"/>
            <rFont val="Tahoma"/>
            <family val="2"/>
          </rPr>
          <t xml:space="preserve">Free Cash Flow Margin YoY Change is greater than 5%
</t>
        </r>
        <r>
          <rPr>
            <sz val="9"/>
            <color rgb="FF000000"/>
            <rFont val="Tahoma"/>
            <family val="2"/>
          </rPr>
          <t xml:space="preserve">
</t>
        </r>
      </text>
    </comment>
    <comment ref="J33" authorId="1" shapeId="0" xr:uid="{00000000-0006-0000-0000-000002000000}">
      <text>
        <r>
          <rPr>
            <sz val="9"/>
            <color rgb="FF000000"/>
            <rFont val="Tahoma"/>
            <family val="2"/>
          </rPr>
          <t>Estimated Value per Share</t>
        </r>
      </text>
    </comment>
    <comment ref="R33" authorId="1" shapeId="0" xr:uid="{00000000-0006-0000-0000-000003000000}">
      <text>
        <r>
          <rPr>
            <sz val="9"/>
            <color rgb="FF000000"/>
            <rFont val="Tahoma"/>
            <family val="2"/>
          </rPr>
          <t>Estimated Value per Share</t>
        </r>
      </text>
    </comment>
    <comment ref="J39" authorId="1" shapeId="0" xr:uid="{00000000-0006-0000-0000-000004000000}">
      <text>
        <r>
          <rPr>
            <sz val="9"/>
            <color indexed="81"/>
            <rFont val="Tahoma"/>
            <family val="2"/>
          </rPr>
          <t>Estimated Upside</t>
        </r>
      </text>
    </comment>
    <comment ref="R39" authorId="1" shapeId="0" xr:uid="{00000000-0006-0000-0000-000005000000}">
      <text>
        <r>
          <rPr>
            <sz val="9"/>
            <color rgb="FF000000"/>
            <rFont val="Tahoma"/>
            <family val="2"/>
          </rPr>
          <t>Estimated Upside</t>
        </r>
      </text>
    </comment>
    <comment ref="S45" authorId="1" shapeId="0" xr:uid="{00000000-0006-0000-0000-000006000000}">
      <text>
        <r>
          <rPr>
            <sz val="9"/>
            <color indexed="81"/>
            <rFont val="Tahoma"/>
            <family val="2"/>
          </rPr>
          <t>ON = Automatically selects Bloomberg default inputs when reopening sheet or changing tickers.
OFF = Keeps current combination of inputs when reopening sheet or changing tickers. (Note: not all input options are available at all times)</t>
        </r>
      </text>
    </comment>
    <comment ref="O47" authorId="1" shapeId="0" xr:uid="{00000000-0006-0000-0000-000007000000}">
      <text>
        <r>
          <rPr>
            <sz val="9"/>
            <color indexed="81"/>
            <rFont val="Tahoma"/>
            <family val="2"/>
          </rPr>
          <t>Bloomberg estimate from WACC&lt;GO&gt;</t>
        </r>
      </text>
    </comment>
    <comment ref="O48" authorId="1" shapeId="0" xr:uid="{00000000-0006-0000-0000-000008000000}">
      <text>
        <r>
          <rPr>
            <sz val="9"/>
            <color indexed="81"/>
            <rFont val="Tahoma"/>
            <family val="2"/>
          </rPr>
          <t>Growth rate that synthetizes the transition from free cash flow growth on year 5 to mature growth of 2% after year 17. 
A table with all possible rates is available on the "Additional Data" tab.</t>
        </r>
      </text>
    </comment>
    <comment ref="O49" authorId="1" shapeId="0" xr:uid="{00000000-0006-0000-0000-000009000000}">
      <text>
        <r>
          <rPr>
            <sz val="9"/>
            <color indexed="81"/>
            <rFont val="Tahoma"/>
            <family val="2"/>
          </rPr>
          <t>Company current multiple (trailing or last fiscal year).
If current multiple is outside the upper limit determined by
 1.5 x (Peer Quartile 3 - Peer Quartile 1) 
Then, upper limit is used as default multiple.
If current multiple is not available, then median multiple for 10 peers or its relative index is the default.</t>
        </r>
      </text>
    </comment>
    <comment ref="N52" authorId="2" shapeId="0" xr:uid="{00000000-0006-0000-0000-00000A000000}">
      <text>
        <r>
          <rPr>
            <b/>
            <sz val="9"/>
            <color indexed="81"/>
            <rFont val="Tahoma"/>
            <family val="2"/>
          </rPr>
          <t>Partial Year</t>
        </r>
      </text>
    </comment>
    <comment ref="S52" authorId="2" shapeId="0" xr:uid="{00000000-0006-0000-0000-00000B000000}">
      <text>
        <r>
          <rPr>
            <b/>
            <sz val="9"/>
            <color indexed="81"/>
            <rFont val="Tahoma"/>
            <family val="2"/>
          </rPr>
          <t>Partial Year</t>
        </r>
      </text>
    </comment>
    <comment ref="T52" authorId="2" shapeId="0" xr:uid="{00000000-0006-0000-0000-00000C000000}">
      <text>
        <r>
          <rPr>
            <b/>
            <sz val="9"/>
            <color indexed="8"/>
            <rFont val="Tahoma"/>
            <family val="2"/>
          </rPr>
          <t>Last Year</t>
        </r>
      </text>
    </comment>
    <comment ref="J61" authorId="1" shapeId="0" xr:uid="{00000000-0006-0000-0000-00000D000000}">
      <text>
        <r>
          <rPr>
            <sz val="9"/>
            <color indexed="81"/>
            <rFont val="Tahoma"/>
            <family val="2"/>
          </rPr>
          <t>Average estimated value from analysts expressed as a growth rate versus prior year in this model. 
Values are fixed but growth rates might change based on your choices.</t>
        </r>
      </text>
    </comment>
    <comment ref="J62" authorId="1" shapeId="0" xr:uid="{00000000-0006-0000-0000-00000E000000}">
      <text>
        <r>
          <rPr>
            <sz val="9"/>
            <color indexed="81"/>
            <rFont val="Tahoma"/>
            <family val="2"/>
          </rPr>
          <t xml:space="preserve">5 Year Moving Trend (% growth) = 
Average annual change for the last five years /
Average revenue for the last five years </t>
        </r>
      </text>
    </comment>
    <comment ref="J63" authorId="1" shapeId="0" xr:uid="{00000000-0006-0000-0000-00000F000000}">
      <text>
        <r>
          <rPr>
            <sz val="9"/>
            <color indexed="81"/>
            <rFont val="Tahoma"/>
            <family val="2"/>
          </rPr>
          <t>Long Term Growth forecasts are received directly from contributing analysts and represent an expected annual growth in operating EPS over the next three to five years. 
Using it to forecast sales growth would imply constant profit margins.</t>
        </r>
      </text>
    </comment>
    <comment ref="F77" authorId="1" shapeId="0" xr:uid="{00000000-0006-0000-0000-000010000000}">
      <text>
        <r>
          <rPr>
            <sz val="9"/>
            <color indexed="81"/>
            <rFont val="Tahoma"/>
            <family val="2"/>
          </rPr>
          <t>Gross Profit might include Other Revenue excluded from "Revenue (Estimate Comparable)". 
See SURP&lt;GO&gt; to compare reported and estimate comparable (Comp) Sales.</t>
        </r>
      </text>
    </comment>
    <comment ref="L97" authorId="1" shapeId="0" xr:uid="{00000000-0006-0000-0000-000011000000}">
      <text>
        <r>
          <rPr>
            <sz val="9"/>
            <color indexed="81"/>
            <rFont val="Tahoma"/>
            <family val="2"/>
          </rPr>
          <t>BEst Consensus Implied Operating Expense is:
(BEst Sales * BEst Gross Margin) - BEst Operating Profit
Where: 
BEst = Bloomberg Consensus Estimate</t>
        </r>
      </text>
    </comment>
    <comment ref="N146" authorId="0" shapeId="0" xr:uid="{00000000-0006-0000-0000-000012000000}">
      <text>
        <r>
          <rPr>
            <sz val="9"/>
            <color rgb="FF000000"/>
            <rFont val="Tahoma"/>
            <family val="2"/>
          </rPr>
          <t xml:space="preserve">The ratio Capex / Depr &amp; Amort is less than 0.80
</t>
        </r>
        <r>
          <rPr>
            <sz val="9"/>
            <color rgb="FF000000"/>
            <rFont val="Tahoma"/>
            <family val="2"/>
          </rPr>
          <t xml:space="preserve">
</t>
        </r>
      </text>
    </comment>
    <comment ref="O146" authorId="0" shapeId="0" xr:uid="{00000000-0006-0000-0000-000013000000}">
      <text>
        <r>
          <rPr>
            <sz val="9"/>
            <color indexed="81"/>
            <rFont val="Tahoma"/>
            <family val="2"/>
          </rPr>
          <t xml:space="preserve">The ratio Capex / Depr &amp; Amort is less than 0.80_x000D_
_x000D_
</t>
        </r>
      </text>
    </comment>
    <comment ref="P146" authorId="0" shapeId="0" xr:uid="{00000000-0006-0000-0000-000014000000}">
      <text>
        <r>
          <rPr>
            <sz val="9"/>
            <color indexed="81"/>
            <rFont val="Tahoma"/>
            <family val="2"/>
          </rPr>
          <t xml:space="preserve">The ratio Capex / Depr &amp; Amort is less than 0.80_x000D_
_x000D_
</t>
        </r>
      </text>
    </comment>
    <comment ref="Q146" authorId="0" shapeId="0" xr:uid="{00000000-0006-0000-0000-000015000000}">
      <text>
        <r>
          <rPr>
            <sz val="9"/>
            <color indexed="81"/>
            <rFont val="Tahoma"/>
            <family val="2"/>
          </rPr>
          <t xml:space="preserve">The ratio Capex / Depr &amp; Amort is less than 0.80_x000D_
_x000D_
</t>
        </r>
      </text>
    </comment>
    <comment ref="R146" authorId="0" shapeId="0" xr:uid="{00000000-0006-0000-0000-000016000000}">
      <text>
        <r>
          <rPr>
            <sz val="9"/>
            <color indexed="81"/>
            <rFont val="Tahoma"/>
            <family val="2"/>
          </rPr>
          <t xml:space="preserve">The ratio Capex / Depr &amp; Amort is less than 0.80_x000D_
_x000D_
</t>
        </r>
      </text>
    </comment>
    <comment ref="S146" authorId="0" shapeId="0" xr:uid="{00000000-0006-0000-0000-000017000000}">
      <text>
        <r>
          <rPr>
            <sz val="9"/>
            <color indexed="8"/>
            <rFont val="Tahoma"/>
            <family val="2"/>
          </rPr>
          <t xml:space="preserve">The ratio Capex / Depr &amp; Amort is less than 0.80
</t>
        </r>
        <r>
          <rPr>
            <sz val="9"/>
            <color indexed="8"/>
            <rFont val="Tahoma"/>
            <family val="2"/>
          </rPr>
          <t xml:space="preserve">
</t>
        </r>
      </text>
    </comment>
    <comment ref="N197" authorId="0" shapeId="0" xr:uid="{00000000-0006-0000-0000-000018000000}">
      <text>
        <r>
          <rPr>
            <sz val="9"/>
            <color indexed="81"/>
            <rFont val="Tahoma"/>
            <family val="2"/>
          </rPr>
          <t xml:space="preserve">Free Cash Flow Margin YoY Change is greater than 5%_x000D_
_x000D_
</t>
        </r>
      </text>
    </comment>
    <comment ref="T197" authorId="1" shapeId="0" xr:uid="{00000000-0006-0000-0000-000019000000}">
      <text>
        <r>
          <rPr>
            <sz val="9"/>
            <color indexed="81"/>
            <rFont val="Tahoma"/>
            <family val="2"/>
          </rPr>
          <t>This time-weighted average of the two last years represents year 5 on the model</t>
        </r>
      </text>
    </comment>
    <comment ref="N207" authorId="1" shapeId="0" xr:uid="{00000000-0006-0000-0000-00001A000000}">
      <text>
        <r>
          <rPr>
            <sz val="9"/>
            <color indexed="81"/>
            <rFont val="Tahoma"/>
            <family val="2"/>
          </rPr>
          <t>% of the Free Cash Flow to be discounted in year 1 =
Remaining fraction of the curent fiscal year =
Days between next fiscal year end date and today /
Days between next and last fiscal year end dates</t>
        </r>
      </text>
    </comment>
    <comment ref="S207" authorId="1" shapeId="0" xr:uid="{00000000-0006-0000-0000-00001B000000}">
      <text>
        <r>
          <rPr>
            <sz val="9"/>
            <color indexed="81"/>
            <rFont val="Tahoma"/>
            <family val="2"/>
          </rPr>
          <t>% of Free Cash Flow to be discounted in year 5 = 
100% - Year 1 % of Free Cash Flow to be discounted in year 1
So that the model will always discount the next 5 years from today</t>
        </r>
      </text>
    </comment>
    <comment ref="N208" authorId="1" shapeId="0" xr:uid="{00000000-0006-0000-0000-00001C000000}">
      <text>
        <r>
          <rPr>
            <sz val="9"/>
            <color indexed="81"/>
            <rFont val="Tahoma"/>
            <family val="2"/>
          </rPr>
          <t>Period for Discount Factor in year 1 = 
Half of the time left until next fiscal period end date (in years)</t>
        </r>
      </text>
    </comment>
    <comment ref="S208" authorId="1" shapeId="0" xr:uid="{00000000-0006-0000-0000-00001D000000}">
      <text>
        <r>
          <rPr>
            <sz val="9"/>
            <color indexed="81"/>
            <rFont val="Tahoma"/>
            <family val="2"/>
          </rPr>
          <t>Period for Discount Factor in year 5 = 
Middle of year 6 portion to be discounted 
+ 4 years + Remaining portion of current year
If 100% of year 6 is being discounted, the result is 4.5 (middle of last year)</t>
        </r>
      </text>
    </comment>
    <comment ref="G209" authorId="1" shapeId="0" xr:uid="{00000000-0006-0000-0000-00001E000000}">
      <text>
        <r>
          <rPr>
            <sz val="9"/>
            <color indexed="81"/>
            <rFont val="Tahoma"/>
            <family val="2"/>
          </rPr>
          <t>Time elapsed in the current year and mid-year convention are taken into consideration on all discount factors</t>
        </r>
      </text>
    </comment>
    <comment ref="T211" authorId="1" shapeId="0" xr:uid="{00000000-0006-0000-0000-00001F000000}">
      <text>
        <r>
          <rPr>
            <sz val="9"/>
            <color indexed="81"/>
            <rFont val="Tahoma"/>
            <family val="2"/>
          </rPr>
          <t>This time-weighted average of the two last years represents year 5 on the model</t>
        </r>
      </text>
    </comment>
    <comment ref="J236" authorId="1" shapeId="0" xr:uid="{00000000-0006-0000-0000-000020000000}">
      <text>
        <r>
          <rPr>
            <sz val="9"/>
            <color rgb="FF000000"/>
            <rFont val="Tahoma"/>
            <family val="2"/>
          </rPr>
          <t>Override cash on enterprise value calculation</t>
        </r>
      </text>
    </comment>
    <comment ref="S236" authorId="1" shapeId="0" xr:uid="{00000000-0006-0000-0000-000021000000}">
      <text>
        <r>
          <rPr>
            <sz val="9"/>
            <color rgb="FF000000"/>
            <rFont val="Tahoma"/>
            <family val="2"/>
          </rPr>
          <t>Override cash on enterprise value calculation</t>
        </r>
      </text>
    </comment>
    <comment ref="G241" authorId="1" shapeId="0" xr:uid="{00000000-0006-0000-0000-000022000000}">
      <text>
        <r>
          <rPr>
            <sz val="9"/>
            <color indexed="81"/>
            <rFont val="Tahoma"/>
            <family val="2"/>
          </rPr>
          <t>For companies with multiple share classes: 
Shares outstanding equivalent is calculated as Market Cap/Price per share</t>
        </r>
      </text>
    </comment>
    <comment ref="P241" authorId="1" shapeId="0" xr:uid="{00000000-0006-0000-0000-000023000000}">
      <text>
        <r>
          <rPr>
            <sz val="9"/>
            <color indexed="81"/>
            <rFont val="Tahoma"/>
            <family val="2"/>
          </rPr>
          <t>For companies with multiple share classes: 
Shares outstanding equivalent is calculated as Market Cap/Price per share</t>
        </r>
      </text>
    </comment>
    <comment ref="F251" authorId="3" shapeId="0" xr:uid="{00000000-0006-0000-0000-000024000000}">
      <text>
        <r>
          <rPr>
            <sz val="9"/>
            <color indexed="81"/>
            <rFont val="Tahoma"/>
            <family val="2"/>
          </rPr>
          <t>Incremental change for both the perpetuity growth and discount rate (WACC) in the perpetuity growth method sensitivity analysis</t>
        </r>
      </text>
    </comment>
    <comment ref="N251" authorId="3" shapeId="0" xr:uid="{00000000-0006-0000-0000-000025000000}">
      <text>
        <r>
          <rPr>
            <sz val="9"/>
            <color indexed="81"/>
            <rFont val="Tahoma"/>
            <family val="2"/>
          </rPr>
          <t>Incremental value for the terminal EBITDA multiple in the EBITDA multiple method sensitivity analysis</t>
        </r>
      </text>
    </comment>
    <comment ref="O251" authorId="3" shapeId="0" xr:uid="{00000000-0006-0000-0000-000026000000}">
      <text>
        <r>
          <rPr>
            <sz val="9"/>
            <color rgb="FF000000"/>
            <rFont val="Tahoma"/>
            <family val="2"/>
          </rPr>
          <t>Incremental value for the discount rate (WACC) in the the EBITDA multiple method sensitivity analysis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Bruno</author>
    <author>yqian7</author>
  </authors>
  <commentList>
    <comment ref="J44" authorId="0" shapeId="0" xr:uid="{00000000-0006-0000-0200-000001000000}">
      <text>
        <r>
          <rPr>
            <sz val="9"/>
            <color indexed="81"/>
            <rFont val="Tahoma"/>
            <family val="2"/>
          </rPr>
          <t>IQR = Interquartile range</t>
        </r>
      </text>
    </comment>
    <comment ref="J45" authorId="0" shapeId="0" xr:uid="{00000000-0006-0000-0200-000002000000}">
      <text>
        <r>
          <rPr>
            <sz val="9"/>
            <color indexed="81"/>
            <rFont val="Tahoma"/>
            <family val="2"/>
          </rPr>
          <t>Upper limit = Q3 + 1.5*IQR</t>
        </r>
      </text>
    </comment>
    <comment ref="D52" authorId="1" shapeId="0" xr:uid="{00000000-0006-0000-0200-000003000000}">
      <text>
        <r>
          <rPr>
            <sz val="9"/>
            <color indexed="81"/>
            <rFont val="Tahoma"/>
            <family val="2"/>
          </rPr>
          <t>BS_DEFERRED_TAX_LIABILITIES_LT</t>
        </r>
      </text>
    </comment>
    <comment ref="D53" authorId="1" shapeId="0" xr:uid="{00000000-0006-0000-0200-000004000000}">
      <text>
        <r>
          <rPr>
            <sz val="9"/>
            <color indexed="81"/>
            <rFont val="Tahoma"/>
            <family val="2"/>
          </rPr>
          <t>BS_DEFERRED_TAX_ASSETS_LT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yqian7</author>
  </authors>
  <commentList>
    <comment ref="G16" authorId="0" shapeId="0" xr:uid="{00000000-0006-0000-0500-000001000000}">
      <text>
        <r>
          <rPr>
            <sz val="9"/>
            <color indexed="81"/>
            <rFont val="Tahoma"/>
            <family val="2"/>
          </rPr>
          <t>The reason for the highlight</t>
        </r>
      </text>
    </comment>
  </commentList>
</comments>
</file>

<file path=xl/sharedStrings.xml><?xml version="1.0" encoding="utf-8"?>
<sst xmlns="http://schemas.openxmlformats.org/spreadsheetml/2006/main" count="542" uniqueCount="391">
  <si>
    <t>Ticker</t>
  </si>
  <si>
    <t>Currency</t>
  </si>
  <si>
    <t>EUR</t>
  </si>
  <si>
    <t>Name</t>
  </si>
  <si>
    <t>Data</t>
  </si>
  <si>
    <t>Adjusted (If available)</t>
  </si>
  <si>
    <t>Summary Analysis</t>
  </si>
  <si>
    <t>Input Calculation</t>
  </si>
  <si>
    <t>Output Analysis</t>
  </si>
  <si>
    <t>Trend</t>
  </si>
  <si>
    <t>% Margin</t>
  </si>
  <si>
    <t>Perpetuity Growth Method</t>
  </si>
  <si>
    <t>EBITDA Multiple Method</t>
  </si>
  <si>
    <t>Consensus Price Target</t>
  </si>
  <si>
    <t>Input</t>
  </si>
  <si>
    <t>Peers</t>
  </si>
  <si>
    <t>Px Implied</t>
  </si>
  <si>
    <t>Tgt Implied</t>
  </si>
  <si>
    <t>Default</t>
  </si>
  <si>
    <t>Current Choice</t>
  </si>
  <si>
    <t>Auto Input Selection</t>
  </si>
  <si>
    <t>On</t>
  </si>
  <si>
    <t>Weighted Average Cost of Capital</t>
  </si>
  <si>
    <t>Perpetuity Growth Rate</t>
  </si>
  <si>
    <t xml:space="preserve"> (Perpetuity Growth Method only)</t>
  </si>
  <si>
    <t>Exit Enterprise Value / EBITDA</t>
  </si>
  <si>
    <t xml:space="preserve"> (EBITDA Multiple Method only)</t>
  </si>
  <si>
    <t>Year 5</t>
  </si>
  <si>
    <t>-4FY</t>
  </si>
  <si>
    <t>-3FY</t>
  </si>
  <si>
    <t>-2FY</t>
  </si>
  <si>
    <t>-1FY</t>
  </si>
  <si>
    <t>-0FY</t>
  </si>
  <si>
    <t>1FY</t>
  </si>
  <si>
    <t>2FY</t>
  </si>
  <si>
    <t>3FY</t>
  </si>
  <si>
    <t>4FY</t>
  </si>
  <si>
    <t>5FY</t>
  </si>
  <si>
    <t>6FY</t>
  </si>
  <si>
    <t>IS_COMP_SALES</t>
  </si>
  <si>
    <t>SALES_REV_TURN</t>
  </si>
  <si>
    <t>Revenue (Estimate Comparable)</t>
  </si>
  <si>
    <t>IS_COGS_TO_FE_AND_PP_AND_G</t>
  </si>
  <si>
    <t>% YoY Growth</t>
  </si>
  <si>
    <t>Edit Row</t>
  </si>
  <si>
    <t>Row # of choice</t>
  </si>
  <si>
    <t>Click on a cell below to select assumption (selected cells are highlighted in blue)</t>
  </si>
  <si>
    <t xml:space="preserve">BEst Consensus Revenue </t>
  </si>
  <si>
    <t>5 Year Moving Trend</t>
  </si>
  <si>
    <t>BEst Consensus EPS Long Term Growth</t>
  </si>
  <si>
    <t xml:space="preserve">Input (%) </t>
  </si>
  <si>
    <t>%</t>
  </si>
  <si>
    <t>&gt;&gt;</t>
  </si>
  <si>
    <t>Highlight estimates if…</t>
  </si>
  <si>
    <t>Less than</t>
  </si>
  <si>
    <t>Greater than</t>
  </si>
  <si>
    <t>Revenue YoY growth</t>
  </si>
  <si>
    <t>Number of analysts estimating Revenue</t>
  </si>
  <si>
    <t>LTG_EPS</t>
  </si>
  <si>
    <t>Number of analysts estimating EPS LTG Rate</t>
  </si>
  <si>
    <t>(-) Cost of Revenue</t>
  </si>
  <si>
    <t>(-) Cost of Revenue (GAAP)</t>
  </si>
  <si>
    <t>% of Revenue</t>
  </si>
  <si>
    <t>(=) Gross Profit</t>
  </si>
  <si>
    <t>BEst Consensus Gross Margin</t>
  </si>
  <si>
    <t>Last Year's Gross Margin</t>
  </si>
  <si>
    <t>&lt;&lt;</t>
  </si>
  <si>
    <t>Input (%)</t>
  </si>
  <si>
    <t>Gross Margin YoY Change</t>
  </si>
  <si>
    <t>Number of analysts estimating Gross Margin</t>
  </si>
  <si>
    <t>(-) Operating Expenses/Income</t>
  </si>
  <si>
    <t>IS_OPERATING_EXPN</t>
  </si>
  <si>
    <t>BEst Consensus Implied Operating Expense as a % of Revenue</t>
  </si>
  <si>
    <t>Last Year's Operating Expense as a % of Revenue</t>
  </si>
  <si>
    <t>Operating Expenses/Income as a % of Revenue change</t>
  </si>
  <si>
    <t>Number of analysts estimating Operating Profit</t>
  </si>
  <si>
    <t>(=) Operating Income</t>
  </si>
  <si>
    <t>ADJ</t>
  </si>
  <si>
    <t>(-) Tax on Operating Income</t>
  </si>
  <si>
    <t>% Tax Rate</t>
  </si>
  <si>
    <t>5 Year Rolling Average Effective Tax Rate</t>
  </si>
  <si>
    <t>Last Year's Effective Tax Rate</t>
  </si>
  <si>
    <t>Estimated Tax on Operating Income</t>
  </si>
  <si>
    <t>(=) NOPAT</t>
  </si>
  <si>
    <t>(+) Depreciation &amp; Amortization</t>
  </si>
  <si>
    <t>CF_DEPR_AMORT</t>
  </si>
  <si>
    <t>BEst Consensus Implied Depreciation &amp; Amortization as a % of Revenue</t>
  </si>
  <si>
    <t>(IS_EBITDA-IS_OPERATING_EXPN)/(SALES_REV_TURN)</t>
  </si>
  <si>
    <t>Last Year's Depreciation &amp; Amortization as a % of Revenue</t>
  </si>
  <si>
    <t>Depr &amp; Amort as a % of Revenue change</t>
  </si>
  <si>
    <t>Number of analysts estimating EBITDA</t>
  </si>
  <si>
    <t>(-) Capital Expenditure</t>
  </si>
  <si>
    <t>CF_CAP_EXPEND_PRPTY_ADD</t>
  </si>
  <si>
    <t>BEst Consensus Capital Expenditure</t>
  </si>
  <si>
    <t>5 Year Rolling Average</t>
  </si>
  <si>
    <t>Last Year's Capital Expenditure</t>
  </si>
  <si>
    <t>Capex as a % of Revenue YoY change</t>
  </si>
  <si>
    <t>The ratio Capex / Depr &amp; Amort</t>
  </si>
  <si>
    <t>Number of analysts estimating Capex</t>
  </si>
  <si>
    <t>(-) Changes in Net Working Capital</t>
  </si>
  <si>
    <t xml:space="preserve">5 Year Rolling Average </t>
  </si>
  <si>
    <t>Change in NWC as a % of Revenue YoY change</t>
  </si>
  <si>
    <t>(+) Changes in Net Long Term Deferred Tax Liabilities</t>
  </si>
  <si>
    <t>Change in Net LT Def Tax Liab as a % of Revenue YoY chg</t>
  </si>
  <si>
    <t>(+) Other User Estimated Non-Cash Adjustments</t>
  </si>
  <si>
    <t>(=) Free Cash Flow</t>
  </si>
  <si>
    <t>Free Cash Flow Margin YoY Change</t>
  </si>
  <si>
    <t>% of the Free Cash Flow to be discounted</t>
  </si>
  <si>
    <t>Period for Discount Factor (Mid-Year Convention)</t>
  </si>
  <si>
    <t>Present Value of Free Cash Flow (5 Years)</t>
  </si>
  <si>
    <t>EBITDA</t>
  </si>
  <si>
    <t>EBITDA Margin YoY Change</t>
  </si>
  <si>
    <t>Perpetuity Growth Method - Value per Share</t>
  </si>
  <si>
    <t>EBITDA Multiple Method - Value per Share</t>
  </si>
  <si>
    <t>Free Cash Flow at Year 5</t>
  </si>
  <si>
    <t>Terminal EBITDA at Year 5</t>
  </si>
  <si>
    <t>WACC</t>
  </si>
  <si>
    <t>Perpetuity Value at End of Year 5</t>
  </si>
  <si>
    <t>Terminal Value at End of Year 5</t>
  </si>
  <si>
    <t>(=) Current Enterprise Value</t>
  </si>
  <si>
    <t>Short Term Debt</t>
  </si>
  <si>
    <t>(+) Long Term Debt</t>
  </si>
  <si>
    <t>(-) Cash and Marketable Securities</t>
  </si>
  <si>
    <t>(-) Current Net Debt</t>
  </si>
  <si>
    <t>(-) Current Preferred and Minority Interest</t>
  </si>
  <si>
    <t>(=) Equity Value</t>
  </si>
  <si>
    <t>Shares outstanding</t>
  </si>
  <si>
    <t xml:space="preserve">Estimated Upside </t>
  </si>
  <si>
    <t>Perpetuity Growth Method - Sensitivity Analysis</t>
  </si>
  <si>
    <t>EBITDA Multiple Method - Sensitivity Analysis</t>
  </si>
  <si>
    <t>Incremental change</t>
  </si>
  <si>
    <t>Perpetuity Growth</t>
  </si>
  <si>
    <t>Terminal EBITDA Multiple</t>
  </si>
  <si>
    <t>Discount</t>
  </si>
  <si>
    <t>Rate</t>
  </si>
  <si>
    <t>(WACC)</t>
  </si>
  <si>
    <t>Upside Potential</t>
  </si>
  <si>
    <t>Implied Exit EV / EBITDA Multiple</t>
  </si>
  <si>
    <t>Implied Perpetuity Growth</t>
  </si>
  <si>
    <t>Discount rate</t>
  </si>
  <si>
    <t>dr</t>
  </si>
  <si>
    <t>start growth</t>
  </si>
  <si>
    <t>perp</t>
  </si>
  <si>
    <t>Start growth</t>
  </si>
  <si>
    <t>Median</t>
  </si>
  <si>
    <t xml:space="preserve">Perpetuity growth rate consistent with DDM (17 years), linearly stepping down from a high growth rate to </t>
  </si>
  <si>
    <t>LY Growth</t>
  </si>
  <si>
    <t>Perpetuity</t>
  </si>
  <si>
    <t>=E51-($E$51-$E$56)/5</t>
  </si>
  <si>
    <t>Perpetuity Growth Estimation</t>
  </si>
  <si>
    <t>Value</t>
  </si>
  <si>
    <t>Year 5 FCF Growth</t>
  </si>
  <si>
    <t>Peers Data</t>
  </si>
  <si>
    <t>Custom</t>
  </si>
  <si>
    <t>Rel. Indx.</t>
  </si>
  <si>
    <t>EV/EBITDA</t>
  </si>
  <si>
    <t>MC FP</t>
  </si>
  <si>
    <t>LVMH MOET HENNESSY LOUIS VUI</t>
  </si>
  <si>
    <t>CDI FP</t>
  </si>
  <si>
    <t>CHRISTIAN DIOR SE</t>
  </si>
  <si>
    <t>KER FP</t>
  </si>
  <si>
    <t>KERING</t>
  </si>
  <si>
    <t>1913 HK Equity</t>
  </si>
  <si>
    <t>PRADA S.P.A.</t>
  </si>
  <si>
    <t>RMS FP Equity</t>
  </si>
  <si>
    <t>HERMES INTERNATIONAL</t>
  </si>
  <si>
    <t>PUM GR Equity</t>
  </si>
  <si>
    <t>PUMA SE</t>
  </si>
  <si>
    <t>ADS GR Equity</t>
  </si>
  <si>
    <t>ADIDAS AG</t>
  </si>
  <si>
    <t>CFR SW Equity</t>
  </si>
  <si>
    <t>CIE FINANCIERE RICHEMO-A REG</t>
  </si>
  <si>
    <t>UHR SW Equity</t>
  </si>
  <si>
    <t>SWATCH GROUP AG/THE-BR</t>
  </si>
  <si>
    <t xml:space="preserve"> </t>
  </si>
  <si>
    <t>MONC IM Equity</t>
  </si>
  <si>
    <t>MONCLER SPA</t>
  </si>
  <si>
    <t xml:space="preserve">                    </t>
  </si>
  <si>
    <t>IQR</t>
  </si>
  <si>
    <t>Up Limit</t>
  </si>
  <si>
    <t>Net Long Term Deferred Tax Liabilities</t>
  </si>
  <si>
    <t>-6FY</t>
  </si>
  <si>
    <t>Field</t>
  </si>
  <si>
    <t>Liabilities</t>
  </si>
  <si>
    <t>Assets</t>
  </si>
  <si>
    <t>Net</t>
  </si>
  <si>
    <t>Change</t>
  </si>
  <si>
    <t>Currency Options</t>
  </si>
  <si>
    <t>Data Options</t>
  </si>
  <si>
    <t>Market Status</t>
  </si>
  <si>
    <t>Choice</t>
  </si>
  <si>
    <t>PR286</t>
  </si>
  <si>
    <t>Status</t>
  </si>
  <si>
    <t>Message</t>
  </si>
  <si>
    <t>Fundamental</t>
  </si>
  <si>
    <t>Y</t>
  </si>
  <si>
    <t>ACTV</t>
  </si>
  <si>
    <t xml:space="preserve"> Active</t>
  </si>
  <si>
    <t>Trading</t>
  </si>
  <si>
    <t>GAAP</t>
  </si>
  <si>
    <t>N</t>
  </si>
  <si>
    <t>DLST</t>
  </si>
  <si>
    <t xml:space="preserve"> Delisted</t>
  </si>
  <si>
    <t>AUD</t>
  </si>
  <si>
    <t>ACQU</t>
  </si>
  <si>
    <t xml:space="preserve"> Acquired</t>
  </si>
  <si>
    <t>BRL</t>
  </si>
  <si>
    <t>Adj Financials Available</t>
  </si>
  <si>
    <t>UNLS</t>
  </si>
  <si>
    <t xml:space="preserve"> Unlisted</t>
  </si>
  <si>
    <t>CAD</t>
  </si>
  <si>
    <t>SUSP</t>
  </si>
  <si>
    <t xml:space="preserve"> Suspended</t>
  </si>
  <si>
    <t>CHF</t>
  </si>
  <si>
    <t>HALT</t>
  </si>
  <si>
    <t xml:space="preserve"> Halted</t>
  </si>
  <si>
    <t>DKK</t>
  </si>
  <si>
    <t>PRIV</t>
  </si>
  <si>
    <t xml:space="preserve"> Private Company</t>
  </si>
  <si>
    <t>EXPD</t>
  </si>
  <si>
    <t xml:space="preserve"> Expired</t>
  </si>
  <si>
    <t>GBP</t>
  </si>
  <si>
    <t>POST</t>
  </si>
  <si>
    <t xml:space="preserve"> Postponed</t>
  </si>
  <si>
    <t>JPY</t>
  </si>
  <si>
    <t>PEND</t>
  </si>
  <si>
    <t xml:space="preserve"> Pending Listing</t>
  </si>
  <si>
    <t>NOK</t>
  </si>
  <si>
    <t>TKCH</t>
  </si>
  <si>
    <t xml:space="preserve"> Ticker Change</t>
  </si>
  <si>
    <t>NZD</t>
  </si>
  <si>
    <t>LIQU</t>
  </si>
  <si>
    <t xml:space="preserve"> Liquidated</t>
  </si>
  <si>
    <t>SEK</t>
  </si>
  <si>
    <t>INAC</t>
  </si>
  <si>
    <t xml:space="preserve"> Inactive</t>
  </si>
  <si>
    <t>USD</t>
  </si>
  <si>
    <t>WHIS</t>
  </si>
  <si>
    <t xml:space="preserve"> When Issued</t>
  </si>
  <si>
    <t>PSYM</t>
  </si>
  <si>
    <t xml:space="preserve"> Pending Symbol</t>
  </si>
  <si>
    <t>OInd</t>
  </si>
  <si>
    <t xml:space="preserve"> Opening Auction</t>
  </si>
  <si>
    <t>CInd</t>
  </si>
  <si>
    <t xml:space="preserve"> Closing Auction</t>
  </si>
  <si>
    <t>Auct</t>
  </si>
  <si>
    <t xml:space="preserve"> Auction</t>
  </si>
  <si>
    <t>IMRK</t>
  </si>
  <si>
    <t xml:space="preserve"> Indicated Market</t>
  </si>
  <si>
    <t>OPDL</t>
  </si>
  <si>
    <t xml:space="preserve"> Opening Delay</t>
  </si>
  <si>
    <t>NOOP</t>
  </si>
  <si>
    <t xml:space="preserve"> No Open, No Resume</t>
  </si>
  <si>
    <t>PIND</t>
  </si>
  <si>
    <t xml:space="preserve"> Price Indication</t>
  </si>
  <si>
    <t>TRIN</t>
  </si>
  <si>
    <t xml:space="preserve"> Trading Range Indication</t>
  </si>
  <si>
    <t>Primary periodicity</t>
  </si>
  <si>
    <t>IMBB</t>
  </si>
  <si>
    <t xml:space="preserve"> Market Imbalance Buy</t>
  </si>
  <si>
    <t>IMBS</t>
  </si>
  <si>
    <t xml:space="preserve"> Market Imbalance Sell</t>
  </si>
  <si>
    <t>NIMB</t>
  </si>
  <si>
    <t xml:space="preserve"> No Market Imbalance</t>
  </si>
  <si>
    <t>Palette</t>
  </si>
  <si>
    <t>NOMM</t>
  </si>
  <si>
    <t xml:space="preserve"> No Market Makers</t>
  </si>
  <si>
    <t>FMT_INP</t>
  </si>
  <si>
    <t>RSRV</t>
  </si>
  <si>
    <t xml:space="preserve"> Halted Exceeds Limit</t>
  </si>
  <si>
    <t>FMT_SEL</t>
  </si>
  <si>
    <t>DELT</t>
  </si>
  <si>
    <t xml:space="preserve"> Security Deleted</t>
  </si>
  <si>
    <t>FMT_ERR</t>
  </si>
  <si>
    <t>WI</t>
  </si>
  <si>
    <t>DL</t>
  </si>
  <si>
    <t>Description</t>
  </si>
  <si>
    <t>SC</t>
  </si>
  <si>
    <t xml:space="preserve"> Script Conversion</t>
  </si>
  <si>
    <t>CA</t>
  </si>
  <si>
    <t xml:space="preserve"> Any Combination of Cum Remarks</t>
  </si>
  <si>
    <t>CD</t>
  </si>
  <si>
    <t xml:space="preserve"> Cum Dividend</t>
  </si>
  <si>
    <t>CB</t>
  </si>
  <si>
    <t xml:space="preserve"> Cum Bonus</t>
  </si>
  <si>
    <t>CR</t>
  </si>
  <si>
    <t xml:space="preserve"> Cum Rights</t>
  </si>
  <si>
    <t>CO</t>
  </si>
  <si>
    <t xml:space="preserve"> Cum Offer</t>
  </si>
  <si>
    <t>CI</t>
  </si>
  <si>
    <t xml:space="preserve"> Cum Interest</t>
  </si>
  <si>
    <t>CE</t>
  </si>
  <si>
    <t xml:space="preserve"> Cum Entitlement</t>
  </si>
  <si>
    <t>XA</t>
  </si>
  <si>
    <t xml:space="preserve"> Any Combination of Ex Remarks</t>
  </si>
  <si>
    <t>XD</t>
  </si>
  <si>
    <t xml:space="preserve"> Ex Dividend</t>
  </si>
  <si>
    <t>XB</t>
  </si>
  <si>
    <t xml:space="preserve"> Ex Bonus</t>
  </si>
  <si>
    <t>XR</t>
  </si>
  <si>
    <t xml:space="preserve"> Ex Rights</t>
  </si>
  <si>
    <t>XL</t>
  </si>
  <si>
    <t xml:space="preserve"> Ex Liquidation</t>
  </si>
  <si>
    <t>XS</t>
  </si>
  <si>
    <t xml:space="preserve"> Ex Stock Distribution</t>
  </si>
  <si>
    <t>XP</t>
  </si>
  <si>
    <t xml:space="preserve"> Ex Repayment of Capital</t>
  </si>
  <si>
    <t>ST</t>
  </si>
  <si>
    <t xml:space="preserve"> Stabilization Indicator</t>
  </si>
  <si>
    <t>SP</t>
  </si>
  <si>
    <t xml:space="preserve"> Stock Split</t>
  </si>
  <si>
    <t>XDXR</t>
  </si>
  <si>
    <t xml:space="preserve"> Ex Dividend/Ex Rights</t>
  </si>
  <si>
    <t>PRNA</t>
  </si>
  <si>
    <t xml:space="preserve"> Price Not Available</t>
  </si>
  <si>
    <t>INFO</t>
  </si>
  <si>
    <t xml:space="preserve"> Additional Information on DES</t>
  </si>
  <si>
    <t>PREN</t>
  </si>
  <si>
    <t xml:space="preserve"> PreNotice</t>
  </si>
  <si>
    <t>RSUS</t>
  </si>
  <si>
    <t xml:space="preserve"> Suspended by the Regulator</t>
  </si>
  <si>
    <t>SUSH</t>
  </si>
  <si>
    <t xml:space="preserve"> Short Term Suspension</t>
  </si>
  <si>
    <t>AHLT</t>
  </si>
  <si>
    <t xml:space="preserve"> Authorized Halt</t>
  </si>
  <si>
    <t>Best Sales</t>
  </si>
  <si>
    <t>Best EPS LTG</t>
  </si>
  <si>
    <t>Best Gross Margin</t>
  </si>
  <si>
    <t>Best OPP</t>
  </si>
  <si>
    <t>Best EBITDA</t>
  </si>
  <si>
    <t>Best CAPEX</t>
  </si>
  <si>
    <t>-0</t>
  </si>
  <si>
    <t>GROSS_PROFIT</t>
  </si>
  <si>
    <t>IS_OPER_INC</t>
  </si>
  <si>
    <t>EFF_TAX_RATE</t>
  </si>
  <si>
    <t>NET_WORKING_CAPITAL_INVESTMENT</t>
  </si>
  <si>
    <t>ARD_DEFERRED_UNEARNED_REV_LT</t>
  </si>
  <si>
    <t>ARD_DEFERRED_INC_TAX_ASSET_LT</t>
  </si>
  <si>
    <t>CRNCY</t>
  </si>
  <si>
    <t>Application Objective: The Bloomberg Excel Discounted Cash Flow (XDCF) allows you to estimate the value of a stock based on the present value of projected free cash flows. </t>
  </si>
  <si>
    <t>A. Step-by-step User Guide</t>
  </si>
  <si>
    <t>General color scheme:</t>
  </si>
  <si>
    <t>&lt;-- User Input</t>
  </si>
  <si>
    <t>&lt;-- Forecast outlier</t>
  </si>
  <si>
    <t>&lt;-- Current selection (while forecasting future cash flows)</t>
  </si>
  <si>
    <t>Summary</t>
  </si>
  <si>
    <t>Inputs</t>
  </si>
  <si>
    <t>Outputs</t>
  </si>
  <si>
    <t>B. Features</t>
  </si>
  <si>
    <t>Overview</t>
  </si>
  <si>
    <t>Forecasting Free Cash Flows</t>
  </si>
  <si>
    <t>Discounting</t>
  </si>
  <si>
    <t>Sensitivity</t>
  </si>
  <si>
    <t>C. FAQ</t>
  </si>
  <si>
    <t>PUM GR EQUITY</t>
  </si>
  <si>
    <t>PUMA</t>
  </si>
  <si>
    <t>$</t>
  </si>
  <si>
    <t>Present Value of Unlevered Free Cash Flow</t>
  </si>
  <si>
    <t>#</t>
  </si>
  <si>
    <t>Discount factor</t>
  </si>
  <si>
    <t>Discount period</t>
  </si>
  <si>
    <t>Unlevered Free Cash Flows</t>
  </si>
  <si>
    <t>– Capital expenditures</t>
  </si>
  <si>
    <t>± Changes in working capital</t>
  </si>
  <si>
    <t>+ Depreciation and Amortization</t>
  </si>
  <si>
    <t>NOPAT</t>
  </si>
  <si>
    <t>EBIT</t>
  </si>
  <si>
    <t>Units</t>
  </si>
  <si>
    <t>Amounts in millions, except per share amount</t>
  </si>
  <si>
    <t>Projected</t>
  </si>
  <si>
    <t>Discounted Cash Flow</t>
  </si>
  <si>
    <t>Total capital</t>
  </si>
  <si>
    <t>Equity</t>
  </si>
  <si>
    <t>Debt</t>
  </si>
  <si>
    <t>Percentage of Capital</t>
  </si>
  <si>
    <r>
      <t>After-tax Cost of Debt (K</t>
    </r>
    <r>
      <rPr>
        <b/>
        <vertAlign val="subscript"/>
        <sz val="8"/>
        <color rgb="FF000000"/>
        <rFont val="Aptos Narrow"/>
        <family val="2"/>
      </rPr>
      <t>dt</t>
    </r>
    <r>
      <rPr>
        <b/>
        <sz val="10"/>
        <color rgb="FF000000"/>
        <rFont val="Aptos Narrow"/>
        <family val="2"/>
      </rPr>
      <t>)</t>
    </r>
  </si>
  <si>
    <t>Tax rate</t>
  </si>
  <si>
    <t>Cost of debt</t>
  </si>
  <si>
    <r>
      <t>Cost of Equity (K</t>
    </r>
    <r>
      <rPr>
        <b/>
        <vertAlign val="subscript"/>
        <sz val="8"/>
        <color rgb="FF000000"/>
        <rFont val="Aptos Narrow"/>
        <family val="2"/>
      </rPr>
      <t>e</t>
    </r>
    <r>
      <rPr>
        <b/>
        <sz val="10"/>
        <color rgb="FF000000"/>
        <rFont val="Aptos Narrow"/>
        <family val="2"/>
      </rPr>
      <t>)</t>
    </r>
  </si>
  <si>
    <r>
      <t>Equity risk premium (R</t>
    </r>
    <r>
      <rPr>
        <vertAlign val="subscript"/>
        <sz val="10"/>
        <color rgb="FF000000"/>
        <rFont val="Aptos Narrow"/>
        <family val="2"/>
      </rPr>
      <t>m</t>
    </r>
    <r>
      <rPr>
        <sz val="11"/>
        <color theme="1"/>
        <rFont val="Calibri"/>
        <family val="2"/>
        <scheme val="minor"/>
      </rPr>
      <t xml:space="preserve"> - R</t>
    </r>
    <r>
      <rPr>
        <vertAlign val="subscript"/>
        <sz val="10"/>
        <color rgb="FF000000"/>
        <rFont val="Aptos Narrow"/>
        <family val="2"/>
      </rPr>
      <t>f</t>
    </r>
    <r>
      <rPr>
        <sz val="11"/>
        <color theme="1"/>
        <rFont val="Calibri"/>
        <family val="2"/>
        <scheme val="minor"/>
      </rPr>
      <t>)</t>
    </r>
  </si>
  <si>
    <t>Equity Beta</t>
  </si>
  <si>
    <r>
      <t>Risk free rate (R</t>
    </r>
    <r>
      <rPr>
        <vertAlign val="subscript"/>
        <sz val="10"/>
        <color rgb="FF000000"/>
        <rFont val="Aptos Narrow"/>
        <family val="2"/>
      </rPr>
      <t>f</t>
    </r>
    <r>
      <rPr>
        <sz val="11"/>
        <color theme="1"/>
        <rFont val="Calibri"/>
        <family val="2"/>
        <scheme val="minor"/>
      </rPr>
      <t>)</t>
    </r>
  </si>
  <si>
    <t>Sales annual growth</t>
  </si>
  <si>
    <t>Terminal Growth</t>
  </si>
  <si>
    <t>Sales</t>
  </si>
  <si>
    <t>- Taxes</t>
  </si>
  <si>
    <t>+ Depreciations&amp;Provisions</t>
  </si>
  <si>
    <t>- Capex</t>
  </si>
  <si>
    <t>- Changes Working Capital</t>
  </si>
  <si>
    <t>375</t>
  </si>
  <si>
    <t>FCF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</si>
</sst>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1" formatCode="_-* #,##0_-;\-* #,##0_-;_-* &quot;-&quot;_-;_-@_-"/>
    <numFmt numFmtId="43" formatCode="_-* #,##0.00_-;\-* #,##0.00_-;_-* &quot;-&quot;??_-;_-@_-"/>
    <numFmt numFmtId="164" formatCode="&quot;R$&quot;\ #,##0.00;[Red]\-&quot;R$&quot;\ #,##0.00"/>
    <numFmt numFmtId="165" formatCode="_-&quot;R$&quot;\ * #,##0.00_-;\-&quot;R$&quot;\ * #,##0.00_-;_-&quot;R$&quot;\ * &quot;-&quot;??_-;_-@_-"/>
    <numFmt numFmtId="166" formatCode="0.0%"/>
    <numFmt numFmtId="167" formatCode="_(* #,##0_);_(* \(#,##0\);_(* &quot;-&quot;??_);_(@_)"/>
    <numFmt numFmtId="168" formatCode="_(* #,##0.0_);_(* \(#,##0.0\);_(* &quot;-&quot;?_);_(@_)"/>
    <numFmt numFmtId="169" formatCode="#,##0.0\x_)"/>
    <numFmt numFmtId="170" formatCode="_(* #,##0.00_);_(* \(#,##0.00\);_(* &quot;-&quot;?_);_(@_)"/>
    <numFmt numFmtId="171" formatCode="_(* #,##0_);_(* \(#,##0\);_(* &quot;-&quot;?_);_(@_)"/>
    <numFmt numFmtId="172" formatCode="_-* #,##0_-;\-* #,##0_-;_-* &quot;-&quot;??_-;_-@_-"/>
    <numFmt numFmtId="173" formatCode="#,##0_);\(#,##0\);#,##0_);@_)"/>
    <numFmt numFmtId="174" formatCode="&quot; &quot;* #,##0.00&quot; &quot;;&quot;-&quot;* #,##0.00&quot; &quot;;&quot; &quot;* &quot;-&quot;#&quot; &quot;;&quot; &quot;@&quot; &quot;"/>
    <numFmt numFmtId="175" formatCode="&quot; &quot;* #,##0&quot; &quot;;&quot; &quot;* &quot;(&quot;#,##0&quot;)&quot;;&quot; &quot;* &quot;– &quot;#;&quot; &quot;@&quot; &quot;"/>
    <numFmt numFmtId="176" formatCode="&quot; &quot;* #,##0.00&quot; &quot;;&quot; &quot;* &quot;(&quot;#,##0.00&quot;)&quot;;&quot; &quot;* &quot;– &quot;#;&quot; &quot;@&quot; &quot;"/>
    <numFmt numFmtId="177" formatCode="#,##0;&quot;-&quot;#,##0"/>
    <numFmt numFmtId="178" formatCode="#,##0.00%&quot; &quot;;&quot;(&quot;#,##0.00%&quot;)&quot;"/>
    <numFmt numFmtId="179" formatCode="&quot;FY&quot;0&quot;E&quot;"/>
    <numFmt numFmtId="180" formatCode="&quot; &quot;0"/>
    <numFmt numFmtId="181" formatCode="&quot; &quot;* #,##0&quot; &quot;;&quot; &quot;* &quot;(&quot;#,##0&quot;)&quot;;&quot; &quot;* &quot;-&quot;#&quot; &quot;;&quot; &quot;@&quot; &quot;"/>
    <numFmt numFmtId="182" formatCode="#,##0.000&quot; &quot;;&quot;(&quot;#,##0.000&quot;)&quot;"/>
  </numFmts>
  <fonts count="64" x14ac:knownFonts="1">
    <font>
      <sz val="11"/>
      <color theme="1"/>
      <name val="Calibri"/>
      <family val="2"/>
      <scheme val="minor"/>
    </font>
    <font>
      <sz val="10"/>
      <name val="Arial"/>
      <family val="2"/>
    </font>
    <font>
      <sz val="10"/>
      <name val="Arial"/>
      <family val="2"/>
    </font>
    <font>
      <b/>
      <sz val="9"/>
      <name val="Calibri"/>
      <family val="2"/>
    </font>
    <font>
      <sz val="9"/>
      <name val="Calibri"/>
      <family val="2"/>
    </font>
    <font>
      <sz val="9"/>
      <color indexed="81"/>
      <name val="Tahoma"/>
      <family val="2"/>
    </font>
    <font>
      <u/>
      <sz val="9"/>
      <name val="Calibri"/>
      <family val="2"/>
    </font>
    <font>
      <i/>
      <sz val="9"/>
      <name val="Calibri"/>
      <family val="2"/>
    </font>
    <font>
      <sz val="10"/>
      <name val="Calibri"/>
      <family val="2"/>
    </font>
    <font>
      <u/>
      <sz val="8.5"/>
      <color indexed="12"/>
      <name val="Calibri"/>
      <family val="2"/>
    </font>
    <font>
      <b/>
      <sz val="9"/>
      <color indexed="81"/>
      <name val="Tahoma"/>
      <family val="2"/>
    </font>
    <font>
      <sz val="9"/>
      <color indexed="8"/>
      <name val="Tahoma"/>
      <family val="2"/>
    </font>
    <font>
      <b/>
      <sz val="9"/>
      <color indexed="8"/>
      <name val="Tahoma"/>
      <family val="2"/>
    </font>
    <font>
      <sz val="11"/>
      <color theme="1"/>
      <name val="Calibri"/>
      <family val="2"/>
      <scheme val="minor"/>
    </font>
    <font>
      <u/>
      <sz val="11"/>
      <color theme="10"/>
      <name val="Calibri"/>
      <family val="2"/>
      <scheme val="minor"/>
    </font>
    <font>
      <sz val="11"/>
      <color theme="0"/>
      <name val="Calibri"/>
      <family val="2"/>
      <scheme val="minor"/>
    </font>
    <font>
      <b/>
      <sz val="11"/>
      <color theme="1"/>
      <name val="Calibri"/>
      <family val="2"/>
      <scheme val="minor"/>
    </font>
    <font>
      <sz val="11"/>
      <color rgb="FFFF0000"/>
      <name val="Calibri"/>
      <family val="2"/>
      <scheme val="minor"/>
    </font>
    <font>
      <b/>
      <u/>
      <sz val="9"/>
      <color rgb="FF0000FF"/>
      <name val="Calibri"/>
      <family val="2"/>
    </font>
    <font>
      <sz val="8"/>
      <color theme="1"/>
      <name val="Calibri"/>
      <family val="2"/>
      <scheme val="minor"/>
    </font>
    <font>
      <sz val="9"/>
      <name val="Calibri"/>
      <family val="2"/>
      <scheme val="minor"/>
    </font>
    <font>
      <b/>
      <sz val="9"/>
      <name val="Calibri"/>
      <family val="2"/>
      <scheme val="minor"/>
    </font>
    <font>
      <sz val="9"/>
      <color theme="1"/>
      <name val="Calibri"/>
      <family val="2"/>
      <scheme val="minor"/>
    </font>
    <font>
      <b/>
      <sz val="9"/>
      <color rgb="FF000000"/>
      <name val="Calibri"/>
      <family val="2"/>
    </font>
    <font>
      <b/>
      <sz val="9"/>
      <color rgb="FF000000"/>
      <name val="Calibri"/>
      <family val="2"/>
      <scheme val="minor"/>
    </font>
    <font>
      <b/>
      <sz val="9"/>
      <color theme="4" tint="0.79998168889431442"/>
      <name val="Calibri"/>
      <family val="2"/>
    </font>
    <font>
      <sz val="9"/>
      <color theme="0" tint="-4.9989318521683403E-2"/>
      <name val="Calibri"/>
      <family val="2"/>
    </font>
    <font>
      <b/>
      <u/>
      <sz val="9"/>
      <color theme="4" tint="0.79998168889431442"/>
      <name val="Calibri"/>
      <family val="2"/>
    </font>
    <font>
      <sz val="9"/>
      <color theme="4" tint="0.79998168889431442"/>
      <name val="Calibri"/>
      <family val="2"/>
    </font>
    <font>
      <b/>
      <sz val="9"/>
      <color rgb="FFFFFFFF"/>
      <name val="Calibri"/>
      <family val="2"/>
      <scheme val="minor"/>
    </font>
    <font>
      <sz val="9"/>
      <color rgb="FF000000"/>
      <name val="Calibri"/>
      <family val="2"/>
      <scheme val="minor"/>
    </font>
    <font>
      <b/>
      <sz val="9"/>
      <color theme="1"/>
      <name val="Calibri"/>
      <family val="2"/>
      <scheme val="minor"/>
    </font>
    <font>
      <sz val="9"/>
      <color theme="0"/>
      <name val="Calibri"/>
      <family val="2"/>
      <scheme val="minor"/>
    </font>
    <font>
      <u/>
      <sz val="9"/>
      <color theme="10"/>
      <name val="Calibri"/>
      <family val="2"/>
      <scheme val="minor"/>
    </font>
    <font>
      <b/>
      <sz val="9"/>
      <color theme="1" tint="0.499984740745262"/>
      <name val="Calibri"/>
      <family val="2"/>
      <scheme val="minor"/>
    </font>
    <font>
      <sz val="9"/>
      <color theme="1" tint="0.499984740745262"/>
      <name val="Calibri"/>
      <family val="2"/>
      <scheme val="minor"/>
    </font>
    <font>
      <sz val="9"/>
      <color theme="4" tint="0.79998168889431442"/>
      <name val="Calibri"/>
      <family val="2"/>
      <scheme val="minor"/>
    </font>
    <font>
      <b/>
      <u/>
      <sz val="9"/>
      <color theme="1"/>
      <name val="Calibri"/>
      <family val="2"/>
      <scheme val="minor"/>
    </font>
    <font>
      <b/>
      <sz val="11"/>
      <color rgb="FFFFFFFF"/>
      <name val="Calibri"/>
      <family val="2"/>
      <scheme val="minor"/>
    </font>
    <font>
      <sz val="11"/>
      <color rgb="FF000000"/>
      <name val="Calibri"/>
      <family val="2"/>
      <scheme val="minor"/>
    </font>
    <font>
      <b/>
      <sz val="11"/>
      <color rgb="FF000000"/>
      <name val="Calibri"/>
      <family val="2"/>
      <scheme val="minor"/>
    </font>
    <font>
      <b/>
      <sz val="9"/>
      <color rgb="FFFFFFFF"/>
      <name val="Calibri"/>
      <family val="2"/>
    </font>
    <font>
      <b/>
      <sz val="9"/>
      <color rgb="FFFF0000"/>
      <name val="Calibri"/>
      <family val="2"/>
      <scheme val="minor"/>
    </font>
    <font>
      <b/>
      <sz val="12"/>
      <color rgb="FF1F497D"/>
      <name val="Arial"/>
      <family val="2"/>
    </font>
    <font>
      <sz val="9"/>
      <color rgb="FF000000"/>
      <name val="Tahoma"/>
      <family val="2"/>
    </font>
    <font>
      <sz val="11"/>
      <color rgb="FF000000"/>
      <name val="Calibri"/>
      <family val="2"/>
      <charset val="161"/>
    </font>
    <font>
      <sz val="10"/>
      <color rgb="FF000000"/>
      <name val="Arial"/>
      <family val="2"/>
      <charset val="161"/>
    </font>
    <font>
      <sz val="11"/>
      <color rgb="FF000000"/>
      <name val="Aptos Narrow"/>
      <family val="2"/>
    </font>
    <font>
      <b/>
      <sz val="11"/>
      <color rgb="FF000000"/>
      <name val="Aptos Narrow"/>
      <family val="2"/>
    </font>
    <font>
      <sz val="11"/>
      <color rgb="FFA6A6A6"/>
      <name val="Aptos Narrow"/>
      <family val="2"/>
    </font>
    <font>
      <sz val="8"/>
      <color rgb="FF000000"/>
      <name val="Aptos Narrow"/>
      <family val="2"/>
    </font>
    <font>
      <b/>
      <sz val="11"/>
      <color rgb="FFFFFFFF"/>
      <name val="Aptos Narrow"/>
      <family val="2"/>
    </font>
    <font>
      <i/>
      <sz val="9"/>
      <color rgb="FF000000"/>
      <name val="Aptos Narrow"/>
      <family val="2"/>
    </font>
    <font>
      <b/>
      <sz val="10"/>
      <color rgb="FF000000"/>
      <name val="Aptos Narrow"/>
      <family val="2"/>
    </font>
    <font>
      <vertAlign val="superscript"/>
      <sz val="9"/>
      <color rgb="FF000000"/>
      <name val="Aptos Narrow"/>
      <family val="2"/>
    </font>
    <font>
      <b/>
      <vertAlign val="superscript"/>
      <sz val="9"/>
      <color rgb="FF000000"/>
      <name val="Aptos Narrow"/>
      <family val="2"/>
    </font>
    <font>
      <b/>
      <vertAlign val="subscript"/>
      <sz val="8"/>
      <color rgb="FF000000"/>
      <name val="Aptos Narrow"/>
      <family val="2"/>
    </font>
    <font>
      <vertAlign val="subscript"/>
      <sz val="10"/>
      <color rgb="FF000000"/>
      <name val="Aptos Narrow"/>
      <family val="2"/>
    </font>
    <font>
      <b/>
      <sz val="9"/>
      <color theme="1"/>
      <name val="Calibri"/>
      <family val="2"/>
      <charset val="161"/>
      <scheme val="minor"/>
    </font>
    <font>
      <i/>
      <sz val="9"/>
      <color theme="1"/>
      <name val="Calibri"/>
      <family val="2"/>
      <charset val="161"/>
      <scheme val="minor"/>
    </font>
    <font>
      <sz val="11"/>
      <color rgb="FFFF0000"/>
      <name val="Calibri"/>
      <family val="2"/>
      <charset val="161"/>
    </font>
    <font>
      <sz val="9"/>
      <color rgb="FF000000"/>
      <name val="Arial"/>
      <family val="2"/>
      <charset val="161"/>
    </font>
    <font>
      <b/>
      <u/>
      <sz val="9"/>
      <color rgb="FF000000"/>
      <name val="Arial"/>
      <family val="2"/>
      <charset val="161"/>
    </font>
    <font>
      <b/>
      <sz val="9"/>
      <color rgb="FF000000"/>
      <name val="Arial"/>
      <family val="2"/>
      <charset val="161"/>
    </font>
  </fonts>
  <fills count="35">
    <fill>
      <patternFill patternType="none"/>
    </fill>
    <fill>
      <patternFill patternType="gray125"/>
    </fill>
    <fill>
      <patternFill patternType="solid">
        <fgColor indexed="62"/>
      </patternFill>
    </fill>
    <fill>
      <patternFill patternType="solid">
        <fgColor rgb="FFFFFF00"/>
        <bgColor indexed="64"/>
      </patternFill>
    </fill>
    <fill>
      <patternFill patternType="solid">
        <fgColor rgb="FFFFCC99"/>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EAEAEA"/>
        <bgColor indexed="64"/>
      </patternFill>
    </fill>
    <fill>
      <patternFill patternType="solid">
        <fgColor theme="4" tint="0.79998168889431442"/>
        <bgColor indexed="65"/>
      </patternFill>
    </fill>
    <fill>
      <gradientFill>
        <stop position="0">
          <color rgb="FFFCD5B4"/>
        </stop>
        <stop position="0.5">
          <color rgb="FFFDE9D9"/>
        </stop>
        <stop position="1">
          <color rgb="FFFCD5B4"/>
        </stop>
      </gradientFill>
    </fill>
    <fill>
      <gradientFill>
        <stop position="0">
          <color rgb="FF1F497D"/>
        </stop>
        <stop position="0.5">
          <color rgb="FF4F81BD"/>
        </stop>
        <stop position="1">
          <color rgb="FF1F497D"/>
        </stop>
      </gradientFill>
    </fill>
    <fill>
      <gradientFill>
        <stop position="0">
          <color theme="4" tint="0.59999389629810485"/>
        </stop>
        <stop position="0.5">
          <color theme="4" tint="0.80001220740379042"/>
        </stop>
        <stop position="1">
          <color theme="4" tint="0.59999389629810485"/>
        </stop>
      </gradientFill>
    </fill>
    <fill>
      <gradientFill>
        <stop position="0">
          <color theme="3" tint="0.59999389629810485"/>
        </stop>
        <stop position="0.5">
          <color theme="3" tint="0.80001220740379042"/>
        </stop>
        <stop position="1">
          <color theme="3" tint="0.59999389629810485"/>
        </stop>
      </gradientFill>
    </fill>
    <fill>
      <patternFill patternType="solid">
        <fgColor theme="9" tint="0.59996337778862885"/>
        <bgColor indexed="64"/>
      </patternFill>
    </fill>
    <fill>
      <gradientFill>
        <stop position="0">
          <color rgb="FFB8CCE4"/>
        </stop>
        <stop position="0.5">
          <color rgb="FFDCE6F1"/>
        </stop>
        <stop position="1">
          <color rgb="FFB8CCE4"/>
        </stop>
      </gradientFill>
    </fill>
    <fill>
      <gradientFill>
        <stop position="0">
          <color rgb="FF8DB4E2"/>
        </stop>
        <stop position="0.5">
          <color rgb="FFC5D9F1"/>
        </stop>
        <stop position="1">
          <color rgb="FF8DB4E2"/>
        </stop>
      </gradientFill>
    </fill>
    <fill>
      <patternFill patternType="solid">
        <fgColor rgb="FFF2DCDB"/>
        <bgColor indexed="64"/>
      </patternFill>
    </fill>
    <fill>
      <patternFill patternType="solid">
        <fgColor theme="0" tint="-4.9989318521683403E-2"/>
        <bgColor indexed="65"/>
      </patternFill>
    </fill>
    <fill>
      <gradientFill type="path">
        <stop position="0">
          <color rgb="FFB8CCE4"/>
        </stop>
        <stop position="1">
          <color rgb="FFFFFFFF"/>
        </stop>
      </gradientFill>
    </fill>
    <fill>
      <gradientFill degree="180">
        <stop position="0">
          <color rgb="FFFFFFFF"/>
        </stop>
        <stop position="1">
          <color rgb="FFB8CCE4"/>
        </stop>
      </gradientFill>
    </fill>
    <fill>
      <gradientFill degree="270">
        <stop position="0">
          <color rgb="FFFFFFFF"/>
        </stop>
        <stop position="1">
          <color rgb="FFB8CCE4"/>
        </stop>
      </gradientFill>
    </fill>
    <fill>
      <gradientFill degree="180">
        <stop position="0">
          <color rgb="FFB8CCE4"/>
        </stop>
        <stop position="1">
          <color rgb="FFFFFFFF"/>
        </stop>
      </gradientFill>
    </fill>
    <fill>
      <gradientFill type="path" left="1" right="1" top="1" bottom="1">
        <stop position="0">
          <color rgb="FFFFFFFF"/>
        </stop>
        <stop position="1">
          <color rgb="FFB8CCE4"/>
        </stop>
      </gradientFill>
    </fill>
    <fill>
      <gradientFill type="path" top="1">
        <stop position="0">
          <color rgb="FFFFFFFF"/>
        </stop>
        <stop position="1">
          <color rgb="FFB8CCE4"/>
        </stop>
      </gradientFill>
    </fill>
    <fill>
      <gradientFill degree="270">
        <stop position="0">
          <color rgb="FFB8CCE4"/>
        </stop>
        <stop position="1">
          <color rgb="FFFFFFFF"/>
        </stop>
      </gradientFill>
    </fill>
    <fill>
      <gradientFill type="path" left="1">
        <stop position="0">
          <color rgb="FFFFFFFF"/>
        </stop>
        <stop position="1">
          <color rgb="FFB8CCE4"/>
        </stop>
      </gradientFill>
    </fill>
    <fill>
      <gradientFill type="path">
        <stop position="0">
          <color rgb="FFFFFFFF"/>
        </stop>
        <stop position="1">
          <color rgb="FFB8CCE4"/>
        </stop>
      </gradientFill>
    </fill>
    <fill>
      <patternFill patternType="solid">
        <fgColor theme="9" tint="0.39997558519241921"/>
        <bgColor indexed="64"/>
      </patternFill>
    </fill>
    <fill>
      <patternFill patternType="solid">
        <fgColor rgb="FF44B3E1"/>
        <bgColor rgb="FF44B3E1"/>
      </patternFill>
    </fill>
    <fill>
      <patternFill patternType="solid">
        <fgColor rgb="FF336699"/>
        <bgColor rgb="FF336699"/>
      </patternFill>
    </fill>
    <fill>
      <patternFill patternType="solid">
        <fgColor rgb="FFFFFFFF"/>
        <bgColor rgb="FFFFFFFF"/>
      </patternFill>
    </fill>
    <fill>
      <patternFill patternType="solid">
        <fgColor rgb="FFF2F2F2"/>
        <bgColor rgb="FFF2F2F2"/>
      </patternFill>
    </fill>
    <fill>
      <patternFill patternType="solid">
        <fgColor rgb="FFDCE6F1"/>
        <bgColor rgb="FFDCE6F1"/>
      </patternFill>
    </fill>
    <fill>
      <patternFill patternType="solid">
        <fgColor rgb="FFFFFF00"/>
        <bgColor rgb="FFFFFF00"/>
      </patternFill>
    </fill>
  </fills>
  <borders count="147">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style="thin">
        <color indexed="8"/>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right style="thin">
        <color indexed="64"/>
      </right>
      <top/>
      <bottom style="thin">
        <color indexed="64"/>
      </bottom>
      <diagonal/>
    </border>
    <border>
      <left/>
      <right style="thin">
        <color indexed="64"/>
      </right>
      <top style="thin">
        <color indexed="64"/>
      </top>
      <bottom/>
      <diagonal/>
    </border>
    <border>
      <left style="thin">
        <color indexed="8"/>
      </left>
      <right style="thin">
        <color indexed="9"/>
      </right>
      <top style="thin">
        <color indexed="9"/>
      </top>
      <bottom style="thin">
        <color indexed="9"/>
      </bottom>
      <diagonal/>
    </border>
    <border>
      <left style="thin">
        <color indexed="8"/>
      </left>
      <right style="thin">
        <color indexed="9"/>
      </right>
      <top/>
      <bottom style="thin">
        <color indexed="9"/>
      </bottom>
      <diagonal/>
    </border>
    <border>
      <left style="thin">
        <color indexed="8"/>
      </left>
      <right style="thin">
        <color indexed="9"/>
      </right>
      <top style="thin">
        <color indexed="9"/>
      </top>
      <bottom style="thin">
        <color indexed="8"/>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9"/>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8"/>
      </left>
      <right style="thin">
        <color indexed="9"/>
      </right>
      <top style="thin">
        <color indexed="8"/>
      </top>
      <bottom style="thin">
        <color indexed="9"/>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style="thin">
        <color indexed="9"/>
      </right>
      <top style="thin">
        <color indexed="8"/>
      </top>
      <bottom/>
      <diagonal/>
    </border>
    <border>
      <left style="thin">
        <color indexed="9"/>
      </left>
      <right style="thin">
        <color indexed="9"/>
      </right>
      <top style="thin">
        <color indexed="8"/>
      </top>
      <bottom/>
      <diagonal/>
    </border>
    <border>
      <left style="thin">
        <color indexed="9"/>
      </left>
      <right style="thin">
        <color indexed="8"/>
      </right>
      <top style="thin">
        <color indexed="8"/>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theme="0"/>
      </top>
      <bottom/>
      <diagonal/>
    </border>
    <border>
      <left style="thin">
        <color indexed="64"/>
      </left>
      <right/>
      <top/>
      <bottom style="thin">
        <color theme="0"/>
      </bottom>
      <diagonal/>
    </border>
    <border>
      <left/>
      <right/>
      <top style="medium">
        <color theme="0" tint="-0.499984740745262"/>
      </top>
      <bottom/>
      <diagonal/>
    </border>
    <border>
      <left/>
      <right style="thin">
        <color theme="0"/>
      </right>
      <top/>
      <bottom style="thin">
        <color indexed="64"/>
      </bottom>
      <diagonal/>
    </border>
    <border>
      <left/>
      <right/>
      <top style="thin">
        <color theme="0" tint="-0.499984740745262"/>
      </top>
      <bottom/>
      <diagonal/>
    </border>
    <border>
      <left/>
      <right/>
      <top/>
      <bottom style="medium">
        <color theme="0" tint="-0.499984740745262"/>
      </bottom>
      <diagonal/>
    </border>
    <border>
      <left/>
      <right style="medium">
        <color theme="0" tint="-0.499984740745262"/>
      </right>
      <top/>
      <bottom/>
      <diagonal/>
    </border>
    <border>
      <left/>
      <right style="medium">
        <color theme="0" tint="-0.499984740745262"/>
      </right>
      <top/>
      <bottom style="medium">
        <color theme="0" tint="-0.499984740745262"/>
      </bottom>
      <diagonal/>
    </border>
    <border>
      <left style="thin">
        <color theme="0" tint="-0.499984740745262"/>
      </left>
      <right/>
      <top/>
      <bottom/>
      <diagonal/>
    </border>
    <border>
      <left style="thin">
        <color theme="0" tint="-0.499984740745262"/>
      </left>
      <right/>
      <top style="thin">
        <color theme="0" tint="-0.499984740745262"/>
      </top>
      <bottom/>
      <diagonal/>
    </border>
    <border>
      <left/>
      <right style="medium">
        <color theme="0" tint="-0.499984740745262"/>
      </right>
      <top style="thin">
        <color theme="0" tint="-0.499984740745262"/>
      </top>
      <bottom/>
      <diagonal/>
    </border>
    <border>
      <left style="thin">
        <color theme="0" tint="-0.499984740745262"/>
      </left>
      <right/>
      <top/>
      <bottom style="medium">
        <color theme="0" tint="-0.499984740745262"/>
      </bottom>
      <diagonal/>
    </border>
    <border>
      <left style="thin">
        <color theme="0" tint="-0.14996795556505021"/>
      </left>
      <right style="medium">
        <color theme="0" tint="-0.499984740745262"/>
      </right>
      <top style="thin">
        <color theme="0" tint="-0.14996795556505021"/>
      </top>
      <bottom style="medium">
        <color theme="0" tint="-0.499984740745262"/>
      </bottom>
      <diagonal/>
    </border>
    <border>
      <left style="thin">
        <color theme="0"/>
      </left>
      <right style="thin">
        <color theme="0"/>
      </right>
      <top style="thin">
        <color indexed="64"/>
      </top>
      <bottom style="thin">
        <color theme="0"/>
      </bottom>
      <diagonal/>
    </border>
    <border>
      <left style="thin">
        <color theme="0"/>
      </left>
      <right style="thin">
        <color theme="0"/>
      </right>
      <top/>
      <bottom style="thin">
        <color theme="0"/>
      </bottom>
      <diagonal/>
    </border>
    <border>
      <left style="thin">
        <color theme="0"/>
      </left>
      <right style="thin">
        <color indexed="8"/>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indexed="8"/>
      </right>
      <top style="thin">
        <color theme="0"/>
      </top>
      <bottom style="thin">
        <color theme="0"/>
      </bottom>
      <diagonal/>
    </border>
    <border>
      <left style="thin">
        <color theme="0"/>
      </left>
      <right style="thin">
        <color theme="0"/>
      </right>
      <top style="thin">
        <color theme="0"/>
      </top>
      <bottom style="thin">
        <color indexed="8"/>
      </bottom>
      <diagonal/>
    </border>
    <border>
      <left style="thin">
        <color theme="0"/>
      </left>
      <right style="thin">
        <color indexed="8"/>
      </right>
      <top style="thin">
        <color theme="0"/>
      </top>
      <bottom style="thin">
        <color indexed="8"/>
      </bottom>
      <diagonal/>
    </border>
    <border>
      <left style="thin">
        <color theme="0"/>
      </left>
      <right/>
      <top/>
      <bottom style="thin">
        <color theme="0"/>
      </bottom>
      <diagonal/>
    </border>
    <border>
      <left style="thin">
        <color theme="0"/>
      </left>
      <right/>
      <top style="thin">
        <color theme="0"/>
      </top>
      <bottom style="thin">
        <color theme="0"/>
      </bottom>
      <diagonal/>
    </border>
    <border>
      <left style="thin">
        <color theme="0"/>
      </left>
      <right/>
      <top style="thin">
        <color theme="0"/>
      </top>
      <bottom style="thin">
        <color theme="1"/>
      </bottom>
      <diagonal/>
    </border>
    <border>
      <left style="thin">
        <color theme="0" tint="-0.499984740745262"/>
      </left>
      <right style="thin">
        <color theme="0" tint="-0.499984740745262"/>
      </right>
      <top style="thin">
        <color theme="0" tint="-0.499984740745262"/>
      </top>
      <bottom/>
      <diagonal/>
    </border>
    <border>
      <left/>
      <right/>
      <top style="thin">
        <color indexed="64"/>
      </top>
      <bottom style="medium">
        <color theme="0" tint="-0.499984740745262"/>
      </bottom>
      <diagonal/>
    </border>
    <border>
      <left/>
      <right/>
      <top style="medium">
        <color theme="0" tint="-0.499984740745262"/>
      </top>
      <bottom style="thin">
        <color indexed="64"/>
      </bottom>
      <diagonal/>
    </border>
    <border>
      <left style="thin">
        <color indexed="8"/>
      </left>
      <right style="thin">
        <color indexed="8"/>
      </right>
      <top style="thin">
        <color theme="0"/>
      </top>
      <bottom style="thin">
        <color theme="0"/>
      </bottom>
      <diagonal/>
    </border>
    <border>
      <left style="thin">
        <color indexed="8"/>
      </left>
      <right style="thin">
        <color indexed="8"/>
      </right>
      <top style="thin">
        <color theme="0"/>
      </top>
      <bottom style="thin">
        <color indexed="8"/>
      </bottom>
      <diagonal/>
    </border>
    <border>
      <left style="thin">
        <color theme="0" tint="-0.499984740745262"/>
      </left>
      <right style="thin">
        <color theme="0" tint="-0.499984740745262"/>
      </right>
      <top/>
      <bottom/>
      <diagonal/>
    </border>
    <border>
      <left style="thin">
        <color indexed="8"/>
      </left>
      <right style="thin">
        <color theme="0"/>
      </right>
      <top style="thin">
        <color theme="0"/>
      </top>
      <bottom style="thin">
        <color theme="0"/>
      </bottom>
      <diagonal/>
    </border>
    <border>
      <left style="thin">
        <color indexed="8"/>
      </left>
      <right style="thin">
        <color theme="0"/>
      </right>
      <top style="thin">
        <color theme="0"/>
      </top>
      <bottom style="thin">
        <color indexed="9"/>
      </bottom>
      <diagonal/>
    </border>
    <border>
      <left style="thin">
        <color theme="0"/>
      </left>
      <right style="thin">
        <color theme="0"/>
      </right>
      <top style="thin">
        <color theme="0"/>
      </top>
      <bottom style="thin">
        <color indexed="9"/>
      </bottom>
      <diagonal/>
    </border>
    <border>
      <left style="thin">
        <color theme="0"/>
      </left>
      <right style="thin">
        <color indexed="8"/>
      </right>
      <top style="thin">
        <color theme="0"/>
      </top>
      <bottom style="thin">
        <color indexed="9"/>
      </bottom>
      <diagonal/>
    </border>
    <border>
      <left/>
      <right style="thin">
        <color theme="0"/>
      </right>
      <top style="thin">
        <color theme="0"/>
      </top>
      <bottom style="thin">
        <color theme="0"/>
      </bottom>
      <diagonal/>
    </border>
    <border>
      <left style="thin">
        <color indexed="8"/>
      </left>
      <right style="thin">
        <color theme="0"/>
      </right>
      <top style="thin">
        <color theme="0"/>
      </top>
      <bottom style="thin">
        <color indexed="8"/>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right/>
      <top style="thin">
        <color theme="0" tint="-0.34998626667073579"/>
      </top>
      <bottom style="medium">
        <color theme="1" tint="0.499984740745262"/>
      </bottom>
      <diagonal/>
    </border>
    <border>
      <left/>
      <right style="medium">
        <color theme="1" tint="0.499984740745262"/>
      </right>
      <top style="thin">
        <color theme="0" tint="-0.34998626667073579"/>
      </top>
      <bottom style="medium">
        <color theme="1" tint="0.499984740745262"/>
      </bottom>
      <diagonal/>
    </border>
    <border>
      <left style="thin">
        <color theme="0" tint="-0.34998626667073579"/>
      </left>
      <right/>
      <top style="thin">
        <color theme="0" tint="-0.34998626667073579"/>
      </top>
      <bottom style="medium">
        <color theme="1" tint="0.499984740745262"/>
      </bottom>
      <diagonal/>
    </border>
    <border>
      <left/>
      <right style="thin">
        <color theme="0"/>
      </right>
      <top style="thin">
        <color indexed="64"/>
      </top>
      <bottom style="thin">
        <color indexed="64"/>
      </bottom>
      <diagonal/>
    </border>
    <border>
      <left style="thin">
        <color indexed="8"/>
      </left>
      <right style="thin">
        <color theme="0"/>
      </right>
      <top style="thin">
        <color indexed="8"/>
      </top>
      <bottom style="thin">
        <color indexed="8"/>
      </bottom>
      <diagonal/>
    </border>
    <border>
      <left style="thin">
        <color theme="0"/>
      </left>
      <right style="thin">
        <color theme="0"/>
      </right>
      <top style="thin">
        <color indexed="8"/>
      </top>
      <bottom style="thin">
        <color indexed="8"/>
      </bottom>
      <diagonal/>
    </border>
    <border>
      <left style="thin">
        <color theme="0"/>
      </left>
      <right style="thin">
        <color indexed="8"/>
      </right>
      <top style="thin">
        <color indexed="8"/>
      </top>
      <bottom style="thin">
        <color indexed="8"/>
      </bottom>
      <diagonal/>
    </border>
    <border>
      <left style="thin">
        <color indexed="8"/>
      </left>
      <right style="thin">
        <color indexed="8"/>
      </right>
      <top style="thin">
        <color indexed="8"/>
      </top>
      <bottom style="thin">
        <color theme="0"/>
      </bottom>
      <diagonal/>
    </border>
    <border>
      <left style="thin">
        <color theme="0"/>
      </left>
      <right style="thin">
        <color theme="0"/>
      </right>
      <top style="thin">
        <color indexed="8"/>
      </top>
      <bottom style="thin">
        <color theme="0"/>
      </bottom>
      <diagonal/>
    </border>
    <border>
      <left/>
      <right style="thin">
        <color theme="0"/>
      </right>
      <top style="thin">
        <color indexed="8"/>
      </top>
      <bottom style="thin">
        <color theme="0"/>
      </bottom>
      <diagonal/>
    </border>
    <border>
      <left style="thin">
        <color theme="0"/>
      </left>
      <right style="thin">
        <color indexed="8"/>
      </right>
      <top style="thin">
        <color indexed="8"/>
      </top>
      <bottom style="thin">
        <color theme="0"/>
      </bottom>
      <diagonal/>
    </border>
    <border>
      <left style="thin">
        <color indexed="8"/>
      </left>
      <right style="thin">
        <color theme="0"/>
      </right>
      <top style="thin">
        <color indexed="8"/>
      </top>
      <bottom style="thin">
        <color theme="0"/>
      </bottom>
      <diagonal/>
    </border>
    <border>
      <left style="thin">
        <color indexed="8"/>
      </left>
      <right style="thin">
        <color theme="0"/>
      </right>
      <top style="thin">
        <color theme="0"/>
      </top>
      <bottom style="thin">
        <color theme="1"/>
      </bottom>
      <diagonal/>
    </border>
    <border>
      <left style="thin">
        <color theme="0"/>
      </left>
      <right style="thin">
        <color theme="0"/>
      </right>
      <top style="thin">
        <color theme="0"/>
      </top>
      <bottom style="thin">
        <color theme="1"/>
      </bottom>
      <diagonal/>
    </border>
    <border>
      <left style="thin">
        <color theme="0"/>
      </left>
      <right style="thin">
        <color theme="0"/>
      </right>
      <top style="thin">
        <color indexed="64"/>
      </top>
      <bottom style="thin">
        <color indexed="9"/>
      </bottom>
      <diagonal/>
    </border>
    <border>
      <left style="thin">
        <color theme="0"/>
      </left>
      <right style="thin">
        <color theme="0"/>
      </right>
      <top style="thin">
        <color indexed="9"/>
      </top>
      <bottom style="thin">
        <color theme="0"/>
      </bottom>
      <diagonal/>
    </border>
    <border>
      <left style="thin">
        <color theme="0"/>
      </left>
      <right style="thin">
        <color indexed="64"/>
      </right>
      <top style="thin">
        <color indexed="64"/>
      </top>
      <bottom style="thin">
        <color indexed="9"/>
      </bottom>
      <diagonal/>
    </border>
    <border>
      <left style="thin">
        <color theme="0"/>
      </left>
      <right style="thin">
        <color indexed="64"/>
      </right>
      <top style="thin">
        <color indexed="9"/>
      </top>
      <bottom style="thin">
        <color theme="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theme="0"/>
      </right>
      <top style="thin">
        <color indexed="64"/>
      </top>
      <bottom style="thin">
        <color indexed="9"/>
      </bottom>
      <diagonal/>
    </border>
    <border>
      <left style="thin">
        <color indexed="64"/>
      </left>
      <right style="thin">
        <color theme="0"/>
      </right>
      <top style="thin">
        <color indexed="9"/>
      </top>
      <bottom style="thin">
        <color theme="0"/>
      </bottom>
      <diagonal/>
    </border>
    <border>
      <left style="thin">
        <color theme="0"/>
      </left>
      <right/>
      <top style="thin">
        <color indexed="64"/>
      </top>
      <bottom style="thin">
        <color indexed="64"/>
      </bottom>
      <diagonal/>
    </border>
    <border>
      <left style="thin">
        <color indexed="64"/>
      </left>
      <right/>
      <top style="thin">
        <color indexed="64"/>
      </top>
      <bottom style="thin">
        <color theme="0"/>
      </bottom>
      <diagonal/>
    </border>
    <border>
      <left/>
      <right/>
      <top style="thin">
        <color indexed="64"/>
      </top>
      <bottom style="thin">
        <color theme="0"/>
      </bottom>
      <diagonal/>
    </border>
    <border>
      <left style="medium">
        <color theme="0"/>
      </left>
      <right/>
      <top style="medium">
        <color theme="0"/>
      </top>
      <bottom style="medium">
        <color theme="1" tint="0.499984740745262"/>
      </bottom>
      <diagonal/>
    </border>
    <border>
      <left/>
      <right style="medium">
        <color theme="1" tint="0.499984740745262"/>
      </right>
      <top style="medium">
        <color theme="0"/>
      </top>
      <bottom style="medium">
        <color theme="1" tint="0.499984740745262"/>
      </bottom>
      <diagonal/>
    </border>
    <border>
      <left/>
      <right style="thin">
        <color indexed="8"/>
      </right>
      <top style="thin">
        <color theme="0"/>
      </top>
      <bottom style="thin">
        <color theme="0"/>
      </bottom>
      <diagonal/>
    </border>
    <border>
      <left style="thin">
        <color theme="0"/>
      </left>
      <right/>
      <top style="thin">
        <color theme="0"/>
      </top>
      <bottom style="thin">
        <color indexed="8"/>
      </bottom>
      <diagonal/>
    </border>
    <border>
      <left/>
      <right style="thin">
        <color indexed="8"/>
      </right>
      <top style="thin">
        <color theme="0"/>
      </top>
      <bottom style="thin">
        <color indexed="8"/>
      </bottom>
      <diagonal/>
    </border>
    <border>
      <left style="thin">
        <color indexed="8"/>
      </left>
      <right style="thin">
        <color theme="0"/>
      </right>
      <top style="thin">
        <color indexed="8"/>
      </top>
      <bottom/>
      <diagonal/>
    </border>
    <border>
      <left style="thin">
        <color indexed="8"/>
      </left>
      <right style="thin">
        <color theme="0"/>
      </right>
      <top/>
      <bottom/>
      <diagonal/>
    </border>
    <border>
      <left style="thin">
        <color theme="0"/>
      </left>
      <right style="thin">
        <color theme="0"/>
      </right>
      <top/>
      <bottom/>
      <diagonal/>
    </border>
    <border>
      <left style="thin">
        <color theme="0"/>
      </left>
      <right style="thin">
        <color indexed="8"/>
      </right>
      <top/>
      <bottom/>
      <diagonal/>
    </border>
    <border>
      <left style="thin">
        <color theme="0"/>
      </left>
      <right/>
      <top style="thin">
        <color indexed="64"/>
      </top>
      <bottom/>
      <diagonal/>
    </border>
    <border>
      <left/>
      <right style="thin">
        <color indexed="64"/>
      </right>
      <top/>
      <bottom style="thin">
        <color theme="0"/>
      </bottom>
      <diagonal/>
    </border>
    <border>
      <left style="thin">
        <color rgb="FFBFBFBF"/>
      </left>
      <right style="thin">
        <color rgb="FFBFBFBF"/>
      </right>
      <top style="thin">
        <color rgb="FF000000"/>
      </top>
      <bottom style="double">
        <color rgb="FF000000"/>
      </bottom>
      <diagonal/>
    </border>
    <border>
      <left/>
      <right/>
      <top style="thin">
        <color rgb="FF000000"/>
      </top>
      <bottom style="double">
        <color rgb="FF000000"/>
      </bottom>
      <diagonal/>
    </border>
    <border>
      <left style="thin">
        <color rgb="FFBFBFBF"/>
      </left>
      <right style="thin">
        <color rgb="FFBFBFBF"/>
      </right>
      <top style="thin">
        <color rgb="FFBFBFBF"/>
      </top>
      <bottom style="thin">
        <color rgb="FFBFBFBF"/>
      </bottom>
      <diagonal/>
    </border>
    <border>
      <left/>
      <right/>
      <top style="thin">
        <color rgb="FFC0E6F5"/>
      </top>
      <bottom style="thin">
        <color rgb="FF44B3E1"/>
      </bottom>
      <diagonal/>
    </border>
    <border>
      <left/>
      <right style="medium">
        <color rgb="FFFFFFFF"/>
      </right>
      <top/>
      <bottom/>
      <diagonal/>
    </border>
    <border>
      <left/>
      <right/>
      <top/>
      <bottom style="thin">
        <color rgb="FFC0E6F5"/>
      </bottom>
      <diagonal/>
    </border>
    <border>
      <left style="thin">
        <color rgb="FFBFBFBF"/>
      </left>
      <right style="thin">
        <color rgb="FFBFBFBF"/>
      </right>
      <top/>
      <bottom style="double">
        <color rgb="FF000000"/>
      </bottom>
      <diagonal/>
    </border>
    <border>
      <left/>
      <right/>
      <top/>
      <bottom style="double">
        <color rgb="FF000000"/>
      </bottom>
      <diagonal/>
    </border>
    <border>
      <left/>
      <right/>
      <top style="thin">
        <color rgb="FF000000"/>
      </top>
      <bottom/>
      <diagonal/>
    </border>
    <border>
      <left/>
      <right/>
      <top/>
      <bottom style="thin">
        <color rgb="FF000000"/>
      </bottom>
      <diagonal/>
    </border>
  </borders>
  <cellStyleXfs count="22">
    <xf numFmtId="0" fontId="0" fillId="0" borderId="0"/>
    <xf numFmtId="0" fontId="15" fillId="2" borderId="0" applyNumberFormat="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0" fontId="14" fillId="0" borderId="0" applyNumberFormat="0" applyFill="0" applyBorder="0" applyAlignment="0" applyProtection="0"/>
    <xf numFmtId="0" fontId="9" fillId="0" borderId="0" applyNumberFormat="0" applyFill="0" applyBorder="0" applyAlignment="0" applyProtection="0">
      <alignment vertical="top"/>
      <protection locked="0"/>
    </xf>
    <xf numFmtId="0" fontId="1" fillId="0" borderId="0"/>
    <xf numFmtId="0" fontId="13" fillId="0" borderId="0"/>
    <xf numFmtId="0" fontId="8" fillId="0" borderId="0"/>
    <xf numFmtId="0" fontId="1" fillId="0" borderId="0"/>
    <xf numFmtId="0" fontId="13" fillId="0" borderId="0"/>
    <xf numFmtId="0" fontId="1" fillId="0" borderId="0"/>
    <xf numFmtId="0" fontId="8" fillId="0" borderId="0"/>
    <xf numFmtId="9" fontId="13" fillId="0" borderId="0" applyFont="0" applyFill="0" applyBorder="0" applyAlignment="0" applyProtection="0"/>
    <xf numFmtId="9" fontId="13" fillId="0" borderId="0" applyFont="0" applyFill="0" applyBorder="0" applyAlignment="0" applyProtection="0"/>
    <xf numFmtId="0" fontId="45" fillId="0" borderId="0"/>
    <xf numFmtId="0" fontId="46" fillId="0" borderId="0" applyNumberFormat="0" applyBorder="0" applyProtection="0"/>
    <xf numFmtId="174" fontId="45" fillId="0" borderId="0" applyFont="0" applyFill="0" applyBorder="0" applyAlignment="0" applyProtection="0"/>
    <xf numFmtId="9" fontId="45" fillId="0" borderId="0" applyFont="0" applyFill="0" applyBorder="0" applyAlignment="0" applyProtection="0"/>
  </cellStyleXfs>
  <cellXfs count="694">
    <xf numFmtId="0" fontId="0" fillId="0" borderId="0" xfId="0"/>
    <xf numFmtId="0" fontId="16" fillId="0" borderId="0" xfId="0" applyFont="1"/>
    <xf numFmtId="0" fontId="0" fillId="0" borderId="0" xfId="0" applyAlignment="1">
      <alignment horizontal="center"/>
    </xf>
    <xf numFmtId="0" fontId="16" fillId="0" borderId="1" xfId="0" applyFont="1" applyBorder="1" applyAlignment="1">
      <alignment horizontal="center"/>
    </xf>
    <xf numFmtId="0" fontId="16" fillId="0" borderId="2"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xf>
    <xf numFmtId="0" fontId="0" fillId="0" borderId="0" xfId="0" applyAlignment="1">
      <alignment horizontal="center" vertical="center" wrapText="1"/>
    </xf>
    <xf numFmtId="0" fontId="0" fillId="0" borderId="5" xfId="0" applyBorder="1"/>
    <xf numFmtId="0" fontId="0" fillId="0" borderId="6" xfId="0" applyBorder="1"/>
    <xf numFmtId="0" fontId="0" fillId="3" borderId="0" xfId="0" applyFill="1"/>
    <xf numFmtId="166" fontId="0" fillId="0" borderId="0" xfId="0" applyNumberFormat="1"/>
    <xf numFmtId="9" fontId="13" fillId="0" borderId="0" xfId="16" applyFont="1"/>
    <xf numFmtId="9" fontId="0" fillId="0" borderId="0" xfId="0" applyNumberFormat="1"/>
    <xf numFmtId="166" fontId="17" fillId="0" borderId="0" xfId="16" applyNumberFormat="1" applyFont="1"/>
    <xf numFmtId="164" fontId="13" fillId="0" borderId="0" xfId="16" applyNumberFormat="1" applyFont="1"/>
    <xf numFmtId="9" fontId="13" fillId="0" borderId="7" xfId="16" applyFont="1" applyBorder="1"/>
    <xf numFmtId="9" fontId="13" fillId="0" borderId="8" xfId="16" applyFont="1" applyBorder="1"/>
    <xf numFmtId="9" fontId="13" fillId="3" borderId="9" xfId="16" applyFont="1" applyFill="1" applyBorder="1"/>
    <xf numFmtId="10" fontId="13" fillId="0" borderId="10" xfId="16" applyNumberFormat="1" applyFont="1" applyBorder="1"/>
    <xf numFmtId="10" fontId="13" fillId="0" borderId="7" xfId="16" applyNumberFormat="1" applyFont="1" applyBorder="1"/>
    <xf numFmtId="166" fontId="13" fillId="0" borderId="11" xfId="16" applyNumberFormat="1" applyFont="1" applyBorder="1"/>
    <xf numFmtId="166" fontId="13" fillId="0" borderId="0" xfId="16" applyNumberFormat="1" applyFont="1"/>
    <xf numFmtId="0" fontId="0" fillId="0" borderId="0" xfId="0" quotePrefix="1"/>
    <xf numFmtId="166" fontId="13" fillId="0" borderId="0" xfId="16" applyNumberFormat="1" applyFont="1" applyBorder="1"/>
    <xf numFmtId="0" fontId="0" fillId="0" borderId="12" xfId="0" applyBorder="1"/>
    <xf numFmtId="0" fontId="0" fillId="0" borderId="0" xfId="0" applyAlignment="1">
      <alignment horizontal="left"/>
    </xf>
    <xf numFmtId="0" fontId="18" fillId="0" borderId="0" xfId="0" applyFont="1" applyAlignment="1">
      <alignment horizontal="center" vertical="center"/>
    </xf>
    <xf numFmtId="0" fontId="3" fillId="0" borderId="0" xfId="0" applyFont="1" applyAlignment="1">
      <alignment horizontal="centerContinuous" vertical="center"/>
    </xf>
    <xf numFmtId="0" fontId="0" fillId="0" borderId="0" xfId="0" applyAlignment="1">
      <alignment horizontal="left" vertical="center" wrapText="1"/>
    </xf>
    <xf numFmtId="0" fontId="0" fillId="4" borderId="13" xfId="0" applyFill="1" applyBorder="1"/>
    <xf numFmtId="0" fontId="16" fillId="5" borderId="14" xfId="0" applyFont="1" applyFill="1" applyBorder="1" applyAlignment="1">
      <alignment horizontal="center"/>
    </xf>
    <xf numFmtId="0" fontId="0" fillId="6" borderId="15" xfId="0" applyFill="1" applyBorder="1"/>
    <xf numFmtId="0" fontId="0" fillId="7" borderId="13" xfId="0" applyFill="1"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19" fillId="0" borderId="0" xfId="0" applyFont="1"/>
    <xf numFmtId="0" fontId="19" fillId="0" borderId="0" xfId="0" quotePrefix="1" applyFont="1"/>
    <xf numFmtId="0" fontId="16" fillId="8" borderId="22" xfId="0" applyFont="1" applyFill="1" applyBorder="1" applyAlignment="1">
      <alignment horizontal="left"/>
    </xf>
    <xf numFmtId="0" fontId="16" fillId="8" borderId="18" xfId="0" applyFont="1" applyFill="1" applyBorder="1" applyAlignment="1">
      <alignment horizontal="left"/>
    </xf>
    <xf numFmtId="0" fontId="16" fillId="8" borderId="19" xfId="0" applyFont="1" applyFill="1" applyBorder="1" applyAlignment="1">
      <alignment horizontal="left"/>
    </xf>
    <xf numFmtId="2" fontId="16" fillId="0" borderId="0" xfId="0" applyNumberFormat="1" applyFont="1" applyAlignment="1">
      <alignment horizont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20" fillId="0" borderId="0" xfId="0" applyFont="1" applyAlignment="1">
      <alignment vertical="center"/>
    </xf>
    <xf numFmtId="0" fontId="20" fillId="0" borderId="24" xfId="0" applyFont="1" applyBorder="1" applyAlignment="1">
      <alignment vertical="center"/>
    </xf>
    <xf numFmtId="0" fontId="20" fillId="0" borderId="0" xfId="0" applyFont="1" applyAlignment="1">
      <alignment horizontal="center" vertical="center"/>
    </xf>
    <xf numFmtId="0" fontId="20" fillId="0" borderId="25" xfId="0" applyFont="1" applyBorder="1" applyAlignment="1">
      <alignment vertical="center"/>
    </xf>
    <xf numFmtId="166" fontId="20" fillId="0" borderId="0" xfId="16" applyNumberFormat="1" applyFont="1" applyFill="1" applyBorder="1" applyAlignment="1">
      <alignment horizontal="center" vertical="center"/>
    </xf>
    <xf numFmtId="166" fontId="20" fillId="0" borderId="25" xfId="16" applyNumberFormat="1" applyFont="1" applyFill="1" applyBorder="1" applyAlignment="1">
      <alignment horizontal="center" vertical="center"/>
    </xf>
    <xf numFmtId="0" fontId="20" fillId="0" borderId="61" xfId="0" applyFont="1" applyBorder="1" applyAlignment="1">
      <alignment vertical="center"/>
    </xf>
    <xf numFmtId="166" fontId="20" fillId="0" borderId="0" xfId="0" applyNumberFormat="1" applyFont="1" applyAlignment="1">
      <alignment horizontal="center" vertical="center"/>
    </xf>
    <xf numFmtId="2" fontId="20" fillId="0" borderId="9" xfId="0" applyNumberFormat="1" applyFont="1" applyBorder="1" applyAlignment="1">
      <alignment horizontal="center" vertical="center"/>
    </xf>
    <xf numFmtId="0" fontId="20" fillId="0" borderId="24" xfId="0" applyFont="1" applyBorder="1" applyAlignment="1">
      <alignment horizontal="center" vertical="center"/>
    </xf>
    <xf numFmtId="2" fontId="20" fillId="0" borderId="10" xfId="0" applyNumberFormat="1" applyFont="1" applyBorder="1" applyAlignment="1">
      <alignment horizontal="center" vertical="center"/>
    </xf>
    <xf numFmtId="2" fontId="20" fillId="0" borderId="11" xfId="0" applyNumberFormat="1" applyFont="1" applyBorder="1" applyAlignment="1">
      <alignment horizontal="center" vertical="center"/>
    </xf>
    <xf numFmtId="2" fontId="21" fillId="0" borderId="26" xfId="0" applyNumberFormat="1" applyFont="1" applyBorder="1" applyAlignment="1">
      <alignment horizontal="center" vertical="center"/>
    </xf>
    <xf numFmtId="2" fontId="20" fillId="0" borderId="27" xfId="0" applyNumberFormat="1" applyFont="1" applyBorder="1" applyAlignment="1">
      <alignment horizontal="center" vertical="center"/>
    </xf>
    <xf numFmtId="2" fontId="20" fillId="0" borderId="28" xfId="0" applyNumberFormat="1" applyFont="1" applyBorder="1" applyAlignment="1">
      <alignment horizontal="center" vertical="center"/>
    </xf>
    <xf numFmtId="0" fontId="20" fillId="0" borderId="62" xfId="0" applyFont="1" applyBorder="1" applyAlignment="1">
      <alignment vertical="center"/>
    </xf>
    <xf numFmtId="9" fontId="20" fillId="0" borderId="9" xfId="16" applyFont="1" applyFill="1" applyBorder="1" applyAlignment="1">
      <alignment horizontal="center" vertical="center"/>
    </xf>
    <xf numFmtId="9" fontId="20" fillId="0" borderId="10" xfId="16" applyFont="1" applyFill="1" applyBorder="1" applyAlignment="1">
      <alignment horizontal="center" vertical="center"/>
    </xf>
    <xf numFmtId="9" fontId="20" fillId="0" borderId="11" xfId="16" applyFont="1" applyFill="1" applyBorder="1" applyAlignment="1">
      <alignment horizontal="center" vertical="center"/>
    </xf>
    <xf numFmtId="9" fontId="21" fillId="0" borderId="26" xfId="16" applyFont="1" applyFill="1" applyBorder="1" applyAlignment="1">
      <alignment horizontal="center" vertical="center"/>
    </xf>
    <xf numFmtId="9" fontId="20" fillId="0" borderId="27" xfId="16" applyFont="1" applyFill="1" applyBorder="1" applyAlignment="1">
      <alignment horizontal="center" vertical="center"/>
    </xf>
    <xf numFmtId="9" fontId="20" fillId="0" borderId="28" xfId="16" applyFont="1" applyFill="1" applyBorder="1" applyAlignment="1">
      <alignment horizontal="center" vertical="center"/>
    </xf>
    <xf numFmtId="0" fontId="20" fillId="0" borderId="29" xfId="0" applyFont="1" applyBorder="1" applyAlignment="1">
      <alignment horizontal="center" vertical="center"/>
    </xf>
    <xf numFmtId="166" fontId="20" fillId="0" borderId="30" xfId="0" applyNumberFormat="1" applyFont="1" applyBorder="1" applyAlignment="1">
      <alignment horizontal="center" vertical="center"/>
    </xf>
    <xf numFmtId="0" fontId="4" fillId="0" borderId="0" xfId="0" applyFont="1" applyAlignment="1">
      <alignment horizontal="left" vertical="center"/>
    </xf>
    <xf numFmtId="0" fontId="6" fillId="0" borderId="0" xfId="0" applyFont="1" applyAlignment="1">
      <alignment horizontal="left" vertical="center"/>
    </xf>
    <xf numFmtId="0" fontId="4" fillId="0" borderId="29" xfId="0" applyFont="1" applyBorder="1" applyAlignment="1">
      <alignment horizontal="left" vertical="center"/>
    </xf>
    <xf numFmtId="0" fontId="4" fillId="0" borderId="30" xfId="0" applyFont="1" applyBorder="1" applyAlignment="1">
      <alignment horizontal="left" vertical="center"/>
    </xf>
    <xf numFmtId="0" fontId="4" fillId="0" borderId="23" xfId="0" applyFont="1" applyBorder="1" applyAlignment="1">
      <alignment horizontal="left" vertical="center"/>
    </xf>
    <xf numFmtId="9" fontId="20" fillId="0" borderId="10" xfId="16" applyFont="1" applyFill="1" applyBorder="1" applyAlignment="1">
      <alignment horizontal="right" vertical="center"/>
    </xf>
    <xf numFmtId="0" fontId="4" fillId="0" borderId="11" xfId="0" applyFont="1" applyBorder="1" applyAlignment="1">
      <alignment horizontal="left" vertical="center"/>
    </xf>
    <xf numFmtId="0" fontId="4" fillId="0" borderId="8" xfId="0" applyFont="1" applyBorder="1" applyAlignment="1">
      <alignment horizontal="left" vertical="center"/>
    </xf>
    <xf numFmtId="9" fontId="20" fillId="0" borderId="9" xfId="16" applyFont="1" applyFill="1" applyBorder="1" applyAlignment="1">
      <alignment vertical="center"/>
    </xf>
    <xf numFmtId="0" fontId="4" fillId="0" borderId="30" xfId="0" applyFont="1" applyBorder="1" applyAlignment="1">
      <alignment horizontal="right" vertical="center"/>
    </xf>
    <xf numFmtId="0" fontId="4" fillId="0" borderId="8" xfId="0" applyFont="1" applyBorder="1" applyAlignment="1">
      <alignment horizontal="right" vertical="center"/>
    </xf>
    <xf numFmtId="1" fontId="20" fillId="0" borderId="27" xfId="2" applyNumberFormat="1" applyFont="1" applyFill="1" applyBorder="1" applyAlignment="1">
      <alignment horizontal="center" vertical="center"/>
    </xf>
    <xf numFmtId="0" fontId="7" fillId="0" borderId="0" xfId="0" applyFont="1" applyAlignment="1">
      <alignment horizontal="left" vertical="center"/>
    </xf>
    <xf numFmtId="0" fontId="4" fillId="0" borderId="0" xfId="0" applyFont="1" applyAlignment="1">
      <alignment horizontal="center" vertical="center"/>
    </xf>
    <xf numFmtId="0" fontId="7" fillId="0" borderId="63" xfId="0" applyFont="1" applyBorder="1" applyAlignment="1">
      <alignment horizontal="left" vertical="center"/>
    </xf>
    <xf numFmtId="0" fontId="4" fillId="0" borderId="63" xfId="0" applyFont="1" applyBorder="1" applyAlignment="1">
      <alignment horizontal="left" vertical="center"/>
    </xf>
    <xf numFmtId="0" fontId="4" fillId="0" borderId="63" xfId="0" applyFont="1" applyBorder="1" applyAlignment="1">
      <alignment horizontal="center" vertical="center"/>
    </xf>
    <xf numFmtId="9" fontId="20" fillId="0" borderId="9" xfId="16" applyFont="1" applyFill="1" applyBorder="1" applyAlignment="1">
      <alignment horizontal="right" vertical="center"/>
    </xf>
    <xf numFmtId="0" fontId="18" fillId="0" borderId="64" xfId="0" applyFont="1" applyBorder="1" applyAlignment="1">
      <alignment horizontal="center" vertical="center"/>
    </xf>
    <xf numFmtId="167" fontId="20" fillId="0" borderId="9" xfId="2" applyNumberFormat="1" applyFont="1" applyFill="1" applyBorder="1" applyAlignment="1">
      <alignment horizontal="right" vertical="center"/>
    </xf>
    <xf numFmtId="166" fontId="20" fillId="0" borderId="27" xfId="16" applyNumberFormat="1" applyFont="1" applyFill="1" applyBorder="1" applyAlignment="1">
      <alignment horizontal="center" vertical="center"/>
    </xf>
    <xf numFmtId="0" fontId="3" fillId="9" borderId="0" xfId="0" applyFont="1" applyFill="1" applyAlignment="1">
      <alignment horizontal="centerContinuous" vertical="center"/>
    </xf>
    <xf numFmtId="0" fontId="3" fillId="9" borderId="30" xfId="0" applyFont="1" applyFill="1" applyBorder="1" applyAlignment="1">
      <alignment horizontal="centerContinuous" vertical="center"/>
    </xf>
    <xf numFmtId="0" fontId="7" fillId="9" borderId="0" xfId="0" applyFont="1" applyFill="1" applyAlignment="1">
      <alignment horizontal="left" vertical="center"/>
    </xf>
    <xf numFmtId="0" fontId="4" fillId="9" borderId="0" xfId="0" applyFont="1" applyFill="1" applyAlignment="1">
      <alignment horizontal="left" vertical="center"/>
    </xf>
    <xf numFmtId="0" fontId="4" fillId="9" borderId="0" xfId="0" applyFont="1" applyFill="1" applyAlignment="1">
      <alignment horizontal="center" vertical="center"/>
    </xf>
    <xf numFmtId="0" fontId="4" fillId="9" borderId="0" xfId="0" applyFont="1" applyFill="1" applyAlignment="1">
      <alignment horizontal="centerContinuous" vertical="center"/>
    </xf>
    <xf numFmtId="0" fontId="3" fillId="9" borderId="0" xfId="0" applyFont="1" applyFill="1" applyAlignment="1">
      <alignment horizontal="right" vertical="center"/>
    </xf>
    <xf numFmtId="0" fontId="3" fillId="9" borderId="0" xfId="0" applyFont="1" applyFill="1" applyAlignment="1">
      <alignment horizontal="center" vertical="center"/>
    </xf>
    <xf numFmtId="167" fontId="22" fillId="7" borderId="25" xfId="0" quotePrefix="1" applyNumberFormat="1" applyFont="1" applyFill="1" applyBorder="1" applyAlignment="1">
      <alignment horizontal="center" vertical="center"/>
    </xf>
    <xf numFmtId="0" fontId="3" fillId="7" borderId="0" xfId="0" applyFont="1" applyFill="1" applyAlignment="1">
      <alignment horizontal="centerContinuous" vertical="center"/>
    </xf>
    <xf numFmtId="0" fontId="3" fillId="7" borderId="30" xfId="0" applyFont="1" applyFill="1" applyBorder="1" applyAlignment="1">
      <alignment horizontal="centerContinuous" vertical="center"/>
    </xf>
    <xf numFmtId="0" fontId="7" fillId="7" borderId="0" xfId="0" applyFont="1" applyFill="1" applyAlignment="1">
      <alignment horizontal="left" vertical="center"/>
    </xf>
    <xf numFmtId="0" fontId="4" fillId="7" borderId="0" xfId="0" applyFont="1" applyFill="1" applyAlignment="1">
      <alignment horizontal="left" vertical="center"/>
    </xf>
    <xf numFmtId="0" fontId="4" fillId="7" borderId="0" xfId="0" applyFont="1" applyFill="1" applyAlignment="1">
      <alignment horizontal="center" vertical="center"/>
    </xf>
    <xf numFmtId="0" fontId="4" fillId="7" borderId="0" xfId="0" applyFont="1" applyFill="1" applyAlignment="1">
      <alignment horizontal="centerContinuous" vertical="center"/>
    </xf>
    <xf numFmtId="0" fontId="3" fillId="7" borderId="0" xfId="0" applyFont="1" applyFill="1" applyAlignment="1">
      <alignment horizontal="right" vertical="center"/>
    </xf>
    <xf numFmtId="0" fontId="3" fillId="7" borderId="0" xfId="0" applyFont="1" applyFill="1" applyAlignment="1">
      <alignment horizontal="center" vertical="center"/>
    </xf>
    <xf numFmtId="1" fontId="23" fillId="10" borderId="31" xfId="0" applyNumberFormat="1" applyFont="1" applyFill="1" applyBorder="1" applyAlignment="1">
      <alignment horizontal="center" vertical="center"/>
    </xf>
    <xf numFmtId="9" fontId="23" fillId="10" borderId="9" xfId="16" applyFont="1" applyFill="1" applyBorder="1" applyAlignment="1">
      <alignment horizontal="center" vertical="center"/>
    </xf>
    <xf numFmtId="9" fontId="24" fillId="10" borderId="9" xfId="16" applyFont="1" applyFill="1" applyBorder="1" applyAlignment="1">
      <alignment horizontal="center" vertical="center"/>
    </xf>
    <xf numFmtId="0" fontId="23" fillId="10" borderId="9" xfId="0" applyFont="1" applyFill="1" applyBorder="1" applyAlignment="1">
      <alignment horizontal="center" vertical="center"/>
    </xf>
    <xf numFmtId="2" fontId="23" fillId="10" borderId="9" xfId="16" applyNumberFormat="1" applyFont="1" applyFill="1" applyBorder="1" applyAlignment="1">
      <alignment horizontal="center" vertical="center"/>
    </xf>
    <xf numFmtId="2" fontId="24" fillId="10" borderId="9" xfId="16" applyNumberFormat="1" applyFont="1" applyFill="1" applyBorder="1" applyAlignment="1">
      <alignment horizontal="center" vertical="center"/>
    </xf>
    <xf numFmtId="0" fontId="3" fillId="7" borderId="65" xfId="0" applyFont="1" applyFill="1" applyBorder="1" applyAlignment="1">
      <alignment horizontal="centerContinuous" vertical="center"/>
    </xf>
    <xf numFmtId="0" fontId="25" fillId="7" borderId="65" xfId="0" applyFont="1" applyFill="1" applyBorder="1" applyAlignment="1">
      <alignment horizontal="centerContinuous" vertical="center"/>
    </xf>
    <xf numFmtId="0" fontId="4" fillId="7" borderId="66" xfId="0" applyFont="1" applyFill="1" applyBorder="1" applyAlignment="1">
      <alignment horizontal="left" vertical="center"/>
    </xf>
    <xf numFmtId="0" fontId="4" fillId="7" borderId="67" xfId="0" applyFont="1" applyFill="1" applyBorder="1" applyAlignment="1">
      <alignment horizontal="left" vertical="center"/>
    </xf>
    <xf numFmtId="0" fontId="4" fillId="7" borderId="68" xfId="0" applyFont="1" applyFill="1" applyBorder="1" applyAlignment="1">
      <alignment horizontal="left" vertical="center"/>
    </xf>
    <xf numFmtId="0" fontId="4" fillId="7" borderId="69" xfId="0" applyFont="1" applyFill="1" applyBorder="1" applyAlignment="1">
      <alignment horizontal="left" vertical="center"/>
    </xf>
    <xf numFmtId="0" fontId="18" fillId="7" borderId="70" xfId="0" applyFont="1" applyFill="1" applyBorder="1" applyAlignment="1">
      <alignment horizontal="center" vertical="center"/>
    </xf>
    <xf numFmtId="0" fontId="18" fillId="7" borderId="0" xfId="0" applyFont="1" applyFill="1" applyAlignment="1">
      <alignment horizontal="center" vertical="center"/>
    </xf>
    <xf numFmtId="0" fontId="18" fillId="7" borderId="65" xfId="0" applyFont="1" applyFill="1" applyBorder="1" applyAlignment="1">
      <alignment horizontal="center" vertical="center"/>
    </xf>
    <xf numFmtId="0" fontId="26" fillId="7" borderId="71" xfId="0" applyFont="1" applyFill="1" applyBorder="1" applyAlignment="1">
      <alignment horizontal="left" vertical="center"/>
    </xf>
    <xf numFmtId="0" fontId="18" fillId="7" borderId="69" xfId="0" applyFont="1" applyFill="1" applyBorder="1" applyAlignment="1">
      <alignment horizontal="center" vertical="center"/>
    </xf>
    <xf numFmtId="0" fontId="18" fillId="7" borderId="30" xfId="0" applyFont="1" applyFill="1" applyBorder="1" applyAlignment="1">
      <alignment horizontal="center" vertical="center"/>
    </xf>
    <xf numFmtId="0" fontId="7" fillId="7" borderId="72" xfId="0" applyFont="1" applyFill="1" applyBorder="1" applyAlignment="1">
      <alignment horizontal="left" vertical="center"/>
    </xf>
    <xf numFmtId="0" fontId="7" fillId="7" borderId="66" xfId="0" applyFont="1" applyFill="1" applyBorder="1" applyAlignment="1">
      <alignment horizontal="left" vertical="center"/>
    </xf>
    <xf numFmtId="0" fontId="4" fillId="7" borderId="8" xfId="0" applyFont="1" applyFill="1" applyBorder="1" applyAlignment="1">
      <alignment horizontal="left" vertical="center"/>
    </xf>
    <xf numFmtId="0" fontId="27" fillId="7" borderId="65" xfId="0" applyFont="1" applyFill="1" applyBorder="1" applyAlignment="1">
      <alignment horizontal="center" vertical="center"/>
    </xf>
    <xf numFmtId="0" fontId="28" fillId="7" borderId="65" xfId="0" applyFont="1" applyFill="1" applyBorder="1" applyAlignment="1">
      <alignment horizontal="right" vertical="center"/>
    </xf>
    <xf numFmtId="0" fontId="28" fillId="7" borderId="65" xfId="0" applyFont="1" applyFill="1" applyBorder="1" applyAlignment="1">
      <alignment horizontal="center" vertical="center"/>
    </xf>
    <xf numFmtId="0" fontId="4" fillId="5" borderId="73" xfId="0" applyFont="1" applyFill="1" applyBorder="1" applyAlignment="1">
      <alignment horizontal="center" vertical="center"/>
    </xf>
    <xf numFmtId="9" fontId="24" fillId="10" borderId="27" xfId="16" applyFont="1" applyFill="1" applyBorder="1" applyAlignment="1">
      <alignment horizontal="center" vertical="center"/>
    </xf>
    <xf numFmtId="1" fontId="23" fillId="10" borderId="9" xfId="0" applyNumberFormat="1" applyFont="1" applyFill="1" applyBorder="1" applyAlignment="1">
      <alignment horizontal="center" vertical="center"/>
    </xf>
    <xf numFmtId="0" fontId="29" fillId="11" borderId="74" xfId="0" applyFont="1" applyFill="1" applyBorder="1" applyAlignment="1">
      <alignment horizontal="center" vertical="center"/>
    </xf>
    <xf numFmtId="167" fontId="20" fillId="10" borderId="9" xfId="2" applyNumberFormat="1" applyFont="1" applyFill="1" applyBorder="1" applyAlignment="1">
      <alignment horizontal="right" vertical="center"/>
    </xf>
    <xf numFmtId="166" fontId="30" fillId="12" borderId="75" xfId="16" applyNumberFormat="1" applyFont="1" applyFill="1" applyBorder="1" applyAlignment="1">
      <alignment vertical="center"/>
    </xf>
    <xf numFmtId="0" fontId="30" fillId="12" borderId="75" xfId="0" applyFont="1" applyFill="1" applyBorder="1" applyAlignment="1">
      <alignment vertical="center"/>
    </xf>
    <xf numFmtId="166" fontId="30" fillId="13" borderId="76" xfId="16" applyNumberFormat="1" applyFont="1" applyFill="1" applyBorder="1" applyAlignment="1">
      <alignment vertical="center"/>
    </xf>
    <xf numFmtId="0" fontId="30" fillId="12" borderId="77" xfId="0" applyFont="1" applyFill="1" applyBorder="1" applyAlignment="1">
      <alignment vertical="center"/>
    </xf>
    <xf numFmtId="166" fontId="30" fillId="12" borderId="77" xfId="16" applyNumberFormat="1" applyFont="1" applyFill="1" applyBorder="1" applyAlignment="1">
      <alignment vertical="center"/>
    </xf>
    <xf numFmtId="166" fontId="30" fillId="13" borderId="78" xfId="16" applyNumberFormat="1" applyFont="1" applyFill="1" applyBorder="1" applyAlignment="1">
      <alignment vertical="center"/>
    </xf>
    <xf numFmtId="169" fontId="30" fillId="12" borderId="79" xfId="0" applyNumberFormat="1" applyFont="1" applyFill="1" applyBorder="1" applyAlignment="1">
      <alignment vertical="center"/>
    </xf>
    <xf numFmtId="169" fontId="30" fillId="13" borderId="80" xfId="0" applyNumberFormat="1" applyFont="1" applyFill="1" applyBorder="1" applyAlignment="1">
      <alignment vertical="center"/>
    </xf>
    <xf numFmtId="166" fontId="24" fillId="10" borderId="81" xfId="16" applyNumberFormat="1" applyFont="1" applyFill="1" applyBorder="1" applyAlignment="1">
      <alignment vertical="center"/>
    </xf>
    <xf numFmtId="166" fontId="24" fillId="10" borderId="82" xfId="16" applyNumberFormat="1" applyFont="1" applyFill="1" applyBorder="1" applyAlignment="1">
      <alignment vertical="center"/>
    </xf>
    <xf numFmtId="169" fontId="24" fillId="10" borderId="83" xfId="0" applyNumberFormat="1" applyFont="1" applyFill="1" applyBorder="1" applyAlignment="1">
      <alignment vertical="center"/>
    </xf>
    <xf numFmtId="0" fontId="22" fillId="0" borderId="0" xfId="0" applyFont="1" applyAlignment="1">
      <alignment vertical="center"/>
    </xf>
    <xf numFmtId="173" fontId="22" fillId="0" borderId="0" xfId="0" applyNumberFormat="1" applyFont="1" applyAlignment="1">
      <alignment vertical="center"/>
    </xf>
    <xf numFmtId="14" fontId="22" fillId="0" borderId="0" xfId="0" applyNumberFormat="1" applyFont="1" applyAlignment="1">
      <alignment horizontal="center" vertical="center"/>
    </xf>
    <xf numFmtId="0" fontId="31" fillId="0" borderId="0" xfId="0" applyFont="1" applyAlignment="1">
      <alignment horizontal="center" vertical="center"/>
    </xf>
    <xf numFmtId="0" fontId="32" fillId="0" borderId="0" xfId="0" applyFont="1" applyAlignment="1">
      <alignment vertical="center"/>
    </xf>
    <xf numFmtId="14" fontId="31" fillId="0" borderId="0" xfId="0" applyNumberFormat="1" applyFont="1" applyAlignment="1">
      <alignment horizontal="center" vertical="center"/>
    </xf>
    <xf numFmtId="0" fontId="22" fillId="0" borderId="0" xfId="0" applyFont="1" applyAlignment="1">
      <alignment horizontal="center" vertical="center"/>
    </xf>
    <xf numFmtId="167" fontId="31" fillId="0" borderId="0" xfId="0" applyNumberFormat="1" applyFont="1" applyAlignment="1">
      <alignment horizontal="center" vertical="center"/>
    </xf>
    <xf numFmtId="171" fontId="31" fillId="0" borderId="0" xfId="0" applyNumberFormat="1" applyFont="1" applyAlignment="1">
      <alignment vertical="center"/>
    </xf>
    <xf numFmtId="167" fontId="21" fillId="0" borderId="0" xfId="0" applyNumberFormat="1" applyFont="1" applyAlignment="1">
      <alignment horizontal="right" vertical="center"/>
    </xf>
    <xf numFmtId="167" fontId="22" fillId="0" borderId="25" xfId="0" applyNumberFormat="1" applyFont="1" applyBorder="1" applyAlignment="1">
      <alignment horizontal="center" vertical="center"/>
    </xf>
    <xf numFmtId="14" fontId="31" fillId="0" borderId="30" xfId="0" applyNumberFormat="1" applyFont="1" applyBorder="1" applyAlignment="1">
      <alignment horizontal="center" vertical="center"/>
    </xf>
    <xf numFmtId="0" fontId="22" fillId="0" borderId="30" xfId="0" applyFont="1" applyBorder="1" applyAlignment="1">
      <alignment horizontal="center" vertical="center"/>
    </xf>
    <xf numFmtId="9" fontId="22" fillId="0" borderId="30" xfId="16" applyFont="1" applyFill="1" applyBorder="1" applyAlignment="1">
      <alignment horizontal="right" vertical="center"/>
    </xf>
    <xf numFmtId="167" fontId="22" fillId="0" borderId="38" xfId="0" applyNumberFormat="1" applyFont="1" applyBorder="1" applyAlignment="1">
      <alignment horizontal="center" vertical="center"/>
    </xf>
    <xf numFmtId="167" fontId="22" fillId="0" borderId="39" xfId="0" applyNumberFormat="1" applyFont="1" applyBorder="1" applyAlignment="1">
      <alignment horizontal="center" vertical="center"/>
    </xf>
    <xf numFmtId="0" fontId="21" fillId="0" borderId="0" xfId="0" applyFont="1" applyAlignment="1">
      <alignment horizontal="centerContinuous" vertical="center"/>
    </xf>
    <xf numFmtId="173" fontId="20" fillId="0" borderId="0" xfId="0" applyNumberFormat="1" applyFont="1" applyAlignment="1">
      <alignment vertical="center"/>
    </xf>
    <xf numFmtId="43" fontId="22" fillId="0" borderId="0" xfId="0" applyNumberFormat="1" applyFont="1" applyAlignment="1">
      <alignment vertical="center"/>
    </xf>
    <xf numFmtId="0" fontId="22" fillId="0" borderId="24" xfId="0" applyFont="1" applyBorder="1" applyAlignment="1">
      <alignment horizontal="center" vertical="center"/>
    </xf>
    <xf numFmtId="0" fontId="22" fillId="0" borderId="25" xfId="0" applyFont="1" applyBorder="1" applyAlignment="1">
      <alignment vertical="center"/>
    </xf>
    <xf numFmtId="0" fontId="31" fillId="0" borderId="0" xfId="0" applyFont="1" applyAlignment="1">
      <alignment vertical="center"/>
    </xf>
    <xf numFmtId="169" fontId="22" fillId="0" borderId="0" xfId="0" applyNumberFormat="1" applyFont="1" applyAlignment="1">
      <alignment horizontal="center" vertical="center"/>
    </xf>
    <xf numFmtId="169" fontId="22" fillId="0" borderId="25" xfId="0" applyNumberFormat="1" applyFont="1" applyBorder="1" applyAlignment="1">
      <alignment horizontal="center" vertical="center"/>
    </xf>
    <xf numFmtId="0" fontId="33" fillId="0" borderId="0" xfId="7" applyFont="1" applyAlignment="1">
      <alignment vertical="center"/>
    </xf>
    <xf numFmtId="2" fontId="22" fillId="0" borderId="0" xfId="2" applyNumberFormat="1" applyFont="1" applyFill="1" applyBorder="1" applyAlignment="1">
      <alignment horizontal="center" vertical="center"/>
    </xf>
    <xf numFmtId="0" fontId="22" fillId="0" borderId="24" xfId="0" applyFont="1" applyBorder="1" applyAlignment="1">
      <alignment vertical="center"/>
    </xf>
    <xf numFmtId="49" fontId="20" fillId="0" borderId="0" xfId="0" applyNumberFormat="1" applyFont="1" applyAlignment="1">
      <alignment horizontal="center" vertical="center"/>
    </xf>
    <xf numFmtId="0" fontId="32" fillId="0" borderId="0" xfId="0" applyFont="1" applyAlignment="1">
      <alignment horizontal="center" vertical="center"/>
    </xf>
    <xf numFmtId="0" fontId="31" fillId="0" borderId="0" xfId="0" applyFont="1" applyAlignment="1">
      <alignment horizontal="left" vertical="center"/>
    </xf>
    <xf numFmtId="0" fontId="21" fillId="0" borderId="0" xfId="0" applyFont="1" applyAlignment="1">
      <alignment horizontal="left" vertical="center"/>
    </xf>
    <xf numFmtId="0" fontId="20" fillId="0" borderId="0" xfId="0" applyFont="1" applyAlignment="1">
      <alignment horizontal="left" vertical="center"/>
    </xf>
    <xf numFmtId="167" fontId="34" fillId="0" borderId="0" xfId="0" applyNumberFormat="1" applyFont="1" applyAlignment="1">
      <alignment horizontal="right" vertical="center"/>
    </xf>
    <xf numFmtId="0" fontId="21" fillId="0" borderId="0" xfId="0" applyFont="1" applyAlignment="1">
      <alignment vertical="center"/>
    </xf>
    <xf numFmtId="173" fontId="31" fillId="0" borderId="0" xfId="0" applyNumberFormat="1" applyFont="1" applyAlignment="1">
      <alignment vertical="center"/>
    </xf>
    <xf numFmtId="0" fontId="22" fillId="0" borderId="0" xfId="0" applyFont="1" applyAlignment="1">
      <alignment horizontal="left" vertical="center"/>
    </xf>
    <xf numFmtId="166" fontId="22" fillId="0" borderId="0" xfId="16" applyNumberFormat="1" applyFont="1" applyFill="1" applyBorder="1" applyAlignment="1">
      <alignment horizontal="right" vertical="center"/>
    </xf>
    <xf numFmtId="9" fontId="22" fillId="0" borderId="0" xfId="16" applyFont="1" applyFill="1" applyBorder="1" applyAlignment="1">
      <alignment horizontal="right" vertical="center"/>
    </xf>
    <xf numFmtId="167" fontId="22" fillId="0" borderId="0" xfId="0" applyNumberFormat="1" applyFont="1" applyAlignment="1">
      <alignment horizontal="center" vertical="center"/>
    </xf>
    <xf numFmtId="0" fontId="31" fillId="9" borderId="84" xfId="0" applyFont="1" applyFill="1" applyBorder="1" applyAlignment="1">
      <alignment horizontal="center" vertical="center"/>
    </xf>
    <xf numFmtId="166" fontId="35" fillId="0" borderId="0" xfId="16" applyNumberFormat="1" applyFont="1" applyFill="1" applyBorder="1" applyAlignment="1">
      <alignment horizontal="right" vertical="center"/>
    </xf>
    <xf numFmtId="166" fontId="35" fillId="7" borderId="0" xfId="16" applyNumberFormat="1" applyFont="1" applyFill="1" applyBorder="1" applyAlignment="1">
      <alignment horizontal="right" vertical="center"/>
    </xf>
    <xf numFmtId="167" fontId="22" fillId="7" borderId="66" xfId="0" quotePrefix="1" applyNumberFormat="1" applyFont="1" applyFill="1" applyBorder="1" applyAlignment="1">
      <alignment horizontal="center" vertical="center"/>
    </xf>
    <xf numFmtId="1" fontId="20" fillId="7" borderId="66" xfId="2" applyNumberFormat="1" applyFont="1" applyFill="1" applyBorder="1" applyAlignment="1">
      <alignment horizontal="center" vertical="center"/>
    </xf>
    <xf numFmtId="166" fontId="20" fillId="7" borderId="66" xfId="16" applyNumberFormat="1" applyFont="1" applyFill="1" applyBorder="1" applyAlignment="1">
      <alignment horizontal="right" vertical="center"/>
    </xf>
    <xf numFmtId="167" fontId="22" fillId="0" borderId="0" xfId="0" quotePrefix="1" applyNumberFormat="1" applyFont="1" applyAlignment="1">
      <alignment horizontal="center" vertical="center"/>
    </xf>
    <xf numFmtId="1" fontId="20" fillId="0" borderId="0" xfId="2" applyNumberFormat="1" applyFont="1" applyFill="1" applyBorder="1" applyAlignment="1">
      <alignment horizontal="center" vertical="center"/>
    </xf>
    <xf numFmtId="166" fontId="20" fillId="0" borderId="0" xfId="16" applyNumberFormat="1" applyFont="1" applyFill="1" applyBorder="1" applyAlignment="1">
      <alignment horizontal="right" vertical="center"/>
    </xf>
    <xf numFmtId="167" fontId="20" fillId="0" borderId="0" xfId="0" applyNumberFormat="1" applyFont="1" applyAlignment="1">
      <alignment horizontal="right" vertical="center"/>
    </xf>
    <xf numFmtId="9" fontId="20" fillId="0" borderId="30" xfId="16" applyFont="1" applyFill="1" applyBorder="1" applyAlignment="1">
      <alignment horizontal="right" vertical="center"/>
    </xf>
    <xf numFmtId="9" fontId="22" fillId="0" borderId="0" xfId="16" applyFont="1" applyAlignment="1">
      <alignment vertical="center"/>
    </xf>
    <xf numFmtId="9" fontId="22" fillId="0" borderId="0" xfId="16" applyFont="1" applyFill="1" applyBorder="1" applyAlignment="1">
      <alignment horizontal="left" vertical="center"/>
    </xf>
    <xf numFmtId="9" fontId="20" fillId="0" borderId="0" xfId="16" applyFont="1" applyFill="1" applyBorder="1" applyAlignment="1">
      <alignment horizontal="right" vertical="center"/>
    </xf>
    <xf numFmtId="9" fontId="20" fillId="0" borderId="0" xfId="16" applyFont="1" applyAlignment="1">
      <alignment vertical="center"/>
    </xf>
    <xf numFmtId="0" fontId="20" fillId="0" borderId="0" xfId="16" applyNumberFormat="1" applyFont="1" applyAlignment="1">
      <alignment vertical="center"/>
    </xf>
    <xf numFmtId="173" fontId="22" fillId="0" borderId="0" xfId="16" applyNumberFormat="1" applyFont="1" applyAlignment="1">
      <alignment vertical="center"/>
    </xf>
    <xf numFmtId="9" fontId="22" fillId="9" borderId="70" xfId="16" applyFont="1" applyFill="1" applyBorder="1" applyAlignment="1">
      <alignment horizontal="left" vertical="center"/>
    </xf>
    <xf numFmtId="0" fontId="31" fillId="9" borderId="0" xfId="0" applyFont="1" applyFill="1" applyAlignment="1">
      <alignment horizontal="center" vertical="center"/>
    </xf>
    <xf numFmtId="9" fontId="20" fillId="9" borderId="65" xfId="16" applyFont="1" applyFill="1" applyBorder="1" applyAlignment="1">
      <alignment horizontal="right" vertical="center"/>
    </xf>
    <xf numFmtId="0" fontId="36" fillId="9" borderId="65" xfId="16" applyNumberFormat="1" applyFont="1" applyFill="1" applyBorder="1" applyAlignment="1">
      <alignment horizontal="right" vertical="center"/>
    </xf>
    <xf numFmtId="167" fontId="34" fillId="9" borderId="71" xfId="0" applyNumberFormat="1" applyFont="1" applyFill="1" applyBorder="1" applyAlignment="1">
      <alignment horizontal="right" vertical="center"/>
    </xf>
    <xf numFmtId="9" fontId="22" fillId="9" borderId="69" xfId="16" applyFont="1" applyFill="1" applyBorder="1" applyAlignment="1">
      <alignment horizontal="left" vertical="center"/>
    </xf>
    <xf numFmtId="167" fontId="34" fillId="9" borderId="67" xfId="0" applyNumberFormat="1" applyFont="1" applyFill="1" applyBorder="1" applyAlignment="1">
      <alignment horizontal="right" vertical="center"/>
    </xf>
    <xf numFmtId="9" fontId="22" fillId="9" borderId="0" xfId="16" applyFont="1" applyFill="1" applyBorder="1" applyAlignment="1">
      <alignment horizontal="left" vertical="center"/>
    </xf>
    <xf numFmtId="9" fontId="22" fillId="9" borderId="67" xfId="16" applyFont="1" applyFill="1" applyBorder="1" applyAlignment="1">
      <alignment horizontal="left" vertical="center"/>
    </xf>
    <xf numFmtId="9" fontId="20" fillId="9" borderId="0" xfId="16" applyFont="1" applyFill="1" applyBorder="1" applyAlignment="1">
      <alignment vertical="center"/>
    </xf>
    <xf numFmtId="166" fontId="35" fillId="9" borderId="0" xfId="16" applyNumberFormat="1" applyFont="1" applyFill="1" applyBorder="1" applyAlignment="1">
      <alignment horizontal="right" vertical="center"/>
    </xf>
    <xf numFmtId="167" fontId="22" fillId="9" borderId="0" xfId="0" quotePrefix="1" applyNumberFormat="1" applyFont="1" applyFill="1" applyAlignment="1">
      <alignment horizontal="center" vertical="center"/>
    </xf>
    <xf numFmtId="1" fontId="20" fillId="9" borderId="0" xfId="2" applyNumberFormat="1" applyFont="1" applyFill="1" applyBorder="1" applyAlignment="1">
      <alignment horizontal="center" vertical="center"/>
    </xf>
    <xf numFmtId="167" fontId="34" fillId="9" borderId="68" xfId="0" applyNumberFormat="1" applyFont="1" applyFill="1" applyBorder="1" applyAlignment="1">
      <alignment horizontal="right" vertical="center"/>
    </xf>
    <xf numFmtId="9" fontId="22" fillId="0" borderId="63" xfId="16" applyFont="1" applyFill="1" applyBorder="1" applyAlignment="1">
      <alignment horizontal="left" vertical="center"/>
    </xf>
    <xf numFmtId="167" fontId="22" fillId="0" borderId="63" xfId="0" quotePrefix="1" applyNumberFormat="1" applyFont="1" applyBorder="1" applyAlignment="1">
      <alignment horizontal="center" vertical="center"/>
    </xf>
    <xf numFmtId="1" fontId="20" fillId="0" borderId="63" xfId="2" applyNumberFormat="1" applyFont="1" applyFill="1" applyBorder="1" applyAlignment="1">
      <alignment horizontal="center" vertical="center"/>
    </xf>
    <xf numFmtId="167" fontId="34" fillId="0" borderId="63" xfId="0" applyNumberFormat="1" applyFont="1" applyBorder="1" applyAlignment="1">
      <alignment horizontal="right" vertical="center"/>
    </xf>
    <xf numFmtId="167" fontId="20" fillId="0" borderId="0" xfId="2" applyNumberFormat="1" applyFont="1" applyFill="1" applyBorder="1" applyAlignment="1">
      <alignment horizontal="right" vertical="center"/>
    </xf>
    <xf numFmtId="9" fontId="22" fillId="0" borderId="0" xfId="16" applyFont="1" applyFill="1" applyBorder="1" applyAlignment="1">
      <alignment vertical="center"/>
    </xf>
    <xf numFmtId="9" fontId="22" fillId="7" borderId="70" xfId="16" applyFont="1" applyFill="1" applyBorder="1" applyAlignment="1">
      <alignment horizontal="left" vertical="center"/>
    </xf>
    <xf numFmtId="9" fontId="22" fillId="7" borderId="0" xfId="16" applyFont="1" applyFill="1" applyBorder="1" applyAlignment="1">
      <alignment horizontal="left" vertical="center"/>
    </xf>
    <xf numFmtId="9" fontId="20" fillId="7" borderId="65" xfId="16" applyFont="1" applyFill="1" applyBorder="1" applyAlignment="1">
      <alignment horizontal="right" vertical="center"/>
    </xf>
    <xf numFmtId="0" fontId="36" fillId="7" borderId="65" xfId="16" applyNumberFormat="1" applyFont="1" applyFill="1" applyBorder="1" applyAlignment="1">
      <alignment horizontal="right" vertical="center"/>
    </xf>
    <xf numFmtId="167" fontId="34" fillId="7" borderId="71" xfId="0" applyNumberFormat="1" applyFont="1" applyFill="1" applyBorder="1" applyAlignment="1">
      <alignment horizontal="right" vertical="center"/>
    </xf>
    <xf numFmtId="9" fontId="22" fillId="7" borderId="69" xfId="16" applyFont="1" applyFill="1" applyBorder="1" applyAlignment="1">
      <alignment horizontal="left" vertical="center"/>
    </xf>
    <xf numFmtId="167" fontId="34" fillId="7" borderId="67" xfId="0" applyNumberFormat="1" applyFont="1" applyFill="1" applyBorder="1" applyAlignment="1">
      <alignment horizontal="right" vertical="center"/>
    </xf>
    <xf numFmtId="167" fontId="21" fillId="7" borderId="67" xfId="0" applyNumberFormat="1" applyFont="1" applyFill="1" applyBorder="1" applyAlignment="1">
      <alignment horizontal="right" vertical="center"/>
    </xf>
    <xf numFmtId="9" fontId="20" fillId="7" borderId="0" xfId="16" applyFont="1" applyFill="1" applyBorder="1" applyAlignment="1">
      <alignment vertical="center"/>
    </xf>
    <xf numFmtId="166" fontId="20" fillId="7" borderId="0" xfId="16" applyNumberFormat="1" applyFont="1" applyFill="1" applyBorder="1" applyAlignment="1">
      <alignment horizontal="right" vertical="center"/>
    </xf>
    <xf numFmtId="167" fontId="22" fillId="7" borderId="0" xfId="0" quotePrefix="1" applyNumberFormat="1" applyFont="1" applyFill="1" applyAlignment="1">
      <alignment horizontal="center" vertical="center"/>
    </xf>
    <xf numFmtId="1" fontId="20" fillId="7" borderId="0" xfId="2" applyNumberFormat="1" applyFont="1" applyFill="1" applyBorder="1" applyAlignment="1">
      <alignment horizontal="center" vertical="center"/>
    </xf>
    <xf numFmtId="167" fontId="21" fillId="7" borderId="68" xfId="0" applyNumberFormat="1" applyFont="1" applyFill="1" applyBorder="1" applyAlignment="1">
      <alignment horizontal="right" vertical="center"/>
    </xf>
    <xf numFmtId="167" fontId="21" fillId="0" borderId="63" xfId="0" applyNumberFormat="1" applyFont="1" applyBorder="1" applyAlignment="1">
      <alignment horizontal="right" vertical="center"/>
    </xf>
    <xf numFmtId="9" fontId="22" fillId="0" borderId="30" xfId="16" applyFont="1" applyFill="1" applyBorder="1" applyAlignment="1">
      <alignment horizontal="left" vertical="center"/>
    </xf>
    <xf numFmtId="0" fontId="22" fillId="0" borderId="0" xfId="0" quotePrefix="1" applyFont="1" applyAlignment="1">
      <alignment horizontal="left" vertical="center"/>
    </xf>
    <xf numFmtId="167" fontId="21" fillId="7" borderId="71" xfId="0" applyNumberFormat="1" applyFont="1" applyFill="1" applyBorder="1" applyAlignment="1">
      <alignment horizontal="right" vertical="center"/>
    </xf>
    <xf numFmtId="166" fontId="20" fillId="0" borderId="63" xfId="16" applyNumberFormat="1" applyFont="1" applyFill="1" applyBorder="1" applyAlignment="1">
      <alignment horizontal="right" vertical="center"/>
    </xf>
    <xf numFmtId="0" fontId="22" fillId="0" borderId="0" xfId="2" applyNumberFormat="1" applyFont="1" applyFill="1" applyBorder="1" applyAlignment="1">
      <alignment horizontal="left" vertical="center"/>
    </xf>
    <xf numFmtId="9" fontId="20" fillId="0" borderId="0" xfId="16" applyFont="1" applyFill="1" applyAlignment="1">
      <alignment vertical="center"/>
    </xf>
    <xf numFmtId="9" fontId="22" fillId="7" borderId="72" xfId="16" applyFont="1" applyFill="1" applyBorder="1" applyAlignment="1">
      <alignment horizontal="left" vertical="center"/>
    </xf>
    <xf numFmtId="9" fontId="22" fillId="7" borderId="66" xfId="16" applyFont="1" applyFill="1" applyBorder="1" applyAlignment="1">
      <alignment horizontal="left" vertical="center"/>
    </xf>
    <xf numFmtId="9" fontId="20" fillId="7" borderId="66" xfId="16" applyFont="1" applyFill="1" applyBorder="1" applyAlignment="1">
      <alignment horizontal="right" vertical="center"/>
    </xf>
    <xf numFmtId="0" fontId="20" fillId="0" borderId="0" xfId="16" applyNumberFormat="1" applyFont="1" applyFill="1" applyAlignment="1">
      <alignment vertical="center"/>
    </xf>
    <xf numFmtId="9" fontId="20" fillId="0" borderId="63" xfId="16" applyFont="1" applyFill="1" applyBorder="1" applyAlignment="1">
      <alignment horizontal="right" vertical="center"/>
    </xf>
    <xf numFmtId="0" fontId="31" fillId="0" borderId="0" xfId="2" applyNumberFormat="1" applyFont="1" applyFill="1" applyBorder="1" applyAlignment="1">
      <alignment vertical="center"/>
    </xf>
    <xf numFmtId="0" fontId="31" fillId="7" borderId="69" xfId="2" applyNumberFormat="1" applyFont="1" applyFill="1" applyBorder="1" applyAlignment="1">
      <alignment vertical="center"/>
    </xf>
    <xf numFmtId="167" fontId="21" fillId="7" borderId="0" xfId="0" applyNumberFormat="1" applyFont="1" applyFill="1" applyAlignment="1">
      <alignment horizontal="right" vertical="center"/>
    </xf>
    <xf numFmtId="0" fontId="31" fillId="0" borderId="63" xfId="2" applyNumberFormat="1" applyFont="1" applyFill="1" applyBorder="1" applyAlignment="1">
      <alignment vertical="center"/>
    </xf>
    <xf numFmtId="167" fontId="20" fillId="0" borderId="63" xfId="0" applyNumberFormat="1" applyFont="1" applyBorder="1" applyAlignment="1">
      <alignment horizontal="right" vertical="center"/>
    </xf>
    <xf numFmtId="0" fontId="22" fillId="0" borderId="0" xfId="2" applyNumberFormat="1" applyFont="1" applyFill="1" applyBorder="1" applyAlignment="1">
      <alignment vertical="center"/>
    </xf>
    <xf numFmtId="172" fontId="20" fillId="0" borderId="0" xfId="0" applyNumberFormat="1" applyFont="1" applyAlignment="1">
      <alignment horizontal="right" vertical="center"/>
    </xf>
    <xf numFmtId="9" fontId="22" fillId="0" borderId="0" xfId="16" applyFont="1" applyBorder="1" applyAlignment="1">
      <alignment vertical="center"/>
    </xf>
    <xf numFmtId="9" fontId="22" fillId="7" borderId="0" xfId="16" applyFont="1" applyFill="1" applyBorder="1" applyAlignment="1">
      <alignment vertical="center"/>
    </xf>
    <xf numFmtId="9" fontId="22" fillId="7" borderId="65" xfId="16" applyFont="1" applyFill="1" applyBorder="1" applyAlignment="1">
      <alignment vertical="center"/>
    </xf>
    <xf numFmtId="0" fontId="31" fillId="7" borderId="72" xfId="2" applyNumberFormat="1" applyFont="1" applyFill="1" applyBorder="1" applyAlignment="1">
      <alignment vertical="center"/>
    </xf>
    <xf numFmtId="0" fontId="31" fillId="7" borderId="85" xfId="2" applyNumberFormat="1" applyFont="1" applyFill="1" applyBorder="1" applyAlignment="1">
      <alignment vertical="center"/>
    </xf>
    <xf numFmtId="167" fontId="21" fillId="7" borderId="66" xfId="0" applyNumberFormat="1" applyFont="1" applyFill="1" applyBorder="1" applyAlignment="1">
      <alignment horizontal="right" vertical="center"/>
    </xf>
    <xf numFmtId="9" fontId="20" fillId="7" borderId="66" xfId="16" applyFont="1" applyFill="1" applyBorder="1" applyAlignment="1">
      <alignment vertical="center"/>
    </xf>
    <xf numFmtId="9" fontId="22" fillId="0" borderId="86" xfId="16" applyFont="1" applyFill="1" applyBorder="1" applyAlignment="1">
      <alignment horizontal="left" vertical="center"/>
    </xf>
    <xf numFmtId="9" fontId="20" fillId="0" borderId="30" xfId="16" applyFont="1" applyFill="1" applyBorder="1" applyAlignment="1">
      <alignment vertical="center"/>
    </xf>
    <xf numFmtId="167" fontId="21" fillId="0" borderId="30" xfId="0" applyNumberFormat="1" applyFont="1" applyBorder="1" applyAlignment="1">
      <alignment horizontal="right" vertical="center"/>
    </xf>
    <xf numFmtId="9" fontId="31" fillId="0" borderId="0" xfId="16" applyFont="1" applyFill="1" applyBorder="1" applyAlignment="1">
      <alignment vertical="center"/>
    </xf>
    <xf numFmtId="9" fontId="31" fillId="7" borderId="70" xfId="16" applyFont="1" applyFill="1" applyBorder="1" applyAlignment="1">
      <alignment vertical="center"/>
    </xf>
    <xf numFmtId="0" fontId="22" fillId="7" borderId="0" xfId="0" applyFont="1" applyFill="1" applyAlignment="1">
      <alignment horizontal="center" vertical="center"/>
    </xf>
    <xf numFmtId="0" fontId="31" fillId="0" borderId="0" xfId="2" applyNumberFormat="1" applyFont="1" applyBorder="1" applyAlignment="1">
      <alignment vertical="center"/>
    </xf>
    <xf numFmtId="14" fontId="31" fillId="0" borderId="0" xfId="0" applyNumberFormat="1" applyFont="1" applyAlignment="1">
      <alignment vertical="center"/>
    </xf>
    <xf numFmtId="9" fontId="20" fillId="0" borderId="0" xfId="16" applyFont="1" applyBorder="1" applyAlignment="1">
      <alignment vertical="center"/>
    </xf>
    <xf numFmtId="9" fontId="20" fillId="0" borderId="0" xfId="16" applyFont="1" applyFill="1" applyBorder="1" applyAlignment="1">
      <alignment vertical="center"/>
    </xf>
    <xf numFmtId="43" fontId="20" fillId="0" borderId="0" xfId="2" applyFont="1" applyFill="1" applyBorder="1" applyAlignment="1">
      <alignment horizontal="right" vertical="center"/>
    </xf>
    <xf numFmtId="43" fontId="20" fillId="0" borderId="0" xfId="2" applyFont="1" applyFill="1" applyBorder="1" applyAlignment="1">
      <alignment vertical="center"/>
    </xf>
    <xf numFmtId="0" fontId="31" fillId="0" borderId="8" xfId="2" applyNumberFormat="1" applyFont="1" applyFill="1" applyBorder="1" applyAlignment="1">
      <alignment vertical="center"/>
    </xf>
    <xf numFmtId="171" fontId="31" fillId="0" borderId="8" xfId="2" applyNumberFormat="1" applyFont="1" applyFill="1" applyBorder="1" applyAlignment="1">
      <alignment vertical="center"/>
    </xf>
    <xf numFmtId="167" fontId="21" fillId="0" borderId="8" xfId="2" applyNumberFormat="1" applyFont="1" applyFill="1" applyBorder="1" applyAlignment="1">
      <alignment horizontal="right" vertical="center"/>
    </xf>
    <xf numFmtId="171" fontId="21" fillId="0" borderId="8" xfId="2" applyNumberFormat="1" applyFont="1" applyFill="1" applyBorder="1" applyAlignment="1">
      <alignment vertical="center"/>
    </xf>
    <xf numFmtId="0" fontId="22" fillId="0" borderId="8" xfId="0" applyFont="1" applyBorder="1" applyAlignment="1">
      <alignment vertical="center"/>
    </xf>
    <xf numFmtId="167" fontId="22" fillId="0" borderId="8" xfId="0" applyNumberFormat="1" applyFont="1" applyBorder="1" applyAlignment="1">
      <alignment horizontal="center" vertical="center"/>
    </xf>
    <xf numFmtId="167" fontId="20" fillId="0" borderId="30" xfId="2" applyNumberFormat="1" applyFont="1" applyFill="1" applyBorder="1" applyAlignment="1">
      <alignment horizontal="right" vertical="center"/>
    </xf>
    <xf numFmtId="167" fontId="21" fillId="0" borderId="0" xfId="2" applyNumberFormat="1" applyFont="1" applyFill="1" applyBorder="1" applyAlignment="1">
      <alignment vertical="center"/>
    </xf>
    <xf numFmtId="0" fontId="31" fillId="0" borderId="30" xfId="0" applyFont="1" applyBorder="1" applyAlignment="1">
      <alignment vertical="center"/>
    </xf>
    <xf numFmtId="9" fontId="22" fillId="0" borderId="30" xfId="16" applyFont="1" applyBorder="1" applyAlignment="1">
      <alignment vertical="center"/>
    </xf>
    <xf numFmtId="167" fontId="31" fillId="0" borderId="30" xfId="2" applyNumberFormat="1" applyFont="1" applyFill="1" applyBorder="1" applyAlignment="1">
      <alignment vertical="center"/>
    </xf>
    <xf numFmtId="171" fontId="31" fillId="0" borderId="0" xfId="2" applyNumberFormat="1" applyFont="1" applyFill="1" applyBorder="1" applyAlignment="1">
      <alignment vertical="center"/>
    </xf>
    <xf numFmtId="167" fontId="31" fillId="0" borderId="0" xfId="2" applyNumberFormat="1" applyFont="1" applyFill="1" applyBorder="1" applyAlignment="1">
      <alignment vertical="center"/>
    </xf>
    <xf numFmtId="167" fontId="22" fillId="0" borderId="0" xfId="2" applyNumberFormat="1" applyFont="1" applyFill="1" applyBorder="1" applyAlignment="1">
      <alignment vertical="center"/>
    </xf>
    <xf numFmtId="167" fontId="22" fillId="0" borderId="0" xfId="0" applyNumberFormat="1" applyFont="1" applyAlignment="1">
      <alignment vertical="center"/>
    </xf>
    <xf numFmtId="166" fontId="22" fillId="0" borderId="0" xfId="16" applyNumberFormat="1" applyFont="1" applyFill="1" applyBorder="1" applyAlignment="1">
      <alignment vertical="center"/>
    </xf>
    <xf numFmtId="169" fontId="22" fillId="0" borderId="30" xfId="16" applyNumberFormat="1" applyFont="1" applyFill="1" applyBorder="1" applyAlignment="1">
      <alignment vertical="center"/>
    </xf>
    <xf numFmtId="171" fontId="22" fillId="0" borderId="0" xfId="0" applyNumberFormat="1" applyFont="1" applyAlignment="1">
      <alignment vertical="center"/>
    </xf>
    <xf numFmtId="168" fontId="22" fillId="0" borderId="0" xfId="0" applyNumberFormat="1" applyFont="1" applyAlignment="1">
      <alignment vertical="center"/>
    </xf>
    <xf numFmtId="0" fontId="31" fillId="0" borderId="24" xfId="0" applyFont="1" applyBorder="1" applyAlignment="1">
      <alignment vertical="center"/>
    </xf>
    <xf numFmtId="0" fontId="31" fillId="0" borderId="8" xfId="0" applyFont="1" applyBorder="1" applyAlignment="1">
      <alignment vertical="center"/>
    </xf>
    <xf numFmtId="170" fontId="22" fillId="0" borderId="8" xfId="0" applyNumberFormat="1" applyFont="1" applyBorder="1" applyAlignment="1">
      <alignment vertical="center"/>
    </xf>
    <xf numFmtId="0" fontId="22" fillId="0" borderId="29" xfId="0" applyFont="1" applyBorder="1" applyAlignment="1">
      <alignment vertical="center"/>
    </xf>
    <xf numFmtId="0" fontId="31" fillId="0" borderId="30" xfId="0" applyFont="1" applyBorder="1" applyAlignment="1">
      <alignment horizontal="left" vertical="center"/>
    </xf>
    <xf numFmtId="9" fontId="31" fillId="0" borderId="30" xfId="16" applyFont="1" applyFill="1" applyBorder="1" applyAlignment="1">
      <alignment horizontal="right" vertical="center"/>
    </xf>
    <xf numFmtId="0" fontId="22" fillId="0" borderId="38" xfId="0" applyFont="1" applyBorder="1" applyAlignment="1">
      <alignment vertical="center"/>
    </xf>
    <xf numFmtId="0" fontId="20" fillId="0" borderId="0" xfId="0" applyFont="1" applyAlignment="1">
      <alignment horizontal="centerContinuous" vertical="center"/>
    </xf>
    <xf numFmtId="0" fontId="37" fillId="0" borderId="0" xfId="0" applyFont="1" applyAlignment="1">
      <alignment horizontal="center" vertical="center"/>
    </xf>
    <xf numFmtId="0" fontId="22" fillId="0" borderId="25" xfId="0" applyFont="1" applyBorder="1" applyAlignment="1">
      <alignment horizontal="centerContinuous" vertical="center"/>
    </xf>
    <xf numFmtId="166" fontId="22" fillId="0" borderId="0" xfId="16" applyNumberFormat="1" applyFont="1" applyBorder="1" applyAlignment="1">
      <alignment horizontal="center" vertical="center"/>
    </xf>
    <xf numFmtId="166" fontId="22" fillId="0" borderId="25" xfId="16" applyNumberFormat="1" applyFont="1" applyBorder="1" applyAlignment="1">
      <alignment horizontal="center" vertical="center"/>
    </xf>
    <xf numFmtId="166" fontId="22" fillId="0" borderId="0" xfId="0" applyNumberFormat="1" applyFont="1" applyAlignment="1">
      <alignment horizontal="center" vertical="center"/>
    </xf>
    <xf numFmtId="167" fontId="22" fillId="0" borderId="9" xfId="0" applyNumberFormat="1" applyFont="1" applyBorder="1" applyAlignment="1">
      <alignment horizontal="center" vertical="center"/>
    </xf>
    <xf numFmtId="166" fontId="22" fillId="0" borderId="0" xfId="0" applyNumberFormat="1" applyFont="1" applyAlignment="1">
      <alignment vertical="center"/>
    </xf>
    <xf numFmtId="167" fontId="22" fillId="0" borderId="9" xfId="2" applyNumberFormat="1" applyFont="1" applyFill="1" applyBorder="1" applyAlignment="1">
      <alignment vertical="center"/>
    </xf>
    <xf numFmtId="0" fontId="22" fillId="0" borderId="24" xfId="0" applyFont="1" applyBorder="1" applyAlignment="1">
      <alignment horizontal="right" vertical="center"/>
    </xf>
    <xf numFmtId="166" fontId="24" fillId="10" borderId="87" xfId="16" applyNumberFormat="1" applyFont="1" applyFill="1" applyBorder="1" applyAlignment="1">
      <alignment horizontal="center" vertical="center"/>
    </xf>
    <xf numFmtId="167" fontId="22" fillId="0" borderId="10" xfId="0" applyNumberFormat="1" applyFont="1" applyBorder="1" applyAlignment="1">
      <alignment horizontal="center" vertical="center"/>
    </xf>
    <xf numFmtId="166" fontId="24" fillId="10" borderId="87" xfId="0" applyNumberFormat="1" applyFont="1" applyFill="1" applyBorder="1" applyAlignment="1">
      <alignment horizontal="center" vertical="center"/>
    </xf>
    <xf numFmtId="167" fontId="22" fillId="0" borderId="10" xfId="2" applyNumberFormat="1" applyFont="1" applyFill="1" applyBorder="1" applyAlignment="1">
      <alignment vertical="center"/>
    </xf>
    <xf numFmtId="167" fontId="22" fillId="0" borderId="11" xfId="0" applyNumberFormat="1" applyFont="1" applyBorder="1" applyAlignment="1">
      <alignment horizontal="center" vertical="center"/>
    </xf>
    <xf numFmtId="167" fontId="31" fillId="0" borderId="26" xfId="0" applyNumberFormat="1" applyFont="1" applyBorder="1" applyAlignment="1">
      <alignment horizontal="center" vertical="center"/>
    </xf>
    <xf numFmtId="167" fontId="22" fillId="0" borderId="27" xfId="0" applyNumberFormat="1" applyFont="1" applyBorder="1" applyAlignment="1">
      <alignment horizontal="center" vertical="center"/>
    </xf>
    <xf numFmtId="167" fontId="22" fillId="0" borderId="11" xfId="2" applyNumberFormat="1" applyFont="1" applyFill="1" applyBorder="1" applyAlignment="1">
      <alignment vertical="center"/>
    </xf>
    <xf numFmtId="167" fontId="31" fillId="0" borderId="26" xfId="2" applyNumberFormat="1" applyFont="1" applyFill="1" applyBorder="1" applyAlignment="1">
      <alignment vertical="center"/>
    </xf>
    <xf numFmtId="167" fontId="22" fillId="0" borderId="27" xfId="2" applyNumberFormat="1" applyFont="1" applyFill="1" applyBorder="1" applyAlignment="1">
      <alignment vertical="center"/>
    </xf>
    <xf numFmtId="167" fontId="22" fillId="0" borderId="28" xfId="0" applyNumberFormat="1" applyFont="1" applyBorder="1" applyAlignment="1">
      <alignment horizontal="center" vertical="center"/>
    </xf>
    <xf numFmtId="167" fontId="22" fillId="0" borderId="28" xfId="2" applyNumberFormat="1" applyFont="1" applyFill="1" applyBorder="1" applyAlignment="1">
      <alignment vertical="center"/>
    </xf>
    <xf numFmtId="166" fontId="24" fillId="10" borderId="88" xfId="16" applyNumberFormat="1" applyFont="1" applyFill="1" applyBorder="1" applyAlignment="1">
      <alignment horizontal="center" vertical="center"/>
    </xf>
    <xf numFmtId="166" fontId="24" fillId="10" borderId="88" xfId="0" applyNumberFormat="1" applyFont="1" applyFill="1" applyBorder="1" applyAlignment="1">
      <alignment horizontal="center" vertical="center"/>
    </xf>
    <xf numFmtId="0" fontId="22" fillId="0" borderId="25" xfId="0" applyFont="1" applyBorder="1" applyAlignment="1">
      <alignment horizontal="center" vertical="center"/>
    </xf>
    <xf numFmtId="0" fontId="21" fillId="0" borderId="0" xfId="0" applyFont="1" applyAlignment="1">
      <alignment horizontal="center" vertical="center"/>
    </xf>
    <xf numFmtId="43" fontId="22" fillId="0" borderId="9" xfId="0" applyNumberFormat="1" applyFont="1" applyBorder="1" applyAlignment="1">
      <alignment horizontal="center" vertical="center"/>
    </xf>
    <xf numFmtId="43" fontId="22" fillId="0" borderId="9" xfId="0" applyNumberFormat="1" applyFont="1" applyBorder="1" applyAlignment="1">
      <alignment vertical="center"/>
    </xf>
    <xf numFmtId="43" fontId="22" fillId="0" borderId="10" xfId="0" applyNumberFormat="1" applyFont="1" applyBorder="1" applyAlignment="1">
      <alignment horizontal="center" vertical="center"/>
    </xf>
    <xf numFmtId="0" fontId="22" fillId="0" borderId="0" xfId="0" applyFont="1" applyAlignment="1">
      <alignment horizontal="right" vertical="center"/>
    </xf>
    <xf numFmtId="43" fontId="22" fillId="0" borderId="10" xfId="0" applyNumberFormat="1" applyFont="1" applyBorder="1" applyAlignment="1">
      <alignment vertical="center"/>
    </xf>
    <xf numFmtId="43" fontId="22" fillId="0" borderId="11" xfId="0" applyNumberFormat="1" applyFont="1" applyBorder="1" applyAlignment="1">
      <alignment horizontal="center" vertical="center"/>
    </xf>
    <xf numFmtId="43" fontId="31" fillId="0" borderId="26" xfId="0" applyNumberFormat="1" applyFont="1" applyBorder="1" applyAlignment="1">
      <alignment horizontal="center" vertical="center"/>
    </xf>
    <xf numFmtId="43" fontId="22" fillId="0" borderId="27" xfId="0" applyNumberFormat="1" applyFont="1" applyBorder="1" applyAlignment="1">
      <alignment horizontal="center" vertical="center"/>
    </xf>
    <xf numFmtId="43" fontId="22" fillId="0" borderId="11" xfId="0" applyNumberFormat="1" applyFont="1" applyBorder="1" applyAlignment="1">
      <alignment vertical="center"/>
    </xf>
    <xf numFmtId="43" fontId="31" fillId="0" borderId="26" xfId="0" applyNumberFormat="1" applyFont="1" applyBorder="1" applyAlignment="1">
      <alignment vertical="center"/>
    </xf>
    <xf numFmtId="43" fontId="22" fillId="0" borderId="27" xfId="0" applyNumberFormat="1" applyFont="1" applyBorder="1" applyAlignment="1">
      <alignment vertical="center"/>
    </xf>
    <xf numFmtId="43" fontId="22" fillId="0" borderId="28" xfId="0" applyNumberFormat="1" applyFont="1" applyBorder="1" applyAlignment="1">
      <alignment horizontal="center" vertical="center"/>
    </xf>
    <xf numFmtId="43" fontId="22" fillId="0" borderId="28" xfId="0" applyNumberFormat="1" applyFont="1" applyBorder="1" applyAlignment="1">
      <alignment vertical="center"/>
    </xf>
    <xf numFmtId="166" fontId="22" fillId="0" borderId="0" xfId="16" applyNumberFormat="1" applyFont="1" applyFill="1" applyBorder="1" applyAlignment="1">
      <alignment horizontal="center" vertical="center"/>
    </xf>
    <xf numFmtId="166" fontId="22" fillId="0" borderId="25" xfId="16" applyNumberFormat="1" applyFont="1" applyFill="1" applyBorder="1" applyAlignment="1">
      <alignment horizontal="center" vertical="center"/>
    </xf>
    <xf numFmtId="9" fontId="22" fillId="0" borderId="9" xfId="16" applyFont="1" applyFill="1" applyBorder="1" applyAlignment="1">
      <alignment horizontal="center" vertical="center"/>
    </xf>
    <xf numFmtId="9" fontId="22" fillId="0" borderId="10" xfId="16" applyFont="1" applyFill="1" applyBorder="1" applyAlignment="1">
      <alignment horizontal="center" vertical="center"/>
    </xf>
    <xf numFmtId="9" fontId="22" fillId="0" borderId="11" xfId="16" applyFont="1" applyFill="1" applyBorder="1" applyAlignment="1">
      <alignment horizontal="center" vertical="center"/>
    </xf>
    <xf numFmtId="9" fontId="31" fillId="0" borderId="26" xfId="16" applyFont="1" applyFill="1" applyBorder="1" applyAlignment="1">
      <alignment horizontal="center" vertical="center"/>
    </xf>
    <xf numFmtId="9" fontId="22" fillId="0" borderId="27" xfId="16" applyFont="1" applyFill="1" applyBorder="1" applyAlignment="1">
      <alignment horizontal="center" vertical="center"/>
    </xf>
    <xf numFmtId="9" fontId="22" fillId="0" borderId="28" xfId="16" applyFont="1" applyFill="1" applyBorder="1" applyAlignment="1">
      <alignment horizontal="center" vertical="center"/>
    </xf>
    <xf numFmtId="166" fontId="22" fillId="0" borderId="9" xfId="16" applyNumberFormat="1" applyFont="1" applyFill="1" applyBorder="1" applyAlignment="1">
      <alignment vertical="center"/>
    </xf>
    <xf numFmtId="166" fontId="22" fillId="0" borderId="10" xfId="16" applyNumberFormat="1" applyFont="1" applyFill="1" applyBorder="1" applyAlignment="1">
      <alignment vertical="center"/>
    </xf>
    <xf numFmtId="166" fontId="22" fillId="0" borderId="11" xfId="16" applyNumberFormat="1" applyFont="1" applyFill="1" applyBorder="1" applyAlignment="1">
      <alignment vertical="center"/>
    </xf>
    <xf numFmtId="166" fontId="31" fillId="0" borderId="26" xfId="16" applyNumberFormat="1" applyFont="1" applyFill="1" applyBorder="1" applyAlignment="1">
      <alignment vertical="center"/>
    </xf>
    <xf numFmtId="166" fontId="22" fillId="0" borderId="27" xfId="16" applyNumberFormat="1" applyFont="1" applyFill="1" applyBorder="1" applyAlignment="1">
      <alignment vertical="center"/>
    </xf>
    <xf numFmtId="166" fontId="22" fillId="0" borderId="28" xfId="16" applyNumberFormat="1" applyFont="1" applyFill="1" applyBorder="1" applyAlignment="1">
      <alignment vertical="center"/>
    </xf>
    <xf numFmtId="166" fontId="22" fillId="0" borderId="30" xfId="0" applyNumberFormat="1" applyFont="1" applyBorder="1" applyAlignment="1">
      <alignment horizontal="center" vertical="center"/>
    </xf>
    <xf numFmtId="0" fontId="22" fillId="0" borderId="30" xfId="0" applyFont="1" applyBorder="1" applyAlignment="1">
      <alignment vertical="center"/>
    </xf>
    <xf numFmtId="166" fontId="22" fillId="0" borderId="30" xfId="0" applyNumberFormat="1" applyFont="1" applyBorder="1" applyAlignment="1">
      <alignment vertical="center"/>
    </xf>
    <xf numFmtId="0" fontId="31" fillId="9" borderId="89" xfId="0" applyFont="1" applyFill="1" applyBorder="1" applyAlignment="1">
      <alignment horizontal="center" vertical="center"/>
    </xf>
    <xf numFmtId="0" fontId="31" fillId="14" borderId="73" xfId="0" applyFont="1" applyFill="1" applyBorder="1" applyAlignment="1">
      <alignment horizontal="center" vertical="center"/>
    </xf>
    <xf numFmtId="9" fontId="38" fillId="11" borderId="77" xfId="0" applyNumberFormat="1" applyFont="1" applyFill="1" applyBorder="1" applyAlignment="1">
      <alignment horizontal="center" vertical="center"/>
    </xf>
    <xf numFmtId="9" fontId="38" fillId="11" borderId="77" xfId="16" applyFont="1" applyFill="1" applyBorder="1" applyAlignment="1">
      <alignment horizontal="center" vertical="center"/>
    </xf>
    <xf numFmtId="9" fontId="38" fillId="11" borderId="79" xfId="0" applyNumberFormat="1" applyFont="1" applyFill="1" applyBorder="1" applyAlignment="1">
      <alignment horizontal="center" vertical="center"/>
    </xf>
    <xf numFmtId="9" fontId="38" fillId="11" borderId="90" xfId="16" applyFont="1" applyFill="1" applyBorder="1" applyAlignment="1">
      <alignment horizontal="center" vertical="center"/>
    </xf>
    <xf numFmtId="9" fontId="38" fillId="11" borderId="78" xfId="16" applyFont="1" applyFill="1" applyBorder="1" applyAlignment="1">
      <alignment horizontal="center" vertical="center"/>
    </xf>
    <xf numFmtId="0" fontId="39" fillId="12" borderId="90" xfId="0" applyFont="1" applyFill="1" applyBorder="1" applyAlignment="1">
      <alignment vertical="top"/>
    </xf>
    <xf numFmtId="2" fontId="39" fillId="12" borderId="77" xfId="0" applyNumberFormat="1" applyFont="1" applyFill="1" applyBorder="1" applyAlignment="1">
      <alignment vertical="top"/>
    </xf>
    <xf numFmtId="166" fontId="39" fillId="12" borderId="78" xfId="16" applyNumberFormat="1" applyFont="1" applyFill="1" applyBorder="1" applyAlignment="1">
      <alignment vertical="top"/>
    </xf>
    <xf numFmtId="0" fontId="39" fillId="12" borderId="91" xfId="0" applyFont="1" applyFill="1" applyBorder="1" applyAlignment="1">
      <alignment vertical="top"/>
    </xf>
    <xf numFmtId="2" fontId="39" fillId="12" borderId="92" xfId="0" applyNumberFormat="1" applyFont="1" applyFill="1" applyBorder="1" applyAlignment="1">
      <alignment vertical="top"/>
    </xf>
    <xf numFmtId="166" fontId="39" fillId="12" borderId="93" xfId="16" applyNumberFormat="1" applyFont="1" applyFill="1" applyBorder="1" applyAlignment="1">
      <alignment vertical="top"/>
    </xf>
    <xf numFmtId="0" fontId="39" fillId="15" borderId="77" xfId="0" applyFont="1" applyFill="1" applyBorder="1" applyAlignment="1">
      <alignment vertical="top"/>
    </xf>
    <xf numFmtId="0" fontId="39" fillId="16" borderId="77" xfId="0" applyFont="1" applyFill="1" applyBorder="1" applyAlignment="1">
      <alignment vertical="top"/>
    </xf>
    <xf numFmtId="0" fontId="39" fillId="16" borderId="79" xfId="0" applyFont="1" applyFill="1" applyBorder="1" applyAlignment="1">
      <alignment vertical="top"/>
    </xf>
    <xf numFmtId="1" fontId="38" fillId="11" borderId="77" xfId="0" applyNumberFormat="1" applyFont="1" applyFill="1" applyBorder="1" applyAlignment="1">
      <alignment horizontal="center" vertical="center"/>
    </xf>
    <xf numFmtId="0" fontId="39" fillId="12" borderId="41" xfId="0" applyFont="1" applyFill="1" applyBorder="1" applyAlignment="1">
      <alignment vertical="top"/>
    </xf>
    <xf numFmtId="1" fontId="39" fillId="12" borderId="32" xfId="0" applyNumberFormat="1" applyFont="1" applyFill="1" applyBorder="1" applyAlignment="1">
      <alignment vertical="top"/>
    </xf>
    <xf numFmtId="1" fontId="39" fillId="12" borderId="33" xfId="0" applyNumberFormat="1" applyFont="1" applyFill="1" applyBorder="1" applyAlignment="1">
      <alignment vertical="top"/>
    </xf>
    <xf numFmtId="1" fontId="38" fillId="11" borderId="78" xfId="0" applyNumberFormat="1" applyFont="1" applyFill="1" applyBorder="1" applyAlignment="1">
      <alignment horizontal="center" vertical="center"/>
    </xf>
    <xf numFmtId="0" fontId="38" fillId="11" borderId="94" xfId="0" applyFont="1" applyFill="1" applyBorder="1" applyAlignment="1">
      <alignment horizontal="center" vertical="center"/>
    </xf>
    <xf numFmtId="0" fontId="0" fillId="0" borderId="25" xfId="0" applyBorder="1"/>
    <xf numFmtId="0" fontId="0" fillId="0" borderId="38" xfId="0" applyBorder="1"/>
    <xf numFmtId="166" fontId="39" fillId="16" borderId="77" xfId="16" applyNumberFormat="1" applyFont="1" applyFill="1" applyBorder="1" applyAlignment="1">
      <alignment horizontal="center" vertical="center"/>
    </xf>
    <xf numFmtId="166" fontId="39" fillId="16" borderId="78" xfId="16" applyNumberFormat="1" applyFont="1" applyFill="1" applyBorder="1" applyAlignment="1">
      <alignment horizontal="center" vertical="center"/>
    </xf>
    <xf numFmtId="166" fontId="39" fillId="15" borderId="77" xfId="16" applyNumberFormat="1" applyFont="1" applyFill="1" applyBorder="1" applyAlignment="1">
      <alignment horizontal="center" vertical="center"/>
    </xf>
    <xf numFmtId="166" fontId="39" fillId="15" borderId="78" xfId="16" applyNumberFormat="1" applyFont="1" applyFill="1" applyBorder="1" applyAlignment="1">
      <alignment horizontal="center" vertical="center"/>
    </xf>
    <xf numFmtId="166" fontId="39" fillId="15" borderId="79" xfId="16" applyNumberFormat="1" applyFont="1" applyFill="1" applyBorder="1" applyAlignment="1">
      <alignment horizontal="center" vertical="center"/>
    </xf>
    <xf numFmtId="166" fontId="39" fillId="15" borderId="80" xfId="16" applyNumberFormat="1" applyFont="1" applyFill="1" applyBorder="1" applyAlignment="1">
      <alignment horizontal="center" vertical="center"/>
    </xf>
    <xf numFmtId="0" fontId="40" fillId="10" borderId="90" xfId="0" applyFont="1" applyFill="1" applyBorder="1" applyAlignment="1">
      <alignment horizontal="left" vertical="center"/>
    </xf>
    <xf numFmtId="0" fontId="40" fillId="10" borderId="95" xfId="0" applyFont="1" applyFill="1" applyBorder="1" applyAlignment="1">
      <alignment horizontal="left" vertical="center"/>
    </xf>
    <xf numFmtId="22" fontId="22" fillId="0" borderId="0" xfId="0" applyNumberFormat="1" applyFont="1" applyAlignment="1">
      <alignment vertical="center"/>
    </xf>
    <xf numFmtId="0" fontId="41" fillId="11" borderId="96" xfId="0" applyFont="1" applyFill="1" applyBorder="1" applyAlignment="1">
      <alignment horizontal="center" vertical="center"/>
    </xf>
    <xf numFmtId="0" fontId="29" fillId="11" borderId="97" xfId="0" applyFont="1" applyFill="1" applyBorder="1" applyAlignment="1">
      <alignment horizontal="center" vertical="center"/>
    </xf>
    <xf numFmtId="171" fontId="29" fillId="11" borderId="97" xfId="0" applyNumberFormat="1" applyFont="1" applyFill="1" applyBorder="1" applyAlignment="1">
      <alignment horizontal="center" vertical="center"/>
    </xf>
    <xf numFmtId="0" fontId="29" fillId="11" borderId="98" xfId="0" applyFont="1" applyFill="1" applyBorder="1" applyAlignment="1">
      <alignment horizontal="center" vertical="center"/>
    </xf>
    <xf numFmtId="0" fontId="0" fillId="0" borderId="24" xfId="0" applyBorder="1"/>
    <xf numFmtId="0" fontId="0" fillId="0" borderId="29" xfId="0" applyBorder="1"/>
    <xf numFmtId="0" fontId="0" fillId="0" borderId="30" xfId="0" applyBorder="1"/>
    <xf numFmtId="0" fontId="0" fillId="0" borderId="23" xfId="0" applyBorder="1"/>
    <xf numFmtId="0" fontId="0" fillId="0" borderId="39" xfId="0" applyBorder="1"/>
    <xf numFmtId="166" fontId="39" fillId="15" borderId="98" xfId="0" applyNumberFormat="1" applyFont="1" applyFill="1" applyBorder="1" applyAlignment="1">
      <alignment vertical="top"/>
    </xf>
    <xf numFmtId="9" fontId="39" fillId="16" borderId="98" xfId="16" applyFont="1" applyFill="1" applyBorder="1" applyAlignment="1">
      <alignment vertical="top"/>
    </xf>
    <xf numFmtId="9" fontId="39" fillId="15" borderId="98" xfId="0" applyNumberFormat="1" applyFont="1" applyFill="1" applyBorder="1" applyAlignment="1">
      <alignment vertical="top"/>
    </xf>
    <xf numFmtId="0" fontId="38" fillId="11" borderId="99" xfId="0" applyFont="1" applyFill="1" applyBorder="1" applyAlignment="1">
      <alignment horizontal="center" vertical="center"/>
    </xf>
    <xf numFmtId="0" fontId="38" fillId="11" borderId="96" xfId="0" applyFont="1" applyFill="1" applyBorder="1" applyAlignment="1">
      <alignment horizontal="center" vertical="center"/>
    </xf>
    <xf numFmtId="0" fontId="29" fillId="11" borderId="100" xfId="0" applyFont="1" applyFill="1" applyBorder="1" applyAlignment="1">
      <alignment horizontal="center" vertical="center"/>
    </xf>
    <xf numFmtId="0" fontId="0" fillId="0" borderId="0" xfId="0" applyAlignment="1">
      <alignment vertical="top"/>
    </xf>
    <xf numFmtId="0" fontId="13" fillId="7" borderId="101" xfId="13" applyFill="1" applyBorder="1"/>
    <xf numFmtId="0" fontId="13" fillId="7" borderId="102" xfId="13" applyFill="1" applyBorder="1"/>
    <xf numFmtId="0" fontId="16" fillId="7" borderId="103" xfId="13" applyFont="1" applyFill="1" applyBorder="1" applyAlignment="1">
      <alignment horizontal="left" indent="1"/>
    </xf>
    <xf numFmtId="2" fontId="0" fillId="0" borderId="0" xfId="0" applyNumberFormat="1" applyAlignment="1">
      <alignment horizontal="left" indent="2"/>
    </xf>
    <xf numFmtId="167" fontId="20" fillId="17" borderId="10" xfId="2" applyNumberFormat="1" applyFont="1" applyFill="1" applyBorder="1" applyAlignment="1">
      <alignment horizontal="right" vertical="top" wrapText="1"/>
    </xf>
    <xf numFmtId="0" fontId="22" fillId="0" borderId="0" xfId="0" applyFont="1" applyAlignment="1">
      <alignment horizontal="left"/>
    </xf>
    <xf numFmtId="0" fontId="22" fillId="0" borderId="43" xfId="0" applyFont="1" applyBorder="1" applyAlignment="1">
      <alignment horizontal="left"/>
    </xf>
    <xf numFmtId="0" fontId="22" fillId="0" borderId="0" xfId="0" applyFont="1" applyAlignment="1">
      <alignment horizontal="left" indent="1"/>
    </xf>
    <xf numFmtId="0" fontId="22" fillId="0" borderId="0" xfId="0" applyFont="1" applyAlignment="1">
      <alignment horizontal="left" indent="2"/>
    </xf>
    <xf numFmtId="0" fontId="31" fillId="0" borderId="43" xfId="0" applyFont="1" applyBorder="1" applyAlignment="1">
      <alignment horizontal="left"/>
    </xf>
    <xf numFmtId="0" fontId="22" fillId="0" borderId="0" xfId="0" applyFont="1"/>
    <xf numFmtId="0" fontId="22" fillId="0" borderId="0" xfId="0" applyFont="1" applyAlignment="1">
      <alignment horizontal="left" indent="4"/>
    </xf>
    <xf numFmtId="0" fontId="31" fillId="0" borderId="8" xfId="0" applyFont="1" applyBorder="1"/>
    <xf numFmtId="0" fontId="22" fillId="0" borderId="8" xfId="0" applyFont="1" applyBorder="1"/>
    <xf numFmtId="0" fontId="31" fillId="0" borderId="0" xfId="0" applyFont="1" applyAlignment="1">
      <alignment horizontal="left"/>
    </xf>
    <xf numFmtId="0" fontId="29" fillId="11" borderId="11" xfId="0" applyFont="1" applyFill="1" applyBorder="1" applyAlignment="1">
      <alignment horizontal="left" vertical="center"/>
    </xf>
    <xf numFmtId="0" fontId="29" fillId="11" borderId="8" xfId="0" applyFont="1" applyFill="1" applyBorder="1" applyAlignment="1">
      <alignment horizontal="left" vertical="center"/>
    </xf>
    <xf numFmtId="0" fontId="29" fillId="11" borderId="104" xfId="0" applyFont="1" applyFill="1" applyBorder="1" applyAlignment="1">
      <alignment horizontal="left" vertical="center"/>
    </xf>
    <xf numFmtId="0" fontId="22" fillId="0" borderId="29" xfId="0" applyFont="1" applyBorder="1" applyAlignment="1">
      <alignment horizontal="left" vertical="center" indent="2"/>
    </xf>
    <xf numFmtId="0" fontId="22" fillId="0" borderId="0" xfId="0" applyFont="1" applyAlignment="1">
      <alignment horizontal="left" vertical="center" indent="4"/>
    </xf>
    <xf numFmtId="9" fontId="22" fillId="0" borderId="0" xfId="16" applyFont="1" applyFill="1" applyBorder="1" applyAlignment="1">
      <alignment horizontal="left" vertical="center" indent="4"/>
    </xf>
    <xf numFmtId="9" fontId="22" fillId="0" borderId="30" xfId="16" applyFont="1" applyFill="1" applyBorder="1" applyAlignment="1">
      <alignment horizontal="left" vertical="center" indent="4"/>
    </xf>
    <xf numFmtId="0" fontId="22" fillId="0" borderId="0" xfId="0" applyFont="1" applyAlignment="1">
      <alignment horizontal="left" vertical="center" indent="3"/>
    </xf>
    <xf numFmtId="0" fontId="22" fillId="0" borderId="0" xfId="0" quotePrefix="1" applyFont="1" applyAlignment="1">
      <alignment horizontal="left" vertical="center" indent="3"/>
    </xf>
    <xf numFmtId="0" fontId="31" fillId="0" borderId="8" xfId="0" applyFont="1" applyBorder="1" applyAlignment="1">
      <alignment horizontal="left" vertical="center" indent="3"/>
    </xf>
    <xf numFmtId="0" fontId="22" fillId="0" borderId="8" xfId="0" applyFont="1" applyBorder="1" applyAlignment="1">
      <alignment horizontal="left" vertical="center" indent="3"/>
    </xf>
    <xf numFmtId="0" fontId="3" fillId="7" borderId="30" xfId="0" applyFont="1" applyFill="1" applyBorder="1" applyAlignment="1">
      <alignment horizontal="center" vertical="center"/>
    </xf>
    <xf numFmtId="0" fontId="0" fillId="0" borderId="1" xfId="0" applyBorder="1"/>
    <xf numFmtId="0" fontId="0" fillId="0" borderId="3" xfId="0" applyBorder="1"/>
    <xf numFmtId="0" fontId="16" fillId="0" borderId="1" xfId="0" applyFont="1" applyBorder="1"/>
    <xf numFmtId="167" fontId="20" fillId="0" borderId="0" xfId="0" applyNumberFormat="1" applyFont="1" applyAlignment="1">
      <alignment vertical="center"/>
    </xf>
    <xf numFmtId="167" fontId="21" fillId="0" borderId="0" xfId="0" applyNumberFormat="1" applyFont="1" applyAlignment="1">
      <alignment vertical="center"/>
    </xf>
    <xf numFmtId="167" fontId="20" fillId="0" borderId="0" xfId="16" applyNumberFormat="1" applyFont="1" applyAlignment="1">
      <alignment vertical="center"/>
    </xf>
    <xf numFmtId="0" fontId="0" fillId="0" borderId="44" xfId="0" applyBorder="1"/>
    <xf numFmtId="0" fontId="0" fillId="0" borderId="45" xfId="0" applyBorder="1" applyAlignment="1">
      <alignment horizontal="center"/>
    </xf>
    <xf numFmtId="167" fontId="31" fillId="0" borderId="0" xfId="0" applyNumberFormat="1" applyFont="1" applyAlignment="1">
      <alignment vertical="center"/>
    </xf>
    <xf numFmtId="9" fontId="20" fillId="10" borderId="9" xfId="2" applyNumberFormat="1" applyFont="1" applyFill="1" applyBorder="1" applyAlignment="1">
      <alignment horizontal="right" vertical="center"/>
    </xf>
    <xf numFmtId="0" fontId="42" fillId="0" borderId="0" xfId="0" applyFont="1" applyAlignment="1">
      <alignment horizontal="left" vertical="center"/>
    </xf>
    <xf numFmtId="1" fontId="20" fillId="0" borderId="9" xfId="2" applyNumberFormat="1" applyFont="1" applyFill="1" applyBorder="1" applyAlignment="1">
      <alignment horizontal="center" vertical="center"/>
    </xf>
    <xf numFmtId="14" fontId="0" fillId="0" borderId="0" xfId="0" applyNumberFormat="1"/>
    <xf numFmtId="14" fontId="22" fillId="0" borderId="0" xfId="0" applyNumberFormat="1" applyFont="1" applyAlignment="1">
      <alignment vertical="center"/>
    </xf>
    <xf numFmtId="9" fontId="20" fillId="0" borderId="28" xfId="16" applyFont="1" applyFill="1" applyBorder="1" applyAlignment="1">
      <alignment horizontal="right" vertical="center"/>
    </xf>
    <xf numFmtId="0" fontId="22" fillId="0" borderId="0" xfId="16" applyNumberFormat="1" applyFont="1" applyAlignment="1">
      <alignment vertical="center"/>
    </xf>
    <xf numFmtId="10" fontId="22" fillId="0" borderId="0" xfId="16" applyNumberFormat="1" applyFont="1" applyAlignment="1">
      <alignment vertical="center"/>
    </xf>
    <xf numFmtId="173" fontId="22" fillId="0" borderId="0" xfId="16" applyNumberFormat="1" applyFont="1" applyFill="1" applyAlignment="1">
      <alignment vertical="center"/>
    </xf>
    <xf numFmtId="0" fontId="22" fillId="0" borderId="0" xfId="16" applyNumberFormat="1" applyFont="1" applyFill="1" applyAlignment="1">
      <alignment vertical="center"/>
    </xf>
    <xf numFmtId="0" fontId="22" fillId="3" borderId="0" xfId="16" applyNumberFormat="1" applyFont="1" applyFill="1" applyAlignment="1">
      <alignment vertical="center"/>
    </xf>
    <xf numFmtId="9" fontId="31" fillId="0" borderId="0" xfId="16" applyFont="1" applyAlignment="1">
      <alignment vertical="center"/>
    </xf>
    <xf numFmtId="166" fontId="20" fillId="0" borderId="27" xfId="16" applyNumberFormat="1" applyFont="1" applyFill="1" applyBorder="1" applyAlignment="1">
      <alignment horizontal="right" vertical="center"/>
    </xf>
    <xf numFmtId="166" fontId="20" fillId="0" borderId="9" xfId="16" applyNumberFormat="1" applyFont="1" applyFill="1" applyBorder="1" applyAlignment="1">
      <alignment horizontal="right" vertical="center"/>
    </xf>
    <xf numFmtId="0" fontId="24" fillId="0" borderId="0" xfId="0" applyFont="1" applyAlignment="1">
      <alignment vertical="center"/>
    </xf>
    <xf numFmtId="2" fontId="20" fillId="17" borderId="27" xfId="16" applyNumberFormat="1" applyFont="1" applyFill="1" applyBorder="1" applyAlignment="1">
      <alignment horizontal="center" vertical="center"/>
    </xf>
    <xf numFmtId="167" fontId="20" fillId="17" borderId="0" xfId="0" applyNumberFormat="1" applyFont="1" applyFill="1" applyAlignment="1">
      <alignment horizontal="right" vertical="center"/>
    </xf>
    <xf numFmtId="9" fontId="20" fillId="17" borderId="27" xfId="16" applyFont="1" applyFill="1" applyBorder="1" applyAlignment="1">
      <alignment horizontal="center" vertical="center"/>
    </xf>
    <xf numFmtId="167" fontId="21" fillId="17" borderId="0" xfId="0" applyNumberFormat="1" applyFont="1" applyFill="1" applyAlignment="1">
      <alignment horizontal="right" vertical="center"/>
    </xf>
    <xf numFmtId="10" fontId="22" fillId="0" borderId="0" xfId="0" applyNumberFormat="1" applyFont="1" applyAlignment="1">
      <alignment vertical="center"/>
    </xf>
    <xf numFmtId="166" fontId="22" fillId="0" borderId="30" xfId="16" applyNumberFormat="1" applyFont="1" applyFill="1" applyBorder="1" applyAlignment="1">
      <alignment horizontal="right" vertical="center"/>
    </xf>
    <xf numFmtId="166" fontId="22" fillId="0" borderId="30" xfId="16" applyNumberFormat="1" applyFont="1" applyBorder="1" applyAlignment="1">
      <alignment horizontal="right" vertical="center"/>
    </xf>
    <xf numFmtId="9" fontId="22" fillId="0" borderId="0" xfId="0" applyNumberFormat="1" applyFont="1" applyAlignment="1">
      <alignment vertical="center"/>
    </xf>
    <xf numFmtId="0" fontId="4" fillId="0" borderId="43" xfId="0" applyFont="1" applyBorder="1" applyAlignment="1">
      <alignment horizontal="left" vertical="center"/>
    </xf>
    <xf numFmtId="0" fontId="31" fillId="0" borderId="43" xfId="0" applyFont="1" applyBorder="1" applyAlignment="1">
      <alignment vertical="center"/>
    </xf>
    <xf numFmtId="9" fontId="24" fillId="10" borderId="46" xfId="16" applyFont="1" applyFill="1" applyBorder="1" applyAlignment="1">
      <alignment horizontal="center" vertical="center"/>
    </xf>
    <xf numFmtId="0" fontId="31" fillId="7" borderId="43" xfId="2" applyNumberFormat="1" applyFont="1" applyFill="1" applyBorder="1" applyAlignment="1">
      <alignment vertical="center"/>
    </xf>
    <xf numFmtId="41" fontId="24" fillId="10" borderId="47" xfId="2" applyNumberFormat="1" applyFont="1" applyFill="1" applyBorder="1" applyAlignment="1">
      <alignment vertical="center"/>
    </xf>
    <xf numFmtId="0" fontId="31" fillId="0" borderId="43" xfId="2" applyNumberFormat="1" applyFont="1" applyFill="1" applyBorder="1" applyAlignment="1">
      <alignment vertical="center"/>
    </xf>
    <xf numFmtId="167" fontId="21" fillId="17" borderId="43" xfId="0" applyNumberFormat="1" applyFont="1" applyFill="1" applyBorder="1" applyAlignment="1">
      <alignment horizontal="right" vertical="center"/>
    </xf>
    <xf numFmtId="0" fontId="22" fillId="0" borderId="43" xfId="0" applyFont="1" applyBorder="1" applyAlignment="1">
      <alignment vertical="center"/>
    </xf>
    <xf numFmtId="171" fontId="22" fillId="0" borderId="43" xfId="0" applyNumberFormat="1" applyFont="1" applyBorder="1" applyAlignment="1">
      <alignment vertical="center"/>
    </xf>
    <xf numFmtId="0" fontId="24" fillId="10" borderId="47" xfId="0" applyFont="1" applyFill="1" applyBorder="1" applyAlignment="1">
      <alignment vertical="center"/>
    </xf>
    <xf numFmtId="166" fontId="24" fillId="10" borderId="47" xfId="16" applyNumberFormat="1" applyFont="1" applyFill="1" applyBorder="1" applyAlignment="1">
      <alignment horizontal="center" vertical="center"/>
    </xf>
    <xf numFmtId="166" fontId="24" fillId="10" borderId="105" xfId="16" applyNumberFormat="1" applyFont="1" applyFill="1" applyBorder="1" applyAlignment="1">
      <alignment horizontal="center" vertical="center"/>
    </xf>
    <xf numFmtId="166" fontId="24" fillId="10" borderId="106" xfId="16" applyNumberFormat="1" applyFont="1" applyFill="1" applyBorder="1" applyAlignment="1">
      <alignment horizontal="center" vertical="center"/>
    </xf>
    <xf numFmtId="166" fontId="24" fillId="10" borderId="107" xfId="16" applyNumberFormat="1" applyFont="1" applyFill="1" applyBorder="1" applyAlignment="1">
      <alignment horizontal="center" vertical="center"/>
    </xf>
    <xf numFmtId="169" fontId="24" fillId="10" borderId="105" xfId="0" applyNumberFormat="1" applyFont="1" applyFill="1" applyBorder="1" applyAlignment="1">
      <alignment horizontal="center" vertical="center"/>
    </xf>
    <xf numFmtId="0" fontId="24" fillId="10" borderId="105" xfId="0" applyFont="1" applyFill="1" applyBorder="1" applyAlignment="1">
      <alignment horizontal="center" vertical="center"/>
    </xf>
    <xf numFmtId="0" fontId="24" fillId="10" borderId="106" xfId="0" applyFont="1" applyFill="1" applyBorder="1" applyAlignment="1">
      <alignment horizontal="center" vertical="center"/>
    </xf>
    <xf numFmtId="0" fontId="24" fillId="10" borderId="107" xfId="0" applyFont="1" applyFill="1" applyBorder="1" applyAlignment="1">
      <alignment horizontal="center" vertical="center"/>
    </xf>
    <xf numFmtId="166" fontId="24" fillId="10" borderId="108" xfId="16" applyNumberFormat="1" applyFont="1" applyFill="1" applyBorder="1" applyAlignment="1">
      <alignment horizontal="center" vertical="center"/>
    </xf>
    <xf numFmtId="166" fontId="24" fillId="10" borderId="108" xfId="0" applyNumberFormat="1" applyFont="1" applyFill="1" applyBorder="1" applyAlignment="1">
      <alignment horizontal="center" vertical="center"/>
    </xf>
    <xf numFmtId="0" fontId="0" fillId="0" borderId="43" xfId="0" applyBorder="1"/>
    <xf numFmtId="9" fontId="38" fillId="11" borderId="109" xfId="16" applyFont="1" applyFill="1" applyBorder="1" applyAlignment="1">
      <alignment horizontal="center" vertical="center"/>
    </xf>
    <xf numFmtId="0" fontId="40" fillId="13" borderId="40" xfId="0" applyFont="1" applyFill="1" applyBorder="1" applyAlignment="1">
      <alignment vertical="top"/>
    </xf>
    <xf numFmtId="2" fontId="40" fillId="13" borderId="34" xfId="0" applyNumberFormat="1" applyFont="1" applyFill="1" applyBorder="1" applyAlignment="1">
      <alignment vertical="top"/>
    </xf>
    <xf numFmtId="166" fontId="40" fillId="13" borderId="35" xfId="16" applyNumberFormat="1" applyFont="1" applyFill="1" applyBorder="1" applyAlignment="1">
      <alignment vertical="top"/>
    </xf>
    <xf numFmtId="0" fontId="40" fillId="13" borderId="42" xfId="0" applyFont="1" applyFill="1" applyBorder="1" applyAlignment="1">
      <alignment vertical="top"/>
    </xf>
    <xf numFmtId="2" fontId="40" fillId="13" borderId="36" xfId="0" applyNumberFormat="1" applyFont="1" applyFill="1" applyBorder="1" applyAlignment="1">
      <alignment vertical="top"/>
    </xf>
    <xf numFmtId="166" fontId="40" fillId="13" borderId="37" xfId="16" applyNumberFormat="1" applyFont="1" applyFill="1" applyBorder="1" applyAlignment="1">
      <alignment vertical="top"/>
    </xf>
    <xf numFmtId="49" fontId="38" fillId="11" borderId="110" xfId="0" quotePrefix="1" applyNumberFormat="1" applyFont="1" applyFill="1" applyBorder="1" applyAlignment="1">
      <alignment horizontal="center" vertical="center"/>
    </xf>
    <xf numFmtId="49" fontId="38" fillId="11" borderId="109" xfId="0" quotePrefix="1" applyNumberFormat="1" applyFont="1" applyFill="1" applyBorder="1" applyAlignment="1">
      <alignment horizontal="center" vertical="center"/>
    </xf>
    <xf numFmtId="49" fontId="38" fillId="11" borderId="111" xfId="0" quotePrefix="1" applyNumberFormat="1" applyFont="1" applyFill="1" applyBorder="1" applyAlignment="1">
      <alignment horizontal="center" vertical="center"/>
    </xf>
    <xf numFmtId="0" fontId="39" fillId="12" borderId="40" xfId="0" applyFont="1" applyFill="1" applyBorder="1" applyAlignment="1">
      <alignment vertical="top"/>
    </xf>
    <xf numFmtId="1" fontId="39" fillId="12" borderId="34" xfId="0" applyNumberFormat="1" applyFont="1" applyFill="1" applyBorder="1" applyAlignment="1">
      <alignment vertical="top"/>
    </xf>
    <xf numFmtId="1" fontId="39" fillId="12" borderId="35" xfId="0" applyNumberFormat="1" applyFont="1" applyFill="1" applyBorder="1" applyAlignment="1">
      <alignment vertical="top"/>
    </xf>
    <xf numFmtId="0" fontId="40" fillId="13" borderId="34" xfId="0" applyFont="1" applyFill="1" applyBorder="1" applyAlignment="1">
      <alignment vertical="top"/>
    </xf>
    <xf numFmtId="1" fontId="40" fillId="13" borderId="34" xfId="0" applyNumberFormat="1" applyFont="1" applyFill="1" applyBorder="1" applyAlignment="1">
      <alignment vertical="top"/>
    </xf>
    <xf numFmtId="1" fontId="40" fillId="13" borderId="35" xfId="0" applyNumberFormat="1" applyFont="1" applyFill="1" applyBorder="1" applyAlignment="1">
      <alignment vertical="top"/>
    </xf>
    <xf numFmtId="0" fontId="40" fillId="13" borderId="36" xfId="0" applyFont="1" applyFill="1" applyBorder="1" applyAlignment="1">
      <alignment vertical="top"/>
    </xf>
    <xf numFmtId="1" fontId="40" fillId="13" borderId="36" xfId="0" applyNumberFormat="1" applyFont="1" applyFill="1" applyBorder="1" applyAlignment="1">
      <alignment vertical="top"/>
    </xf>
    <xf numFmtId="1" fontId="40" fillId="13" borderId="37" xfId="0" applyNumberFormat="1" applyFont="1" applyFill="1" applyBorder="1" applyAlignment="1">
      <alignment vertical="top"/>
    </xf>
    <xf numFmtId="0" fontId="40" fillId="10" borderId="47" xfId="0" applyFont="1" applyFill="1" applyBorder="1" applyAlignment="1">
      <alignment vertical="top"/>
    </xf>
    <xf numFmtId="0" fontId="39" fillId="16" borderId="47" xfId="0" applyFont="1" applyFill="1" applyBorder="1" applyAlignment="1">
      <alignment vertical="top"/>
    </xf>
    <xf numFmtId="0" fontId="41" fillId="11" borderId="105" xfId="0" applyFont="1" applyFill="1" applyBorder="1" applyAlignment="1">
      <alignment horizontal="center" vertical="center"/>
    </xf>
    <xf numFmtId="14" fontId="31" fillId="0" borderId="43" xfId="0" applyNumberFormat="1" applyFont="1" applyBorder="1" applyAlignment="1">
      <alignment horizontal="center" vertical="center"/>
    </xf>
    <xf numFmtId="0" fontId="22" fillId="0" borderId="43" xfId="0" applyFont="1" applyBorder="1" applyAlignment="1">
      <alignment horizontal="center" vertical="center"/>
    </xf>
    <xf numFmtId="167" fontId="31" fillId="0" borderId="43" xfId="0" applyNumberFormat="1" applyFont="1" applyBorder="1" applyAlignment="1">
      <alignment horizontal="center" vertical="center"/>
    </xf>
    <xf numFmtId="171" fontId="31" fillId="0" borderId="43" xfId="0" applyNumberFormat="1" applyFont="1" applyBorder="1" applyAlignment="1">
      <alignment vertical="center"/>
    </xf>
    <xf numFmtId="167" fontId="21" fillId="0" borderId="43" xfId="0" applyNumberFormat="1" applyFont="1" applyBorder="1" applyAlignment="1">
      <alignment horizontal="right" vertical="center"/>
    </xf>
    <xf numFmtId="9" fontId="22" fillId="17" borderId="0" xfId="16" applyFont="1" applyFill="1" applyBorder="1" applyAlignment="1">
      <alignment horizontal="right" vertical="center"/>
    </xf>
    <xf numFmtId="2" fontId="21" fillId="28" borderId="26" xfId="0" applyNumberFormat="1" applyFont="1" applyFill="1" applyBorder="1" applyAlignment="1">
      <alignment horizontal="center" vertical="center"/>
    </xf>
    <xf numFmtId="43" fontId="31" fillId="28" borderId="26" xfId="0" applyNumberFormat="1" applyFont="1" applyFill="1" applyBorder="1" applyAlignment="1">
      <alignment horizontal="center" vertical="center"/>
    </xf>
    <xf numFmtId="0" fontId="29" fillId="11" borderId="112" xfId="0" applyFont="1" applyFill="1" applyBorder="1" applyAlignment="1">
      <alignment vertical="center"/>
    </xf>
    <xf numFmtId="0" fontId="29" fillId="11" borderId="109" xfId="0" applyFont="1" applyFill="1" applyBorder="1" applyAlignment="1">
      <alignment vertical="center"/>
    </xf>
    <xf numFmtId="0" fontId="29" fillId="11" borderId="90" xfId="0" applyFont="1" applyFill="1" applyBorder="1" applyAlignment="1">
      <alignment vertical="center"/>
    </xf>
    <xf numFmtId="0" fontId="29" fillId="11" borderId="77" xfId="0" applyFont="1" applyFill="1" applyBorder="1" applyAlignment="1">
      <alignment vertical="center"/>
    </xf>
    <xf numFmtId="0" fontId="38" fillId="11" borderId="51" xfId="0" applyFont="1" applyFill="1" applyBorder="1" applyAlignment="1">
      <alignment horizontal="left" vertical="center"/>
    </xf>
    <xf numFmtId="0" fontId="38" fillId="11" borderId="52" xfId="0" applyFont="1" applyFill="1" applyBorder="1" applyAlignment="1">
      <alignment horizontal="left" vertical="center"/>
    </xf>
    <xf numFmtId="0" fontId="38" fillId="11" borderId="53" xfId="0" applyFont="1" applyFill="1" applyBorder="1" applyAlignment="1">
      <alignment horizontal="left" vertical="center"/>
    </xf>
    <xf numFmtId="0" fontId="29" fillId="11" borderId="113" xfId="0" applyFont="1" applyFill="1" applyBorder="1" applyAlignment="1">
      <alignment vertical="center"/>
    </xf>
    <xf numFmtId="0" fontId="29" fillId="11" borderId="114" xfId="0" applyFont="1" applyFill="1" applyBorder="1" applyAlignment="1">
      <alignment vertical="center"/>
    </xf>
    <xf numFmtId="0" fontId="29" fillId="11" borderId="115" xfId="0" applyFont="1" applyFill="1" applyBorder="1" applyAlignment="1">
      <alignment horizontal="center" vertical="center" wrapText="1"/>
    </xf>
    <xf numFmtId="0" fontId="29" fillId="11" borderId="116" xfId="0" applyFont="1" applyFill="1" applyBorder="1" applyAlignment="1">
      <alignment horizontal="center" vertical="center" wrapText="1"/>
    </xf>
    <xf numFmtId="0" fontId="29" fillId="11" borderId="117" xfId="0" applyFont="1" applyFill="1" applyBorder="1" applyAlignment="1">
      <alignment horizontal="center" vertical="center" wrapText="1"/>
    </xf>
    <xf numFmtId="0" fontId="29" fillId="11" borderId="118" xfId="0" applyFont="1" applyFill="1" applyBorder="1" applyAlignment="1">
      <alignment horizontal="center" vertical="center" wrapText="1"/>
    </xf>
    <xf numFmtId="0" fontId="22" fillId="0" borderId="24" xfId="0" applyFont="1" applyBorder="1" applyAlignment="1">
      <alignment horizontal="center" vertical="center"/>
    </xf>
    <xf numFmtId="0" fontId="22" fillId="0" borderId="0" xfId="0" applyFont="1" applyAlignment="1">
      <alignment horizontal="center" vertical="center"/>
    </xf>
    <xf numFmtId="168" fontId="31" fillId="0" borderId="43" xfId="0" applyNumberFormat="1" applyFont="1" applyBorder="1" applyAlignment="1">
      <alignment horizontal="center" vertical="center"/>
    </xf>
    <xf numFmtId="171" fontId="31" fillId="0" borderId="43" xfId="0" applyNumberFormat="1" applyFont="1" applyBorder="1" applyAlignment="1">
      <alignment horizontal="center" vertical="center"/>
    </xf>
    <xf numFmtId="170" fontId="31" fillId="0" borderId="8" xfId="0" applyNumberFormat="1" applyFont="1" applyBorder="1" applyAlignment="1">
      <alignment horizontal="center" vertical="center"/>
    </xf>
    <xf numFmtId="9" fontId="31" fillId="0" borderId="43" xfId="16" applyFont="1" applyFill="1" applyBorder="1" applyAlignment="1">
      <alignment horizontal="right" vertical="center"/>
    </xf>
    <xf numFmtId="0" fontId="29" fillId="11" borderId="50" xfId="0" applyFont="1" applyFill="1" applyBorder="1" applyAlignment="1">
      <alignment horizontal="center" vertical="center"/>
    </xf>
    <xf numFmtId="0" fontId="29" fillId="11" borderId="48" xfId="0" applyFont="1" applyFill="1" applyBorder="1" applyAlignment="1">
      <alignment horizontal="center" vertical="center"/>
    </xf>
    <xf numFmtId="0" fontId="29" fillId="11" borderId="49" xfId="0" applyFont="1" applyFill="1" applyBorder="1" applyAlignment="1">
      <alignment horizontal="center" vertical="center"/>
    </xf>
    <xf numFmtId="0" fontId="24" fillId="10" borderId="119" xfId="0" applyFont="1" applyFill="1" applyBorder="1" applyAlignment="1">
      <alignment horizontal="center" vertical="center"/>
    </xf>
    <xf numFmtId="0" fontId="24" fillId="10" borderId="120" xfId="0" applyFont="1" applyFill="1" applyBorder="1" applyAlignment="1">
      <alignment horizontal="center" vertical="center"/>
    </xf>
    <xf numFmtId="0" fontId="29" fillId="11" borderId="119" xfId="0" applyFont="1" applyFill="1" applyBorder="1" applyAlignment="1">
      <alignment horizontal="center" vertical="center"/>
    </xf>
    <xf numFmtId="0" fontId="29" fillId="11" borderId="120" xfId="0" applyFont="1" applyFill="1" applyBorder="1" applyAlignment="1">
      <alignment horizontal="center" vertical="center"/>
    </xf>
    <xf numFmtId="0" fontId="29" fillId="11" borderId="121" xfId="0" applyFont="1" applyFill="1" applyBorder="1" applyAlignment="1">
      <alignment horizontal="center" vertical="center" wrapText="1"/>
    </xf>
    <xf numFmtId="0" fontId="29" fillId="11" borderId="122" xfId="0" applyFont="1" applyFill="1" applyBorder="1" applyAlignment="1">
      <alignment horizontal="center" vertical="center" wrapText="1"/>
    </xf>
    <xf numFmtId="1" fontId="24" fillId="15" borderId="90" xfId="0" applyNumberFormat="1" applyFont="1" applyFill="1" applyBorder="1" applyAlignment="1">
      <alignment vertical="center"/>
    </xf>
    <xf numFmtId="1" fontId="24" fillId="15" borderId="77" xfId="0" applyNumberFormat="1" applyFont="1" applyFill="1" applyBorder="1" applyAlignment="1">
      <alignment vertical="center"/>
    </xf>
    <xf numFmtId="2" fontId="24" fillId="15" borderId="77" xfId="0" applyNumberFormat="1" applyFont="1" applyFill="1" applyBorder="1" applyAlignment="1">
      <alignment vertical="center"/>
    </xf>
    <xf numFmtId="2" fontId="24" fillId="15" borderId="78" xfId="0" applyNumberFormat="1" applyFont="1" applyFill="1" applyBorder="1" applyAlignment="1">
      <alignment vertical="center"/>
    </xf>
    <xf numFmtId="1" fontId="24" fillId="15" borderId="95" xfId="0" applyNumberFormat="1" applyFont="1" applyFill="1" applyBorder="1" applyAlignment="1">
      <alignment vertical="center"/>
    </xf>
    <xf numFmtId="1" fontId="24" fillId="15" borderId="79" xfId="0" applyNumberFormat="1" applyFont="1" applyFill="1" applyBorder="1" applyAlignment="1">
      <alignment vertical="center"/>
    </xf>
    <xf numFmtId="9" fontId="24" fillId="15" borderId="79" xfId="16" applyFont="1" applyFill="1" applyBorder="1" applyAlignment="1">
      <alignment vertical="center"/>
    </xf>
    <xf numFmtId="9" fontId="24" fillId="15" borderId="80" xfId="16" applyFont="1" applyFill="1" applyBorder="1" applyAlignment="1">
      <alignment vertical="center"/>
    </xf>
    <xf numFmtId="9" fontId="30" fillId="15" borderId="79" xfId="16" applyFont="1" applyFill="1" applyBorder="1" applyAlignment="1">
      <alignment vertical="center"/>
    </xf>
    <xf numFmtId="9" fontId="30" fillId="15" borderId="80" xfId="16" applyFont="1" applyFill="1" applyBorder="1" applyAlignment="1">
      <alignment vertical="center"/>
    </xf>
    <xf numFmtId="0" fontId="29" fillId="11" borderId="11" xfId="0" applyFont="1" applyFill="1" applyBorder="1" applyAlignment="1">
      <alignment horizontal="left" vertical="center"/>
    </xf>
    <xf numFmtId="0" fontId="29" fillId="11" borderId="8" xfId="0" applyFont="1" applyFill="1" applyBorder="1" applyAlignment="1">
      <alignment horizontal="left" vertical="center"/>
    </xf>
    <xf numFmtId="0" fontId="29" fillId="11" borderId="104" xfId="0" applyFont="1" applyFill="1" applyBorder="1" applyAlignment="1">
      <alignment horizontal="left" vertical="center"/>
    </xf>
    <xf numFmtId="0" fontId="29" fillId="11" borderId="54" xfId="0" applyFont="1" applyFill="1" applyBorder="1" applyAlignment="1">
      <alignment horizontal="center" vertical="center"/>
    </xf>
    <xf numFmtId="0" fontId="29" fillId="11" borderId="55" xfId="0" applyFont="1" applyFill="1" applyBorder="1" applyAlignment="1">
      <alignment horizontal="center" vertical="center"/>
    </xf>
    <xf numFmtId="0" fontId="29" fillId="11" borderId="56" xfId="0" applyFont="1" applyFill="1" applyBorder="1" applyAlignment="1">
      <alignment horizontal="center" vertical="center"/>
    </xf>
    <xf numFmtId="1" fontId="30" fillId="15" borderId="112" xfId="0" applyNumberFormat="1" applyFont="1" applyFill="1" applyBorder="1" applyAlignment="1">
      <alignment vertical="center"/>
    </xf>
    <xf numFmtId="1" fontId="30" fillId="15" borderId="109" xfId="0" applyNumberFormat="1" applyFont="1" applyFill="1" applyBorder="1" applyAlignment="1">
      <alignment vertical="center"/>
    </xf>
    <xf numFmtId="1" fontId="30" fillId="15" borderId="90" xfId="0" applyNumberFormat="1" applyFont="1" applyFill="1" applyBorder="1" applyAlignment="1">
      <alignment vertical="center"/>
    </xf>
    <xf numFmtId="1" fontId="30" fillId="15" borderId="77" xfId="0" applyNumberFormat="1" applyFont="1" applyFill="1" applyBorder="1" applyAlignment="1">
      <alignment vertical="center"/>
    </xf>
    <xf numFmtId="2" fontId="30" fillId="15" borderId="109" xfId="0" applyNumberFormat="1" applyFont="1" applyFill="1" applyBorder="1" applyAlignment="1">
      <alignment vertical="center"/>
    </xf>
    <xf numFmtId="2" fontId="30" fillId="15" borderId="111" xfId="0" applyNumberFormat="1" applyFont="1" applyFill="1" applyBorder="1" applyAlignment="1">
      <alignment vertical="center"/>
    </xf>
    <xf numFmtId="2" fontId="30" fillId="15" borderId="77" xfId="0" applyNumberFormat="1" applyFont="1" applyFill="1" applyBorder="1" applyAlignment="1">
      <alignment vertical="center"/>
    </xf>
    <xf numFmtId="2" fontId="30" fillId="15" borderId="78" xfId="0" applyNumberFormat="1" applyFont="1" applyFill="1" applyBorder="1" applyAlignment="1">
      <alignment vertical="center"/>
    </xf>
    <xf numFmtId="2" fontId="30" fillId="15" borderId="109" xfId="0" applyNumberFormat="1" applyFont="1" applyFill="1" applyBorder="1" applyAlignment="1">
      <alignment horizontal="center" vertical="center"/>
    </xf>
    <xf numFmtId="2" fontId="30" fillId="15" borderId="111" xfId="0" applyNumberFormat="1" applyFont="1" applyFill="1" applyBorder="1" applyAlignment="1">
      <alignment horizontal="center" vertical="center"/>
    </xf>
    <xf numFmtId="2" fontId="30" fillId="15" borderId="77" xfId="0" applyNumberFormat="1" applyFont="1" applyFill="1" applyBorder="1" applyAlignment="1">
      <alignment horizontal="center" vertical="center"/>
    </xf>
    <xf numFmtId="2" fontId="30" fillId="15" borderId="78" xfId="0" applyNumberFormat="1" applyFont="1" applyFill="1" applyBorder="1" applyAlignment="1">
      <alignment horizontal="center" vertical="center"/>
    </xf>
    <xf numFmtId="0" fontId="24" fillId="10" borderId="123" xfId="0" applyFont="1" applyFill="1" applyBorder="1" applyAlignment="1">
      <alignment horizontal="center" vertical="center"/>
    </xf>
    <xf numFmtId="0" fontId="24" fillId="10" borderId="27" xfId="0" applyFont="1" applyFill="1" applyBorder="1" applyAlignment="1">
      <alignment horizontal="center" vertical="center"/>
    </xf>
    <xf numFmtId="0" fontId="24" fillId="10" borderId="8" xfId="0" applyFont="1" applyFill="1" applyBorder="1" applyAlignment="1">
      <alignment horizontal="center" vertical="center"/>
    </xf>
    <xf numFmtId="0" fontId="24" fillId="15" borderId="106" xfId="0" applyFont="1" applyFill="1" applyBorder="1" applyAlignment="1">
      <alignment horizontal="center" vertical="center"/>
    </xf>
    <xf numFmtId="0" fontId="24" fillId="15" borderId="107" xfId="0" applyFont="1" applyFill="1" applyBorder="1" applyAlignment="1">
      <alignment horizontal="center" vertical="center"/>
    </xf>
    <xf numFmtId="0" fontId="29" fillId="11" borderId="124" xfId="0" applyFont="1" applyFill="1" applyBorder="1" applyAlignment="1">
      <alignment horizontal="left" vertical="center"/>
    </xf>
    <xf numFmtId="0" fontId="29" fillId="11" borderId="125" xfId="0" applyFont="1" applyFill="1" applyBorder="1" applyAlignment="1">
      <alignment horizontal="left" vertical="center"/>
    </xf>
    <xf numFmtId="0" fontId="29" fillId="11" borderId="99" xfId="0" applyFont="1" applyFill="1" applyBorder="1" applyAlignment="1">
      <alignment horizontal="left" vertical="center"/>
    </xf>
    <xf numFmtId="0" fontId="21" fillId="18" borderId="126" xfId="0" applyFont="1" applyFill="1" applyBorder="1" applyAlignment="1">
      <alignment horizontal="center" vertical="center"/>
    </xf>
    <xf numFmtId="0" fontId="21" fillId="18" borderId="127"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textRotation="255"/>
    </xf>
    <xf numFmtId="0" fontId="39" fillId="16" borderId="82" xfId="0" applyFont="1" applyFill="1" applyBorder="1" applyAlignment="1">
      <alignment vertical="top"/>
    </xf>
    <xf numFmtId="0" fontId="39" fillId="16" borderId="128" xfId="0" applyFont="1" applyFill="1" applyBorder="1" applyAlignment="1">
      <alignment vertical="top"/>
    </xf>
    <xf numFmtId="0" fontId="39" fillId="15" borderId="82" xfId="0" applyFont="1" applyFill="1" applyBorder="1" applyAlignment="1">
      <alignment vertical="top"/>
    </xf>
    <xf numFmtId="0" fontId="39" fillId="15" borderId="128" xfId="0" applyFont="1" applyFill="1" applyBorder="1" applyAlignment="1">
      <alignment vertical="top"/>
    </xf>
    <xf numFmtId="0" fontId="38" fillId="11" borderId="11" xfId="0" applyFont="1" applyFill="1" applyBorder="1" applyAlignment="1">
      <alignment horizontal="center" vertical="center"/>
    </xf>
    <xf numFmtId="0" fontId="38" fillId="11" borderId="8" xfId="0" applyFont="1" applyFill="1" applyBorder="1" applyAlignment="1">
      <alignment horizontal="center" vertical="center"/>
    </xf>
    <xf numFmtId="0" fontId="38" fillId="11" borderId="27" xfId="0" applyFont="1" applyFill="1" applyBorder="1" applyAlignment="1">
      <alignment horizontal="center" vertical="center"/>
    </xf>
    <xf numFmtId="166" fontId="38" fillId="11" borderId="96" xfId="16" applyNumberFormat="1" applyFont="1" applyFill="1" applyBorder="1" applyAlignment="1">
      <alignment horizontal="center" vertical="center"/>
    </xf>
    <xf numFmtId="166" fontId="38" fillId="11" borderId="97" xfId="16" applyNumberFormat="1" applyFont="1" applyFill="1" applyBorder="1" applyAlignment="1">
      <alignment horizontal="center" vertical="center"/>
    </xf>
    <xf numFmtId="0" fontId="39" fillId="16" borderId="129" xfId="0" applyFont="1" applyFill="1" applyBorder="1" applyAlignment="1">
      <alignment vertical="top"/>
    </xf>
    <xf numFmtId="0" fontId="39" fillId="16" borderId="130" xfId="0" applyFont="1" applyFill="1" applyBorder="1" applyAlignment="1">
      <alignment vertical="top"/>
    </xf>
    <xf numFmtId="0" fontId="38" fillId="11" borderId="131" xfId="0" applyFont="1" applyFill="1" applyBorder="1" applyAlignment="1">
      <alignment horizontal="center" vertical="center" wrapText="1"/>
    </xf>
    <xf numFmtId="0" fontId="38" fillId="11" borderId="132" xfId="0" applyFont="1" applyFill="1" applyBorder="1" applyAlignment="1">
      <alignment horizontal="center" vertical="center" wrapText="1"/>
    </xf>
    <xf numFmtId="0" fontId="38" fillId="11" borderId="106" xfId="0" applyFont="1" applyFill="1" applyBorder="1" applyAlignment="1">
      <alignment horizontal="center" vertical="center" wrapText="1"/>
    </xf>
    <xf numFmtId="0" fontId="16" fillId="0" borderId="133" xfId="0" applyFont="1" applyBorder="1" applyAlignment="1">
      <alignment horizontal="center" vertical="center" wrapText="1"/>
    </xf>
    <xf numFmtId="0" fontId="38" fillId="11" borderId="107" xfId="0" applyFont="1" applyFill="1" applyBorder="1" applyAlignment="1">
      <alignment horizontal="center" vertical="center" wrapText="1"/>
    </xf>
    <xf numFmtId="0" fontId="16" fillId="0" borderId="134" xfId="0" applyFont="1" applyBorder="1" applyAlignment="1">
      <alignment horizontal="center" vertical="center" wrapText="1"/>
    </xf>
    <xf numFmtId="0" fontId="38" fillId="11" borderId="112" xfId="0" applyFont="1" applyFill="1" applyBorder="1" applyAlignment="1">
      <alignment horizontal="center" vertical="center"/>
    </xf>
    <xf numFmtId="0" fontId="38" fillId="11" borderId="109" xfId="0" applyFont="1" applyFill="1" applyBorder="1" applyAlignment="1">
      <alignment horizontal="center" vertical="center"/>
    </xf>
    <xf numFmtId="0" fontId="38" fillId="11" borderId="111" xfId="0" applyFont="1" applyFill="1" applyBorder="1" applyAlignment="1">
      <alignment horizontal="center" vertical="center"/>
    </xf>
    <xf numFmtId="0" fontId="38" fillId="11" borderId="112" xfId="0" applyFont="1" applyFill="1" applyBorder="1" applyAlignment="1">
      <alignment horizontal="center" vertical="center" wrapText="1"/>
    </xf>
    <xf numFmtId="0" fontId="38" fillId="11" borderId="90" xfId="0" applyFont="1" applyFill="1" applyBorder="1" applyAlignment="1">
      <alignment horizontal="center" vertical="center" wrapText="1"/>
    </xf>
    <xf numFmtId="0" fontId="38" fillId="11" borderId="95" xfId="0" applyFont="1" applyFill="1" applyBorder="1" applyAlignment="1">
      <alignment horizontal="center" vertical="center" wrapText="1"/>
    </xf>
    <xf numFmtId="0" fontId="39" fillId="15" borderId="77" xfId="0" applyFont="1" applyFill="1" applyBorder="1" applyAlignment="1">
      <alignment vertical="top"/>
    </xf>
    <xf numFmtId="0" fontId="39" fillId="15" borderId="78" xfId="0" applyFont="1" applyFill="1" applyBorder="1" applyAlignment="1">
      <alignment vertical="top"/>
    </xf>
    <xf numFmtId="0" fontId="38" fillId="11" borderId="105" xfId="0" applyFont="1" applyFill="1" applyBorder="1" applyAlignment="1">
      <alignment horizontal="center" vertical="center" wrapText="1"/>
    </xf>
    <xf numFmtId="0" fontId="38" fillId="11" borderId="135" xfId="0" applyFont="1" applyFill="1" applyBorder="1" applyAlignment="1">
      <alignment horizontal="center" vertical="center" wrapText="1"/>
    </xf>
    <xf numFmtId="0" fontId="0" fillId="0" borderId="39" xfId="0" applyBorder="1" applyAlignment="1">
      <alignment wrapText="1"/>
    </xf>
    <xf numFmtId="0" fontId="16" fillId="0" borderId="81" xfId="0" applyFont="1" applyBorder="1" applyAlignment="1">
      <alignment horizontal="center" vertical="center" wrapText="1"/>
    </xf>
    <xf numFmtId="0" fontId="0" fillId="0" borderId="136" xfId="0" applyBorder="1" applyAlignment="1">
      <alignment wrapText="1"/>
    </xf>
    <xf numFmtId="0" fontId="16" fillId="5" borderId="57" xfId="0" applyFont="1" applyFill="1" applyBorder="1" applyAlignment="1">
      <alignment horizontal="center"/>
    </xf>
    <xf numFmtId="0" fontId="16" fillId="5" borderId="58" xfId="0" applyFont="1" applyFill="1" applyBorder="1" applyAlignment="1">
      <alignment horizontal="center"/>
    </xf>
    <xf numFmtId="0" fontId="16" fillId="5" borderId="59" xfId="0" applyFont="1" applyFill="1" applyBorder="1" applyAlignment="1">
      <alignment horizontal="center"/>
    </xf>
    <xf numFmtId="0" fontId="16" fillId="5" borderId="60" xfId="0" applyFont="1" applyFill="1" applyBorder="1" applyAlignment="1">
      <alignment horizontal="center"/>
    </xf>
    <xf numFmtId="0" fontId="0" fillId="26" borderId="0" xfId="0" applyFill="1"/>
    <xf numFmtId="0" fontId="0" fillId="0" borderId="0" xfId="0"/>
    <xf numFmtId="0" fontId="0" fillId="27" borderId="0" xfId="0" applyFill="1"/>
    <xf numFmtId="0" fontId="0" fillId="19" borderId="0" xfId="0" applyFill="1"/>
    <xf numFmtId="0" fontId="0" fillId="20" borderId="0" xfId="0" applyFill="1"/>
    <xf numFmtId="0" fontId="0" fillId="21" borderId="0" xfId="0" applyFill="1"/>
    <xf numFmtId="0" fontId="0" fillId="22" borderId="0" xfId="0" applyFill="1"/>
    <xf numFmtId="0" fontId="43" fillId="0" borderId="0" xfId="0" applyFont="1" applyAlignment="1">
      <alignment horizontal="left" vertical="top" wrapText="1"/>
    </xf>
    <xf numFmtId="0" fontId="0" fillId="23" borderId="0" xfId="0" applyFill="1"/>
    <xf numFmtId="0" fontId="0" fillId="24" borderId="0" xfId="0" applyFill="1"/>
    <xf numFmtId="0" fontId="0" fillId="25" borderId="0" xfId="0" applyFill="1"/>
    <xf numFmtId="0" fontId="45" fillId="0" borderId="0" xfId="18"/>
    <xf numFmtId="0" fontId="45" fillId="0" borderId="0" xfId="18" applyProtection="1">
      <protection locked="0"/>
    </xf>
    <xf numFmtId="0" fontId="47" fillId="0" borderId="0" xfId="19" applyFont="1" applyAlignment="1" applyProtection="1">
      <alignment horizontal="left"/>
      <protection locked="0"/>
    </xf>
    <xf numFmtId="175" fontId="48" fillId="0" borderId="137" xfId="20" applyNumberFormat="1" applyFont="1" applyFill="1" applyBorder="1" applyProtection="1">
      <protection locked="0"/>
    </xf>
    <xf numFmtId="0" fontId="49" fillId="0" borderId="138" xfId="18" applyFont="1" applyBorder="1" applyAlignment="1" applyProtection="1">
      <alignment horizontal="center" vertical="center"/>
      <protection locked="0"/>
    </xf>
    <xf numFmtId="0" fontId="48" fillId="0" borderId="138" xfId="19" applyFont="1" applyBorder="1" applyAlignment="1" applyProtection="1">
      <alignment horizontal="left"/>
      <protection locked="0"/>
    </xf>
    <xf numFmtId="0" fontId="47" fillId="0" borderId="138" xfId="19" applyFont="1" applyBorder="1" applyAlignment="1" applyProtection="1">
      <alignment horizontal="left"/>
      <protection locked="0"/>
    </xf>
    <xf numFmtId="176" fontId="47" fillId="0" borderId="139" xfId="20" applyNumberFormat="1" applyFont="1" applyFill="1" applyBorder="1" applyProtection="1">
      <protection locked="0"/>
    </xf>
    <xf numFmtId="0" fontId="49" fillId="0" borderId="0" xfId="18" applyFont="1" applyAlignment="1" applyProtection="1">
      <alignment horizontal="center" vertical="center"/>
      <protection locked="0"/>
    </xf>
    <xf numFmtId="177" fontId="45" fillId="0" borderId="0" xfId="18" applyNumberFormat="1" applyProtection="1">
      <protection locked="0"/>
    </xf>
    <xf numFmtId="178" fontId="45" fillId="0" borderId="0" xfId="18" applyNumberFormat="1" applyProtection="1">
      <protection locked="0"/>
    </xf>
    <xf numFmtId="175" fontId="48" fillId="0" borderId="138" xfId="20" applyNumberFormat="1" applyFont="1" applyFill="1" applyBorder="1" applyProtection="1">
      <protection locked="0"/>
    </xf>
    <xf numFmtId="175" fontId="45" fillId="0" borderId="0" xfId="20" applyNumberFormat="1" applyFill="1" applyProtection="1">
      <protection locked="0"/>
    </xf>
    <xf numFmtId="0" fontId="47" fillId="0" borderId="0" xfId="19" applyFont="1" applyAlignment="1" applyProtection="1">
      <alignment horizontal="left" indent="1"/>
      <protection locked="0"/>
    </xf>
    <xf numFmtId="175" fontId="48" fillId="0" borderId="0" xfId="20" applyNumberFormat="1" applyFont="1" applyFill="1" applyProtection="1">
      <protection locked="0"/>
    </xf>
    <xf numFmtId="0" fontId="48" fillId="0" borderId="0" xfId="19" applyFont="1" applyAlignment="1" applyProtection="1">
      <alignment horizontal="left"/>
      <protection locked="0"/>
    </xf>
    <xf numFmtId="0" fontId="50" fillId="0" borderId="0" xfId="18" applyFont="1" applyProtection="1">
      <protection locked="0"/>
    </xf>
    <xf numFmtId="179" fontId="51" fillId="29" borderId="140" xfId="20" applyNumberFormat="1" applyFont="1" applyFill="1" applyBorder="1" applyAlignment="1" applyProtection="1">
      <alignment horizontal="center"/>
      <protection locked="0"/>
    </xf>
    <xf numFmtId="0" fontId="49" fillId="0" borderId="141" xfId="18" applyFont="1" applyBorder="1" applyAlignment="1" applyProtection="1">
      <alignment horizontal="center" vertical="center"/>
      <protection locked="0"/>
    </xf>
    <xf numFmtId="0" fontId="48" fillId="0" borderId="0" xfId="18" applyFont="1" applyProtection="1">
      <protection locked="0"/>
    </xf>
    <xf numFmtId="0" fontId="52" fillId="0" borderId="0" xfId="18" applyFont="1" applyAlignment="1" applyProtection="1">
      <alignment vertical="top"/>
      <protection locked="0"/>
    </xf>
    <xf numFmtId="0" fontId="51" fillId="29" borderId="142" xfId="20" applyNumberFormat="1" applyFont="1" applyFill="1" applyBorder="1" applyAlignment="1" applyProtection="1">
      <protection locked="0"/>
    </xf>
    <xf numFmtId="0" fontId="45" fillId="30" borderId="141" xfId="18" applyFill="1" applyBorder="1" applyProtection="1">
      <protection locked="0"/>
    </xf>
    <xf numFmtId="0" fontId="51" fillId="30" borderId="0" xfId="18" applyFont="1" applyFill="1" applyAlignment="1" applyProtection="1">
      <alignment vertical="center"/>
      <protection locked="0"/>
    </xf>
    <xf numFmtId="0" fontId="53" fillId="31" borderId="138" xfId="18" applyFont="1" applyFill="1" applyBorder="1" applyAlignment="1" applyProtection="1">
      <alignment vertical="center"/>
      <protection locked="0"/>
    </xf>
    <xf numFmtId="9" fontId="47" fillId="0" borderId="143" xfId="21" applyFont="1" applyFill="1" applyBorder="1" applyProtection="1">
      <protection locked="0"/>
    </xf>
    <xf numFmtId="0" fontId="53" fillId="31" borderId="144" xfId="18" applyFont="1" applyFill="1" applyBorder="1" applyAlignment="1" applyProtection="1">
      <alignment vertical="center"/>
      <protection locked="0"/>
    </xf>
    <xf numFmtId="180" fontId="54" fillId="0" borderId="0" xfId="18" applyNumberFormat="1" applyFont="1" applyProtection="1">
      <protection locked="0"/>
    </xf>
    <xf numFmtId="0" fontId="45" fillId="0" borderId="145" xfId="18" applyBorder="1" applyProtection="1">
      <protection locked="0"/>
    </xf>
    <xf numFmtId="180" fontId="55" fillId="0" borderId="0" xfId="18" applyNumberFormat="1" applyFont="1" applyAlignment="1" applyProtection="1">
      <alignment horizontal="left"/>
      <protection locked="0"/>
    </xf>
    <xf numFmtId="166" fontId="47" fillId="0" borderId="145" xfId="21" applyNumberFormat="1" applyFont="1" applyFill="1" applyBorder="1" applyProtection="1">
      <protection locked="0"/>
    </xf>
    <xf numFmtId="175" fontId="47" fillId="0" borderId="145" xfId="20" applyNumberFormat="1" applyFont="1" applyFill="1" applyBorder="1" applyProtection="1">
      <protection locked="0"/>
    </xf>
    <xf numFmtId="0" fontId="45" fillId="0" borderId="145" xfId="18" applyBorder="1" applyAlignment="1" applyProtection="1">
      <alignment horizontal="left" indent="2"/>
      <protection locked="0"/>
    </xf>
    <xf numFmtId="166" fontId="47" fillId="0" borderId="0" xfId="21" applyNumberFormat="1" applyFont="1" applyFill="1" applyProtection="1">
      <protection locked="0"/>
    </xf>
    <xf numFmtId="181" fontId="45" fillId="0" borderId="0" xfId="20" applyNumberFormat="1" applyProtection="1">
      <protection locked="0"/>
    </xf>
    <xf numFmtId="0" fontId="45" fillId="0" borderId="0" xfId="18" applyAlignment="1" applyProtection="1">
      <alignment horizontal="left" indent="1"/>
      <protection locked="0"/>
    </xf>
    <xf numFmtId="0" fontId="53" fillId="0" borderId="0" xfId="18" applyFont="1" applyProtection="1">
      <protection locked="0"/>
    </xf>
    <xf numFmtId="180" fontId="55" fillId="0" borderId="145" xfId="18" applyNumberFormat="1" applyFont="1" applyBorder="1" applyAlignment="1" applyProtection="1">
      <alignment horizontal="left"/>
      <protection locked="0"/>
    </xf>
    <xf numFmtId="166" fontId="47" fillId="0" borderId="139" xfId="21" applyNumberFormat="1" applyFont="1" applyFill="1" applyBorder="1" applyProtection="1">
      <protection locked="0"/>
    </xf>
    <xf numFmtId="0" fontId="53" fillId="0" borderId="145" xfId="18" applyFont="1" applyBorder="1" applyAlignment="1" applyProtection="1">
      <alignment horizontal="left" indent="1"/>
      <protection locked="0"/>
    </xf>
    <xf numFmtId="178" fontId="47" fillId="0" borderId="0" xfId="18" applyNumberFormat="1" applyFont="1" applyProtection="1">
      <protection locked="0"/>
    </xf>
    <xf numFmtId="10" fontId="45" fillId="0" borderId="0" xfId="21" applyNumberFormat="1" applyProtection="1">
      <protection locked="0"/>
    </xf>
    <xf numFmtId="0" fontId="48" fillId="0" borderId="145" xfId="18" applyFont="1" applyBorder="1" applyProtection="1">
      <protection locked="0"/>
    </xf>
    <xf numFmtId="182" fontId="47" fillId="0" borderId="0" xfId="18" applyNumberFormat="1" applyFont="1" applyAlignment="1" applyProtection="1">
      <alignment horizontal="right"/>
      <protection locked="0"/>
    </xf>
    <xf numFmtId="0" fontId="53" fillId="32" borderId="0" xfId="18" applyFont="1" applyFill="1" applyAlignment="1" applyProtection="1">
      <alignment vertical="center"/>
      <protection locked="0"/>
    </xf>
    <xf numFmtId="9" fontId="58" fillId="0" borderId="0" xfId="16" applyFont="1" applyFill="1" applyBorder="1" applyAlignment="1">
      <alignment horizontal="left" vertical="center" indent="4"/>
    </xf>
    <xf numFmtId="0" fontId="59" fillId="0" borderId="0" xfId="0" applyFont="1" applyAlignment="1">
      <alignment horizontal="left" vertical="center"/>
    </xf>
    <xf numFmtId="0" fontId="59" fillId="0" borderId="0" xfId="0" applyFont="1" applyAlignment="1">
      <alignment horizontal="left" vertical="center" indent="4"/>
    </xf>
    <xf numFmtId="9" fontId="59" fillId="0" borderId="0" xfId="16" applyFont="1" applyFill="1" applyBorder="1" applyAlignment="1">
      <alignment horizontal="left" vertical="center" indent="4"/>
    </xf>
    <xf numFmtId="9" fontId="59" fillId="0" borderId="30" xfId="16" applyFont="1" applyFill="1" applyBorder="1" applyAlignment="1">
      <alignment horizontal="left" vertical="center" indent="4"/>
    </xf>
    <xf numFmtId="0" fontId="60" fillId="0" borderId="146" xfId="0" applyFont="1" applyBorder="1" applyAlignment="1">
      <alignment horizontal="center"/>
    </xf>
    <xf numFmtId="9" fontId="60" fillId="0" borderId="0" xfId="0" applyNumberFormat="1" applyFont="1"/>
    <xf numFmtId="0" fontId="61" fillId="0" borderId="0" xfId="0" applyFont="1"/>
    <xf numFmtId="0" fontId="62" fillId="33" borderId="0" xfId="0" applyFont="1" applyFill="1" applyAlignment="1">
      <alignment horizontal="center"/>
    </xf>
    <xf numFmtId="3" fontId="61" fillId="0" borderId="0" xfId="0" applyNumberFormat="1" applyFont="1"/>
    <xf numFmtId="0" fontId="63" fillId="0" borderId="0" xfId="0" applyFont="1"/>
    <xf numFmtId="0" fontId="61" fillId="34" borderId="0" xfId="0" applyFont="1" applyFill="1"/>
    <xf numFmtId="0" fontId="61" fillId="0" borderId="146" xfId="0" applyFont="1" applyBorder="1"/>
    <xf numFmtId="3" fontId="63" fillId="0" borderId="0" xfId="0" applyNumberFormat="1" applyFont="1"/>
  </cellXfs>
  <cellStyles count="22">
    <cellStyle name="Accent1 2" xfId="1" xr:uid="{00000000-0005-0000-0000-000000000000}"/>
    <cellStyle name="Comma" xfId="2" builtinId="3"/>
    <cellStyle name="Comma 2" xfId="3" xr:uid="{00000000-0005-0000-0000-000002000000}"/>
    <cellStyle name="Comma 2 2" xfId="4" xr:uid="{00000000-0005-0000-0000-000003000000}"/>
    <cellStyle name="Comma 3" xfId="20" xr:uid="{8C0E6699-E259-4822-8ED8-465C60A84563}"/>
    <cellStyle name="Currency 2" xfId="5" xr:uid="{00000000-0005-0000-0000-000004000000}"/>
    <cellStyle name="Currency 2 2" xfId="6" xr:uid="{00000000-0005-0000-0000-000005000000}"/>
    <cellStyle name="Hyperlink" xfId="7" builtinId="8"/>
    <cellStyle name="Hyperlink 2" xfId="8" xr:uid="{00000000-0005-0000-0000-000007000000}"/>
    <cellStyle name="Normal" xfId="0" builtinId="0"/>
    <cellStyle name="Normal 2" xfId="9" xr:uid="{00000000-0005-0000-0000-000009000000}"/>
    <cellStyle name="Normal 2 2" xfId="10" xr:uid="{00000000-0005-0000-0000-00000A000000}"/>
    <cellStyle name="Normal 2 3" xfId="11" xr:uid="{00000000-0005-0000-0000-00000B000000}"/>
    <cellStyle name="Normal 2 4" xfId="19" xr:uid="{E006B081-7BBE-499B-BDDC-8BDE34B73681}"/>
    <cellStyle name="Normal 3" xfId="12" xr:uid="{00000000-0005-0000-0000-00000C000000}"/>
    <cellStyle name="Normal 4" xfId="13" xr:uid="{00000000-0005-0000-0000-00000D000000}"/>
    <cellStyle name="Normal 5" xfId="14" xr:uid="{00000000-0005-0000-0000-00000E000000}"/>
    <cellStyle name="Normal 6" xfId="15" xr:uid="{00000000-0005-0000-0000-00000F000000}"/>
    <cellStyle name="Normal 7" xfId="18" xr:uid="{DBE1DD96-1BAC-4F96-BC26-45A71FC5DD43}"/>
    <cellStyle name="Percent" xfId="16" builtinId="5"/>
    <cellStyle name="Percent 2" xfId="17" xr:uid="{00000000-0005-0000-0000-000011000000}"/>
    <cellStyle name="Percent 3" xfId="21" xr:uid="{6C8BE456-5422-4D8F-9B8E-CA2B7E5E4D27}"/>
  </cellStyles>
  <dxfs count="105">
    <dxf>
      <font>
        <b/>
        <i val="0"/>
        <color rgb="FFFF0000"/>
      </font>
    </dxf>
    <dxf>
      <font>
        <b/>
        <i val="0"/>
        <color rgb="FFFF0000"/>
      </font>
    </dxf>
    <dxf>
      <font>
        <b/>
        <i val="0"/>
        <color rgb="FFFF0000"/>
      </font>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ont>
        <b/>
        <i val="0"/>
        <color rgb="FF00B050"/>
      </font>
    </dxf>
    <dxf>
      <font>
        <b/>
        <i val="0"/>
        <color rgb="FFC00000"/>
      </font>
    </dxf>
    <dxf>
      <font>
        <b/>
        <i val="0"/>
        <color rgb="FF00B050"/>
      </font>
    </dxf>
    <dxf>
      <font>
        <b/>
        <i val="0"/>
        <color rgb="FFFF0000"/>
      </font>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ill>
        <gradientFill>
          <stop position="0">
            <color rgb="FFB8CCE4"/>
          </stop>
          <stop position="0.5">
            <color rgb="FFDCE6F1"/>
          </stop>
          <stop position="1">
            <color rgb="FFB8CCE4"/>
          </stop>
        </gradientFill>
      </fill>
    </dxf>
    <dxf>
      <font>
        <b/>
        <i val="0"/>
        <color rgb="FF00B050"/>
      </font>
    </dxf>
    <dxf>
      <font>
        <b/>
        <i val="0"/>
        <color rgb="FFC00000"/>
      </font>
    </dxf>
    <dxf>
      <font>
        <b/>
        <i val="0"/>
        <color rgb="FF00B050"/>
      </font>
    </dxf>
    <dxf>
      <font>
        <b/>
        <i val="0"/>
        <color rgb="FFFF0000"/>
      </font>
    </dxf>
    <dxf>
      <font>
        <color rgb="FF080808"/>
        <family val="2"/>
        <charset val="161"/>
      </font>
      <fill>
        <patternFill patternType="none"/>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8F8F8"/>
      <rgbColor rgb="00FF0000"/>
      <rgbColor rgb="00B1D5A9"/>
      <rgbColor rgb="000000FF"/>
      <rgbColor rgb="00FFFF00"/>
      <rgbColor rgb="00E11F1F"/>
      <rgbColor rgb="0000FFFF"/>
      <rgbColor rgb="00800000"/>
      <rgbColor rgb="00008000"/>
      <rgbColor rgb="00000080"/>
      <rgbColor rgb="0025B14A"/>
      <rgbColor rgb="00810000"/>
      <rgbColor rgb="00008080"/>
      <rgbColor rgb="00EEEEEE"/>
      <rgbColor rgb="007D7D7D"/>
      <rgbColor rgb="009999FF"/>
      <rgbColor rgb="00993366"/>
      <rgbColor rgb="00FCD5B4"/>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B8CCE4"/>
      <rgbColor rgb="00CCFFFF"/>
      <rgbColor rgb="00D4E1D1"/>
      <rgbColor rgb="00FF6600"/>
      <rgbColor rgb="00DBE5F1"/>
      <rgbColor rgb="00FF99CC"/>
      <rgbColor rgb="00FFDAFF"/>
      <rgbColor rgb="00FAB882"/>
      <rgbColor rgb="00477AB7"/>
      <rgbColor rgb="0033CCCC"/>
      <rgbColor rgb="0099CC00"/>
      <rgbColor rgb="00FFCC00"/>
      <rgbColor rgb="00E46D0A"/>
      <rgbColor rgb="00FF6600"/>
      <rgbColor rgb="00666699"/>
      <rgbColor rgb="00E0E0E0"/>
      <rgbColor rgb="00003366"/>
      <rgbColor rgb="00649955"/>
      <rgbColor rgb="00003300"/>
      <rgbColor rgb="00333300"/>
      <rgbColor rgb="00993300"/>
      <rgbColor rgb="00E34234"/>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5.png"/><Relationship Id="rId7" Type="http://schemas.openxmlformats.org/officeDocument/2006/relationships/image" Target="../media/image7.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jpeg"/><Relationship Id="rId5" Type="http://schemas.openxmlformats.org/officeDocument/2006/relationships/image" Target="../media/image1.jpe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absolute">
    <xdr:from>
      <xdr:col>4</xdr:col>
      <xdr:colOff>0</xdr:colOff>
      <xdr:row>1</xdr:row>
      <xdr:rowOff>0</xdr:rowOff>
    </xdr:from>
    <xdr:to>
      <xdr:col>6</xdr:col>
      <xdr:colOff>596900</xdr:colOff>
      <xdr:row>3</xdr:row>
      <xdr:rowOff>177800</xdr:rowOff>
    </xdr:to>
    <xdr:pic>
      <xdr:nvPicPr>
        <xdr:cNvPr id="188011" name="Bloomberg">
          <a:extLst>
            <a:ext uri="{FF2B5EF4-FFF2-40B4-BE49-F238E27FC236}">
              <a16:creationId xmlns:a16="http://schemas.microsoft.com/office/drawing/2014/main" id="{72EA86B1-DAB1-05FA-5F32-1AA620F28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63500"/>
          <a:ext cx="19939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6</xdr:col>
      <xdr:colOff>584200</xdr:colOff>
      <xdr:row>1</xdr:row>
      <xdr:rowOff>0</xdr:rowOff>
    </xdr:from>
    <xdr:to>
      <xdr:col>21</xdr:col>
      <xdr:colOff>355600</xdr:colOff>
      <xdr:row>4</xdr:row>
      <xdr:rowOff>0</xdr:rowOff>
    </xdr:to>
    <xdr:pic>
      <xdr:nvPicPr>
        <xdr:cNvPr id="188012" name="BannerTitle">
          <a:extLst>
            <a:ext uri="{FF2B5EF4-FFF2-40B4-BE49-F238E27FC236}">
              <a16:creationId xmlns:a16="http://schemas.microsoft.com/office/drawing/2014/main" id="{ECC17531-FA1B-BA14-518A-AD90341192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08200" y="63500"/>
          <a:ext cx="104521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4</xdr:col>
      <xdr:colOff>482600</xdr:colOff>
      <xdr:row>3</xdr:row>
      <xdr:rowOff>177800</xdr:rowOff>
    </xdr:to>
    <xdr:pic>
      <xdr:nvPicPr>
        <xdr:cNvPr id="73738" name="Bloomberg">
          <a:extLst>
            <a:ext uri="{FF2B5EF4-FFF2-40B4-BE49-F238E27FC236}">
              <a16:creationId xmlns:a16="http://schemas.microsoft.com/office/drawing/2014/main" id="{D1DFAD91-EA02-4CEC-5F76-1251BDB5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63500"/>
          <a:ext cx="19558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4</xdr:col>
      <xdr:colOff>469900</xdr:colOff>
      <xdr:row>1</xdr:row>
      <xdr:rowOff>0</xdr:rowOff>
    </xdr:from>
    <xdr:to>
      <xdr:col>20</xdr:col>
      <xdr:colOff>177800</xdr:colOff>
      <xdr:row>4</xdr:row>
      <xdr:rowOff>0</xdr:rowOff>
    </xdr:to>
    <xdr:pic>
      <xdr:nvPicPr>
        <xdr:cNvPr id="73739" name="BannerTitle">
          <a:extLst>
            <a:ext uri="{FF2B5EF4-FFF2-40B4-BE49-F238E27FC236}">
              <a16:creationId xmlns:a16="http://schemas.microsoft.com/office/drawing/2014/main" id="{0196AA43-BCCE-0A90-73FA-09131848B6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0100" y="63500"/>
          <a:ext cx="102616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238125</xdr:colOff>
      <xdr:row>32</xdr:row>
      <xdr:rowOff>9525</xdr:rowOff>
    </xdr:from>
    <xdr:to>
      <xdr:col>8</xdr:col>
      <xdr:colOff>371475</xdr:colOff>
      <xdr:row>35</xdr:row>
      <xdr:rowOff>180975</xdr:rowOff>
    </xdr:to>
    <xdr:sp macro="" textlink="">
      <xdr:nvSpPr>
        <xdr:cNvPr id="4" name="DbgShadowBox">
          <a:extLst>
            <a:ext uri="{FF2B5EF4-FFF2-40B4-BE49-F238E27FC236}">
              <a16:creationId xmlns:a16="http://schemas.microsoft.com/office/drawing/2014/main" id="{012086A3-7DDD-5DB2-99B0-158680115835}"/>
            </a:ext>
          </a:extLst>
        </xdr:cNvPr>
        <xdr:cNvSpPr/>
      </xdr:nvSpPr>
      <xdr:spPr bwMode="auto">
        <a:xfrm>
          <a:off x="2952750" y="5038725"/>
          <a:ext cx="1438275" cy="742950"/>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0" i="0" u="none" strike="noStrike" baseline="0">
              <a:solidFill>
                <a:srgbClr val="1F497D"/>
              </a:solidFill>
              <a:latin typeface="Calibri"/>
            </a:rPr>
            <a:t>Custom peer group can be applied or the default Bloomberg peers will be used</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514350</xdr:colOff>
      <xdr:row>88</xdr:row>
      <xdr:rowOff>76200</xdr:rowOff>
    </xdr:from>
    <xdr:to>
      <xdr:col>16</xdr:col>
      <xdr:colOff>141472</xdr:colOff>
      <xdr:row>112</xdr:row>
      <xdr:rowOff>0</xdr:rowOff>
    </xdr:to>
    <xdr:pic>
      <xdr:nvPicPr>
        <xdr:cNvPr id="64" name="Picture 63">
          <a:extLst>
            <a:ext uri="{FF2B5EF4-FFF2-40B4-BE49-F238E27FC236}">
              <a16:creationId xmlns:a16="http://schemas.microsoft.com/office/drawing/2014/main" id="{2365E0C3-3FEC-CDCD-6722-1FF934B8C402}"/>
            </a:ext>
          </a:extLst>
        </xdr:cNvPr>
        <xdr:cNvPicPr>
          <a:picLocks noChangeAspect="1"/>
        </xdr:cNvPicPr>
      </xdr:nvPicPr>
      <xdr:blipFill>
        <a:blip xmlns:r="http://schemas.openxmlformats.org/officeDocument/2006/relationships" r:embed="rId1"/>
        <a:stretch>
          <a:fillRect/>
        </a:stretch>
      </xdr:blipFill>
      <xdr:spPr>
        <a:xfrm>
          <a:off x="2457450" y="16449675"/>
          <a:ext cx="6942322" cy="4495800"/>
        </a:xfrm>
        <a:prstGeom prst="rect">
          <a:avLst/>
        </a:prstGeom>
        <a:effectLst>
          <a:outerShdw blurRad="50800" dist="38100" dir="2700000" algn="tl">
            <a:prstClr val="black">
              <a:alpha val="40000"/>
            </a:prstClr>
          </a:outerShdw>
        </a:effectLst>
      </xdr:spPr>
    </xdr:pic>
    <xdr:clientData/>
  </xdr:twoCellAnchor>
  <xdr:twoCellAnchor editAs="oneCell">
    <xdr:from>
      <xdr:col>4</xdr:col>
      <xdr:colOff>428625</xdr:colOff>
      <xdr:row>68</xdr:row>
      <xdr:rowOff>114301</xdr:rowOff>
    </xdr:from>
    <xdr:to>
      <xdr:col>16</xdr:col>
      <xdr:colOff>266700</xdr:colOff>
      <xdr:row>84</xdr:row>
      <xdr:rowOff>161530</xdr:rowOff>
    </xdr:to>
    <xdr:pic>
      <xdr:nvPicPr>
        <xdr:cNvPr id="63" name="Picture 62">
          <a:extLst>
            <a:ext uri="{FF2B5EF4-FFF2-40B4-BE49-F238E27FC236}">
              <a16:creationId xmlns:a16="http://schemas.microsoft.com/office/drawing/2014/main" id="{E275FBC8-87EC-C264-1B0F-BFEDF34016BE}"/>
            </a:ext>
          </a:extLst>
        </xdr:cNvPr>
        <xdr:cNvPicPr>
          <a:picLocks noChangeAspect="1"/>
        </xdr:cNvPicPr>
      </xdr:nvPicPr>
      <xdr:blipFill>
        <a:blip xmlns:r="http://schemas.openxmlformats.org/officeDocument/2006/relationships" r:embed="rId2"/>
        <a:stretch>
          <a:fillRect/>
        </a:stretch>
      </xdr:blipFill>
      <xdr:spPr>
        <a:xfrm>
          <a:off x="2371725" y="12677776"/>
          <a:ext cx="7153275" cy="3095229"/>
        </a:xfrm>
        <a:prstGeom prst="rect">
          <a:avLst/>
        </a:prstGeom>
        <a:effectLst>
          <a:outerShdw blurRad="50800" dist="38100" dir="2700000" algn="tl">
            <a:prstClr val="black">
              <a:alpha val="40000"/>
            </a:prstClr>
          </a:outerShdw>
        </a:effectLst>
      </xdr:spPr>
    </xdr:pic>
    <xdr:clientData/>
  </xdr:twoCellAnchor>
  <xdr:twoCellAnchor editAs="oneCell">
    <xdr:from>
      <xdr:col>5</xdr:col>
      <xdr:colOff>486984</xdr:colOff>
      <xdr:row>47</xdr:row>
      <xdr:rowOff>9526</xdr:rowOff>
    </xdr:from>
    <xdr:to>
      <xdr:col>13</xdr:col>
      <xdr:colOff>428625</xdr:colOff>
      <xdr:row>64</xdr:row>
      <xdr:rowOff>29540</xdr:rowOff>
    </xdr:to>
    <xdr:pic>
      <xdr:nvPicPr>
        <xdr:cNvPr id="34" name="Picture 33">
          <a:extLst>
            <a:ext uri="{FF2B5EF4-FFF2-40B4-BE49-F238E27FC236}">
              <a16:creationId xmlns:a16="http://schemas.microsoft.com/office/drawing/2014/main" id="{A967C6AC-44F6-28B9-B6D5-E801E19C0E3B}"/>
            </a:ext>
          </a:extLst>
        </xdr:cNvPr>
        <xdr:cNvPicPr>
          <a:picLocks noChangeAspect="1"/>
        </xdr:cNvPicPr>
      </xdr:nvPicPr>
      <xdr:blipFill>
        <a:blip xmlns:r="http://schemas.openxmlformats.org/officeDocument/2006/relationships" r:embed="rId3"/>
        <a:stretch>
          <a:fillRect/>
        </a:stretch>
      </xdr:blipFill>
      <xdr:spPr>
        <a:xfrm>
          <a:off x="3039684" y="8572501"/>
          <a:ext cx="4818441" cy="3258514"/>
        </a:xfrm>
        <a:prstGeom prst="rect">
          <a:avLst/>
        </a:prstGeom>
        <a:effectLst>
          <a:outerShdw blurRad="50800" dist="38100" dir="2700000" algn="tl">
            <a:prstClr val="black">
              <a:alpha val="40000"/>
            </a:prstClr>
          </a:outerShdw>
        </a:effectLst>
      </xdr:spPr>
    </xdr:pic>
    <xdr:clientData/>
  </xdr:twoCellAnchor>
  <xdr:twoCellAnchor editAs="oneCell">
    <xdr:from>
      <xdr:col>5</xdr:col>
      <xdr:colOff>438149</xdr:colOff>
      <xdr:row>23</xdr:row>
      <xdr:rowOff>5347</xdr:rowOff>
    </xdr:from>
    <xdr:to>
      <xdr:col>14</xdr:col>
      <xdr:colOff>285750</xdr:colOff>
      <xdr:row>39</xdr:row>
      <xdr:rowOff>188386</xdr:rowOff>
    </xdr:to>
    <xdr:pic>
      <xdr:nvPicPr>
        <xdr:cNvPr id="5" name="Picture 4">
          <a:extLst>
            <a:ext uri="{FF2B5EF4-FFF2-40B4-BE49-F238E27FC236}">
              <a16:creationId xmlns:a16="http://schemas.microsoft.com/office/drawing/2014/main" id="{1FA53B95-FF13-E71D-1B95-3A4452C0C56D}"/>
            </a:ext>
          </a:extLst>
        </xdr:cNvPr>
        <xdr:cNvPicPr>
          <a:picLocks noChangeAspect="1"/>
        </xdr:cNvPicPr>
      </xdr:nvPicPr>
      <xdr:blipFill>
        <a:blip xmlns:r="http://schemas.openxmlformats.org/officeDocument/2006/relationships" r:embed="rId4"/>
        <a:stretch>
          <a:fillRect/>
        </a:stretch>
      </xdr:blipFill>
      <xdr:spPr>
        <a:xfrm>
          <a:off x="2990849" y="3996322"/>
          <a:ext cx="5334001" cy="3231039"/>
        </a:xfrm>
        <a:prstGeom prst="rect">
          <a:avLst/>
        </a:prstGeom>
        <a:effectLst>
          <a:outerShdw blurRad="50800" dist="38100" dir="2700000" algn="tl">
            <a:prstClr val="black">
              <a:alpha val="40000"/>
            </a:prstClr>
          </a:outerShdw>
        </a:effectLst>
      </xdr:spPr>
    </xdr:pic>
    <xdr:clientData/>
  </xdr:twoCellAnchor>
  <xdr:twoCellAnchor editAs="absolute">
    <xdr:from>
      <xdr:col>1</xdr:col>
      <xdr:colOff>0</xdr:colOff>
      <xdr:row>1</xdr:row>
      <xdr:rowOff>0</xdr:rowOff>
    </xdr:from>
    <xdr:to>
      <xdr:col>3</xdr:col>
      <xdr:colOff>587375</xdr:colOff>
      <xdr:row>3</xdr:row>
      <xdr:rowOff>177800</xdr:rowOff>
    </xdr:to>
    <xdr:pic>
      <xdr:nvPicPr>
        <xdr:cNvPr id="107556" name="Bloomberg">
          <a:extLst>
            <a:ext uri="{FF2B5EF4-FFF2-40B4-BE49-F238E27FC236}">
              <a16:creationId xmlns:a16="http://schemas.microsoft.com/office/drawing/2014/main" id="{E97193BE-C693-CFD6-C555-EB2E415B477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63500"/>
          <a:ext cx="19431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3</xdr:col>
      <xdr:colOff>584200</xdr:colOff>
      <xdr:row>1</xdr:row>
      <xdr:rowOff>0</xdr:rowOff>
    </xdr:from>
    <xdr:to>
      <xdr:col>18</xdr:col>
      <xdr:colOff>533400</xdr:colOff>
      <xdr:row>4</xdr:row>
      <xdr:rowOff>0</xdr:rowOff>
    </xdr:to>
    <xdr:pic>
      <xdr:nvPicPr>
        <xdr:cNvPr id="107557" name="BannerTitle">
          <a:extLst>
            <a:ext uri="{FF2B5EF4-FFF2-40B4-BE49-F238E27FC236}">
              <a16:creationId xmlns:a16="http://schemas.microsoft.com/office/drawing/2014/main" id="{DE334471-6B60-57EA-6000-485E134A6F0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057400" y="63500"/>
          <a:ext cx="100457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178</xdr:row>
      <xdr:rowOff>76200</xdr:rowOff>
    </xdr:from>
    <xdr:to>
      <xdr:col>18</xdr:col>
      <xdr:colOff>0</xdr:colOff>
      <xdr:row>215</xdr:row>
      <xdr:rowOff>142876</xdr:rowOff>
    </xdr:to>
    <xdr:sp macro="" textlink="">
      <xdr:nvSpPr>
        <xdr:cNvPr id="4" name="DbgShadowBox">
          <a:extLst>
            <a:ext uri="{FF2B5EF4-FFF2-40B4-BE49-F238E27FC236}">
              <a16:creationId xmlns:a16="http://schemas.microsoft.com/office/drawing/2014/main" id="{098AFB16-760D-2B55-A99C-0B15D90A18CB}"/>
            </a:ext>
          </a:extLst>
        </xdr:cNvPr>
        <xdr:cNvSpPr/>
      </xdr:nvSpPr>
      <xdr:spPr bwMode="auto">
        <a:xfrm>
          <a:off x="1333500" y="33480375"/>
          <a:ext cx="9144000" cy="7305676"/>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1" i="0" u="none" strike="noStrike" baseline="0">
              <a:solidFill>
                <a:srgbClr val="1F497D"/>
              </a:solidFill>
              <a:latin typeface="+mn-lt"/>
            </a:rPr>
            <a:t>How is weighted average cost of capital (WACC) determined?</a:t>
          </a:r>
        </a:p>
        <a:p>
          <a:pPr algn="l" rtl="0">
            <a:defRPr sz="1000"/>
          </a:pPr>
          <a:r>
            <a:rPr lang="en-US" sz="1050" b="0" i="0" u="none" strike="noStrike" baseline="0">
              <a:solidFill>
                <a:srgbClr val="1F497D"/>
              </a:solidFill>
              <a:latin typeface="+mn-lt"/>
            </a:rPr>
            <a:t>The default WACC value comes from the Bloomberg terminal function WACC&lt;GO&gt;. Enter an alternative WACC value by using the "User Input" cell on "Input Calculation".</a:t>
          </a:r>
        </a:p>
        <a:p>
          <a:pPr algn="l" rtl="0">
            <a:defRPr sz="1000"/>
          </a:pPr>
          <a:endParaRPr lang="en-US" sz="1050" b="0" i="0" u="none" strike="noStrike" baseline="0">
            <a:solidFill>
              <a:srgbClr val="1F497D"/>
            </a:solidFill>
            <a:latin typeface="+mn-lt"/>
          </a:endParaRPr>
        </a:p>
        <a:p>
          <a:pPr algn="l" rtl="0">
            <a:defRPr sz="1000"/>
          </a:pPr>
          <a:r>
            <a:rPr lang="en-US" sz="1050" b="1" i="0" u="none" strike="noStrike" baseline="0">
              <a:solidFill>
                <a:srgbClr val="1F497D"/>
              </a:solidFill>
              <a:latin typeface="+mn-lt"/>
            </a:rPr>
            <a:t>How are perpetual growth rates determined?</a:t>
          </a:r>
        </a:p>
        <a:p>
          <a:pPr algn="l" rtl="0">
            <a:defRPr sz="1000"/>
          </a:pPr>
          <a:r>
            <a:rPr lang="en-US" sz="1050" b="0" i="0" u="none" strike="noStrike" baseline="0">
              <a:solidFill>
                <a:srgbClr val="1F497D"/>
              </a:solidFill>
              <a:latin typeface="+mn-lt"/>
            </a:rPr>
            <a:t>Single rate equivalent to a 2% perpetual rate transitioning from the last calculated growth on year 5. A table with all possible rates is available on the "Additional Data" tab. Enter your own values by using the "User Input" cell on "Input Calculation".</a:t>
          </a:r>
        </a:p>
        <a:p>
          <a:pPr algn="l" rtl="0">
            <a:defRPr sz="1000"/>
          </a:pPr>
          <a:endParaRPr lang="en-US" sz="1050" b="0" i="0" u="none" strike="noStrike" baseline="0">
            <a:solidFill>
              <a:srgbClr val="1F497D"/>
            </a:solidFill>
            <a:latin typeface="+mn-lt"/>
          </a:endParaRPr>
        </a:p>
        <a:p>
          <a:pPr algn="l" rtl="0">
            <a:defRPr sz="1000"/>
          </a:pPr>
          <a:r>
            <a:rPr lang="en-US" sz="1050" b="1" i="0" u="none" strike="noStrike" baseline="0">
              <a:solidFill>
                <a:srgbClr val="1F497D"/>
              </a:solidFill>
              <a:latin typeface="+mn-lt"/>
            </a:rPr>
            <a:t>How can I run this model for a list of companies?</a:t>
          </a:r>
        </a:p>
        <a:p>
          <a:pPr algn="l" rtl="0">
            <a:defRPr sz="1000"/>
          </a:pPr>
          <a:r>
            <a:rPr lang="en-US" sz="1050" b="0" i="0" u="none" strike="noStrike" baseline="0">
              <a:solidFill>
                <a:srgbClr val="1F497D"/>
              </a:solidFill>
              <a:latin typeface="+mn-lt"/>
            </a:rPr>
            <a:t>This feature is currently not available.</a:t>
          </a:r>
        </a:p>
        <a:p>
          <a:pPr algn="l" rtl="0">
            <a:defRPr sz="1000"/>
          </a:pPr>
          <a:endParaRPr lang="en-US" sz="1050" b="0" i="0" u="none" strike="noStrike" baseline="0">
            <a:solidFill>
              <a:srgbClr val="1F497D"/>
            </a:solidFill>
            <a:latin typeface="+mn-lt"/>
          </a:endParaRPr>
        </a:p>
        <a:p>
          <a:pPr algn="l" rtl="0">
            <a:defRPr sz="1000"/>
          </a:pPr>
          <a:r>
            <a:rPr lang="en-US" sz="1050" b="1" i="0" u="none" strike="noStrike" baseline="0">
              <a:solidFill>
                <a:srgbClr val="1F497D"/>
              </a:solidFill>
              <a:latin typeface="+mn-lt"/>
            </a:rPr>
            <a:t>What if I want to use my own estimates for free cash flow?</a:t>
          </a:r>
        </a:p>
        <a:p>
          <a:pPr algn="l" rtl="0">
            <a:defRPr sz="1000"/>
          </a:pPr>
          <a:r>
            <a:rPr lang="en-US" sz="1050" b="0" i="0" u="none" strike="noStrike" baseline="0">
              <a:solidFill>
                <a:srgbClr val="1F497D"/>
              </a:solidFill>
              <a:latin typeface="+mn-lt"/>
            </a:rPr>
            <a:t>Click on "Edit Row" and enter your values on  "User Input" cells. </a:t>
          </a:r>
        </a:p>
        <a:p>
          <a:pPr algn="l" rtl="0">
            <a:defRPr sz="1000"/>
          </a:pPr>
          <a:endParaRPr lang="en-US" sz="1050" b="0" i="0" u="none" strike="noStrike" baseline="0">
            <a:solidFill>
              <a:srgbClr val="1F497D"/>
            </a:solidFill>
            <a:latin typeface="+mn-lt"/>
          </a:endParaRPr>
        </a:p>
        <a:p>
          <a:pPr algn="l" rtl="0">
            <a:defRPr sz="1000"/>
          </a:pPr>
          <a:r>
            <a:rPr lang="en-US" sz="1050" b="1" i="0" u="none" strike="noStrike" baseline="0">
              <a:solidFill>
                <a:srgbClr val="1F497D"/>
              </a:solidFill>
              <a:latin typeface="+mn-lt"/>
            </a:rPr>
            <a:t>How do I reset the model to its default assumptions?</a:t>
          </a:r>
        </a:p>
        <a:p>
          <a:pPr algn="l" rtl="0">
            <a:defRPr sz="1000"/>
          </a:pPr>
          <a:r>
            <a:rPr lang="en-US" sz="1050" b="0" i="0" u="none" strike="noStrike" baseline="0">
              <a:solidFill>
                <a:srgbClr val="1F497D"/>
              </a:solidFill>
              <a:latin typeface="+mn-lt"/>
            </a:rPr>
            <a:t>Go to the cell with the ticker, hit F2 then Enter.</a:t>
          </a:r>
        </a:p>
        <a:p>
          <a:pPr algn="l" rtl="0">
            <a:defRPr sz="1000"/>
          </a:pPr>
          <a:endParaRPr lang="en-US" sz="1050" b="0" i="0" u="none" strike="noStrike" baseline="0">
            <a:solidFill>
              <a:srgbClr val="1F497D"/>
            </a:solidFill>
            <a:latin typeface="+mn-lt"/>
          </a:endParaRPr>
        </a:p>
        <a:p>
          <a:pPr algn="l" rtl="0">
            <a:defRPr sz="1000"/>
          </a:pPr>
          <a:r>
            <a:rPr lang="en-US" sz="1050" b="1" i="0" u="none" strike="noStrike" baseline="0">
              <a:solidFill>
                <a:srgbClr val="1F497D"/>
              </a:solidFill>
              <a:latin typeface="+mn-lt"/>
            </a:rPr>
            <a:t>What is the calculation for Net Long Term Deferred Tax Liabilities?</a:t>
          </a:r>
        </a:p>
        <a:p>
          <a:pPr algn="l" rtl="0">
            <a:defRPr sz="1000"/>
          </a:pPr>
          <a:r>
            <a:rPr lang="en-US" sz="1050" b="0" i="0" u="none" strike="noStrike" baseline="0">
              <a:solidFill>
                <a:srgbClr val="1F497D"/>
              </a:solidFill>
              <a:latin typeface="+mn-lt"/>
            </a:rPr>
            <a:t>Go to "Additional Data" tab for details.</a:t>
          </a:r>
        </a:p>
        <a:p>
          <a:pPr algn="l" rtl="0">
            <a:defRPr sz="1000"/>
          </a:pPr>
          <a:endParaRPr lang="en-US" sz="1050" b="0" i="0" u="none" strike="noStrike" baseline="0">
            <a:solidFill>
              <a:srgbClr val="1F497D"/>
            </a:solidFill>
            <a:latin typeface="+mn-lt"/>
          </a:endParaRPr>
        </a:p>
        <a:p>
          <a:pPr algn="l" rtl="0">
            <a:defRPr sz="1000"/>
          </a:pPr>
          <a:r>
            <a:rPr lang="en-US" sz="1050" b="1" i="0" u="none" strike="noStrike" baseline="0">
              <a:solidFill>
                <a:srgbClr val="1F497D"/>
              </a:solidFill>
              <a:latin typeface="+mn-lt"/>
            </a:rPr>
            <a:t>Can I customize the peers for this company?</a:t>
          </a:r>
        </a:p>
        <a:p>
          <a:pPr algn="l" rtl="0">
            <a:defRPr sz="1000"/>
          </a:pPr>
          <a:r>
            <a:rPr lang="en-US" sz="1050" b="0" i="0" u="none" strike="noStrike" baseline="0">
              <a:solidFill>
                <a:srgbClr val="1F497D"/>
              </a:solidFill>
              <a:latin typeface="+mn-lt"/>
            </a:rPr>
            <a:t>Yes, go to "Additional Data" tab.</a:t>
          </a:r>
        </a:p>
        <a:p>
          <a:pPr algn="l" rtl="0">
            <a:defRPr sz="1000"/>
          </a:pPr>
          <a:endParaRPr lang="en-US" sz="1050" b="0" i="0" u="none" strike="noStrike" baseline="0">
            <a:solidFill>
              <a:srgbClr val="1F497D"/>
            </a:solidFill>
            <a:latin typeface="+mn-lt"/>
          </a:endParaRPr>
        </a:p>
        <a:p>
          <a:pPr algn="l" rtl="0">
            <a:defRPr sz="1000"/>
          </a:pPr>
          <a:r>
            <a:rPr lang="en-US" sz="1050" b="1" i="0" u="none" strike="noStrike" baseline="0">
              <a:solidFill>
                <a:srgbClr val="1F497D"/>
              </a:solidFill>
              <a:latin typeface="+mn-lt"/>
            </a:rPr>
            <a:t>Why would I want to change the value for cash and marketable securities in the enterprise value calculation?</a:t>
          </a:r>
        </a:p>
        <a:p>
          <a:pPr algn="l" rtl="0">
            <a:defRPr sz="1000"/>
          </a:pPr>
          <a:r>
            <a:rPr lang="en-US" sz="1050" b="0" i="0" u="none" strike="noStrike" baseline="0">
              <a:solidFill>
                <a:srgbClr val="1F497D"/>
              </a:solidFill>
              <a:latin typeface="+mn-lt"/>
            </a:rPr>
            <a:t>Assuming not all cash is available to repay debt, you should enter the minimum cash for operations on this field.</a:t>
          </a:r>
        </a:p>
        <a:p>
          <a:pPr algn="l" rtl="0">
            <a:defRPr sz="1000"/>
          </a:pPr>
          <a:endParaRPr lang="en-US" sz="1050" b="0" i="0" u="none" strike="noStrike" baseline="0">
            <a:solidFill>
              <a:srgbClr val="1F497D"/>
            </a:solidFill>
            <a:latin typeface="+mn-lt"/>
          </a:endParaRPr>
        </a:p>
        <a:p>
          <a:pPr algn="l" rtl="0">
            <a:defRPr sz="1000"/>
          </a:pPr>
          <a:r>
            <a:rPr lang="en-US" sz="1050" b="1" i="0" u="none" strike="noStrike" baseline="0">
              <a:solidFill>
                <a:srgbClr val="1F497D"/>
              </a:solidFill>
              <a:latin typeface="+mn-lt"/>
            </a:rPr>
            <a:t>Why is revenue different from what the company reported?</a:t>
          </a:r>
        </a:p>
        <a:p>
          <a:pPr algn="l" rtl="0">
            <a:defRPr sz="1000"/>
          </a:pPr>
          <a:r>
            <a:rPr lang="en-US" sz="1050" b="0" i="0" u="none" strike="noStrike" baseline="0">
              <a:solidFill>
                <a:srgbClr val="1F497D"/>
              </a:solidFill>
              <a:latin typeface="+mn-lt"/>
            </a:rPr>
            <a:t>Revenue might be different from the value reported by the company due to adjustments made in order for the number to be comparable to analyst estimates. If these values weren't adjusted, the revenue on year 1 would show the wrong YoY growth based on analyst consensus estimates.</a:t>
          </a:r>
        </a:p>
        <a:p>
          <a:pPr algn="l" rtl="0">
            <a:defRPr sz="1000"/>
          </a:pPr>
          <a:endParaRPr lang="en-US" sz="1050" b="0" i="0" u="none" strike="noStrike" baseline="0">
            <a:solidFill>
              <a:srgbClr val="1F497D"/>
            </a:solidFill>
            <a:latin typeface="+mn-lt"/>
          </a:endParaRPr>
        </a:p>
        <a:p>
          <a:pPr algn="l" rtl="0">
            <a:defRPr sz="1000"/>
          </a:pPr>
          <a:r>
            <a:rPr lang="en-US" sz="1050" b="1" i="0" u="none" strike="noStrike" baseline="0">
              <a:solidFill>
                <a:srgbClr val="1F497D"/>
              </a:solidFill>
              <a:latin typeface="+mn-lt"/>
            </a:rPr>
            <a:t>Which values are affected by the "Adjusted (if available)" option?</a:t>
          </a:r>
        </a:p>
        <a:p>
          <a:pPr algn="l" rtl="0">
            <a:defRPr sz="1000"/>
          </a:pPr>
          <a:r>
            <a:rPr lang="en-US" sz="1050" b="0" i="0" u="none" strike="noStrike" baseline="0">
              <a:solidFill>
                <a:srgbClr val="1F497D"/>
              </a:solidFill>
              <a:latin typeface="+mn-lt"/>
            </a:rPr>
            <a:t>All income statement items from cost of revenues to operating income. Revenue is always set to be either "comparable to estimates" or "adjusted" by default.</a:t>
          </a:r>
        </a:p>
        <a:p>
          <a:pPr algn="l" rtl="0">
            <a:defRPr sz="1000"/>
          </a:pPr>
          <a:endParaRPr lang="en-US" sz="1050" b="0" i="0" u="none" strike="noStrike" baseline="0">
            <a:solidFill>
              <a:srgbClr val="1F497D"/>
            </a:solidFill>
            <a:latin typeface="+mn-lt"/>
          </a:endParaRPr>
        </a:p>
        <a:p>
          <a:pPr algn="l" rtl="0">
            <a:defRPr sz="1000"/>
          </a:pPr>
          <a:r>
            <a:rPr lang="en-US" sz="1050" b="1" i="0" u="none" strike="noStrike" baseline="0">
              <a:solidFill>
                <a:srgbClr val="1F497D"/>
              </a:solidFill>
              <a:latin typeface="+mn-lt"/>
            </a:rPr>
            <a:t>What are some Bloomberg related terminal functions for this model? </a:t>
          </a:r>
        </a:p>
        <a:p>
          <a:pPr algn="l" rtl="0">
            <a:defRPr sz="1000"/>
          </a:pPr>
          <a:r>
            <a:rPr lang="en-US" sz="1050" b="0" i="0" u="none" strike="noStrike" baseline="0">
              <a:solidFill>
                <a:srgbClr val="1F497D"/>
              </a:solidFill>
              <a:latin typeface="+mn-lt"/>
            </a:rPr>
            <a:t>WACC&lt;GO&gt;: Weighted Average Cost of Capital (Discount rate for this DCF model)</a:t>
          </a:r>
        </a:p>
        <a:p>
          <a:pPr algn="l" rtl="0">
            <a:defRPr sz="1000"/>
          </a:pPr>
          <a:r>
            <a:rPr lang="en-US" sz="1050" b="0" i="0" u="none" strike="noStrike" baseline="0">
              <a:solidFill>
                <a:srgbClr val="1F497D"/>
              </a:solidFill>
              <a:latin typeface="+mn-lt"/>
            </a:rPr>
            <a:t>DDM&lt;GO&gt;: Dividend Discounted Model (Intrinsic valuation based on dividends discounted at cost of equity)</a:t>
          </a:r>
        </a:p>
        <a:p>
          <a:pPr algn="l" rtl="0">
            <a:defRPr sz="1000"/>
          </a:pPr>
          <a:r>
            <a:rPr lang="en-US" sz="1050" b="0" i="0" u="none" strike="noStrike" baseline="0">
              <a:solidFill>
                <a:srgbClr val="1F497D"/>
              </a:solidFill>
              <a:latin typeface="+mn-lt"/>
            </a:rPr>
            <a:t>EQRV&lt;GO&gt;: Equity Relative Valuation (Relative valuation based on historical performance vs peers)</a:t>
          </a:r>
        </a:p>
        <a:p>
          <a:pPr algn="l" rtl="0">
            <a:defRPr sz="1000"/>
          </a:pPr>
          <a:endParaRPr lang="en-US" sz="1050" b="0" i="0" u="none" strike="noStrike" baseline="0">
            <a:solidFill>
              <a:srgbClr val="1F497D"/>
            </a:solidFill>
            <a:latin typeface="+mn-lt"/>
          </a:endParaRPr>
        </a:p>
        <a:p>
          <a:pPr algn="l" rtl="0">
            <a:defRPr sz="1000"/>
          </a:pPr>
          <a:r>
            <a:rPr lang="en-US" sz="1050" b="1" i="0" u="none" strike="noStrike" baseline="0">
              <a:solidFill>
                <a:srgbClr val="1F497D"/>
              </a:solidFill>
              <a:latin typeface="+mn-lt"/>
            </a:rPr>
            <a:t>What if I need further help?</a:t>
          </a:r>
          <a:br>
            <a:rPr lang="en-US" sz="1050" b="0" i="0" u="none" strike="noStrike" baseline="0">
              <a:solidFill>
                <a:srgbClr val="1F497D"/>
              </a:solidFill>
              <a:latin typeface="+mn-lt"/>
            </a:rPr>
          </a:br>
          <a:r>
            <a:rPr lang="en-US" sz="1050" b="0" i="0" u="none" strike="noStrike" baseline="0">
              <a:solidFill>
                <a:srgbClr val="1F497D"/>
              </a:solidFill>
              <a:latin typeface="+mn-lt"/>
            </a:rPr>
            <a:t>Please contact our Bloomberg Help Desk.</a:t>
          </a:r>
        </a:p>
        <a:p>
          <a:pPr algn="l" rtl="0">
            <a:defRPr sz="1000"/>
          </a:pPr>
          <a:endParaRPr lang="en-US" sz="1050" b="0" i="0" u="none" strike="noStrike" baseline="0">
            <a:solidFill>
              <a:srgbClr val="1F497D"/>
            </a:solidFill>
            <a:latin typeface="+mn-lt"/>
          </a:endParaRPr>
        </a:p>
        <a:p>
          <a:pPr algn="l" rtl="0">
            <a:defRPr sz="1000"/>
          </a:pPr>
          <a:r>
            <a:rPr lang="en-US" sz="1050" b="1" i="0" u="none" strike="noStrike" baseline="0">
              <a:solidFill>
                <a:srgbClr val="1F497D"/>
              </a:solidFill>
              <a:latin typeface="+mn-lt"/>
            </a:rPr>
            <a:t>What is the minimum required Excel version?</a:t>
          </a:r>
        </a:p>
        <a:p>
          <a:pPr algn="l" rtl="0">
            <a:defRPr sz="1000"/>
          </a:pPr>
          <a:r>
            <a:rPr lang="en-US" sz="1050" b="0" i="0" u="none" strike="noStrike" baseline="0">
              <a:solidFill>
                <a:srgbClr val="1F497D"/>
              </a:solidFill>
              <a:latin typeface="+mn-lt"/>
            </a:rPr>
            <a:t>This model requires Excel 2007 or later.</a:t>
          </a:r>
          <a:endParaRPr lang="en-US" sz="1050" b="1" i="0" u="none" strike="noStrike" baseline="0">
            <a:solidFill>
              <a:srgbClr val="1F497D"/>
            </a:solidFill>
            <a:latin typeface="+mn-lt"/>
          </a:endParaRPr>
        </a:p>
      </xdr:txBody>
    </xdr:sp>
    <xdr:clientData/>
  </xdr:twoCellAnchor>
  <xdr:twoCellAnchor>
    <xdr:from>
      <xdr:col>3</xdr:col>
      <xdr:colOff>28574</xdr:colOff>
      <xdr:row>19</xdr:row>
      <xdr:rowOff>28575</xdr:rowOff>
    </xdr:from>
    <xdr:to>
      <xdr:col>17</xdr:col>
      <xdr:colOff>581025</xdr:colOff>
      <xdr:row>21</xdr:row>
      <xdr:rowOff>47625</xdr:rowOff>
    </xdr:to>
    <xdr:sp macro="" textlink="">
      <xdr:nvSpPr>
        <xdr:cNvPr id="8" name="DbgShadowBox">
          <a:extLst>
            <a:ext uri="{FF2B5EF4-FFF2-40B4-BE49-F238E27FC236}">
              <a16:creationId xmlns:a16="http://schemas.microsoft.com/office/drawing/2014/main" id="{6C0F509A-9B48-7CCB-42B2-8F2E003A0AE2}"/>
            </a:ext>
          </a:extLst>
        </xdr:cNvPr>
        <xdr:cNvSpPr/>
      </xdr:nvSpPr>
      <xdr:spPr bwMode="auto">
        <a:xfrm>
          <a:off x="1362074" y="3257550"/>
          <a:ext cx="9086851" cy="400050"/>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0" i="0" u="none" strike="noStrike" baseline="0">
              <a:solidFill>
                <a:srgbClr val="1F497D"/>
              </a:solidFill>
              <a:latin typeface="+mn-lt"/>
            </a:rPr>
            <a:t>1) Enter the company ticker and the model will find and populate the best assumptions and projections available.  See the default estimated value per share.</a:t>
          </a:r>
        </a:p>
      </xdr:txBody>
    </xdr:sp>
    <xdr:clientData/>
  </xdr:twoCellAnchor>
  <xdr:twoCellAnchor>
    <xdr:from>
      <xdr:col>4</xdr:col>
      <xdr:colOff>28576</xdr:colOff>
      <xdr:row>23</xdr:row>
      <xdr:rowOff>104775</xdr:rowOff>
    </xdr:from>
    <xdr:to>
      <xdr:col>5</xdr:col>
      <xdr:colOff>257176</xdr:colOff>
      <xdr:row>24</xdr:row>
      <xdr:rowOff>171450</xdr:rowOff>
    </xdr:to>
    <xdr:sp macro="" textlink="">
      <xdr:nvSpPr>
        <xdr:cNvPr id="9" name="DbgShadowBox">
          <a:extLst>
            <a:ext uri="{FF2B5EF4-FFF2-40B4-BE49-F238E27FC236}">
              <a16:creationId xmlns:a16="http://schemas.microsoft.com/office/drawing/2014/main" id="{A1EDCFA4-40FC-4703-0391-CEC08F13A7E9}"/>
            </a:ext>
          </a:extLst>
        </xdr:cNvPr>
        <xdr:cNvSpPr/>
      </xdr:nvSpPr>
      <xdr:spPr bwMode="auto">
        <a:xfrm>
          <a:off x="1971676" y="4095750"/>
          <a:ext cx="838200" cy="257175"/>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0" i="0" u="none" strike="noStrike" baseline="0">
              <a:solidFill>
                <a:srgbClr val="1F497D"/>
              </a:solidFill>
              <a:latin typeface="+mn-lt"/>
            </a:rPr>
            <a:t>Enter Ticker</a:t>
          </a:r>
        </a:p>
      </xdr:txBody>
    </xdr:sp>
    <xdr:clientData/>
  </xdr:twoCellAnchor>
  <xdr:twoCellAnchor>
    <xdr:from>
      <xdr:col>5</xdr:col>
      <xdr:colOff>257176</xdr:colOff>
      <xdr:row>24</xdr:row>
      <xdr:rowOff>42863</xdr:rowOff>
    </xdr:from>
    <xdr:to>
      <xdr:col>6</xdr:col>
      <xdr:colOff>485775</xdr:colOff>
      <xdr:row>24</xdr:row>
      <xdr:rowOff>180975</xdr:rowOff>
    </xdr:to>
    <xdr:cxnSp macro="">
      <xdr:nvCxnSpPr>
        <xdr:cNvPr id="10" name="DbgGradArrow">
          <a:extLst>
            <a:ext uri="{FF2B5EF4-FFF2-40B4-BE49-F238E27FC236}">
              <a16:creationId xmlns:a16="http://schemas.microsoft.com/office/drawing/2014/main" id="{DAAE9AE2-4892-5D6F-FF3C-C6979F3A1E07}"/>
            </a:ext>
          </a:extLst>
        </xdr:cNvPr>
        <xdr:cNvCxnSpPr>
          <a:stCxn id="9" idx="3"/>
        </xdr:cNvCxnSpPr>
      </xdr:nvCxnSpPr>
      <xdr:spPr bwMode="auto">
        <a:xfrm>
          <a:off x="2809876" y="4224338"/>
          <a:ext cx="838199" cy="138112"/>
        </a:xfrm>
        <a:prstGeom prst="straightConnector1">
          <a:avLst/>
        </a:prstGeom>
        <a:ln w="12700">
          <a:gradFill>
            <a:gsLst>
              <a:gs pos="0">
                <a:schemeClr val="tx2"/>
              </a:gs>
              <a:gs pos="50000">
                <a:srgbClr val="FF0000"/>
              </a:gs>
            </a:gsLst>
            <a:lin ang="5400000" scaled="0"/>
          </a:gradFill>
          <a:tailEnd type="arrow"/>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228601</xdr:colOff>
      <xdr:row>22</xdr:row>
      <xdr:rowOff>9525</xdr:rowOff>
    </xdr:from>
    <xdr:to>
      <xdr:col>10</xdr:col>
      <xdr:colOff>238125</xdr:colOff>
      <xdr:row>23</xdr:row>
      <xdr:rowOff>66675</xdr:rowOff>
    </xdr:to>
    <xdr:sp macro="" textlink="">
      <xdr:nvSpPr>
        <xdr:cNvPr id="13" name="DbgShadowBox">
          <a:extLst>
            <a:ext uri="{FF2B5EF4-FFF2-40B4-BE49-F238E27FC236}">
              <a16:creationId xmlns:a16="http://schemas.microsoft.com/office/drawing/2014/main" id="{7E442A39-53C8-D524-9304-E3D44111BDA9}"/>
            </a:ext>
          </a:extLst>
        </xdr:cNvPr>
        <xdr:cNvSpPr/>
      </xdr:nvSpPr>
      <xdr:spPr bwMode="auto">
        <a:xfrm>
          <a:off x="4610101" y="3810000"/>
          <a:ext cx="1228724" cy="247650"/>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0" i="0" u="none" strike="noStrike" baseline="0">
              <a:solidFill>
                <a:srgbClr val="1F497D"/>
              </a:solidFill>
              <a:latin typeface="+mn-lt"/>
            </a:rPr>
            <a:t>Choose Currency</a:t>
          </a:r>
        </a:p>
      </xdr:txBody>
    </xdr:sp>
    <xdr:clientData/>
  </xdr:twoCellAnchor>
  <xdr:twoCellAnchor>
    <xdr:from>
      <xdr:col>9</xdr:col>
      <xdr:colOff>190500</xdr:colOff>
      <xdr:row>23</xdr:row>
      <xdr:rowOff>66675</xdr:rowOff>
    </xdr:from>
    <xdr:to>
      <xdr:col>9</xdr:col>
      <xdr:colOff>233363</xdr:colOff>
      <xdr:row>24</xdr:row>
      <xdr:rowOff>171450</xdr:rowOff>
    </xdr:to>
    <xdr:cxnSp macro="">
      <xdr:nvCxnSpPr>
        <xdr:cNvPr id="14" name="DbgGradArrow">
          <a:extLst>
            <a:ext uri="{FF2B5EF4-FFF2-40B4-BE49-F238E27FC236}">
              <a16:creationId xmlns:a16="http://schemas.microsoft.com/office/drawing/2014/main" id="{06E4EDC1-FC8A-41D0-211C-4706FA600400}"/>
            </a:ext>
          </a:extLst>
        </xdr:cNvPr>
        <xdr:cNvCxnSpPr>
          <a:stCxn id="13" idx="2"/>
        </xdr:cNvCxnSpPr>
      </xdr:nvCxnSpPr>
      <xdr:spPr bwMode="auto">
        <a:xfrm flipH="1">
          <a:off x="5181600" y="4057650"/>
          <a:ext cx="42863" cy="295275"/>
        </a:xfrm>
        <a:prstGeom prst="straightConnector1">
          <a:avLst/>
        </a:prstGeom>
        <a:ln w="12700">
          <a:gradFill>
            <a:gsLst>
              <a:gs pos="0">
                <a:schemeClr val="tx2"/>
              </a:gs>
              <a:gs pos="50000">
                <a:srgbClr val="FF0000"/>
              </a:gs>
            </a:gsLst>
            <a:lin ang="5400000" scaled="0"/>
          </a:gradFill>
          <a:tailEnd type="arrow"/>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30</xdr:row>
      <xdr:rowOff>85724</xdr:rowOff>
    </xdr:from>
    <xdr:to>
      <xdr:col>6</xdr:col>
      <xdr:colOff>238125</xdr:colOff>
      <xdr:row>32</xdr:row>
      <xdr:rowOff>123825</xdr:rowOff>
    </xdr:to>
    <xdr:sp macro="" textlink="">
      <xdr:nvSpPr>
        <xdr:cNvPr id="17" name="DbgShadowBox">
          <a:extLst>
            <a:ext uri="{FF2B5EF4-FFF2-40B4-BE49-F238E27FC236}">
              <a16:creationId xmlns:a16="http://schemas.microsoft.com/office/drawing/2014/main" id="{13646DD4-6B65-E1D1-1A00-21A96D942B33}"/>
            </a:ext>
          </a:extLst>
        </xdr:cNvPr>
        <xdr:cNvSpPr/>
      </xdr:nvSpPr>
      <xdr:spPr bwMode="auto">
        <a:xfrm>
          <a:off x="1743075" y="5410199"/>
          <a:ext cx="1657350" cy="419101"/>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0" i="0" u="none" strike="noStrike" baseline="0">
              <a:solidFill>
                <a:srgbClr val="1F497D"/>
              </a:solidFill>
              <a:latin typeface="+mn-lt"/>
            </a:rPr>
            <a:t>DCF estimated price and upside potential</a:t>
          </a:r>
        </a:p>
      </xdr:txBody>
    </xdr:sp>
    <xdr:clientData/>
  </xdr:twoCellAnchor>
  <xdr:twoCellAnchor>
    <xdr:from>
      <xdr:col>3</xdr:col>
      <xdr:colOff>28575</xdr:colOff>
      <xdr:row>42</xdr:row>
      <xdr:rowOff>28574</xdr:rowOff>
    </xdr:from>
    <xdr:to>
      <xdr:col>17</xdr:col>
      <xdr:colOff>581026</xdr:colOff>
      <xdr:row>46</xdr:row>
      <xdr:rowOff>57149</xdr:rowOff>
    </xdr:to>
    <xdr:sp macro="" textlink="">
      <xdr:nvSpPr>
        <xdr:cNvPr id="21" name="DbgShadowBox">
          <a:extLst>
            <a:ext uri="{FF2B5EF4-FFF2-40B4-BE49-F238E27FC236}">
              <a16:creationId xmlns:a16="http://schemas.microsoft.com/office/drawing/2014/main" id="{EA75FD64-449F-2E6A-F63C-703895B962B5}"/>
            </a:ext>
          </a:extLst>
        </xdr:cNvPr>
        <xdr:cNvSpPr/>
      </xdr:nvSpPr>
      <xdr:spPr bwMode="auto">
        <a:xfrm>
          <a:off x="1362075" y="7639049"/>
          <a:ext cx="9086851" cy="790575"/>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0" i="0" u="none" strike="noStrike" baseline="0">
              <a:solidFill>
                <a:srgbClr val="1F497D"/>
              </a:solidFill>
              <a:latin typeface="+mn-lt"/>
            </a:rPr>
            <a:t>2) Review the assumptions for WACC and terminal value</a:t>
          </a:r>
        </a:p>
        <a:p>
          <a:pPr algn="l" rtl="0">
            <a:defRPr sz="1000"/>
          </a:pPr>
          <a:r>
            <a:rPr lang="en-US" sz="1050" b="0" i="0" u="none" strike="noStrike" baseline="0">
              <a:solidFill>
                <a:srgbClr val="1F497D"/>
              </a:solidFill>
              <a:latin typeface="+mn-lt"/>
            </a:rPr>
            <a:t>3) Review other default assumptions and double check numbers that have been shaded pink by hovering over the cell, a pop-up message will provide you additional details</a:t>
          </a:r>
        </a:p>
        <a:p>
          <a:pPr algn="l" rtl="0">
            <a:defRPr sz="1000"/>
          </a:pPr>
          <a:r>
            <a:rPr lang="en-US" sz="1050" b="0" i="0" u="none" strike="noStrike" baseline="0">
              <a:solidFill>
                <a:srgbClr val="1F497D"/>
              </a:solidFill>
              <a:latin typeface="+mn-lt"/>
            </a:rPr>
            <a:t>4) Click “Edit Row” to review or change the forecasting assumptions (i.e. user input, Bloomberg estimates, historical averages, etc.)</a:t>
          </a:r>
        </a:p>
      </xdr:txBody>
    </xdr:sp>
    <xdr:clientData/>
  </xdr:twoCellAnchor>
  <xdr:twoCellAnchor>
    <xdr:from>
      <xdr:col>3</xdr:col>
      <xdr:colOff>447675</xdr:colOff>
      <xdr:row>50</xdr:row>
      <xdr:rowOff>142875</xdr:rowOff>
    </xdr:from>
    <xdr:to>
      <xdr:col>6</xdr:col>
      <xdr:colOff>180975</xdr:colOff>
      <xdr:row>53</xdr:row>
      <xdr:rowOff>161925</xdr:rowOff>
    </xdr:to>
    <xdr:sp macro="" textlink="">
      <xdr:nvSpPr>
        <xdr:cNvPr id="23" name="DbgShadowBox">
          <a:extLst>
            <a:ext uri="{FF2B5EF4-FFF2-40B4-BE49-F238E27FC236}">
              <a16:creationId xmlns:a16="http://schemas.microsoft.com/office/drawing/2014/main" id="{B8722FE9-DBC0-D4B4-E127-AE59DCCE73AF}"/>
            </a:ext>
          </a:extLst>
        </xdr:cNvPr>
        <xdr:cNvSpPr/>
      </xdr:nvSpPr>
      <xdr:spPr bwMode="auto">
        <a:xfrm>
          <a:off x="1781175" y="9277350"/>
          <a:ext cx="1562100" cy="590550"/>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0" i="0" u="none" strike="noStrike" baseline="0">
              <a:solidFill>
                <a:srgbClr val="1F497D"/>
              </a:solidFill>
              <a:latin typeface="+mn-lt"/>
            </a:rPr>
            <a:t>Customize the discount rate, perpetual growth or terminal multiple</a:t>
          </a:r>
        </a:p>
      </xdr:txBody>
    </xdr:sp>
    <xdr:clientData/>
  </xdr:twoCellAnchor>
  <xdr:twoCellAnchor>
    <xdr:from>
      <xdr:col>6</xdr:col>
      <xdr:colOff>180975</xdr:colOff>
      <xdr:row>49</xdr:row>
      <xdr:rowOff>104775</xdr:rowOff>
    </xdr:from>
    <xdr:to>
      <xdr:col>8</xdr:col>
      <xdr:colOff>419100</xdr:colOff>
      <xdr:row>52</xdr:row>
      <xdr:rowOff>57150</xdr:rowOff>
    </xdr:to>
    <xdr:cxnSp macro="">
      <xdr:nvCxnSpPr>
        <xdr:cNvPr id="24" name="DbgGradArrow">
          <a:extLst>
            <a:ext uri="{FF2B5EF4-FFF2-40B4-BE49-F238E27FC236}">
              <a16:creationId xmlns:a16="http://schemas.microsoft.com/office/drawing/2014/main" id="{20D70BE5-ED0C-B0F9-BE7F-5AB4FB21B2A8}"/>
            </a:ext>
          </a:extLst>
        </xdr:cNvPr>
        <xdr:cNvCxnSpPr>
          <a:stCxn id="23" idx="3"/>
        </xdr:cNvCxnSpPr>
      </xdr:nvCxnSpPr>
      <xdr:spPr bwMode="auto">
        <a:xfrm flipV="1">
          <a:off x="3343275" y="9048750"/>
          <a:ext cx="1457325" cy="523875"/>
        </a:xfrm>
        <a:prstGeom prst="straightConnector1">
          <a:avLst/>
        </a:prstGeom>
        <a:ln w="12700">
          <a:gradFill>
            <a:gsLst>
              <a:gs pos="0">
                <a:schemeClr val="tx2"/>
              </a:gs>
              <a:gs pos="50000">
                <a:srgbClr val="FF0000"/>
              </a:gs>
            </a:gsLst>
            <a:lin ang="5400000" scaled="0"/>
          </a:gradFill>
          <a:tailEnd type="arrow"/>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333375</xdr:colOff>
      <xdr:row>52</xdr:row>
      <xdr:rowOff>123825</xdr:rowOff>
    </xdr:from>
    <xdr:to>
      <xdr:col>13</xdr:col>
      <xdr:colOff>200025</xdr:colOff>
      <xdr:row>55</xdr:row>
      <xdr:rowOff>0</xdr:rowOff>
    </xdr:to>
    <xdr:sp macro="" textlink="">
      <xdr:nvSpPr>
        <xdr:cNvPr id="31" name="DbgShadowBox">
          <a:extLst>
            <a:ext uri="{FF2B5EF4-FFF2-40B4-BE49-F238E27FC236}">
              <a16:creationId xmlns:a16="http://schemas.microsoft.com/office/drawing/2014/main" id="{535487AF-CD5B-C5F5-056E-84955E5E383B}"/>
            </a:ext>
          </a:extLst>
        </xdr:cNvPr>
        <xdr:cNvSpPr/>
      </xdr:nvSpPr>
      <xdr:spPr bwMode="auto">
        <a:xfrm>
          <a:off x="6543675" y="9639300"/>
          <a:ext cx="1085850" cy="447675"/>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0" i="0" u="none" strike="noStrike" baseline="0">
              <a:solidFill>
                <a:srgbClr val="1F497D"/>
              </a:solidFill>
              <a:latin typeface="+mn-lt"/>
            </a:rPr>
            <a:t>Review outliers (highlighted)</a:t>
          </a:r>
        </a:p>
      </xdr:txBody>
    </xdr:sp>
    <xdr:clientData/>
  </xdr:twoCellAnchor>
  <xdr:twoCellAnchor>
    <xdr:from>
      <xdr:col>10</xdr:col>
      <xdr:colOff>400051</xdr:colOff>
      <xdr:row>51</xdr:row>
      <xdr:rowOff>1</xdr:rowOff>
    </xdr:from>
    <xdr:to>
      <xdr:col>11</xdr:col>
      <xdr:colOff>333375</xdr:colOff>
      <xdr:row>53</xdr:row>
      <xdr:rowOff>157163</xdr:rowOff>
    </xdr:to>
    <xdr:cxnSp macro="">
      <xdr:nvCxnSpPr>
        <xdr:cNvPr id="32" name="DbgGradArrow">
          <a:extLst>
            <a:ext uri="{FF2B5EF4-FFF2-40B4-BE49-F238E27FC236}">
              <a16:creationId xmlns:a16="http://schemas.microsoft.com/office/drawing/2014/main" id="{BD1310F0-0A9E-3926-5362-F19CA2DBA2D9}"/>
            </a:ext>
          </a:extLst>
        </xdr:cNvPr>
        <xdr:cNvCxnSpPr>
          <a:stCxn id="31" idx="1"/>
        </xdr:cNvCxnSpPr>
      </xdr:nvCxnSpPr>
      <xdr:spPr bwMode="auto">
        <a:xfrm flipH="1" flipV="1">
          <a:off x="6000751" y="9324976"/>
          <a:ext cx="542924" cy="538162"/>
        </a:xfrm>
        <a:prstGeom prst="straightConnector1">
          <a:avLst/>
        </a:prstGeom>
        <a:ln w="12700">
          <a:gradFill>
            <a:gsLst>
              <a:gs pos="0">
                <a:schemeClr val="tx2"/>
              </a:gs>
              <a:gs pos="50000">
                <a:srgbClr val="FF0000"/>
              </a:gs>
            </a:gsLst>
            <a:lin ang="5400000" scaled="0"/>
          </a:gradFill>
          <a:tailEnd type="arrow"/>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66</xdr:row>
      <xdr:rowOff>57150</xdr:rowOff>
    </xdr:from>
    <xdr:to>
      <xdr:col>17</xdr:col>
      <xdr:colOff>590551</xdr:colOff>
      <xdr:row>68</xdr:row>
      <xdr:rowOff>76200</xdr:rowOff>
    </xdr:to>
    <xdr:sp macro="" textlink="">
      <xdr:nvSpPr>
        <xdr:cNvPr id="35" name="DbgShadowBox">
          <a:extLst>
            <a:ext uri="{FF2B5EF4-FFF2-40B4-BE49-F238E27FC236}">
              <a16:creationId xmlns:a16="http://schemas.microsoft.com/office/drawing/2014/main" id="{57BE36E1-CAA6-1D3C-D8C2-5A22B394101F}"/>
            </a:ext>
          </a:extLst>
        </xdr:cNvPr>
        <xdr:cNvSpPr/>
      </xdr:nvSpPr>
      <xdr:spPr bwMode="auto">
        <a:xfrm>
          <a:off x="1371600" y="12239625"/>
          <a:ext cx="9086851" cy="400050"/>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0" i="0" u="none" strike="noStrike" baseline="0">
              <a:solidFill>
                <a:srgbClr val="1F497D"/>
              </a:solidFill>
              <a:latin typeface="+mn-lt"/>
            </a:rPr>
            <a:t>5) Review the value per share results based on two different methods: perpetual growth and exit multiple</a:t>
          </a:r>
        </a:p>
      </xdr:txBody>
    </xdr:sp>
    <xdr:clientData/>
  </xdr:twoCellAnchor>
  <xdr:twoCellAnchor>
    <xdr:from>
      <xdr:col>3</xdr:col>
      <xdr:colOff>47625</xdr:colOff>
      <xdr:row>85</xdr:row>
      <xdr:rowOff>76200</xdr:rowOff>
    </xdr:from>
    <xdr:to>
      <xdr:col>17</xdr:col>
      <xdr:colOff>600076</xdr:colOff>
      <xdr:row>87</xdr:row>
      <xdr:rowOff>95250</xdr:rowOff>
    </xdr:to>
    <xdr:sp macro="" textlink="">
      <xdr:nvSpPr>
        <xdr:cNvPr id="36" name="DbgShadowBox">
          <a:extLst>
            <a:ext uri="{FF2B5EF4-FFF2-40B4-BE49-F238E27FC236}">
              <a16:creationId xmlns:a16="http://schemas.microsoft.com/office/drawing/2014/main" id="{7F6EEE59-87B0-F1D0-95D1-F4F7AF3B4179}"/>
            </a:ext>
          </a:extLst>
        </xdr:cNvPr>
        <xdr:cNvSpPr/>
      </xdr:nvSpPr>
      <xdr:spPr bwMode="auto">
        <a:xfrm>
          <a:off x="1381125" y="15878175"/>
          <a:ext cx="9086851" cy="400050"/>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0" i="0" u="none" strike="noStrike" baseline="0">
              <a:solidFill>
                <a:srgbClr val="1F497D"/>
              </a:solidFill>
              <a:latin typeface="+mn-lt"/>
            </a:rPr>
            <a:t>6) Use sensitivity tables to evaluate the impact of changing discount rate, growth rate and exit multiple assumptions</a:t>
          </a:r>
        </a:p>
      </xdr:txBody>
    </xdr:sp>
    <xdr:clientData/>
  </xdr:twoCellAnchor>
  <xdr:twoCellAnchor editAs="oneCell">
    <xdr:from>
      <xdr:col>6</xdr:col>
      <xdr:colOff>209549</xdr:colOff>
      <xdr:row>164</xdr:row>
      <xdr:rowOff>19052</xdr:rowOff>
    </xdr:from>
    <xdr:to>
      <xdr:col>14</xdr:col>
      <xdr:colOff>276224</xdr:colOff>
      <xdr:row>175</xdr:row>
      <xdr:rowOff>33535</xdr:rowOff>
    </xdr:to>
    <xdr:pic>
      <xdr:nvPicPr>
        <xdr:cNvPr id="39" name="Picture 38">
          <a:extLst>
            <a:ext uri="{FF2B5EF4-FFF2-40B4-BE49-F238E27FC236}">
              <a16:creationId xmlns:a16="http://schemas.microsoft.com/office/drawing/2014/main" id="{683F79E4-8C02-DDEA-9937-224063812015}"/>
            </a:ext>
          </a:extLst>
        </xdr:cNvPr>
        <xdr:cNvPicPr>
          <a:picLocks noChangeAspect="1"/>
        </xdr:cNvPicPr>
      </xdr:nvPicPr>
      <xdr:blipFill rotWithShape="1">
        <a:blip xmlns:r="http://schemas.openxmlformats.org/officeDocument/2006/relationships" r:embed="rId7"/>
        <a:srcRect l="8204" r="9012" b="8413"/>
        <a:stretch/>
      </xdr:blipFill>
      <xdr:spPr>
        <a:xfrm>
          <a:off x="3371849" y="30746702"/>
          <a:ext cx="4943475" cy="2109983"/>
        </a:xfrm>
        <a:prstGeom prst="rect">
          <a:avLst/>
        </a:prstGeom>
        <a:effectLst>
          <a:outerShdw blurRad="50800" dist="38100" dir="2700000" algn="tl">
            <a:prstClr val="black">
              <a:alpha val="40000"/>
            </a:prstClr>
          </a:outerShdw>
        </a:effectLst>
      </xdr:spPr>
    </xdr:pic>
    <xdr:clientData/>
  </xdr:twoCellAnchor>
  <xdr:twoCellAnchor>
    <xdr:from>
      <xdr:col>3</xdr:col>
      <xdr:colOff>38100</xdr:colOff>
      <xdr:row>160</xdr:row>
      <xdr:rowOff>38099</xdr:rowOff>
    </xdr:from>
    <xdr:to>
      <xdr:col>17</xdr:col>
      <xdr:colOff>590551</xdr:colOff>
      <xdr:row>163</xdr:row>
      <xdr:rowOff>95250</xdr:rowOff>
    </xdr:to>
    <xdr:sp macro="" textlink="">
      <xdr:nvSpPr>
        <xdr:cNvPr id="40" name="DbgShadowBox">
          <a:extLst>
            <a:ext uri="{FF2B5EF4-FFF2-40B4-BE49-F238E27FC236}">
              <a16:creationId xmlns:a16="http://schemas.microsoft.com/office/drawing/2014/main" id="{BC8A01BC-7476-1551-04CC-CA193BD0DA21}"/>
            </a:ext>
          </a:extLst>
        </xdr:cNvPr>
        <xdr:cNvSpPr/>
      </xdr:nvSpPr>
      <xdr:spPr bwMode="auto">
        <a:xfrm>
          <a:off x="1371600" y="28289249"/>
          <a:ext cx="9086851" cy="628651"/>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1" i="0" u="none" strike="noStrike" baseline="0">
              <a:solidFill>
                <a:srgbClr val="1F497D"/>
              </a:solidFill>
              <a:latin typeface="+mn-lt"/>
            </a:rPr>
            <a:t>Sensitivity analysis</a:t>
          </a:r>
        </a:p>
        <a:p>
          <a:pPr algn="l" rtl="0">
            <a:defRPr sz="1000"/>
          </a:pPr>
          <a:r>
            <a:rPr lang="en-US" sz="1050" b="0" i="0" u="none" strike="noStrike" baseline="0">
              <a:solidFill>
                <a:srgbClr val="1F497D"/>
              </a:solidFill>
              <a:latin typeface="+mn-lt"/>
            </a:rPr>
            <a:t>Analyze the impact of different discount rates, growth rates, and exit multiples on enterprise value, value per share, and % upside potential. </a:t>
          </a:r>
        </a:p>
        <a:p>
          <a:pPr algn="l" rtl="0">
            <a:defRPr sz="1000"/>
          </a:pPr>
          <a:r>
            <a:rPr lang="en-US" sz="1050" b="0" i="0" u="none" strike="noStrike" baseline="0">
              <a:solidFill>
                <a:srgbClr val="1F497D"/>
              </a:solidFill>
              <a:latin typeface="+mn-lt"/>
            </a:rPr>
            <a:t>Additionally, the model allows the user to find the implied perpetuity growth rate for variant EV/EBITDA values.</a:t>
          </a:r>
        </a:p>
      </xdr:txBody>
    </xdr:sp>
    <xdr:clientData/>
  </xdr:twoCellAnchor>
  <xdr:twoCellAnchor>
    <xdr:from>
      <xdr:col>3</xdr:col>
      <xdr:colOff>38100</xdr:colOff>
      <xdr:row>151</xdr:row>
      <xdr:rowOff>38100</xdr:rowOff>
    </xdr:from>
    <xdr:to>
      <xdr:col>17</xdr:col>
      <xdr:colOff>590551</xdr:colOff>
      <xdr:row>158</xdr:row>
      <xdr:rowOff>85725</xdr:rowOff>
    </xdr:to>
    <xdr:sp macro="" textlink="">
      <xdr:nvSpPr>
        <xdr:cNvPr id="42" name="DbgShadowBox">
          <a:extLst>
            <a:ext uri="{FF2B5EF4-FFF2-40B4-BE49-F238E27FC236}">
              <a16:creationId xmlns:a16="http://schemas.microsoft.com/office/drawing/2014/main" id="{B40108A7-11D3-D186-7AB4-BD052757FFA1}"/>
            </a:ext>
          </a:extLst>
        </xdr:cNvPr>
        <xdr:cNvSpPr/>
      </xdr:nvSpPr>
      <xdr:spPr bwMode="auto">
        <a:xfrm>
          <a:off x="1371600" y="28289250"/>
          <a:ext cx="9086851" cy="1381125"/>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1" i="0" u="none" strike="noStrike" baseline="0">
              <a:solidFill>
                <a:srgbClr val="1F497D"/>
              </a:solidFill>
              <a:latin typeface="+mn-lt"/>
            </a:rPr>
            <a:t>Mid-year convention</a:t>
          </a:r>
        </a:p>
        <a:p>
          <a:pPr algn="l" rtl="0">
            <a:defRPr sz="1000"/>
          </a:pPr>
          <a:r>
            <a:rPr lang="en-US" sz="1050" b="0" i="0" u="none" strike="noStrike" baseline="0">
              <a:solidFill>
                <a:srgbClr val="1F497D"/>
              </a:solidFill>
              <a:latin typeface="+mn-lt"/>
            </a:rPr>
            <a:t>The model assumes that annual cash flows are received at mid-year, rather than year end. A mid-period convention is applied when discounting cash flows.</a:t>
          </a:r>
        </a:p>
        <a:p>
          <a:pPr algn="l" rtl="0">
            <a:defRPr sz="1000"/>
          </a:pPr>
          <a:endParaRPr lang="en-US" sz="1050" b="1" i="0" u="none" strike="noStrike" baseline="0">
            <a:solidFill>
              <a:srgbClr val="1F497D"/>
            </a:solidFill>
            <a:latin typeface="+mn-lt"/>
          </a:endParaRPr>
        </a:p>
        <a:p>
          <a:pPr algn="l" rtl="0">
            <a:defRPr sz="1000"/>
          </a:pPr>
          <a:r>
            <a:rPr lang="en-US" sz="1050" b="1" i="0" u="none" strike="noStrike" baseline="0">
              <a:solidFill>
                <a:srgbClr val="1F497D"/>
              </a:solidFill>
              <a:latin typeface="+mn-lt"/>
            </a:rPr>
            <a:t>Calendarization</a:t>
          </a:r>
        </a:p>
        <a:p>
          <a:pPr algn="l" rtl="0">
            <a:defRPr sz="1000"/>
          </a:pPr>
          <a:r>
            <a:rPr lang="en-US" sz="1050" b="0" i="0" u="none" strike="noStrike" baseline="0">
              <a:solidFill>
                <a:srgbClr val="1F497D"/>
              </a:solidFill>
              <a:latin typeface="+mn-lt"/>
            </a:rPr>
            <a:t>The model takes into account that today is not the start of the current fiscal year.  </a:t>
          </a:r>
        </a:p>
        <a:p>
          <a:pPr algn="l" rtl="0">
            <a:defRPr sz="1000"/>
          </a:pPr>
          <a:r>
            <a:rPr lang="en-US" sz="1050" b="0" i="0" u="none" strike="noStrike" baseline="0">
              <a:solidFill>
                <a:srgbClr val="1F497D"/>
              </a:solidFill>
              <a:latin typeface="+mn-lt"/>
            </a:rPr>
            <a:t>Hence, only a facrtion of free cash flows proportional to the time left in the current fiscal year is discounted. </a:t>
          </a:r>
        </a:p>
        <a:p>
          <a:pPr algn="l" rtl="0">
            <a:defRPr sz="1000"/>
          </a:pPr>
          <a:r>
            <a:rPr lang="en-US" sz="1050" b="0" i="0" u="none" strike="noStrike" baseline="0">
              <a:solidFill>
                <a:srgbClr val="1F497D"/>
              </a:solidFill>
              <a:latin typeface="+mn-lt"/>
            </a:rPr>
            <a:t>A corresponding fraction of year 6 is discounted, so that there are five full years being discounted.</a:t>
          </a:r>
        </a:p>
      </xdr:txBody>
    </xdr:sp>
    <xdr:clientData/>
  </xdr:twoCellAnchor>
  <xdr:twoCellAnchor>
    <xdr:from>
      <xdr:col>3</xdr:col>
      <xdr:colOff>38100</xdr:colOff>
      <xdr:row>116</xdr:row>
      <xdr:rowOff>28575</xdr:rowOff>
    </xdr:from>
    <xdr:to>
      <xdr:col>17</xdr:col>
      <xdr:colOff>590551</xdr:colOff>
      <xdr:row>124</xdr:row>
      <xdr:rowOff>95250</xdr:rowOff>
    </xdr:to>
    <xdr:sp macro="" textlink="">
      <xdr:nvSpPr>
        <xdr:cNvPr id="43" name="DbgShadowBox">
          <a:extLst>
            <a:ext uri="{FF2B5EF4-FFF2-40B4-BE49-F238E27FC236}">
              <a16:creationId xmlns:a16="http://schemas.microsoft.com/office/drawing/2014/main" id="{2F07EAA0-6DB0-5100-1A9A-B4AE2DC8E591}"/>
            </a:ext>
          </a:extLst>
        </xdr:cNvPr>
        <xdr:cNvSpPr/>
      </xdr:nvSpPr>
      <xdr:spPr bwMode="auto">
        <a:xfrm>
          <a:off x="1371600" y="21612225"/>
          <a:ext cx="9086851" cy="1590675"/>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1" i="0" u="none" strike="noStrike" baseline="0">
              <a:solidFill>
                <a:srgbClr val="1F497D"/>
              </a:solidFill>
              <a:latin typeface="+mn-lt"/>
            </a:rPr>
            <a:t>Revenue driven model</a:t>
          </a:r>
        </a:p>
        <a:p>
          <a:pPr algn="l" rtl="0">
            <a:defRPr sz="1000"/>
          </a:pPr>
          <a:r>
            <a:rPr lang="en-US" sz="1050" b="0" i="0" u="none" strike="noStrike" baseline="0">
              <a:solidFill>
                <a:srgbClr val="1F497D"/>
              </a:solidFill>
              <a:latin typeface="+mn-lt"/>
            </a:rPr>
            <a:t>All values are driven by revenue growth assumptions. Changing these assumptions will flow throgh the rest of the model.</a:t>
          </a:r>
        </a:p>
        <a:p>
          <a:pPr algn="l" rtl="0">
            <a:defRPr sz="1000"/>
          </a:pPr>
          <a:endParaRPr lang="en-US" sz="1050" b="1" i="0" u="none" strike="noStrike" baseline="0">
            <a:solidFill>
              <a:srgbClr val="1F497D"/>
            </a:solidFill>
            <a:latin typeface="+mn-lt"/>
          </a:endParaRPr>
        </a:p>
        <a:p>
          <a:pPr algn="l" rtl="0">
            <a:defRPr sz="1000"/>
          </a:pPr>
          <a:r>
            <a:rPr lang="en-US" sz="1050" b="1" i="0" u="none" strike="noStrike" baseline="0">
              <a:solidFill>
                <a:srgbClr val="1F497D"/>
              </a:solidFill>
              <a:latin typeface="+mn-lt"/>
            </a:rPr>
            <a:t>Supports most companies</a:t>
          </a:r>
        </a:p>
        <a:p>
          <a:pPr algn="l" rtl="0">
            <a:defRPr sz="1000"/>
          </a:pPr>
          <a:r>
            <a:rPr lang="en-US" sz="1050" b="0" i="0" u="none" strike="noStrike" baseline="0">
              <a:solidFill>
                <a:srgbClr val="1F497D"/>
              </a:solidFill>
              <a:latin typeface="+mn-lt"/>
            </a:rPr>
            <a:t>It can be used to value most companies with the exception of financial institutions (different vaulation methodology).</a:t>
          </a:r>
        </a:p>
        <a:p>
          <a:pPr algn="l" rtl="0">
            <a:defRPr sz="1000"/>
          </a:pPr>
          <a:r>
            <a:rPr lang="en-US" sz="1050" b="0" i="0" u="none" strike="noStrike" baseline="0">
              <a:solidFill>
                <a:srgbClr val="1F497D"/>
              </a:solidFill>
              <a:latin typeface="+mn-lt"/>
            </a:rPr>
            <a:t>For financial companies, consider using DDM&lt;GO&gt; or EQRV&lt;GO&gt;.</a:t>
          </a:r>
        </a:p>
        <a:p>
          <a:pPr algn="l" rtl="0">
            <a:defRPr sz="1000"/>
          </a:pPr>
          <a:endParaRPr lang="en-US" sz="1050" b="0" i="0" u="none" strike="noStrike" baseline="0">
            <a:solidFill>
              <a:srgbClr val="1F497D"/>
            </a:solidFill>
            <a:latin typeface="+mn-lt"/>
          </a:endParaRPr>
        </a:p>
        <a:p>
          <a:pPr algn="l" rtl="0">
            <a:defRPr sz="1000"/>
          </a:pPr>
          <a:r>
            <a:rPr lang="en-US" sz="1050" b="1" i="0" u="none" strike="noStrike" baseline="0">
              <a:solidFill>
                <a:srgbClr val="1F497D"/>
              </a:solidFill>
              <a:latin typeface="+mn-lt"/>
            </a:rPr>
            <a:t>Two methods to estimate terminal value</a:t>
          </a:r>
        </a:p>
        <a:p>
          <a:pPr algn="l" rtl="0">
            <a:defRPr sz="1000"/>
          </a:pPr>
          <a:r>
            <a:rPr lang="en-US" sz="1050" b="0" i="0" u="none" strike="noStrike" baseline="0">
              <a:solidFill>
                <a:srgbClr val="1F497D"/>
              </a:solidFill>
              <a:latin typeface="+mn-lt"/>
            </a:rPr>
            <a:t>Two terminal value estimation methods: perpetuity growth and EV/EBITDA multiple.</a:t>
          </a:r>
        </a:p>
      </xdr:txBody>
    </xdr:sp>
    <xdr:clientData/>
  </xdr:twoCellAnchor>
  <xdr:twoCellAnchor>
    <xdr:from>
      <xdr:col>3</xdr:col>
      <xdr:colOff>47625</xdr:colOff>
      <xdr:row>126</xdr:row>
      <xdr:rowOff>28574</xdr:rowOff>
    </xdr:from>
    <xdr:to>
      <xdr:col>17</xdr:col>
      <xdr:colOff>600076</xdr:colOff>
      <xdr:row>138</xdr:row>
      <xdr:rowOff>57149</xdr:rowOff>
    </xdr:to>
    <xdr:sp macro="" textlink="">
      <xdr:nvSpPr>
        <xdr:cNvPr id="44" name="DbgShadowBox">
          <a:extLst>
            <a:ext uri="{FF2B5EF4-FFF2-40B4-BE49-F238E27FC236}">
              <a16:creationId xmlns:a16="http://schemas.microsoft.com/office/drawing/2014/main" id="{5706D90F-06AA-3DEC-B55E-44F8EE03463A}"/>
            </a:ext>
          </a:extLst>
        </xdr:cNvPr>
        <xdr:cNvSpPr/>
      </xdr:nvSpPr>
      <xdr:spPr bwMode="auto">
        <a:xfrm>
          <a:off x="1381125" y="23517224"/>
          <a:ext cx="9086851" cy="2314575"/>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1" i="0" u="none" strike="noStrike" baseline="0">
              <a:solidFill>
                <a:srgbClr val="1F497D"/>
              </a:solidFill>
              <a:latin typeface="+mn-lt"/>
            </a:rPr>
            <a:t>Multiple forecasting methods</a:t>
          </a:r>
        </a:p>
        <a:p>
          <a:pPr algn="l" rtl="0">
            <a:defRPr sz="1000"/>
          </a:pPr>
          <a:r>
            <a:rPr lang="en-US" sz="1050" b="0" i="0" u="none" strike="noStrike" baseline="0">
              <a:solidFill>
                <a:srgbClr val="1F497D"/>
              </a:solidFill>
              <a:latin typeface="+mn-lt"/>
            </a:rPr>
            <a:t>It allows you to input different forecasting assumptions by clicking into “Edit Row”.</a:t>
          </a:r>
        </a:p>
        <a:p>
          <a:pPr algn="l" rtl="0">
            <a:defRPr sz="1000"/>
          </a:pPr>
          <a:endParaRPr lang="en-US" sz="1050" b="1" i="0" u="none" strike="noStrike" baseline="0">
            <a:solidFill>
              <a:srgbClr val="1F497D"/>
            </a:solidFill>
            <a:latin typeface="+mn-lt"/>
          </a:endParaRPr>
        </a:p>
        <a:p>
          <a:pPr algn="l" rtl="0">
            <a:defRPr sz="1000"/>
          </a:pPr>
          <a:r>
            <a:rPr lang="en-US" sz="1050" b="1" i="0" u="none" strike="noStrike" baseline="0">
              <a:solidFill>
                <a:srgbClr val="1F497D"/>
              </a:solidFill>
              <a:latin typeface="+mn-lt"/>
            </a:rPr>
            <a:t>Automatically selects the best assumptions available</a:t>
          </a:r>
        </a:p>
        <a:p>
          <a:pPr algn="l" rtl="0">
            <a:defRPr sz="1000"/>
          </a:pPr>
          <a:r>
            <a:rPr lang="en-US" sz="1050" b="0" i="0" u="none" strike="noStrike" baseline="0">
              <a:solidFill>
                <a:srgbClr val="1F497D"/>
              </a:solidFill>
              <a:latin typeface="+mn-lt"/>
            </a:rPr>
            <a:t>Every time you update your ticker, the model will automatically select the best assumptions available.</a:t>
          </a:r>
        </a:p>
        <a:p>
          <a:pPr algn="l" rtl="0">
            <a:defRPr sz="1000"/>
          </a:pPr>
          <a:r>
            <a:rPr lang="en-US" sz="1050" b="0" i="0" u="none" strike="noStrike" baseline="0">
              <a:solidFill>
                <a:srgbClr val="1F497D"/>
              </a:solidFill>
              <a:latin typeface="+mn-lt"/>
            </a:rPr>
            <a:t>You can see the resulting selection by clicking into “Edit Row”. Selected assumptions are blue.  </a:t>
          </a:r>
        </a:p>
        <a:p>
          <a:pPr algn="l" rtl="0">
            <a:defRPr sz="1000"/>
          </a:pPr>
          <a:endParaRPr lang="en-US" sz="1050" b="0" i="0" u="none" strike="noStrike" baseline="0">
            <a:solidFill>
              <a:srgbClr val="1F497D"/>
            </a:solidFill>
            <a:latin typeface="+mn-lt"/>
          </a:endParaRPr>
        </a:p>
        <a:p>
          <a:pPr algn="l" rtl="0">
            <a:defRPr sz="1000"/>
          </a:pPr>
          <a:r>
            <a:rPr lang="en-US" sz="1050" b="1" i="0" u="none" strike="noStrike" baseline="0">
              <a:solidFill>
                <a:srgbClr val="1F497D"/>
              </a:solidFill>
              <a:latin typeface="+mn-lt"/>
            </a:rPr>
            <a:t>Use different forecasting approaches </a:t>
          </a:r>
        </a:p>
        <a:p>
          <a:pPr algn="l" rtl="0">
            <a:defRPr sz="1000"/>
          </a:pPr>
          <a:r>
            <a:rPr lang="en-US" sz="1050" b="0" i="0" u="none" strike="noStrike" baseline="0">
              <a:solidFill>
                <a:srgbClr val="1F497D"/>
              </a:solidFill>
              <a:latin typeface="+mn-lt"/>
            </a:rPr>
            <a:t>Using the “Edit Row” feature, different assumptions can be compared side-by-side.  Clicking into the desired assumption value will update your model and shade the cell in blue.  You can always enter your own values on the salmon cells which say “Input”.</a:t>
          </a:r>
        </a:p>
        <a:p>
          <a:pPr algn="l" rtl="0">
            <a:defRPr sz="1000"/>
          </a:pPr>
          <a:endParaRPr lang="en-US" sz="1050" b="1" i="0" u="none" strike="noStrike" baseline="0">
            <a:solidFill>
              <a:srgbClr val="1F497D"/>
            </a:solidFill>
            <a:latin typeface="+mn-lt"/>
          </a:endParaRPr>
        </a:p>
        <a:p>
          <a:pPr algn="l" rtl="0">
            <a:defRPr sz="1000"/>
          </a:pPr>
          <a:r>
            <a:rPr lang="en-US" sz="1050" b="1" i="0" u="none" strike="noStrike" baseline="0">
              <a:solidFill>
                <a:srgbClr val="1F497D"/>
              </a:solidFill>
              <a:latin typeface="+mn-lt"/>
            </a:rPr>
            <a:t>Alerts for outliers</a:t>
          </a:r>
        </a:p>
        <a:p>
          <a:pPr algn="l" rtl="0">
            <a:defRPr sz="1000"/>
          </a:pPr>
          <a:r>
            <a:rPr lang="en-US" sz="1050" b="0" i="0" u="none" strike="noStrike" baseline="0">
              <a:solidFill>
                <a:srgbClr val="1F497D"/>
              </a:solidFill>
              <a:latin typeface="+mn-lt"/>
            </a:rPr>
            <a:t>Unusual values are highlighted in pink to help you identify outliers. If you change a value, all warnings are instantly updated.</a:t>
          </a:r>
        </a:p>
      </xdr:txBody>
    </xdr:sp>
    <xdr:clientData/>
  </xdr:twoCellAnchor>
  <xdr:twoCellAnchor editAs="oneCell">
    <xdr:from>
      <xdr:col>3</xdr:col>
      <xdr:colOff>9525</xdr:colOff>
      <xdr:row>138</xdr:row>
      <xdr:rowOff>171450</xdr:rowOff>
    </xdr:from>
    <xdr:to>
      <xdr:col>17</xdr:col>
      <xdr:colOff>552450</xdr:colOff>
      <xdr:row>149</xdr:row>
      <xdr:rowOff>142875</xdr:rowOff>
    </xdr:to>
    <xdr:pic>
      <xdr:nvPicPr>
        <xdr:cNvPr id="47" name="Picture 46">
          <a:extLst>
            <a:ext uri="{FF2B5EF4-FFF2-40B4-BE49-F238E27FC236}">
              <a16:creationId xmlns:a16="http://schemas.microsoft.com/office/drawing/2014/main" id="{C3AAAE95-0FFD-F6BF-4DDA-8297EC0CB95F}"/>
            </a:ext>
          </a:extLst>
        </xdr:cNvPr>
        <xdr:cNvPicPr>
          <a:picLocks noChangeAspect="1"/>
        </xdr:cNvPicPr>
      </xdr:nvPicPr>
      <xdr:blipFill rotWithShape="1">
        <a:blip xmlns:r="http://schemas.openxmlformats.org/officeDocument/2006/relationships" r:embed="rId8"/>
        <a:srcRect r="617"/>
        <a:stretch/>
      </xdr:blipFill>
      <xdr:spPr>
        <a:xfrm>
          <a:off x="1343025" y="25946100"/>
          <a:ext cx="9077325" cy="2066925"/>
        </a:xfrm>
        <a:prstGeom prst="rect">
          <a:avLst/>
        </a:prstGeom>
        <a:effectLst>
          <a:outerShdw blurRad="50800" dist="38100" dir="2700000" algn="tl">
            <a:prstClr val="black">
              <a:alpha val="40000"/>
            </a:prstClr>
          </a:outerShdw>
        </a:effectLst>
      </xdr:spPr>
    </xdr:pic>
    <xdr:clientData/>
  </xdr:twoCellAnchor>
  <xdr:twoCellAnchor>
    <xdr:from>
      <xdr:col>9</xdr:col>
      <xdr:colOff>19050</xdr:colOff>
      <xdr:row>27</xdr:row>
      <xdr:rowOff>161924</xdr:rowOff>
    </xdr:from>
    <xdr:to>
      <xdr:col>11</xdr:col>
      <xdr:colOff>390525</xdr:colOff>
      <xdr:row>30</xdr:row>
      <xdr:rowOff>28575</xdr:rowOff>
    </xdr:to>
    <xdr:sp macro="" textlink="">
      <xdr:nvSpPr>
        <xdr:cNvPr id="29" name="DbgShadowBox">
          <a:extLst>
            <a:ext uri="{FF2B5EF4-FFF2-40B4-BE49-F238E27FC236}">
              <a16:creationId xmlns:a16="http://schemas.microsoft.com/office/drawing/2014/main" id="{E30A9E93-941D-1693-25F4-D56D04DFC96A}"/>
            </a:ext>
          </a:extLst>
        </xdr:cNvPr>
        <xdr:cNvSpPr/>
      </xdr:nvSpPr>
      <xdr:spPr bwMode="auto">
        <a:xfrm>
          <a:off x="5010150" y="4914899"/>
          <a:ext cx="1590675" cy="438151"/>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0" i="0" u="none" strike="noStrike" baseline="0">
              <a:solidFill>
                <a:srgbClr val="1F497D"/>
              </a:solidFill>
              <a:latin typeface="+mn-lt"/>
            </a:rPr>
            <a:t>Choose whether to adjust for one-time items </a:t>
          </a:r>
        </a:p>
      </xdr:txBody>
    </xdr:sp>
    <xdr:clientData/>
  </xdr:twoCellAnchor>
  <xdr:twoCellAnchor>
    <xdr:from>
      <xdr:col>9</xdr:col>
      <xdr:colOff>219078</xdr:colOff>
      <xdr:row>26</xdr:row>
      <xdr:rowOff>9526</xdr:rowOff>
    </xdr:from>
    <xdr:to>
      <xdr:col>10</xdr:col>
      <xdr:colOff>204788</xdr:colOff>
      <xdr:row>27</xdr:row>
      <xdr:rowOff>161924</xdr:rowOff>
    </xdr:to>
    <xdr:cxnSp macro="">
      <xdr:nvCxnSpPr>
        <xdr:cNvPr id="30" name="DbgGradArrow">
          <a:extLst>
            <a:ext uri="{FF2B5EF4-FFF2-40B4-BE49-F238E27FC236}">
              <a16:creationId xmlns:a16="http://schemas.microsoft.com/office/drawing/2014/main" id="{6134C803-CF01-DEA2-B6F4-E7DD5439A676}"/>
            </a:ext>
          </a:extLst>
        </xdr:cNvPr>
        <xdr:cNvCxnSpPr>
          <a:stCxn id="29" idx="0"/>
        </xdr:cNvCxnSpPr>
      </xdr:nvCxnSpPr>
      <xdr:spPr bwMode="auto">
        <a:xfrm flipH="1" flipV="1">
          <a:off x="5210178" y="4572001"/>
          <a:ext cx="595310" cy="342898"/>
        </a:xfrm>
        <a:prstGeom prst="straightConnector1">
          <a:avLst/>
        </a:prstGeom>
        <a:ln w="12700">
          <a:gradFill>
            <a:gsLst>
              <a:gs pos="0">
                <a:schemeClr val="tx2"/>
              </a:gs>
              <a:gs pos="50000">
                <a:srgbClr val="FF0000"/>
              </a:gs>
            </a:gsLst>
            <a:lin ang="5400000" scaled="0"/>
          </a:gradFill>
          <a:tailEnd type="arrow"/>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571499</xdr:colOff>
      <xdr:row>48</xdr:row>
      <xdr:rowOff>85723</xdr:rowOff>
    </xdr:from>
    <xdr:to>
      <xdr:col>17</xdr:col>
      <xdr:colOff>114300</xdr:colOff>
      <xdr:row>55</xdr:row>
      <xdr:rowOff>104774</xdr:rowOff>
    </xdr:to>
    <xdr:sp macro="" textlink="">
      <xdr:nvSpPr>
        <xdr:cNvPr id="53" name="DbgShadowBox">
          <a:extLst>
            <a:ext uri="{FF2B5EF4-FFF2-40B4-BE49-F238E27FC236}">
              <a16:creationId xmlns:a16="http://schemas.microsoft.com/office/drawing/2014/main" id="{781EF50C-DC45-60D2-FC58-A4D5EB1579D1}"/>
            </a:ext>
          </a:extLst>
        </xdr:cNvPr>
        <xdr:cNvSpPr/>
      </xdr:nvSpPr>
      <xdr:spPr bwMode="auto">
        <a:xfrm>
          <a:off x="8000999" y="8839198"/>
          <a:ext cx="1981201" cy="1352551"/>
        </a:xfrm>
        <a:prstGeom prst="rect">
          <a:avLst/>
        </a:prstGeom>
        <a:solidFill>
          <a:schemeClr val="bg1"/>
        </a:solidFill>
        <a:ln w="1270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rtl="0">
            <a:defRPr sz="1000"/>
          </a:pPr>
          <a:r>
            <a:rPr lang="en-US" sz="1050" b="0" i="0" u="none" strike="noStrike" baseline="0">
              <a:solidFill>
                <a:srgbClr val="1F497D"/>
              </a:solidFill>
              <a:latin typeface="+mn-lt"/>
            </a:rPr>
            <a:t>Turn this setting off to avoid changes in your inputs when reopening the file. </a:t>
          </a:r>
          <a:br>
            <a:rPr lang="en-US" sz="1050" b="0" i="0" u="none" strike="noStrike" baseline="0">
              <a:solidFill>
                <a:srgbClr val="1F497D"/>
              </a:solidFill>
              <a:latin typeface="+mn-lt"/>
            </a:rPr>
          </a:br>
          <a:br>
            <a:rPr lang="en-US" sz="1050" b="0" i="0" u="none" strike="noStrike" baseline="0">
              <a:solidFill>
                <a:srgbClr val="1F497D"/>
              </a:solidFill>
              <a:latin typeface="+mn-lt"/>
            </a:rPr>
          </a:br>
          <a:r>
            <a:rPr lang="en-US" sz="1050" b="0" i="0" u="none" strike="noStrike" baseline="0">
              <a:solidFill>
                <a:srgbClr val="1F497D"/>
              </a:solidFill>
              <a:latin typeface="+mn-lt"/>
            </a:rPr>
            <a:t>WARNING: this will prevent the automatic selection of inputs when changing tickers as well</a:t>
          </a:r>
        </a:p>
      </xdr:txBody>
    </xdr:sp>
    <xdr:clientData/>
  </xdr:twoCellAnchor>
  <xdr:twoCellAnchor>
    <xdr:from>
      <xdr:col>12</xdr:col>
      <xdr:colOff>571500</xdr:colOff>
      <xdr:row>48</xdr:row>
      <xdr:rowOff>152400</xdr:rowOff>
    </xdr:from>
    <xdr:to>
      <xdr:col>13</xdr:col>
      <xdr:colOff>571499</xdr:colOff>
      <xdr:row>51</xdr:row>
      <xdr:rowOff>190499</xdr:rowOff>
    </xdr:to>
    <xdr:cxnSp macro="">
      <xdr:nvCxnSpPr>
        <xdr:cNvPr id="54" name="DbgGradArrow">
          <a:extLst>
            <a:ext uri="{FF2B5EF4-FFF2-40B4-BE49-F238E27FC236}">
              <a16:creationId xmlns:a16="http://schemas.microsoft.com/office/drawing/2014/main" id="{3730DC82-4E67-72D0-D97C-429EFA3F2A67}"/>
            </a:ext>
          </a:extLst>
        </xdr:cNvPr>
        <xdr:cNvCxnSpPr>
          <a:stCxn id="53" idx="1"/>
        </xdr:cNvCxnSpPr>
      </xdr:nvCxnSpPr>
      <xdr:spPr bwMode="auto">
        <a:xfrm flipH="1" flipV="1">
          <a:off x="7391400" y="8905875"/>
          <a:ext cx="609599" cy="609599"/>
        </a:xfrm>
        <a:prstGeom prst="straightConnector1">
          <a:avLst/>
        </a:prstGeom>
        <a:ln w="12700">
          <a:gradFill>
            <a:gsLst>
              <a:gs pos="0">
                <a:schemeClr val="tx2"/>
              </a:gs>
              <a:gs pos="50000">
                <a:srgbClr val="FF0000"/>
              </a:gs>
            </a:gsLst>
            <a:lin ang="5400000" scaled="0"/>
          </a:gradFill>
          <a:tailEnd type="arrow"/>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605D6-F9D3-4FA2-A9BF-71D0CC76060E}">
  <dimension ref="A1:T36"/>
  <sheetViews>
    <sheetView tabSelected="1" workbookViewId="0">
      <selection activeCell="P24" sqref="P24"/>
    </sheetView>
  </sheetViews>
  <sheetFormatPr defaultRowHeight="14.4" x14ac:dyDescent="0.3"/>
  <cols>
    <col min="1" max="6" width="8.88671875" style="635" customWidth="1"/>
    <col min="7" max="7" width="8" style="635" bestFit="1" customWidth="1"/>
    <col min="8" max="8" width="8.88671875" style="635" customWidth="1"/>
    <col min="9" max="16384" width="8.88671875" style="635"/>
  </cols>
  <sheetData>
    <row r="1" spans="1:20" x14ac:dyDescent="0.3">
      <c r="A1" s="679" t="s">
        <v>22</v>
      </c>
      <c r="B1" s="679"/>
      <c r="C1" s="679"/>
      <c r="D1" s="679"/>
      <c r="E1" s="679"/>
      <c r="F1" s="636"/>
    </row>
    <row r="2" spans="1:20" x14ac:dyDescent="0.3">
      <c r="A2" s="636"/>
      <c r="B2" s="636"/>
      <c r="C2" s="636"/>
      <c r="D2" s="636"/>
      <c r="E2" s="636"/>
      <c r="F2" s="636"/>
      <c r="J2"/>
      <c r="K2"/>
      <c r="L2"/>
      <c r="M2"/>
      <c r="N2" s="685" t="s">
        <v>382</v>
      </c>
      <c r="O2" s="685"/>
      <c r="P2" s="685"/>
      <c r="Q2" s="685"/>
      <c r="R2" s="685"/>
      <c r="S2"/>
      <c r="T2"/>
    </row>
    <row r="3" spans="1:20" ht="15" x14ac:dyDescent="0.35">
      <c r="A3" s="636" t="s">
        <v>381</v>
      </c>
      <c r="B3" s="636"/>
      <c r="C3" s="636"/>
      <c r="D3" s="675">
        <v>2.4E-2</v>
      </c>
      <c r="E3" s="664">
        <v>1</v>
      </c>
      <c r="F3" s="636"/>
      <c r="J3"/>
      <c r="K3"/>
      <c r="L3"/>
      <c r="M3"/>
      <c r="N3" s="686">
        <v>0.03</v>
      </c>
      <c r="O3" s="686">
        <v>0.03</v>
      </c>
      <c r="P3" s="686">
        <v>0.03</v>
      </c>
      <c r="Q3" s="686">
        <v>0.03</v>
      </c>
      <c r="R3" s="686">
        <v>0.03</v>
      </c>
      <c r="S3"/>
      <c r="T3"/>
    </row>
    <row r="4" spans="1:20" x14ac:dyDescent="0.3">
      <c r="A4" s="636" t="s">
        <v>380</v>
      </c>
      <c r="B4" s="636"/>
      <c r="C4" s="636"/>
      <c r="D4" s="678">
        <v>1.1200000000000001</v>
      </c>
      <c r="E4" s="664">
        <v>2</v>
      </c>
      <c r="F4" s="636"/>
      <c r="J4" s="687"/>
      <c r="K4" s="687"/>
      <c r="L4" s="688"/>
      <c r="M4" s="688">
        <v>2023</v>
      </c>
      <c r="N4" s="688">
        <v>2024</v>
      </c>
      <c r="O4" s="688">
        <v>2025</v>
      </c>
      <c r="P4" s="688">
        <v>2026</v>
      </c>
      <c r="Q4" s="688">
        <v>2027</v>
      </c>
      <c r="R4" s="688">
        <v>2028</v>
      </c>
      <c r="S4" s="688" t="s">
        <v>383</v>
      </c>
      <c r="T4"/>
    </row>
    <row r="5" spans="1:20" ht="15" x14ac:dyDescent="0.35">
      <c r="A5" s="636" t="s">
        <v>379</v>
      </c>
      <c r="B5" s="636"/>
      <c r="C5" s="636"/>
      <c r="D5" s="675">
        <f>9%-D3</f>
        <v>6.6000000000000003E-2</v>
      </c>
      <c r="E5" s="664">
        <v>3</v>
      </c>
      <c r="F5" s="636"/>
      <c r="J5" s="687" t="s">
        <v>384</v>
      </c>
      <c r="K5" s="687"/>
      <c r="L5" s="687"/>
      <c r="M5" s="689">
        <v>8602</v>
      </c>
      <c r="N5" s="689">
        <v>8860</v>
      </c>
      <c r="O5" s="689">
        <v>9126</v>
      </c>
      <c r="P5" s="689">
        <v>9399</v>
      </c>
      <c r="Q5" s="689">
        <v>9681</v>
      </c>
      <c r="R5" s="689">
        <v>9972</v>
      </c>
      <c r="S5" s="687"/>
      <c r="T5"/>
    </row>
    <row r="6" spans="1:20" x14ac:dyDescent="0.3">
      <c r="A6" s="674" t="s">
        <v>378</v>
      </c>
      <c r="B6" s="663"/>
      <c r="C6" s="677"/>
      <c r="D6" s="673">
        <f>D3+(D4*D5)</f>
        <v>9.7920000000000007E-2</v>
      </c>
      <c r="E6" s="672"/>
      <c r="F6" s="636"/>
      <c r="J6" s="690" t="s">
        <v>366</v>
      </c>
      <c r="K6" s="687"/>
      <c r="L6" s="687"/>
      <c r="M6" s="687">
        <v>622</v>
      </c>
      <c r="N6" s="687">
        <v>709</v>
      </c>
      <c r="O6" s="687">
        <v>753</v>
      </c>
      <c r="P6" s="687">
        <v>799</v>
      </c>
      <c r="Q6" s="687">
        <v>847</v>
      </c>
      <c r="R6" s="687">
        <v>897</v>
      </c>
      <c r="S6" s="687"/>
      <c r="T6"/>
    </row>
    <row r="7" spans="1:20" x14ac:dyDescent="0.3">
      <c r="A7" s="636"/>
      <c r="B7" s="636"/>
      <c r="C7" s="636"/>
      <c r="D7" s="636"/>
      <c r="E7" s="664"/>
      <c r="F7" s="636"/>
      <c r="J7" s="687" t="s">
        <v>385</v>
      </c>
      <c r="K7" s="687"/>
      <c r="L7" s="687"/>
      <c r="M7" s="687"/>
      <c r="N7" s="687">
        <v>177</v>
      </c>
      <c r="O7" s="687">
        <v>188</v>
      </c>
      <c r="P7" s="687">
        <v>200</v>
      </c>
      <c r="Q7" s="687">
        <v>212</v>
      </c>
      <c r="R7" s="687">
        <v>224</v>
      </c>
      <c r="S7" s="687"/>
      <c r="T7"/>
    </row>
    <row r="8" spans="1:20" x14ac:dyDescent="0.3">
      <c r="A8" s="636" t="s">
        <v>377</v>
      </c>
      <c r="B8" s="636"/>
      <c r="C8" s="636"/>
      <c r="D8" s="676">
        <v>2.9000000000000001E-2</v>
      </c>
      <c r="E8" s="664">
        <v>4</v>
      </c>
      <c r="F8" s="636"/>
      <c r="J8" s="687" t="s">
        <v>386</v>
      </c>
      <c r="K8" s="687"/>
      <c r="L8" s="687"/>
      <c r="M8" s="687">
        <v>358</v>
      </c>
      <c r="N8" s="687">
        <v>443</v>
      </c>
      <c r="O8" s="687">
        <v>456</v>
      </c>
      <c r="P8" s="687">
        <v>470</v>
      </c>
      <c r="Q8" s="687">
        <v>484</v>
      </c>
      <c r="R8" s="687">
        <v>499</v>
      </c>
      <c r="S8" s="687"/>
      <c r="T8"/>
    </row>
    <row r="9" spans="1:20" x14ac:dyDescent="0.3">
      <c r="A9" s="636" t="s">
        <v>376</v>
      </c>
      <c r="B9" s="636"/>
      <c r="C9" s="636"/>
      <c r="D9" s="675">
        <v>0.25</v>
      </c>
      <c r="E9" s="664"/>
      <c r="F9" s="636"/>
      <c r="J9" s="687" t="s">
        <v>387</v>
      </c>
      <c r="K9" s="687"/>
      <c r="L9" s="687"/>
      <c r="M9" s="687">
        <v>300</v>
      </c>
      <c r="N9" s="687">
        <v>576</v>
      </c>
      <c r="O9" s="687">
        <v>561</v>
      </c>
      <c r="P9" s="687">
        <v>545</v>
      </c>
      <c r="Q9" s="687">
        <v>528</v>
      </c>
      <c r="R9" s="691">
        <v>499</v>
      </c>
      <c r="S9" s="687"/>
      <c r="T9"/>
    </row>
    <row r="10" spans="1:20" x14ac:dyDescent="0.3">
      <c r="A10" s="674" t="s">
        <v>375</v>
      </c>
      <c r="B10" s="663"/>
      <c r="C10" s="663"/>
      <c r="D10" s="673">
        <f>D8*(1-D9)</f>
        <v>2.1750000000000002E-2</v>
      </c>
      <c r="E10" s="672"/>
      <c r="F10" s="636"/>
      <c r="J10" s="687" t="s">
        <v>388</v>
      </c>
      <c r="K10" s="687"/>
      <c r="L10" s="692"/>
      <c r="M10" s="692">
        <v>-685</v>
      </c>
      <c r="N10" s="692">
        <v>23</v>
      </c>
      <c r="O10" s="692">
        <v>24</v>
      </c>
      <c r="P10" s="692">
        <v>25</v>
      </c>
      <c r="Q10" s="692">
        <v>25</v>
      </c>
      <c r="R10" s="692">
        <v>26</v>
      </c>
      <c r="S10" s="692"/>
      <c r="T10"/>
    </row>
    <row r="11" spans="1:20" x14ac:dyDescent="0.3">
      <c r="A11" s="636"/>
      <c r="B11" s="636"/>
      <c r="C11" s="636"/>
      <c r="D11" s="636"/>
      <c r="E11" s="664"/>
      <c r="F11" s="636"/>
      <c r="J11" s="690" t="s">
        <v>390</v>
      </c>
      <c r="K11" s="690"/>
      <c r="L11" s="690"/>
      <c r="M11" s="690"/>
      <c r="N11" s="690" t="s">
        <v>389</v>
      </c>
      <c r="O11" s="690">
        <v>436</v>
      </c>
      <c r="P11" s="690">
        <v>499</v>
      </c>
      <c r="Q11" s="690">
        <v>566</v>
      </c>
      <c r="R11" s="690">
        <v>647</v>
      </c>
      <c r="S11" s="693">
        <v>9038</v>
      </c>
      <c r="T11"/>
    </row>
    <row r="12" spans="1:20" x14ac:dyDescent="0.3">
      <c r="A12" s="671" t="s">
        <v>374</v>
      </c>
      <c r="B12" s="636"/>
      <c r="C12" s="636"/>
      <c r="D12" s="636"/>
      <c r="E12" s="664"/>
      <c r="F12" s="636"/>
      <c r="G12" s="636"/>
      <c r="H12" s="636"/>
      <c r="I12" s="636"/>
      <c r="J12" s="687"/>
      <c r="K12" s="687"/>
      <c r="L12" s="687"/>
      <c r="M12" s="687"/>
      <c r="N12" s="687"/>
      <c r="O12" s="687"/>
      <c r="P12" s="687"/>
      <c r="Q12" s="687"/>
      <c r="R12" s="687"/>
      <c r="S12" s="687"/>
      <c r="T12"/>
    </row>
    <row r="13" spans="1:20" x14ac:dyDescent="0.3">
      <c r="A13" s="670" t="s">
        <v>373</v>
      </c>
      <c r="B13" s="636"/>
      <c r="C13" s="669">
        <f>437.5+145.9</f>
        <v>583.4</v>
      </c>
      <c r="D13" s="668">
        <f>C13/C15</f>
        <v>0.18598571792909971</v>
      </c>
      <c r="E13" s="664"/>
      <c r="F13" s="636"/>
      <c r="G13" s="636"/>
      <c r="H13" s="636"/>
      <c r="I13" s="636"/>
      <c r="J13"/>
      <c r="K13"/>
      <c r="L13"/>
      <c r="M13"/>
      <c r="N13"/>
      <c r="O13"/>
      <c r="P13"/>
      <c r="Q13"/>
      <c r="R13"/>
      <c r="S13"/>
      <c r="T13"/>
    </row>
    <row r="14" spans="1:20" x14ac:dyDescent="0.3">
      <c r="A14" s="670" t="s">
        <v>372</v>
      </c>
      <c r="B14" s="636"/>
      <c r="C14" s="669">
        <v>2553.4</v>
      </c>
      <c r="D14" s="668">
        <f>C14/C15</f>
        <v>0.81401428207090021</v>
      </c>
      <c r="E14" s="664"/>
      <c r="F14" s="636"/>
      <c r="G14" s="636"/>
      <c r="H14" s="636"/>
      <c r="I14" s="636"/>
      <c r="J14"/>
      <c r="K14"/>
      <c r="L14"/>
      <c r="M14"/>
      <c r="N14"/>
      <c r="O14"/>
      <c r="P14"/>
      <c r="Q14"/>
      <c r="R14"/>
      <c r="S14"/>
      <c r="T14"/>
    </row>
    <row r="15" spans="1:20" x14ac:dyDescent="0.3">
      <c r="A15" s="667" t="s">
        <v>371</v>
      </c>
      <c r="B15" s="663"/>
      <c r="C15" s="666">
        <f>SUM(C13:C14)</f>
        <v>3136.8</v>
      </c>
      <c r="D15" s="665">
        <f>SUM(D13:D14)</f>
        <v>0.99999999999999989</v>
      </c>
      <c r="E15" s="664"/>
      <c r="F15" s="636"/>
      <c r="G15" s="636"/>
      <c r="H15" s="636"/>
      <c r="I15" s="636"/>
      <c r="J15" s="636"/>
    </row>
    <row r="16" spans="1:20" x14ac:dyDescent="0.3">
      <c r="A16" s="663"/>
      <c r="B16" s="663"/>
      <c r="C16" s="663"/>
      <c r="D16" s="663"/>
      <c r="E16" s="662"/>
      <c r="F16" s="636"/>
      <c r="G16" s="636"/>
      <c r="H16" s="636"/>
      <c r="I16" s="636"/>
      <c r="J16" s="636"/>
    </row>
    <row r="17" spans="1:10" ht="15" thickBot="1" x14ac:dyDescent="0.35">
      <c r="A17" s="659" t="s">
        <v>22</v>
      </c>
      <c r="B17" s="659"/>
      <c r="C17" s="661"/>
      <c r="D17" s="660">
        <f>(D6*D14)+(D10*D13)</f>
        <v>8.3753467865340464E-2</v>
      </c>
      <c r="E17" s="659"/>
      <c r="F17" s="636"/>
      <c r="G17" s="636"/>
      <c r="H17" s="636"/>
      <c r="I17" s="636"/>
      <c r="J17" s="636"/>
    </row>
    <row r="18" spans="1:10" ht="15" thickTop="1" x14ac:dyDescent="0.3"/>
    <row r="20" spans="1:10" x14ac:dyDescent="0.3">
      <c r="A20" s="658" t="s">
        <v>370</v>
      </c>
      <c r="B20" s="658"/>
      <c r="C20" s="658"/>
      <c r="D20" s="658"/>
      <c r="E20" s="657"/>
      <c r="F20" s="656" t="s">
        <v>369</v>
      </c>
      <c r="G20" s="656"/>
      <c r="H20" s="656"/>
      <c r="I20" s="656"/>
      <c r="J20" s="656"/>
    </row>
    <row r="21" spans="1:10" x14ac:dyDescent="0.3">
      <c r="A21" s="655" t="s">
        <v>368</v>
      </c>
      <c r="B21" s="654"/>
      <c r="C21" s="654"/>
      <c r="D21" s="654"/>
      <c r="E21" s="653" t="s">
        <v>367</v>
      </c>
      <c r="F21" s="652">
        <v>2024</v>
      </c>
      <c r="G21" s="652">
        <v>2025</v>
      </c>
      <c r="H21" s="652">
        <v>2026</v>
      </c>
      <c r="I21" s="652">
        <v>2027</v>
      </c>
      <c r="J21" s="652">
        <v>2028</v>
      </c>
    </row>
    <row r="22" spans="1:10" x14ac:dyDescent="0.3">
      <c r="A22" s="651"/>
      <c r="B22" s="636"/>
      <c r="C22" s="636"/>
      <c r="D22" s="636"/>
      <c r="E22" s="636"/>
      <c r="F22" s="636"/>
      <c r="G22" s="636"/>
      <c r="H22" s="636"/>
      <c r="I22" s="636"/>
      <c r="J22" s="636"/>
    </row>
    <row r="23" spans="1:10" x14ac:dyDescent="0.3">
      <c r="A23" s="637" t="s">
        <v>366</v>
      </c>
      <c r="B23" s="636"/>
      <c r="C23" s="636"/>
      <c r="D23" s="636"/>
      <c r="E23" s="643" t="s">
        <v>356</v>
      </c>
      <c r="F23" s="647">
        <f>M6</f>
        <v>622</v>
      </c>
      <c r="G23" s="647">
        <f>N6</f>
        <v>709</v>
      </c>
      <c r="H23" s="647">
        <f t="shared" ref="H23:J23" si="0">O6</f>
        <v>753</v>
      </c>
      <c r="I23" s="647">
        <f t="shared" si="0"/>
        <v>799</v>
      </c>
      <c r="J23" s="647">
        <f t="shared" si="0"/>
        <v>847</v>
      </c>
    </row>
    <row r="24" spans="1:10" x14ac:dyDescent="0.3">
      <c r="A24" s="648" t="e">
        <f>"Taxes @ "&amp;TEXT(#REF!,"0.0%")</f>
        <v>#REF!</v>
      </c>
      <c r="B24" s="636"/>
      <c r="C24" s="636"/>
      <c r="D24" s="637"/>
      <c r="E24" s="643" t="s">
        <v>356</v>
      </c>
      <c r="F24" s="647">
        <f xml:space="preserve"> - F23 * $M$39</f>
        <v>0</v>
      </c>
      <c r="G24" s="647">
        <f xml:space="preserve"> - G23 * $M$39</f>
        <v>0</v>
      </c>
      <c r="H24" s="647">
        <f xml:space="preserve"> - H23 * $M$39</f>
        <v>0</v>
      </c>
      <c r="I24" s="647">
        <f xml:space="preserve"> - I23 * $M$39</f>
        <v>0</v>
      </c>
      <c r="J24" s="647">
        <f xml:space="preserve"> - J23 * $M$39</f>
        <v>0</v>
      </c>
    </row>
    <row r="25" spans="1:10" x14ac:dyDescent="0.3">
      <c r="A25" s="650" t="s">
        <v>365</v>
      </c>
      <c r="B25" s="636"/>
      <c r="C25" s="636"/>
      <c r="D25" s="636"/>
      <c r="E25" s="643" t="s">
        <v>356</v>
      </c>
      <c r="F25" s="649">
        <f>SUM(F23:F24)</f>
        <v>622</v>
      </c>
      <c r="G25" s="649">
        <f>SUM(G23:G24)</f>
        <v>709</v>
      </c>
      <c r="H25" s="649">
        <f>SUM(H23:H24)</f>
        <v>753</v>
      </c>
      <c r="I25" s="649">
        <f>SUM(I23:I24)</f>
        <v>799</v>
      </c>
      <c r="J25" s="649">
        <f>SUM(J23:J24)</f>
        <v>847</v>
      </c>
    </row>
    <row r="26" spans="1:10" x14ac:dyDescent="0.3">
      <c r="A26" s="648" t="s">
        <v>364</v>
      </c>
      <c r="B26" s="636"/>
      <c r="C26" s="636"/>
      <c r="D26" s="637"/>
      <c r="E26" s="643" t="s">
        <v>356</v>
      </c>
      <c r="F26" s="647">
        <f>N8</f>
        <v>443</v>
      </c>
      <c r="G26" s="647">
        <f t="shared" ref="G26:J26" si="1">O8</f>
        <v>456</v>
      </c>
      <c r="H26" s="647">
        <f t="shared" si="1"/>
        <v>470</v>
      </c>
      <c r="I26" s="647">
        <f t="shared" si="1"/>
        <v>484</v>
      </c>
      <c r="J26" s="647">
        <f t="shared" si="1"/>
        <v>499</v>
      </c>
    </row>
    <row r="27" spans="1:10" x14ac:dyDescent="0.3">
      <c r="A27" s="648" t="s">
        <v>363</v>
      </c>
      <c r="B27" s="636"/>
      <c r="C27" s="636"/>
      <c r="D27" s="637"/>
      <c r="E27" s="643" t="s">
        <v>356</v>
      </c>
      <c r="F27" s="647">
        <f>N10</f>
        <v>23</v>
      </c>
      <c r="G27" s="647">
        <f t="shared" ref="G27:J27" si="2">O10</f>
        <v>24</v>
      </c>
      <c r="H27" s="647">
        <f t="shared" si="2"/>
        <v>25</v>
      </c>
      <c r="I27" s="647">
        <f t="shared" si="2"/>
        <v>25</v>
      </c>
      <c r="J27" s="647">
        <f t="shared" si="2"/>
        <v>26</v>
      </c>
    </row>
    <row r="28" spans="1:10" x14ac:dyDescent="0.3">
      <c r="A28" s="648" t="s">
        <v>362</v>
      </c>
      <c r="B28" s="636"/>
      <c r="C28" s="636"/>
      <c r="D28" s="637"/>
      <c r="E28" s="643" t="s">
        <v>356</v>
      </c>
      <c r="F28" s="647">
        <f>N9</f>
        <v>576</v>
      </c>
      <c r="G28" s="647">
        <f t="shared" ref="G28:J28" si="3">O9</f>
        <v>561</v>
      </c>
      <c r="H28" s="647">
        <f t="shared" si="3"/>
        <v>545</v>
      </c>
      <c r="I28" s="647">
        <f t="shared" si="3"/>
        <v>528</v>
      </c>
      <c r="J28" s="647">
        <f t="shared" si="3"/>
        <v>499</v>
      </c>
    </row>
    <row r="29" spans="1:10" ht="15" thickBot="1" x14ac:dyDescent="0.35">
      <c r="A29" s="640" t="s">
        <v>361</v>
      </c>
      <c r="B29" s="640"/>
      <c r="C29" s="640"/>
      <c r="D29" s="640"/>
      <c r="E29" s="639" t="s">
        <v>356</v>
      </c>
      <c r="F29" s="646">
        <f>SUM(F25:F28)</f>
        <v>1664</v>
      </c>
      <c r="G29" s="646">
        <f>SUM(G25:G28)</f>
        <v>1750</v>
      </c>
      <c r="H29" s="646">
        <f>SUM(H25:H28)</f>
        <v>1793</v>
      </c>
      <c r="I29" s="646">
        <f>SUM(I25:I28)</f>
        <v>1836</v>
      </c>
      <c r="J29" s="646">
        <f>SUM(J25:J28)</f>
        <v>1871</v>
      </c>
    </row>
    <row r="30" spans="1:10" ht="15" thickTop="1" x14ac:dyDescent="0.3">
      <c r="A30" s="637"/>
      <c r="B30" s="636"/>
      <c r="C30" s="636"/>
      <c r="D30" s="637"/>
      <c r="E30" s="636"/>
      <c r="F30" s="636"/>
      <c r="G30" s="636"/>
      <c r="H30" s="636"/>
      <c r="I30" s="636"/>
      <c r="J30" s="636"/>
    </row>
    <row r="31" spans="1:10" x14ac:dyDescent="0.3">
      <c r="A31" s="637" t="s">
        <v>139</v>
      </c>
      <c r="B31" s="636"/>
      <c r="C31" s="636"/>
      <c r="D31" s="637"/>
      <c r="E31" s="643" t="s">
        <v>51</v>
      </c>
      <c r="F31" s="645">
        <f>$G$149</f>
        <v>0</v>
      </c>
      <c r="G31" s="645">
        <f>$G$149</f>
        <v>0</v>
      </c>
      <c r="H31" s="645">
        <f>$G$149</f>
        <v>0</v>
      </c>
      <c r="I31" s="645">
        <f>$G$149</f>
        <v>0</v>
      </c>
      <c r="J31" s="645">
        <f>$G$149</f>
        <v>0</v>
      </c>
    </row>
    <row r="32" spans="1:10" x14ac:dyDescent="0.3">
      <c r="A32" s="637" t="s">
        <v>360</v>
      </c>
      <c r="B32" s="636"/>
      <c r="C32" s="636"/>
      <c r="D32" s="637"/>
      <c r="E32" s="643" t="s">
        <v>358</v>
      </c>
      <c r="F32" s="644">
        <v>1</v>
      </c>
      <c r="G32" s="644">
        <f>F32+1</f>
        <v>2</v>
      </c>
      <c r="H32" s="644">
        <f>G32+1</f>
        <v>3</v>
      </c>
      <c r="I32" s="644">
        <f>H32+1</f>
        <v>4</v>
      </c>
      <c r="J32" s="644">
        <f>I32+1</f>
        <v>5</v>
      </c>
    </row>
    <row r="33" spans="1:10" x14ac:dyDescent="0.3">
      <c r="A33" s="637" t="s">
        <v>359</v>
      </c>
      <c r="B33" s="636"/>
      <c r="C33" s="636"/>
      <c r="D33" s="637"/>
      <c r="E33" s="643" t="s">
        <v>358</v>
      </c>
      <c r="F33" s="642">
        <f>F31^F32</f>
        <v>0</v>
      </c>
      <c r="G33" s="642">
        <f>G31^G32</f>
        <v>0</v>
      </c>
      <c r="H33" s="642">
        <f>H31^H32</f>
        <v>0</v>
      </c>
      <c r="I33" s="642">
        <f>I31^I32</f>
        <v>0</v>
      </c>
      <c r="J33" s="642">
        <f>J31^J32</f>
        <v>0</v>
      </c>
    </row>
    <row r="34" spans="1:10" x14ac:dyDescent="0.3">
      <c r="A34" s="637"/>
      <c r="B34" s="637"/>
      <c r="C34" s="637"/>
      <c r="D34" s="636"/>
      <c r="E34" s="636"/>
      <c r="F34" s="636"/>
      <c r="G34" s="636"/>
      <c r="H34" s="636"/>
      <c r="I34" s="636"/>
      <c r="J34" s="636"/>
    </row>
    <row r="35" spans="1:10" ht="15" thickBot="1" x14ac:dyDescent="0.35">
      <c r="A35" s="640" t="s">
        <v>357</v>
      </c>
      <c r="B35" s="641"/>
      <c r="C35" s="640"/>
      <c r="D35" s="640"/>
      <c r="E35" s="639" t="s">
        <v>356</v>
      </c>
      <c r="F35" s="638">
        <f>F31*F33</f>
        <v>0</v>
      </c>
      <c r="G35" s="638">
        <f>G31*G33</f>
        <v>0</v>
      </c>
      <c r="H35" s="638">
        <f>H31*H33</f>
        <v>0</v>
      </c>
      <c r="I35" s="638">
        <f>I31*I33</f>
        <v>0</v>
      </c>
      <c r="J35" s="638">
        <f>J31*J33</f>
        <v>0</v>
      </c>
    </row>
    <row r="36" spans="1:10" ht="15" thickTop="1" x14ac:dyDescent="0.3">
      <c r="A36" s="637"/>
      <c r="B36" s="637"/>
      <c r="C36" s="637"/>
      <c r="D36" s="636"/>
      <c r="E36" s="636"/>
      <c r="F36" s="636"/>
      <c r="G36" s="636"/>
      <c r="H36" s="636"/>
      <c r="I36" s="636"/>
      <c r="J36" s="636"/>
    </row>
  </sheetData>
  <mergeCells count="1">
    <mergeCell ref="N2:R2"/>
  </mergeCells>
  <conditionalFormatting sqref="A22">
    <cfRule type="expression" dxfId="104" priority="1" stopIfTrue="1">
      <formula>$H$6=0</formula>
    </cfRule>
  </conditionalFormatting>
  <pageMargins left="0.70000000000000007" right="0.70000000000000007" top="0.75" bottom="0.75" header="0.30000000000000004" footer="0.30000000000000004"/>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tDCF">
    <outlinePr summaryBelow="0" summaryRight="0"/>
    <pageSetUpPr autoPageBreaks="0" fitToPage="1"/>
  </sheetPr>
  <dimension ref="A1:AK281"/>
  <sheetViews>
    <sheetView showGridLines="0" showRowColHeaders="0" topLeftCell="D1" zoomScaleNormal="100" workbookViewId="0">
      <pane ySplit="10" topLeftCell="A43" activePane="bottomLeft" state="frozen"/>
      <selection activeCell="D1" sqref="D1"/>
      <selection pane="bottomLeft" activeCell="AJ24" sqref="AJ24"/>
    </sheetView>
  </sheetViews>
  <sheetFormatPr defaultColWidth="9.109375" defaultRowHeight="15" customHeight="1" x14ac:dyDescent="0.3"/>
  <cols>
    <col min="1" max="1" width="5.109375" style="52" hidden="1" customWidth="1"/>
    <col min="2" max="2" width="2.88671875" style="52" hidden="1" customWidth="1"/>
    <col min="3" max="3" width="3.44140625" style="154" hidden="1" customWidth="1"/>
    <col min="4" max="4" width="1.6640625" style="154" customWidth="1"/>
    <col min="5" max="10" width="9.109375" style="154" customWidth="1"/>
    <col min="11" max="11" width="10.44140625" style="154" customWidth="1"/>
    <col min="12" max="19" width="9.109375" style="154" customWidth="1"/>
    <col min="20" max="20" width="10.44140625" style="154" customWidth="1"/>
    <col min="21" max="22" width="9.109375" style="154" customWidth="1"/>
    <col min="23" max="24" width="9.109375" style="155" hidden="1" customWidth="1"/>
    <col min="25" max="25" width="9.109375" style="154" hidden="1" customWidth="1"/>
    <col min="26" max="26" width="10.6640625" hidden="1" customWidth="1"/>
    <col min="27" max="35" width="9.109375" style="154" hidden="1" customWidth="1"/>
    <col min="36" max="16384" width="9.109375" style="154"/>
  </cols>
  <sheetData>
    <row r="1" spans="1:26" ht="5.0999999999999996" customHeight="1" x14ac:dyDescent="0.3"/>
    <row r="5" spans="1:26" ht="5.0999999999999996" customHeight="1" x14ac:dyDescent="0.3"/>
    <row r="6" spans="1:26" ht="14.4" x14ac:dyDescent="0.3">
      <c r="E6" s="396" t="s">
        <v>0</v>
      </c>
      <c r="F6" s="578" t="s">
        <v>354</v>
      </c>
      <c r="G6" s="580"/>
      <c r="H6" s="579"/>
      <c r="J6" s="396" t="s">
        <v>1</v>
      </c>
      <c r="K6" s="578" t="s">
        <v>2</v>
      </c>
      <c r="L6" s="579"/>
      <c r="N6" s="449" t="str">
        <f ca="1">IFERROR(IF(OR(_xll.BDP(TKR,"EQY_FUND_IND","Fill=B")="Bank",_xll.BDP(TKR,"EQY_FUND_IND","Fill=B")="Financial"),"WARNING: This model is not suitable for financial institutions. See DDM&lt;GO&gt; or EQRV&lt;GO&gt;.",VLOOKUP(_xll.BDP(TKR,"MARKET_STATUS","Fill=B"),Data!$L$4:$N$58,3,FALSE)),"")</f>
        <v/>
      </c>
    </row>
    <row r="7" spans="1:26" ht="5.0999999999999996" customHeight="1" thickBot="1" x14ac:dyDescent="0.35">
      <c r="T7" s="156"/>
    </row>
    <row r="8" spans="1:26" thickBot="1" x14ac:dyDescent="0.35">
      <c r="E8" s="513" t="s">
        <v>3</v>
      </c>
      <c r="F8" s="581" t="s">
        <v>355</v>
      </c>
      <c r="G8" s="581"/>
      <c r="H8" s="582"/>
      <c r="J8" s="513" t="s">
        <v>4</v>
      </c>
      <c r="K8" s="578" t="s">
        <v>5</v>
      </c>
      <c r="L8" s="579"/>
      <c r="N8" s="586" t="s">
        <v>6</v>
      </c>
      <c r="O8" s="587"/>
      <c r="Q8" s="586" t="s">
        <v>7</v>
      </c>
      <c r="R8" s="587"/>
      <c r="T8" s="586" t="s">
        <v>8</v>
      </c>
      <c r="U8" s="587"/>
      <c r="W8" s="155" t="e">
        <f ca="1">_xll.BDP("EUR CURNCY","TIME")</f>
        <v>#NAME?</v>
      </c>
    </row>
    <row r="9" spans="1:26" ht="5.0999999999999996" customHeight="1" x14ac:dyDescent="0.3">
      <c r="A9" s="154"/>
      <c r="B9" s="154"/>
      <c r="F9" s="462"/>
      <c r="I9" s="157"/>
      <c r="M9" s="157"/>
      <c r="N9" s="157"/>
      <c r="O9" s="157"/>
      <c r="P9" s="157"/>
      <c r="Q9" s="157"/>
      <c r="R9" s="157"/>
      <c r="S9" s="157"/>
      <c r="T9" s="157"/>
      <c r="Y9" s="395"/>
    </row>
    <row r="10" spans="1:26" ht="14.4" hidden="1" x14ac:dyDescent="0.3">
      <c r="E10" s="583" t="str">
        <f>"In Millions of "&amp;CCY</f>
        <v>In Millions of EUR</v>
      </c>
      <c r="F10" s="584"/>
      <c r="G10" s="584"/>
      <c r="H10" s="585"/>
      <c r="I10" s="141" t="e">
        <f>IF(ISBLANK(#REF!),"",#REF!)</f>
        <v>#REF!</v>
      </c>
      <c r="J10" s="141">
        <f t="shared" ref="J10:U10" si="0">IF(ISBLANK(I52),"",I52)</f>
        <v>2019</v>
      </c>
      <c r="K10" s="141">
        <f t="shared" si="0"/>
        <v>2020</v>
      </c>
      <c r="L10" s="141">
        <f t="shared" si="0"/>
        <v>2021</v>
      </c>
      <c r="M10" s="141">
        <f t="shared" si="0"/>
        <v>2022</v>
      </c>
      <c r="N10" s="141">
        <f t="shared" si="0"/>
        <v>2023</v>
      </c>
      <c r="O10" s="141">
        <f t="shared" si="0"/>
        <v>2024</v>
      </c>
      <c r="P10" s="141">
        <f t="shared" si="0"/>
        <v>2025</v>
      </c>
      <c r="Q10" s="141">
        <f t="shared" si="0"/>
        <v>2026</v>
      </c>
      <c r="R10" s="141">
        <f t="shared" si="0"/>
        <v>2027</v>
      </c>
      <c r="S10" s="141">
        <f t="shared" si="0"/>
        <v>2028</v>
      </c>
      <c r="T10" s="141">
        <f t="shared" si="0"/>
        <v>2029</v>
      </c>
      <c r="U10" s="410" t="str">
        <f t="shared" si="0"/>
        <v>Year 5</v>
      </c>
    </row>
    <row r="11" spans="1:26" ht="5.0999999999999996" customHeight="1" x14ac:dyDescent="0.3"/>
    <row r="12" spans="1:26" ht="15" customHeight="1" x14ac:dyDescent="0.3">
      <c r="A12" s="154"/>
      <c r="B12" s="154"/>
      <c r="E12" s="526" t="s">
        <v>6</v>
      </c>
      <c r="F12" s="527"/>
      <c r="G12" s="527"/>
      <c r="H12" s="527"/>
      <c r="I12" s="527"/>
      <c r="J12" s="527"/>
      <c r="K12" s="527"/>
      <c r="L12" s="527"/>
      <c r="M12" s="527"/>
      <c r="N12" s="527"/>
      <c r="O12" s="527"/>
      <c r="P12" s="527"/>
      <c r="Q12" s="527"/>
      <c r="R12" s="527"/>
      <c r="S12" s="527"/>
      <c r="T12" s="527"/>
      <c r="U12" s="528"/>
    </row>
    <row r="13" spans="1:26" ht="14.4" hidden="1" x14ac:dyDescent="0.3">
      <c r="A13" s="154"/>
      <c r="B13" s="154"/>
    </row>
    <row r="14" spans="1:26" ht="5.0999999999999996" customHeight="1" x14ac:dyDescent="0.3">
      <c r="A14" s="154"/>
      <c r="B14" s="154"/>
    </row>
    <row r="15" spans="1:26" ht="15" customHeight="1" x14ac:dyDescent="0.3">
      <c r="D15" s="158"/>
      <c r="E15" s="560" t="str">
        <f>"In Millions of "&amp;CCY</f>
        <v>In Millions of EUR</v>
      </c>
      <c r="F15" s="561"/>
      <c r="G15" s="561"/>
      <c r="H15" s="562"/>
      <c r="I15" s="397">
        <v>2019</v>
      </c>
      <c r="J15" s="397">
        <v>2020</v>
      </c>
      <c r="K15" s="397">
        <v>2021</v>
      </c>
      <c r="L15" s="397">
        <v>2022</v>
      </c>
      <c r="M15" s="398">
        <v>2023</v>
      </c>
      <c r="N15" s="397">
        <v>2024</v>
      </c>
      <c r="O15" s="397">
        <v>2025</v>
      </c>
      <c r="P15" s="397">
        <v>2026</v>
      </c>
      <c r="Q15" s="397">
        <v>2027</v>
      </c>
      <c r="R15" s="397">
        <v>2028</v>
      </c>
      <c r="S15" s="397">
        <v>2029</v>
      </c>
      <c r="T15" s="399" t="s">
        <v>9</v>
      </c>
      <c r="V15" s="155"/>
      <c r="X15" s="154"/>
      <c r="Y15"/>
      <c r="Z15" s="154"/>
    </row>
    <row r="16" spans="1:26" ht="15" customHeight="1" x14ac:dyDescent="0.3">
      <c r="E16" s="51" t="str">
        <f>IF(ISBLANK(E55),"",E55)</f>
        <v>Revenue (Estimate Comparable)</v>
      </c>
      <c r="F16" s="159"/>
      <c r="G16" s="160"/>
      <c r="H16" s="160"/>
      <c r="I16" s="161">
        <v>550220</v>
      </c>
      <c r="J16" s="161">
        <v>533440</v>
      </c>
      <c r="K16" s="161">
        <v>680540</v>
      </c>
      <c r="L16" s="161">
        <v>846510</v>
      </c>
      <c r="M16" s="162">
        <v>860170</v>
      </c>
      <c r="N16" s="163">
        <f>M16+(M16*N17)</f>
        <v>885975.1</v>
      </c>
      <c r="O16" s="163">
        <f t="shared" ref="O16:S16" si="1">N16+(N16*O17)</f>
        <v>912554.353</v>
      </c>
      <c r="P16" s="163">
        <f t="shared" si="1"/>
        <v>939930.98358999996</v>
      </c>
      <c r="Q16" s="163">
        <f t="shared" si="1"/>
        <v>968128.91309769999</v>
      </c>
      <c r="R16" s="163">
        <f t="shared" si="1"/>
        <v>997172.780490631</v>
      </c>
      <c r="S16" s="163">
        <f t="shared" si="1"/>
        <v>1027087.96390535</v>
      </c>
      <c r="T16" s="164"/>
      <c r="V16" s="155"/>
      <c r="X16" s="154"/>
      <c r="Y16"/>
      <c r="Z16" s="154"/>
    </row>
    <row r="17" spans="5:26" ht="15" customHeight="1" x14ac:dyDescent="0.3">
      <c r="E17" s="430" t="str">
        <f>IF(ISBLANK(E57),"",E57)</f>
        <v>% YoY Growth</v>
      </c>
      <c r="F17" s="165"/>
      <c r="G17" s="166"/>
      <c r="H17" s="166"/>
      <c r="I17" s="167"/>
      <c r="J17" s="167">
        <f>J57</f>
        <v>-3.049689215223006E-2</v>
      </c>
      <c r="K17" s="167">
        <f t="shared" ref="K17:M17" si="2">K57</f>
        <v>0.27575734853029399</v>
      </c>
      <c r="L17" s="167">
        <f t="shared" si="2"/>
        <v>0.24387986011108831</v>
      </c>
      <c r="M17" s="167">
        <f t="shared" si="2"/>
        <v>1.6136844219206026E-2</v>
      </c>
      <c r="N17" s="468">
        <v>0.03</v>
      </c>
      <c r="O17" s="469">
        <v>0.03</v>
      </c>
      <c r="P17" s="469">
        <v>0.03</v>
      </c>
      <c r="Q17" s="469">
        <v>0.03</v>
      </c>
      <c r="R17" s="469">
        <v>0.03</v>
      </c>
      <c r="S17" s="469">
        <v>0.03</v>
      </c>
      <c r="T17" s="168"/>
      <c r="V17" s="155"/>
      <c r="X17" s="154"/>
      <c r="Y17"/>
      <c r="Z17" s="154"/>
    </row>
    <row r="18" spans="5:26" ht="15" customHeight="1" x14ac:dyDescent="0.3">
      <c r="E18" s="50" t="str">
        <f>IF(ISBLANK(E211),"",E211)</f>
        <v>EBITDA</v>
      </c>
      <c r="F18" s="514"/>
      <c r="G18" s="515"/>
      <c r="H18" s="515"/>
      <c r="I18" s="516">
        <v>44020</v>
      </c>
      <c r="J18" s="516">
        <v>20920</v>
      </c>
      <c r="K18" s="516">
        <v>55710</v>
      </c>
      <c r="L18" s="516">
        <v>64060</v>
      </c>
      <c r="M18" s="517">
        <v>62160</v>
      </c>
      <c r="N18" s="518">
        <f>M18+(M18*N19)</f>
        <v>65889.600000000006</v>
      </c>
      <c r="O18" s="518">
        <f t="shared" ref="O18:S18" si="3">N18+(N18*O19)</f>
        <v>69842.97600000001</v>
      </c>
      <c r="P18" s="518">
        <f t="shared" si="3"/>
        <v>74033.554560000004</v>
      </c>
      <c r="Q18" s="518">
        <f t="shared" si="3"/>
        <v>78475.567833599998</v>
      </c>
      <c r="R18" s="518">
        <f t="shared" si="3"/>
        <v>83184.101903616</v>
      </c>
      <c r="S18" s="518">
        <f t="shared" si="3"/>
        <v>88175.148017832966</v>
      </c>
      <c r="T18" s="169"/>
      <c r="V18" s="155"/>
      <c r="X18" s="154"/>
      <c r="Y18"/>
      <c r="Z18" s="154"/>
    </row>
    <row r="19" spans="5:26" ht="15" customHeight="1" x14ac:dyDescent="0.3">
      <c r="E19" s="430" t="str">
        <f>IF(ISBLANK(E212),"",E212)</f>
        <v>% Margin</v>
      </c>
      <c r="F19" s="165"/>
      <c r="G19" s="166"/>
      <c r="H19" s="166"/>
      <c r="I19" s="167">
        <f t="shared" ref="I18:M19" si="4">I212</f>
        <v>8.0004361891606993E-2</v>
      </c>
      <c r="J19" s="167">
        <f t="shared" si="4"/>
        <v>3.9217156568686261E-2</v>
      </c>
      <c r="K19" s="167">
        <f t="shared" si="4"/>
        <v>8.1861462955887976E-2</v>
      </c>
      <c r="L19" s="167">
        <f t="shared" si="4"/>
        <v>7.5675420254929057E-2</v>
      </c>
      <c r="M19" s="167">
        <f t="shared" si="4"/>
        <v>7.2264784868107473E-2</v>
      </c>
      <c r="N19" s="167">
        <v>0.06</v>
      </c>
      <c r="O19" s="167">
        <v>0.06</v>
      </c>
      <c r="P19" s="167">
        <v>0.06</v>
      </c>
      <c r="Q19" s="167">
        <v>0.06</v>
      </c>
      <c r="R19" s="167">
        <v>0.06</v>
      </c>
      <c r="S19" s="167">
        <v>0.06</v>
      </c>
      <c r="T19" s="168"/>
      <c r="U19" s="470"/>
      <c r="V19" s="155"/>
      <c r="X19" s="154"/>
      <c r="Y19"/>
      <c r="Z19" s="154"/>
    </row>
    <row r="20" spans="5:26" ht="15" customHeight="1" x14ac:dyDescent="0.3">
      <c r="E20" s="51" t="str">
        <f>RIGHT(E197,LEN(E197)-4)</f>
        <v>Free Cash Flow</v>
      </c>
      <c r="F20" s="159"/>
      <c r="G20" s="160"/>
      <c r="H20" s="160"/>
      <c r="I20" s="161">
        <f t="shared" ref="I20:M21" si="5">I197</f>
        <v>67285.320000000007</v>
      </c>
      <c r="J20" s="161">
        <f t="shared" si="5"/>
        <v>39948.535400000001</v>
      </c>
      <c r="K20" s="161">
        <f t="shared" si="5"/>
        <v>78195.374998547195</v>
      </c>
      <c r="L20" s="161">
        <f t="shared" si="5"/>
        <v>87886.326000000001</v>
      </c>
      <c r="M20" s="162">
        <f t="shared" si="5"/>
        <v>90006.5</v>
      </c>
      <c r="N20" s="466" t="str">
        <f>'Sheet1 (2)'!N11</f>
        <v>375</v>
      </c>
      <c r="O20" s="466">
        <f>'Sheet1 (2)'!O11</f>
        <v>436</v>
      </c>
      <c r="P20" s="466">
        <f>'Sheet1 (2)'!P11</f>
        <v>499</v>
      </c>
      <c r="Q20" s="466">
        <f>'Sheet1 (2)'!Q11</f>
        <v>566</v>
      </c>
      <c r="R20" s="466">
        <f>'Sheet1 (2)'!R11</f>
        <v>647</v>
      </c>
      <c r="S20" s="466">
        <f t="shared" ref="N20:S20" si="6">(R20*15%)+Q20</f>
        <v>663.05</v>
      </c>
      <c r="T20" s="164"/>
      <c r="V20" s="155"/>
      <c r="X20" s="154"/>
      <c r="Y20"/>
      <c r="Z20" s="154"/>
    </row>
    <row r="21" spans="5:26" ht="15" customHeight="1" x14ac:dyDescent="0.3">
      <c r="E21" s="430" t="s">
        <v>10</v>
      </c>
      <c r="F21" s="165"/>
      <c r="G21" s="166"/>
      <c r="H21" s="166"/>
      <c r="I21" s="167">
        <f t="shared" si="5"/>
        <v>0.12228803024244848</v>
      </c>
      <c r="J21" s="167">
        <f t="shared" si="5"/>
        <v>7.4888526169766045E-2</v>
      </c>
      <c r="K21" s="167">
        <f t="shared" si="5"/>
        <v>0.11490195285882857</v>
      </c>
      <c r="L21" s="167">
        <f t="shared" si="5"/>
        <v>0.10382195839387603</v>
      </c>
      <c r="M21" s="167">
        <f t="shared" si="5"/>
        <v>0.10463803666717045</v>
      </c>
      <c r="N21" s="167">
        <f t="shared" ref="N21:S21" si="7">N20/N16</f>
        <v>4.2326245963345921E-4</v>
      </c>
      <c r="O21" s="167">
        <f t="shared" si="7"/>
        <v>4.7777976025938697E-4</v>
      </c>
      <c r="P21" s="167">
        <f t="shared" si="7"/>
        <v>5.3089004268601163E-4</v>
      </c>
      <c r="Q21" s="167">
        <f t="shared" si="7"/>
        <v>5.8463288549970348E-4</v>
      </c>
      <c r="R21" s="167">
        <f t="shared" si="7"/>
        <v>6.4883439726630095E-4</v>
      </c>
      <c r="S21" s="167">
        <f t="shared" si="7"/>
        <v>6.455630124209133E-4</v>
      </c>
      <c r="T21" s="168"/>
      <c r="V21" s="155"/>
      <c r="X21" s="154"/>
      <c r="Y21"/>
      <c r="Z21" s="154"/>
    </row>
    <row r="22" spans="5:26" ht="5.0999999999999996" customHeight="1" x14ac:dyDescent="0.3">
      <c r="E22" s="31"/>
      <c r="F22" s="159"/>
      <c r="G22" s="160"/>
      <c r="H22" s="160"/>
      <c r="I22" s="160"/>
      <c r="J22" s="160"/>
      <c r="K22" s="160"/>
      <c r="L22" s="160"/>
      <c r="M22" s="160"/>
      <c r="N22" s="160"/>
      <c r="O22" s="160"/>
      <c r="P22" s="160"/>
      <c r="Q22" s="160"/>
      <c r="R22" s="160"/>
      <c r="S22" s="160"/>
      <c r="T22" s="160"/>
    </row>
    <row r="23" spans="5:26" s="52" customFormat="1" ht="15" customHeight="1" x14ac:dyDescent="0.3">
      <c r="E23" s="31"/>
      <c r="F23" s="563" t="s">
        <v>11</v>
      </c>
      <c r="G23" s="564"/>
      <c r="H23" s="564"/>
      <c r="I23" s="564"/>
      <c r="J23" s="564"/>
      <c r="K23" s="564"/>
      <c r="L23" s="565"/>
      <c r="M23" s="54"/>
      <c r="N23" s="563" t="s">
        <v>12</v>
      </c>
      <c r="O23" s="564"/>
      <c r="P23" s="564"/>
      <c r="Q23" s="564"/>
      <c r="R23" s="564"/>
      <c r="S23" s="564"/>
      <c r="T23" s="565"/>
      <c r="U23" s="170"/>
      <c r="W23" s="171"/>
      <c r="X23" s="171"/>
    </row>
    <row r="24" spans="5:26" ht="15" customHeight="1" x14ac:dyDescent="0.3">
      <c r="E24" s="31"/>
      <c r="F24" s="566" t="str">
        <f>F243</f>
        <v>Current Price (EUR)</v>
      </c>
      <c r="G24" s="567"/>
      <c r="H24" s="567"/>
      <c r="I24" s="567"/>
      <c r="J24" s="574">
        <v>762.5</v>
      </c>
      <c r="K24" s="574"/>
      <c r="L24" s="575"/>
      <c r="N24" s="566" t="str">
        <f>O243</f>
        <v>Current Price (EUR)</v>
      </c>
      <c r="O24" s="567"/>
      <c r="P24" s="567"/>
      <c r="Q24" s="567"/>
      <c r="R24" s="570">
        <f>T243</f>
        <v>762.5</v>
      </c>
      <c r="S24" s="570"/>
      <c r="T24" s="571"/>
    </row>
    <row r="25" spans="5:26" ht="15" customHeight="1" x14ac:dyDescent="0.3">
      <c r="F25" s="568" t="s">
        <v>13</v>
      </c>
      <c r="G25" s="569"/>
      <c r="H25" s="569"/>
      <c r="I25" s="569"/>
      <c r="J25" s="576">
        <v>867.63</v>
      </c>
      <c r="K25" s="576"/>
      <c r="L25" s="577"/>
      <c r="M25" s="52"/>
      <c r="N25" s="568" t="s">
        <v>13</v>
      </c>
      <c r="O25" s="569"/>
      <c r="P25" s="569"/>
      <c r="Q25" s="569"/>
      <c r="R25" s="572">
        <f>J25</f>
        <v>867.63</v>
      </c>
      <c r="S25" s="572"/>
      <c r="T25" s="573"/>
      <c r="U25" s="172"/>
    </row>
    <row r="26" spans="5:26" ht="15" customHeight="1" x14ac:dyDescent="0.3">
      <c r="E26" s="31"/>
      <c r="F26" s="550" t="str">
        <f>"DCF "&amp;F242</f>
        <v>DCF Estimated Value per Share (EUR)</v>
      </c>
      <c r="G26" s="551"/>
      <c r="H26" s="551"/>
      <c r="I26" s="551"/>
      <c r="J26" s="552">
        <f ca="1">J242</f>
        <v>398.0690371059859</v>
      </c>
      <c r="K26" s="552"/>
      <c r="L26" s="553"/>
      <c r="N26" s="550" t="str">
        <f>"DCF "&amp;O242</f>
        <v>DCF Estimated Value per Share (EUR)</v>
      </c>
      <c r="O26" s="551"/>
      <c r="P26" s="551"/>
      <c r="Q26" s="551"/>
      <c r="R26" s="552">
        <f ca="1">S242</f>
        <v>1297.5653841219387</v>
      </c>
      <c r="S26" s="552"/>
      <c r="T26" s="553"/>
      <c r="V26" s="467"/>
    </row>
    <row r="27" spans="5:26" ht="15" customHeight="1" x14ac:dyDescent="0.3">
      <c r="E27" s="31"/>
      <c r="F27" s="554" t="str">
        <f>"DCF "&amp;F244</f>
        <v xml:space="preserve">DCF Estimated Upside </v>
      </c>
      <c r="G27" s="555"/>
      <c r="H27" s="555"/>
      <c r="I27" s="555"/>
      <c r="J27" s="556">
        <f ca="1">J244</f>
        <v>-0.47794224641837912</v>
      </c>
      <c r="K27" s="556"/>
      <c r="L27" s="557"/>
      <c r="N27" s="554" t="str">
        <f>"DCF "&amp;O244</f>
        <v xml:space="preserve">DCF Estimated Upside </v>
      </c>
      <c r="O27" s="555"/>
      <c r="P27" s="555"/>
      <c r="Q27" s="555"/>
      <c r="R27" s="558">
        <f ca="1">S244</f>
        <v>0.70172509393041138</v>
      </c>
      <c r="S27" s="558"/>
      <c r="T27" s="559"/>
    </row>
    <row r="28" spans="5:26" ht="15" customHeight="1" x14ac:dyDescent="0.3">
      <c r="F28" s="173"/>
      <c r="J28" s="160"/>
      <c r="L28" s="174"/>
      <c r="N28" s="173"/>
      <c r="R28" s="160"/>
      <c r="T28" s="174"/>
    </row>
    <row r="29" spans="5:26" ht="15" customHeight="1" x14ac:dyDescent="0.3">
      <c r="F29" s="53"/>
      <c r="G29" s="52"/>
      <c r="H29" s="52"/>
      <c r="I29" s="52"/>
      <c r="J29" s="54" t="str">
        <f>J250</f>
        <v>Perpetuity Growth</v>
      </c>
      <c r="K29" s="52"/>
      <c r="L29" s="55"/>
      <c r="M29" s="52"/>
      <c r="N29" s="53"/>
      <c r="O29" s="52"/>
      <c r="P29" s="52"/>
      <c r="Q29" s="52"/>
      <c r="R29" s="54" t="str">
        <f>S250</f>
        <v>Terminal EBITDA Multiple</v>
      </c>
      <c r="S29" s="52"/>
      <c r="T29" s="55"/>
      <c r="U29" s="175"/>
    </row>
    <row r="30" spans="5:26" ht="15" customHeight="1" x14ac:dyDescent="0.3">
      <c r="F30" s="53"/>
      <c r="G30" s="54"/>
      <c r="H30" s="56">
        <f t="shared" ref="H30:L35" si="8">H260</f>
        <v>9.9999999999999985E-3</v>
      </c>
      <c r="I30" s="56">
        <f t="shared" si="8"/>
        <v>1.4999999999999999E-2</v>
      </c>
      <c r="J30" s="56">
        <f t="shared" si="8"/>
        <v>0.02</v>
      </c>
      <c r="K30" s="56">
        <f t="shared" si="8"/>
        <v>2.5000000000000001E-2</v>
      </c>
      <c r="L30" s="57">
        <f t="shared" si="8"/>
        <v>3.0000000000000002E-2</v>
      </c>
      <c r="M30" s="52"/>
      <c r="N30" s="53"/>
      <c r="O30" s="54"/>
      <c r="P30" s="176">
        <f t="shared" ref="P30:T35" si="9">Q260</f>
        <v>9.1999999999999993</v>
      </c>
      <c r="Q30" s="176">
        <f t="shared" si="9"/>
        <v>10.7</v>
      </c>
      <c r="R30" s="176">
        <f t="shared" si="9"/>
        <v>12.2</v>
      </c>
      <c r="S30" s="176">
        <f t="shared" si="9"/>
        <v>13.7</v>
      </c>
      <c r="T30" s="177">
        <f t="shared" si="9"/>
        <v>15.2</v>
      </c>
    </row>
    <row r="31" spans="5:26" ht="15" customHeight="1" x14ac:dyDescent="0.3">
      <c r="F31" s="58"/>
      <c r="G31" s="59">
        <f>G261</f>
        <v>0.08</v>
      </c>
      <c r="H31" s="60">
        <f t="shared" ca="1" si="8"/>
        <v>302.78150228017711</v>
      </c>
      <c r="I31" s="60">
        <f t="shared" ca="1" si="8"/>
        <v>303.82669857635142</v>
      </c>
      <c r="J31" s="60">
        <f t="shared" ca="1" si="8"/>
        <v>305.04609425522142</v>
      </c>
      <c r="K31" s="60">
        <f t="shared" ca="1" si="8"/>
        <v>306.48719823934044</v>
      </c>
      <c r="L31" s="60">
        <f t="shared" ca="1" si="8"/>
        <v>308.21652302028343</v>
      </c>
      <c r="M31" s="52"/>
      <c r="N31" s="58"/>
      <c r="O31" s="59">
        <f>P261</f>
        <v>8.5000000000000006E-2</v>
      </c>
      <c r="P31" s="60">
        <f t="shared" ca="1" si="9"/>
        <v>973.67247143221391</v>
      </c>
      <c r="Q31" s="60">
        <f t="shared" ca="1" si="9"/>
        <v>1076.9031619072307</v>
      </c>
      <c r="R31" s="60">
        <f t="shared" ca="1" si="9"/>
        <v>1180.1338523822474</v>
      </c>
      <c r="S31" s="60">
        <f t="shared" ca="1" si="9"/>
        <v>1283.3645428572638</v>
      </c>
      <c r="T31" s="60">
        <f t="shared" ca="1" si="9"/>
        <v>1386.5952333322805</v>
      </c>
    </row>
    <row r="32" spans="5:26" ht="15" customHeight="1" thickBot="1" x14ac:dyDescent="0.35">
      <c r="F32" s="61" t="str">
        <f>E254</f>
        <v>Discount</v>
      </c>
      <c r="G32" s="59">
        <f>G262</f>
        <v>8.5000000000000006E-2</v>
      </c>
      <c r="H32" s="60">
        <f t="shared" ca="1" si="8"/>
        <v>296.87122939227976</v>
      </c>
      <c r="I32" s="60">
        <f t="shared" ca="1" si="8"/>
        <v>297.76048379593954</v>
      </c>
      <c r="J32" s="62">
        <f t="shared" ca="1" si="8"/>
        <v>298.78654656939307</v>
      </c>
      <c r="K32" s="60">
        <f t="shared" ca="1" si="8"/>
        <v>299.98361980508889</v>
      </c>
      <c r="L32" s="60">
        <f t="shared" ca="1" si="8"/>
        <v>301.39834272000212</v>
      </c>
      <c r="M32" s="52"/>
      <c r="N32" s="61" t="str">
        <f>N254</f>
        <v>Discount</v>
      </c>
      <c r="O32" s="59">
        <f>P262</f>
        <v>0.09</v>
      </c>
      <c r="P32" s="60">
        <f t="shared" ca="1" si="9"/>
        <v>954.5918344157451</v>
      </c>
      <c r="Q32" s="60">
        <f t="shared" ca="1" si="9"/>
        <v>1055.4764708924693</v>
      </c>
      <c r="R32" s="62">
        <f t="shared" ca="1" si="9"/>
        <v>1156.3611073691934</v>
      </c>
      <c r="S32" s="60">
        <f t="shared" ca="1" si="9"/>
        <v>1257.2457438459173</v>
      </c>
      <c r="T32" s="60">
        <f t="shared" ca="1" si="9"/>
        <v>1358.1303803226413</v>
      </c>
    </row>
    <row r="33" spans="5:24" ht="15" customHeight="1" thickBot="1" x14ac:dyDescent="0.35">
      <c r="F33" s="61" t="str">
        <f>E255</f>
        <v>Rate</v>
      </c>
      <c r="G33" s="59">
        <f>G263</f>
        <v>9.5000000000000001E-2</v>
      </c>
      <c r="H33" s="60">
        <f t="shared" ca="1" si="8"/>
        <v>285.76449358777671</v>
      </c>
      <c r="I33" s="63">
        <f t="shared" ca="1" si="8"/>
        <v>286.42631206995895</v>
      </c>
      <c r="J33" s="520">
        <f t="shared" ca="1" si="8"/>
        <v>287.17637301643214</v>
      </c>
      <c r="K33" s="65">
        <f t="shared" ca="1" si="8"/>
        <v>288.0335855266872</v>
      </c>
      <c r="L33" s="60">
        <f t="shared" ca="1" si="8"/>
        <v>289.02267688467384</v>
      </c>
      <c r="M33" s="52"/>
      <c r="N33" s="61" t="str">
        <f>N255</f>
        <v>Rate</v>
      </c>
      <c r="O33" s="59">
        <f>P263</f>
        <v>9.5000000000000001E-2</v>
      </c>
      <c r="P33" s="60">
        <f t="shared" ca="1" si="9"/>
        <v>935.99999123237717</v>
      </c>
      <c r="Q33" s="63">
        <f t="shared" ca="1" si="9"/>
        <v>1034.6022643998731</v>
      </c>
      <c r="R33" s="64">
        <f t="shared" ca="1" si="9"/>
        <v>1133.2045375673688</v>
      </c>
      <c r="S33" s="65">
        <f t="shared" ca="1" si="9"/>
        <v>1231.8068107348645</v>
      </c>
      <c r="T33" s="60">
        <f t="shared" ca="1" si="9"/>
        <v>1330.4090839023606</v>
      </c>
    </row>
    <row r="34" spans="5:24" ht="15" customHeight="1" x14ac:dyDescent="0.3">
      <c r="F34" s="61" t="str">
        <f>E256</f>
        <v>(WACC)</v>
      </c>
      <c r="G34" s="59">
        <f>G264</f>
        <v>0.1</v>
      </c>
      <c r="H34" s="60">
        <f t="shared" ca="1" si="8"/>
        <v>280.51629827341333</v>
      </c>
      <c r="I34" s="60">
        <f t="shared" ca="1" si="8"/>
        <v>281.09395801932334</v>
      </c>
      <c r="J34" s="66">
        <f t="shared" ca="1" si="8"/>
        <v>281.74382523347219</v>
      </c>
      <c r="K34" s="60">
        <f t="shared" ca="1" si="8"/>
        <v>282.48034140950756</v>
      </c>
      <c r="L34" s="60">
        <f t="shared" ca="1" si="8"/>
        <v>283.32207418211931</v>
      </c>
      <c r="M34" s="52"/>
      <c r="N34" s="61" t="str">
        <f>N256</f>
        <v>(WACC)</v>
      </c>
      <c r="O34" s="59">
        <f>P264</f>
        <v>0.1</v>
      </c>
      <c r="P34" s="60">
        <f t="shared" ca="1" si="9"/>
        <v>917.88198812724977</v>
      </c>
      <c r="Q34" s="60">
        <f t="shared" ca="1" si="9"/>
        <v>1014.263580520011</v>
      </c>
      <c r="R34" s="66">
        <f t="shared" ca="1" si="9"/>
        <v>1110.6451729127723</v>
      </c>
      <c r="S34" s="60">
        <f t="shared" ca="1" si="9"/>
        <v>1207.0267653055334</v>
      </c>
      <c r="T34" s="60">
        <f t="shared" ca="1" si="9"/>
        <v>1303.4083576982948</v>
      </c>
    </row>
    <row r="35" spans="5:24" ht="15" customHeight="1" x14ac:dyDescent="0.3">
      <c r="F35" s="67"/>
      <c r="G35" s="59">
        <f>G265</f>
        <v>0.105</v>
      </c>
      <c r="H35" s="60">
        <f t="shared" ca="1" si="8"/>
        <v>275.44535251322122</v>
      </c>
      <c r="I35" s="60">
        <f t="shared" ca="1" si="8"/>
        <v>275.95291445928029</v>
      </c>
      <c r="J35" s="60">
        <f t="shared" ca="1" si="8"/>
        <v>276.52018957546409</v>
      </c>
      <c r="K35" s="60">
        <f t="shared" ca="1" si="8"/>
        <v>277.1583740811709</v>
      </c>
      <c r="L35" s="60">
        <f t="shared" ca="1" si="8"/>
        <v>277.88164985430518</v>
      </c>
      <c r="M35" s="52"/>
      <c r="N35" s="67"/>
      <c r="O35" s="59">
        <f>P265</f>
        <v>0.105</v>
      </c>
      <c r="P35" s="60">
        <f t="shared" ca="1" si="9"/>
        <v>900.22339795165658</v>
      </c>
      <c r="Q35" s="60">
        <f t="shared" ca="1" si="9"/>
        <v>994.44405598660057</v>
      </c>
      <c r="R35" s="60">
        <f t="shared" ca="1" si="9"/>
        <v>1088.6647140215446</v>
      </c>
      <c r="S35" s="60">
        <f t="shared" ca="1" si="9"/>
        <v>1182.8853720564884</v>
      </c>
      <c r="T35" s="60">
        <f t="shared" ca="1" si="9"/>
        <v>1277.1060300914323</v>
      </c>
    </row>
    <row r="36" spans="5:24" ht="15" customHeight="1" x14ac:dyDescent="0.3">
      <c r="F36" s="53"/>
      <c r="G36" s="54"/>
      <c r="H36" s="56">
        <f t="shared" ref="H36:L41" si="10">H268</f>
        <v>9.9999999999999985E-3</v>
      </c>
      <c r="I36" s="56">
        <f t="shared" si="10"/>
        <v>1.4999999999999999E-2</v>
      </c>
      <c r="J36" s="56">
        <f t="shared" si="10"/>
        <v>0.02</v>
      </c>
      <c r="K36" s="56">
        <f t="shared" si="10"/>
        <v>2.5000000000000001E-2</v>
      </c>
      <c r="L36" s="57">
        <f t="shared" si="10"/>
        <v>3.0000000000000002E-2</v>
      </c>
      <c r="M36" s="52"/>
      <c r="N36" s="53"/>
      <c r="O36" s="54"/>
      <c r="P36" s="176">
        <f t="shared" ref="P36:T41" si="11">Q268</f>
        <v>9.1999999999999993</v>
      </c>
      <c r="Q36" s="176">
        <f t="shared" si="11"/>
        <v>10.7</v>
      </c>
      <c r="R36" s="176">
        <f t="shared" si="11"/>
        <v>12.2</v>
      </c>
      <c r="S36" s="176">
        <f t="shared" si="11"/>
        <v>13.7</v>
      </c>
      <c r="T36" s="177">
        <f t="shared" si="11"/>
        <v>15.2</v>
      </c>
    </row>
    <row r="37" spans="5:24" ht="15" customHeight="1" x14ac:dyDescent="0.3">
      <c r="F37" s="58"/>
      <c r="G37" s="59">
        <f>G269</f>
        <v>8.5000000000000006E-2</v>
      </c>
      <c r="H37" s="68">
        <f t="shared" ca="1" si="10"/>
        <v>-0.60290950520632514</v>
      </c>
      <c r="I37" s="68">
        <f t="shared" ca="1" si="10"/>
        <v>-0.60153875596544082</v>
      </c>
      <c r="J37" s="68">
        <f t="shared" ca="1" si="10"/>
        <v>-0.59993954851774234</v>
      </c>
      <c r="K37" s="68">
        <f t="shared" ca="1" si="10"/>
        <v>-0.59804957607955345</v>
      </c>
      <c r="L37" s="68">
        <f t="shared" ca="1" si="10"/>
        <v>-0.59578160915372669</v>
      </c>
      <c r="M37" s="52"/>
      <c r="N37" s="58"/>
      <c r="O37" s="59">
        <f>P269</f>
        <v>8.5000000000000006E-2</v>
      </c>
      <c r="P37" s="68">
        <f t="shared" ca="1" si="11"/>
        <v>0.27694750351765762</v>
      </c>
      <c r="Q37" s="68">
        <f t="shared" ca="1" si="11"/>
        <v>0.41233201561604016</v>
      </c>
      <c r="R37" s="68">
        <f t="shared" ca="1" si="11"/>
        <v>0.5477165277144227</v>
      </c>
      <c r="S37" s="68">
        <f t="shared" ca="1" si="11"/>
        <v>0.68310103981280501</v>
      </c>
      <c r="T37" s="68">
        <f t="shared" ca="1" si="11"/>
        <v>0.81848555191118755</v>
      </c>
    </row>
    <row r="38" spans="5:24" ht="15" customHeight="1" thickBot="1" x14ac:dyDescent="0.35">
      <c r="F38" s="61"/>
      <c r="G38" s="59">
        <f>G270</f>
        <v>0.09</v>
      </c>
      <c r="H38" s="68">
        <f t="shared" ca="1" si="10"/>
        <v>-0.61066068276422325</v>
      </c>
      <c r="I38" s="68">
        <f t="shared" ca="1" si="10"/>
        <v>-0.60949444748073511</v>
      </c>
      <c r="J38" s="69">
        <f t="shared" ca="1" si="10"/>
        <v>-0.60814879138440259</v>
      </c>
      <c r="K38" s="68">
        <f t="shared" ca="1" si="10"/>
        <v>-0.60657885927201449</v>
      </c>
      <c r="L38" s="68">
        <f t="shared" ca="1" si="10"/>
        <v>-0.60472348495737427</v>
      </c>
      <c r="M38" s="52"/>
      <c r="N38" s="61"/>
      <c r="O38" s="59">
        <f>P270</f>
        <v>0.09</v>
      </c>
      <c r="P38" s="68">
        <f t="shared" ca="1" si="11"/>
        <v>0.25192371726655094</v>
      </c>
      <c r="Q38" s="68">
        <f t="shared" ca="1" si="11"/>
        <v>0.38423143723602515</v>
      </c>
      <c r="R38" s="69">
        <f t="shared" ca="1" si="11"/>
        <v>0.51653915720549959</v>
      </c>
      <c r="S38" s="68">
        <f t="shared" ca="1" si="11"/>
        <v>0.64884687717497358</v>
      </c>
      <c r="T38" s="68">
        <f t="shared" ca="1" si="11"/>
        <v>0.78115459714444757</v>
      </c>
    </row>
    <row r="39" spans="5:24" ht="15" customHeight="1" thickBot="1" x14ac:dyDescent="0.35">
      <c r="F39" s="61"/>
      <c r="G39" s="59">
        <f>G271</f>
        <v>9.5000000000000001E-2</v>
      </c>
      <c r="H39" s="68">
        <f t="shared" ca="1" si="10"/>
        <v>-0.62522689365537487</v>
      </c>
      <c r="I39" s="70">
        <f t="shared" ca="1" si="10"/>
        <v>-0.62435893499021777</v>
      </c>
      <c r="J39" s="71">
        <f t="shared" ca="1" si="10"/>
        <v>-0.62337524850303982</v>
      </c>
      <c r="K39" s="72">
        <f t="shared" ca="1" si="10"/>
        <v>-0.6222510353748365</v>
      </c>
      <c r="L39" s="68">
        <f t="shared" ca="1" si="10"/>
        <v>-0.62095386638075567</v>
      </c>
      <c r="M39" s="52"/>
      <c r="N39" s="61"/>
      <c r="O39" s="59">
        <f>P271</f>
        <v>9.5000000000000001E-2</v>
      </c>
      <c r="P39" s="68">
        <f t="shared" ca="1" si="11"/>
        <v>0.2275409721080357</v>
      </c>
      <c r="Q39" s="70">
        <f t="shared" ca="1" si="11"/>
        <v>0.35685542872114495</v>
      </c>
      <c r="R39" s="71">
        <f t="shared" ca="1" si="11"/>
        <v>0.4861698853342542</v>
      </c>
      <c r="S39" s="72">
        <f t="shared" ca="1" si="11"/>
        <v>0.61548434194736323</v>
      </c>
      <c r="T39" s="68">
        <f t="shared" ca="1" si="11"/>
        <v>0.74479879856047293</v>
      </c>
    </row>
    <row r="40" spans="5:24" ht="15" customHeight="1" x14ac:dyDescent="0.3">
      <c r="F40" s="61"/>
      <c r="G40" s="59">
        <f>G272</f>
        <v>0.1</v>
      </c>
      <c r="H40" s="68">
        <f t="shared" ca="1" si="10"/>
        <v>-0.6321097727561793</v>
      </c>
      <c r="I40" s="68">
        <f t="shared" ca="1" si="10"/>
        <v>-0.63135218620416611</v>
      </c>
      <c r="J40" s="73">
        <f t="shared" ca="1" si="10"/>
        <v>-0.63049990133315115</v>
      </c>
      <c r="K40" s="68">
        <f t="shared" ca="1" si="10"/>
        <v>-0.62953397847933434</v>
      </c>
      <c r="L40" s="68">
        <f t="shared" ca="1" si="10"/>
        <v>-0.62843006664640089</v>
      </c>
      <c r="M40" s="52"/>
      <c r="N40" s="61"/>
      <c r="O40" s="59">
        <f>P272</f>
        <v>0.1</v>
      </c>
      <c r="P40" s="68">
        <f t="shared" ca="1" si="11"/>
        <v>0.20377965656032759</v>
      </c>
      <c r="Q40" s="68">
        <f t="shared" ca="1" si="11"/>
        <v>0.33018174494427677</v>
      </c>
      <c r="R40" s="73">
        <f t="shared" ca="1" si="11"/>
        <v>0.45658383332822594</v>
      </c>
      <c r="S40" s="68">
        <f t="shared" ca="1" si="11"/>
        <v>0.58298592171217511</v>
      </c>
      <c r="T40" s="68">
        <f t="shared" ca="1" si="11"/>
        <v>0.70938801009612429</v>
      </c>
    </row>
    <row r="41" spans="5:24" ht="15" customHeight="1" x14ac:dyDescent="0.3">
      <c r="F41" s="74"/>
      <c r="G41" s="75">
        <f>G273</f>
        <v>0.10500000000000001</v>
      </c>
      <c r="H41" s="68">
        <f t="shared" ca="1" si="10"/>
        <v>-0.63876019342528356</v>
      </c>
      <c r="I41" s="68">
        <f t="shared" ca="1" si="10"/>
        <v>-0.63809453841405861</v>
      </c>
      <c r="J41" s="68">
        <f t="shared" ca="1" si="10"/>
        <v>-0.63735057104857162</v>
      </c>
      <c r="K41" s="68">
        <f t="shared" ca="1" si="10"/>
        <v>-0.63651360776239874</v>
      </c>
      <c r="L41" s="68">
        <f t="shared" ca="1" si="10"/>
        <v>-0.63556504937140312</v>
      </c>
      <c r="M41" s="52"/>
      <c r="N41" s="74"/>
      <c r="O41" s="75">
        <f>P273</f>
        <v>0.105</v>
      </c>
      <c r="P41" s="68">
        <f t="shared" ca="1" si="11"/>
        <v>0.18062084977266446</v>
      </c>
      <c r="Q41" s="68">
        <f t="shared" ca="1" si="11"/>
        <v>0.30418892588406643</v>
      </c>
      <c r="R41" s="68">
        <f t="shared" ca="1" si="11"/>
        <v>0.42775700199546818</v>
      </c>
      <c r="S41" s="68">
        <f t="shared" ca="1" si="11"/>
        <v>0.55132507810687015</v>
      </c>
      <c r="T41" s="68">
        <f t="shared" ca="1" si="11"/>
        <v>0.6748931542182719</v>
      </c>
    </row>
    <row r="43" spans="5:24" ht="15" customHeight="1" x14ac:dyDescent="0.3">
      <c r="E43" s="526" t="s">
        <v>7</v>
      </c>
      <c r="F43" s="527"/>
      <c r="G43" s="527"/>
      <c r="H43" s="527"/>
      <c r="I43" s="527"/>
      <c r="J43" s="527"/>
      <c r="K43" s="527"/>
      <c r="L43" s="527"/>
      <c r="M43" s="527"/>
      <c r="N43" s="527"/>
      <c r="O43" s="527"/>
      <c r="P43" s="527"/>
      <c r="Q43" s="527"/>
      <c r="R43" s="527"/>
      <c r="S43" s="527"/>
      <c r="T43" s="527"/>
      <c r="U43" s="528"/>
    </row>
    <row r="44" spans="5:24" ht="5.0999999999999996" customHeight="1" x14ac:dyDescent="0.3">
      <c r="E44" s="31"/>
      <c r="F44" s="159"/>
      <c r="G44" s="160"/>
      <c r="H44" s="160"/>
      <c r="I44" s="160"/>
      <c r="J44" s="160"/>
      <c r="K44" s="160"/>
      <c r="L44" s="157"/>
      <c r="M44" s="160"/>
      <c r="N44" s="160"/>
      <c r="O44" s="160"/>
      <c r="P44" s="160"/>
      <c r="Q44" s="160"/>
      <c r="R44" s="160"/>
      <c r="S44" s="160"/>
      <c r="T44" s="160"/>
    </row>
    <row r="45" spans="5:24" s="52" customFormat="1" ht="15" customHeight="1" x14ac:dyDescent="0.3">
      <c r="K45" s="548" t="s">
        <v>14</v>
      </c>
      <c r="L45" s="531" t="s">
        <v>15</v>
      </c>
      <c r="M45" s="531" t="s">
        <v>16</v>
      </c>
      <c r="N45" s="531" t="s">
        <v>17</v>
      </c>
      <c r="O45" s="531" t="s">
        <v>18</v>
      </c>
      <c r="P45" s="533" t="s">
        <v>19</v>
      </c>
      <c r="S45" s="546" t="s">
        <v>20</v>
      </c>
      <c r="T45" s="547"/>
      <c r="X45" s="171"/>
    </row>
    <row r="46" spans="5:24" ht="15" customHeight="1" x14ac:dyDescent="0.3">
      <c r="K46" s="549"/>
      <c r="L46" s="532"/>
      <c r="M46" s="532"/>
      <c r="N46" s="532"/>
      <c r="O46" s="532"/>
      <c r="P46" s="534"/>
      <c r="S46" s="544" t="s">
        <v>21</v>
      </c>
      <c r="T46" s="545"/>
    </row>
    <row r="47" spans="5:24" ht="15" customHeight="1" x14ac:dyDescent="0.3">
      <c r="G47" s="522" t="s">
        <v>22</v>
      </c>
      <c r="H47" s="523"/>
      <c r="I47" s="523"/>
      <c r="J47" s="523"/>
      <c r="K47" s="151"/>
      <c r="L47" s="143">
        <f ca="1">IFERROR('Additional Data'!L43,"")</f>
        <v>0.106</v>
      </c>
      <c r="M47" s="144"/>
      <c r="N47" s="144"/>
      <c r="O47" s="143">
        <f ca="1">IFERROR(_xll.BDP(TKR,"WACC")/100,0)</f>
        <v>0</v>
      </c>
      <c r="P47" s="145">
        <f ca="1">IF(ISBLANK(K47),O47,K47)</f>
        <v>0</v>
      </c>
      <c r="Q47" s="178"/>
    </row>
    <row r="48" spans="5:24" ht="15" customHeight="1" x14ac:dyDescent="0.3">
      <c r="G48" s="524" t="s">
        <v>23</v>
      </c>
      <c r="H48" s="525"/>
      <c r="I48" s="525"/>
      <c r="J48" s="525"/>
      <c r="K48" s="152"/>
      <c r="L48" s="146"/>
      <c r="M48" s="147">
        <f ca="1">IFERROR(($P47*((J24*K241+SUM(K237:K238)-N197*N207*N209-O197*O207*O209-P197*P207*P209-Q197*Q207*Q209-R197*R207*R209-S197*S207*S209)*(1+$P47)^5)-$K$225)/($K$225+((((J24*K241)+SUM(K237:K238))-N197*N207*N209-O197*O207*O209-P197*P207*P209-Q197*Q207*Q209-R197*R207*R209-S197*S207*S209)*(1+$P47)^5)),"")</f>
        <v>-3.3990336946158376E-3</v>
      </c>
      <c r="N48" s="147">
        <f ca="1">IFERROR(($P47*((J25*K241+SUM(K237:K238)-N197*N207*N209-O197*O207*O209-P197*P207*P209-Q197*Q207*Q209-R197*R207*R209-S197*S207*S209)*(1+$P47)^5)-$K$225)/($K$225+((((J25*K241)+SUM(K237:K238))-N197*N207*N209-O197*O207*O209-P197*P207*P209-Q197*Q207*Q209-R197*R207*R209-S197*S207*S209)*(1+$P47)^5)),"")</f>
        <v>-2.6635026721516394E-3</v>
      </c>
      <c r="O48" s="147">
        <f ca="1">'Additional Data'!D9</f>
        <v>4.1000000000000002E-2</v>
      </c>
      <c r="P48" s="148">
        <f ca="1">IF(ISBLANK(K48),O48,K48)</f>
        <v>4.1000000000000002E-2</v>
      </c>
      <c r="Q48" s="154" t="s">
        <v>24</v>
      </c>
    </row>
    <row r="49" spans="1:37" ht="15" customHeight="1" x14ac:dyDescent="0.3">
      <c r="G49" s="529" t="s">
        <v>25</v>
      </c>
      <c r="H49" s="530"/>
      <c r="I49" s="530"/>
      <c r="J49" s="530"/>
      <c r="K49" s="153"/>
      <c r="L49" s="149" t="str">
        <f ca="1">'Additional Data'!K43</f>
        <v>NA</v>
      </c>
      <c r="M49" s="149">
        <f ca="1">IFERROR(((R24*T241+SUM(T237:T238)-N197*N207*N209-O197*O207*O209-P197*P207*P209-Q197*Q207*Q209-R197*R207*R209-S197*S207*S209)*(1+P47)^5)/T225,"")</f>
        <v>3.1325191776148729</v>
      </c>
      <c r="N49" s="149">
        <f ca="1">IFERROR(((R25*T241+SUM(T237:T238)-N197*N207*N209-O197*O207*O209-P197*P207*P209-Q197*Q207*Q209-R197*R207*R209-S197*S207*S209)*(1+P47)^5)/T225,"")</f>
        <v>4.1484412599228575</v>
      </c>
      <c r="O49" s="149" t="str">
        <f ca="1">IF(IFERROR(_xll.BDP(TKR,"EV_TO_T12M_EBITDA","EQY_FUND_RELATIVE_PERIOD",PER)/1,IFERROR(_xll.BDP(TKR,"EV_TO_T12M_EBITDA","EQY_FUND_RELATIVE_PERIOD","-0FY")/1,'Additional Data'!K43))&gt;'Additional Data'!K45,'Additional Data'!K45,IFERROR(_xll.BDP(TKR,"EV_TO_T12M_EBITDA","EQY_FUND_RELATIVE_PERIOD",PER)/1,IFERROR(_xll.BDP(TKR,"EV_TO_T12M_EBITDA","EQY_FUND_RELATIVE_PERIOD","-0FY")/1,'Additional Data'!K43)))</f>
        <v>NA</v>
      </c>
      <c r="P49" s="150" t="str">
        <f ca="1">IF(ISBLANK(K49),O49,K49)</f>
        <v>NA</v>
      </c>
      <c r="Q49" s="154" t="s">
        <v>26</v>
      </c>
    </row>
    <row r="50" spans="1:37" ht="14.4" x14ac:dyDescent="0.3">
      <c r="K50" s="30"/>
      <c r="L50" s="179"/>
      <c r="M50" s="179"/>
      <c r="N50" s="179"/>
      <c r="O50" s="179"/>
      <c r="Q50" s="179"/>
    </row>
    <row r="51" spans="1:37" ht="5.0999999999999996" customHeight="1" x14ac:dyDescent="0.3">
      <c r="O51" s="157"/>
      <c r="P51" s="175"/>
      <c r="Q51" s="175"/>
      <c r="R51" s="175"/>
      <c r="S51" s="175"/>
      <c r="T51" s="157"/>
      <c r="U51" s="157"/>
      <c r="V51" s="52"/>
    </row>
    <row r="52" spans="1:37" ht="15" customHeight="1" x14ac:dyDescent="0.3">
      <c r="E52" s="427" t="str">
        <f>"In Millions of "&amp;CCY</f>
        <v>In Millions of EUR</v>
      </c>
      <c r="F52" s="428"/>
      <c r="G52" s="428"/>
      <c r="H52" s="429"/>
      <c r="I52" s="397">
        <v>2019</v>
      </c>
      <c r="J52" s="397">
        <v>2020</v>
      </c>
      <c r="K52" s="397">
        <v>2021</v>
      </c>
      <c r="L52" s="397">
        <v>2022</v>
      </c>
      <c r="M52" s="398">
        <v>2023</v>
      </c>
      <c r="N52" s="397">
        <v>2024</v>
      </c>
      <c r="O52" s="397">
        <v>2025</v>
      </c>
      <c r="P52" s="397">
        <v>2026</v>
      </c>
      <c r="Q52" s="397">
        <v>2027</v>
      </c>
      <c r="R52" s="397">
        <v>2028</v>
      </c>
      <c r="S52" s="397">
        <v>2029</v>
      </c>
      <c r="T52" s="399" t="s">
        <v>27</v>
      </c>
      <c r="V52" s="155"/>
      <c r="X52" s="154"/>
      <c r="Y52"/>
      <c r="Z52" s="154"/>
    </row>
    <row r="53" spans="1:37" ht="15" hidden="1" customHeight="1" x14ac:dyDescent="0.3">
      <c r="E53" s="180"/>
      <c r="I53" s="181" t="s">
        <v>28</v>
      </c>
      <c r="J53" s="181" t="s">
        <v>29</v>
      </c>
      <c r="K53" s="181" t="s">
        <v>30</v>
      </c>
      <c r="L53" s="181" t="s">
        <v>31</v>
      </c>
      <c r="M53" s="181" t="s">
        <v>32</v>
      </c>
      <c r="N53" s="54" t="s">
        <v>33</v>
      </c>
      <c r="O53" s="54" t="s">
        <v>34</v>
      </c>
      <c r="P53" s="54" t="s">
        <v>35</v>
      </c>
      <c r="Q53" s="54" t="s">
        <v>36</v>
      </c>
      <c r="R53" s="54" t="s">
        <v>37</v>
      </c>
      <c r="S53" s="54" t="s">
        <v>38</v>
      </c>
      <c r="T53" s="174"/>
      <c r="V53" s="155"/>
      <c r="X53" s="154"/>
      <c r="Y53" s="188" t="s">
        <v>39</v>
      </c>
      <c r="Z53" s="154"/>
    </row>
    <row r="54" spans="1:37" ht="15" hidden="1" customHeight="1" x14ac:dyDescent="0.3">
      <c r="E54" s="180"/>
      <c r="F54" s="160"/>
      <c r="I54" s="160"/>
      <c r="M54" s="160"/>
      <c r="N54" s="182">
        <v>1</v>
      </c>
      <c r="O54" s="158">
        <v>2</v>
      </c>
      <c r="P54" s="158">
        <v>3</v>
      </c>
      <c r="Q54" s="158">
        <v>4</v>
      </c>
      <c r="R54" s="182">
        <v>5</v>
      </c>
      <c r="T54" s="174"/>
      <c r="V54" s="155"/>
      <c r="X54" s="154"/>
      <c r="Y54" s="188" t="s">
        <v>40</v>
      </c>
      <c r="Z54" s="154"/>
    </row>
    <row r="55" spans="1:37" s="175" customFormat="1" ht="15" customHeight="1" x14ac:dyDescent="0.3">
      <c r="A55" s="52"/>
      <c r="B55" s="52"/>
      <c r="E55" s="183" t="s">
        <v>41</v>
      </c>
      <c r="F55" s="183"/>
      <c r="G55" s="184"/>
      <c r="H55" s="185"/>
      <c r="I55" s="163">
        <f>I16</f>
        <v>550220</v>
      </c>
      <c r="J55" s="163">
        <f>J16</f>
        <v>533440</v>
      </c>
      <c r="K55" s="163">
        <f t="shared" ref="K55:M55" si="12">K16</f>
        <v>680540</v>
      </c>
      <c r="L55" s="163">
        <f t="shared" si="12"/>
        <v>846510</v>
      </c>
      <c r="M55" s="163">
        <f t="shared" si="12"/>
        <v>860170</v>
      </c>
      <c r="N55" s="163">
        <v>89858</v>
      </c>
      <c r="O55" s="163">
        <v>96603</v>
      </c>
      <c r="P55" s="163">
        <f t="shared" ref="P55:S55" si="13">O55*(1+P$57)</f>
        <v>103917.86363636363</v>
      </c>
      <c r="Q55" s="163">
        <f t="shared" si="13"/>
        <v>111824</v>
      </c>
      <c r="R55" s="163">
        <f t="shared" si="13"/>
        <v>119736.37499999999</v>
      </c>
      <c r="S55" s="163">
        <f t="shared" si="13"/>
        <v>127962.00000000001</v>
      </c>
      <c r="T55" s="186"/>
      <c r="U55" s="187"/>
      <c r="V55" s="188"/>
      <c r="W55" s="188"/>
      <c r="Y55" s="175" t="s">
        <v>42</v>
      </c>
    </row>
    <row r="56" spans="1:37" ht="15" customHeight="1" x14ac:dyDescent="0.3">
      <c r="E56" s="183" t="e">
        <f ca="1">IF(AND(ADJ="Y",ADJ_AVA="Y"),"Revenue (Adjusted)","Revenue (GAAP)")</f>
        <v>#NAME?</v>
      </c>
      <c r="F56" s="183"/>
      <c r="G56" s="183"/>
      <c r="H56" s="185"/>
      <c r="I56" s="163">
        <f>I55</f>
        <v>550220</v>
      </c>
      <c r="J56" s="163">
        <f t="shared" ref="J56:S56" si="14">J55</f>
        <v>533440</v>
      </c>
      <c r="K56" s="163">
        <f t="shared" si="14"/>
        <v>680540</v>
      </c>
      <c r="L56" s="163">
        <f t="shared" si="14"/>
        <v>846510</v>
      </c>
      <c r="M56" s="163">
        <f t="shared" si="14"/>
        <v>860170</v>
      </c>
      <c r="N56" s="163">
        <f t="shared" si="14"/>
        <v>89858</v>
      </c>
      <c r="O56" s="163">
        <f t="shared" si="14"/>
        <v>96603</v>
      </c>
      <c r="P56" s="163">
        <f t="shared" si="14"/>
        <v>103917.86363636363</v>
      </c>
      <c r="Q56" s="163">
        <f t="shared" si="14"/>
        <v>111824</v>
      </c>
      <c r="R56" s="163">
        <f t="shared" si="14"/>
        <v>119736.37499999999</v>
      </c>
      <c r="S56" s="163">
        <f t="shared" si="14"/>
        <v>127962.00000000001</v>
      </c>
      <c r="T56" s="186"/>
      <c r="U56" s="442"/>
      <c r="V56" s="155"/>
      <c r="X56" s="154"/>
      <c r="Y56"/>
      <c r="Z56" s="154"/>
    </row>
    <row r="57" spans="1:37" ht="15" customHeight="1" thickBot="1" x14ac:dyDescent="0.35">
      <c r="A57" s="52">
        <v>16</v>
      </c>
      <c r="E57" s="431" t="s">
        <v>43</v>
      </c>
      <c r="H57" s="364" t="s">
        <v>44</v>
      </c>
      <c r="I57" s="191"/>
      <c r="J57" s="191">
        <f>IFERROR(J55/I55-1,"")</f>
        <v>-3.049689215223006E-2</v>
      </c>
      <c r="K57" s="191">
        <f>IFERROR(K55/J55-1,"")</f>
        <v>0.27575734853029399</v>
      </c>
      <c r="L57" s="191">
        <f>IFERROR(L55/K55-1,"")</f>
        <v>0.24387986011108831</v>
      </c>
      <c r="M57" s="191">
        <f>IFERROR(M55/L55-1,"")</f>
        <v>1.6136844219206026E-2</v>
      </c>
      <c r="N57" s="191">
        <v>0.08</v>
      </c>
      <c r="O57" s="191">
        <f t="shared" ref="O57:S72" ca="1" si="15">IF(ISNUMBER(O$61),O$61,IF(ISNUMBER(O$62),O$62,IF(ISNUMBER(O$63),O$63,"")))</f>
        <v>7.5067646413547795E-2</v>
      </c>
      <c r="P57" s="191">
        <f t="shared" si="15"/>
        <v>7.5720874469360488E-2</v>
      </c>
      <c r="Q57" s="191">
        <f t="shared" si="15"/>
        <v>7.608062836339724E-2</v>
      </c>
      <c r="R57" s="191">
        <f t="shared" si="15"/>
        <v>7.0757395550150148E-2</v>
      </c>
      <c r="S57" s="191">
        <f t="shared" si="15"/>
        <v>6.8697795469422118E-2</v>
      </c>
      <c r="T57" s="192"/>
      <c r="V57" s="155">
        <v>10</v>
      </c>
      <c r="W57" s="155">
        <v>5</v>
      </c>
      <c r="X57" s="154"/>
      <c r="Y57"/>
      <c r="Z57" s="154"/>
    </row>
    <row r="58" spans="1:37" ht="5.0999999999999996" hidden="1" customHeight="1" x14ac:dyDescent="0.3">
      <c r="E58" s="76"/>
      <c r="F58" s="77"/>
      <c r="G58" s="76"/>
      <c r="H58" s="363"/>
      <c r="I58" s="190"/>
      <c r="J58" s="190"/>
      <c r="K58" s="190"/>
      <c r="L58" s="190"/>
      <c r="M58" s="190"/>
      <c r="N58" s="194"/>
      <c r="O58" s="191">
        <f t="shared" ca="1" si="15"/>
        <v>7.5067646413547795E-2</v>
      </c>
      <c r="P58" s="194"/>
      <c r="Q58" s="194"/>
      <c r="R58" s="194"/>
      <c r="S58" s="194"/>
      <c r="T58" s="192"/>
      <c r="V58" s="155"/>
      <c r="X58" s="154"/>
      <c r="Z58" s="154"/>
    </row>
    <row r="59" spans="1:37" ht="15" hidden="1" customHeight="1" x14ac:dyDescent="0.3">
      <c r="E59" s="76"/>
      <c r="F59" s="77"/>
      <c r="G59" s="126"/>
      <c r="H59" s="127"/>
      <c r="I59" s="128"/>
      <c r="J59" s="128"/>
      <c r="K59" s="128"/>
      <c r="L59" s="135"/>
      <c r="M59" s="136" t="s">
        <v>45</v>
      </c>
      <c r="N59" s="137">
        <f ca="1" xml:space="preserve"> IF($N$61&lt;&gt;"",1, IF($N$62&lt;&gt;"",2,3 ))</f>
        <v>3</v>
      </c>
      <c r="O59" s="191">
        <f t="shared" ca="1" si="15"/>
        <v>7.5067646413547795E-2</v>
      </c>
      <c r="P59" s="137">
        <f xml:space="preserve"> IF($P$61&lt;&gt;"",1, IF($P$62&lt;&gt;"",2,3 ))</f>
        <v>1</v>
      </c>
      <c r="Q59" s="137">
        <f xml:space="preserve"> IF($Q$61&lt;&gt;"",1, IF($Q$62&lt;&gt;"",2,3 ))</f>
        <v>1</v>
      </c>
      <c r="R59" s="137">
        <f xml:space="preserve"> IF($R$61&lt;&gt;"",1, IF($R$62&lt;&gt;"",2,3 ))</f>
        <v>1</v>
      </c>
      <c r="S59" s="137">
        <f xml:space="preserve"> IF($S$61&lt;&gt;"",1, IF($S$62&lt;&gt;"",2,3 ))</f>
        <v>1</v>
      </c>
      <c r="T59" s="129"/>
      <c r="V59" s="155"/>
      <c r="X59" s="154"/>
      <c r="Y59"/>
      <c r="Z59" s="154"/>
    </row>
    <row r="60" spans="1:37" ht="15" hidden="1" customHeight="1" x14ac:dyDescent="0.3">
      <c r="E60" s="76"/>
      <c r="F60" s="77"/>
      <c r="G60" s="130"/>
      <c r="H60" s="131"/>
      <c r="I60" s="131"/>
      <c r="J60" s="131"/>
      <c r="K60" s="131"/>
      <c r="L60" s="131"/>
      <c r="M60" s="131"/>
      <c r="N60" s="438" t="s">
        <v>46</v>
      </c>
      <c r="O60" s="191">
        <f t="shared" ca="1" si="15"/>
        <v>7.5067646413547795E-2</v>
      </c>
      <c r="P60" s="131"/>
      <c r="Q60" s="131"/>
      <c r="R60" s="131"/>
      <c r="S60" s="131"/>
      <c r="T60" s="123"/>
      <c r="V60" s="155"/>
      <c r="X60" s="154"/>
      <c r="Y60" t="e">
        <f ca="1">_xll.BQL(TKR,"SALES_REV_TURN/1000000","FPT=A","FPO=RANGE(1,6)","showids=false","transpose=t","showheaders=false","showdates=false","excelfill=b","currency",CCY,"FA_ADJUSTED","Y","cols=6;rows=1")</f>
        <v>#NAME?</v>
      </c>
      <c r="Z60" s="154">
        <v>96603.42857142858</v>
      </c>
      <c r="AA60" s="154">
        <v>103917.86363636363</v>
      </c>
      <c r="AB60" s="154">
        <v>111824</v>
      </c>
      <c r="AC60" s="154">
        <v>119736.375</v>
      </c>
      <c r="AD60" s="154">
        <v>127962</v>
      </c>
      <c r="AF60" s="452"/>
      <c r="AG60" s="452"/>
      <c r="AH60" s="452"/>
      <c r="AI60" s="452"/>
      <c r="AJ60" s="452"/>
      <c r="AK60" s="452"/>
    </row>
    <row r="61" spans="1:37" ht="15" hidden="1" customHeight="1" x14ac:dyDescent="0.3">
      <c r="B61" s="52">
        <v>1</v>
      </c>
      <c r="E61" s="76"/>
      <c r="F61" s="77"/>
      <c r="G61" s="130"/>
      <c r="H61" s="78" t="s">
        <v>47</v>
      </c>
      <c r="J61" s="30"/>
      <c r="L61" s="79"/>
      <c r="M61" s="79"/>
      <c r="N61" s="453" t="str">
        <f t="shared" ref="N61:S61" ca="1" si="16">IFERROR(Y60/M55-1,"")</f>
        <v/>
      </c>
      <c r="O61" s="191">
        <f t="shared" ca="1" si="15"/>
        <v>7.5067646413547795E-2</v>
      </c>
      <c r="P61" s="453">
        <f t="shared" si="16"/>
        <v>7.5720874469360488E-2</v>
      </c>
      <c r="Q61" s="453">
        <f t="shared" si="16"/>
        <v>7.608062836339724E-2</v>
      </c>
      <c r="R61" s="453">
        <f t="shared" si="16"/>
        <v>7.0757395550150148E-2</v>
      </c>
      <c r="S61" s="453">
        <f t="shared" si="16"/>
        <v>6.8697795469422118E-2</v>
      </c>
      <c r="T61" s="123"/>
      <c r="V61" s="155"/>
      <c r="X61" s="154"/>
      <c r="Y61"/>
      <c r="Z61" s="154"/>
    </row>
    <row r="62" spans="1:37" ht="15" hidden="1" customHeight="1" x14ac:dyDescent="0.3">
      <c r="B62" s="52">
        <v>1</v>
      </c>
      <c r="E62" s="76"/>
      <c r="F62" s="77"/>
      <c r="G62" s="125"/>
      <c r="H62" s="80" t="s">
        <v>48</v>
      </c>
      <c r="I62" s="471"/>
      <c r="J62" s="471"/>
      <c r="K62" s="471"/>
      <c r="L62" s="471"/>
      <c r="M62" s="471"/>
      <c r="N62" s="81" t="str">
        <f>IFERROR(SLOPE(DCF!I55:M55,DCF!$N$54:$S$54)/AVERAGE(DCF!I55:M55),"")</f>
        <v/>
      </c>
      <c r="O62" s="191">
        <f t="shared" ca="1" si="15"/>
        <v>7.5067646413547795E-2</v>
      </c>
      <c r="P62" s="81">
        <f>IFERROR(SLOPE(DCF!J55:O55,DCF!$N$54:$S$54)/AVERAGE(DCF!J55:O55),"")</f>
        <v>-0.13662821628124555</v>
      </c>
      <c r="Q62" s="81">
        <f>IFERROR(SLOPE(DCF!K55:P55,DCF!$N$54:$S$54)/AVERAGE(DCF!K55:P55),"")</f>
        <v>-0.43125040710236062</v>
      </c>
      <c r="R62" s="81">
        <f>IFERROR(SLOPE(DCF!L55:Q55,DCF!$N$54:$S$54)/AVERAGE(DCF!L55:Q55),"")</f>
        <v>-0.6397940762389428</v>
      </c>
      <c r="S62" s="81">
        <f>IFERROR(SLOPE(DCF!M55:R55,DCF!$N$54:$S$54)/AVERAGE(DCF!M55:R55),"")</f>
        <v>-0.64363890852496664</v>
      </c>
      <c r="T62" s="123"/>
      <c r="V62" s="155"/>
      <c r="X62" s="154"/>
      <c r="Y62" s="451"/>
      <c r="Z62" s="452"/>
      <c r="AA62" s="452"/>
      <c r="AB62" s="452"/>
      <c r="AC62" s="452"/>
      <c r="AD62" s="452"/>
      <c r="AE62" s="452"/>
      <c r="AF62" s="452"/>
      <c r="AG62" s="452"/>
      <c r="AH62" s="452"/>
      <c r="AI62" s="452"/>
      <c r="AJ62" s="452"/>
    </row>
    <row r="63" spans="1:37" ht="15" hidden="1" customHeight="1" x14ac:dyDescent="0.3">
      <c r="B63" s="52">
        <v>1</v>
      </c>
      <c r="E63" s="76"/>
      <c r="F63" s="77"/>
      <c r="G63" s="125"/>
      <c r="H63" s="82" t="s">
        <v>49</v>
      </c>
      <c r="I63" s="83"/>
      <c r="J63" s="83"/>
      <c r="K63" s="83"/>
      <c r="L63" s="83"/>
      <c r="M63" s="83"/>
      <c r="N63" s="84" t="str">
        <f ca="1">IFERROR(_xll.BDP(TKR,"BEST_EST_LONG_TERM_GROWTH")/100,"")</f>
        <v/>
      </c>
      <c r="O63" s="191">
        <f t="shared" ca="1" si="15"/>
        <v>7.5067646413547795E-2</v>
      </c>
      <c r="P63" s="84" t="str">
        <f ca="1">$N$63</f>
        <v/>
      </c>
      <c r="Q63" s="84" t="str">
        <f ca="1">$N$63</f>
        <v/>
      </c>
      <c r="R63" s="84" t="str">
        <f ca="1">$N$63</f>
        <v/>
      </c>
      <c r="S63" s="84" t="str">
        <f ca="1">$N$63</f>
        <v/>
      </c>
      <c r="T63" s="123"/>
      <c r="V63" s="155"/>
      <c r="X63" s="154"/>
      <c r="Y63" s="451"/>
      <c r="Z63" s="154"/>
    </row>
    <row r="64" spans="1:37" ht="15" hidden="1" customHeight="1" x14ac:dyDescent="0.3">
      <c r="E64" s="76"/>
      <c r="F64" s="77"/>
      <c r="G64" s="125"/>
      <c r="H64" s="134"/>
      <c r="I64" s="134"/>
      <c r="J64" s="134"/>
      <c r="K64" s="134"/>
      <c r="L64" s="134"/>
      <c r="M64" s="134"/>
      <c r="N64" s="134"/>
      <c r="O64" s="191">
        <f t="shared" ca="1" si="15"/>
        <v>7.5067646413547795E-2</v>
      </c>
      <c r="P64" s="134"/>
      <c r="Q64" s="134"/>
      <c r="R64" s="134"/>
      <c r="S64" s="134"/>
      <c r="T64" s="123"/>
      <c r="V64" s="155"/>
      <c r="X64" s="154"/>
      <c r="Y64" s="451"/>
      <c r="Z64" s="154"/>
    </row>
    <row r="65" spans="1:26" ht="15" hidden="1" customHeight="1" x14ac:dyDescent="0.3">
      <c r="B65" s="52">
        <v>2</v>
      </c>
      <c r="E65" s="76"/>
      <c r="F65" s="77"/>
      <c r="G65" s="125"/>
      <c r="H65" s="78" t="s">
        <v>50</v>
      </c>
      <c r="I65" s="79"/>
      <c r="J65" s="79"/>
      <c r="K65" s="79"/>
      <c r="L65" s="85"/>
      <c r="M65" s="79"/>
      <c r="N65" s="448">
        <v>0</v>
      </c>
      <c r="O65" s="191">
        <f t="shared" ca="1" si="15"/>
        <v>7.5067646413547795E-2</v>
      </c>
      <c r="P65" s="448">
        <v>0</v>
      </c>
      <c r="Q65" s="448">
        <v>0</v>
      </c>
      <c r="R65" s="448">
        <v>0</v>
      </c>
      <c r="S65" s="448" t="s">
        <v>51</v>
      </c>
      <c r="T65" s="123"/>
      <c r="V65" s="155"/>
      <c r="X65" s="154"/>
      <c r="Y65" s="451"/>
      <c r="Z65" s="154"/>
    </row>
    <row r="66" spans="1:26" ht="15" hidden="1" customHeight="1" thickBot="1" x14ac:dyDescent="0.35">
      <c r="B66" s="52">
        <v>2</v>
      </c>
      <c r="E66" s="138" t="s">
        <v>52</v>
      </c>
      <c r="F66" s="77"/>
      <c r="G66" s="125"/>
      <c r="H66" s="82" t="str">
        <f>"Input ("&amp;CCY&amp;")"</f>
        <v>Input (EUR)</v>
      </c>
      <c r="I66" s="83"/>
      <c r="J66" s="83"/>
      <c r="K66" s="83"/>
      <c r="L66" s="86"/>
      <c r="M66" s="83"/>
      <c r="N66" s="142">
        <v>0</v>
      </c>
      <c r="O66" s="191">
        <f t="shared" ca="1" si="15"/>
        <v>7.5067646413547795E-2</v>
      </c>
      <c r="P66" s="142">
        <v>0</v>
      </c>
      <c r="Q66" s="142">
        <v>0</v>
      </c>
      <c r="R66" s="142">
        <v>0</v>
      </c>
      <c r="S66" s="142">
        <v>0</v>
      </c>
      <c r="T66" s="123"/>
      <c r="V66" s="155"/>
      <c r="W66" s="155">
        <v>5</v>
      </c>
      <c r="X66" s="154"/>
      <c r="Y66" s="451"/>
      <c r="Z66" s="154"/>
    </row>
    <row r="67" spans="1:26" ht="15" hidden="1" customHeight="1" collapsed="1" x14ac:dyDescent="0.3">
      <c r="E67" s="76"/>
      <c r="F67" s="77"/>
      <c r="G67" s="125"/>
      <c r="H67" s="109"/>
      <c r="I67" s="109"/>
      <c r="J67" s="109"/>
      <c r="K67" s="109"/>
      <c r="L67" s="109"/>
      <c r="M67" s="109"/>
      <c r="N67" s="109"/>
      <c r="O67" s="191">
        <f t="shared" ca="1" si="15"/>
        <v>7.5067646413547795E-2</v>
      </c>
      <c r="P67" s="109"/>
      <c r="Q67" s="109"/>
      <c r="R67" s="109"/>
      <c r="S67" s="109"/>
      <c r="T67" s="123"/>
      <c r="V67" s="155"/>
      <c r="X67" s="154"/>
      <c r="Y67" s="451"/>
      <c r="Z67" s="154"/>
    </row>
    <row r="68" spans="1:26" ht="15" hidden="1" customHeight="1" x14ac:dyDescent="0.3">
      <c r="E68" s="76"/>
      <c r="F68" s="77"/>
      <c r="G68" s="125"/>
      <c r="H68" s="110"/>
      <c r="I68" s="110"/>
      <c r="J68" s="110"/>
      <c r="K68" s="112" t="s">
        <v>53</v>
      </c>
      <c r="L68" s="113" t="s">
        <v>54</v>
      </c>
      <c r="M68" s="113" t="s">
        <v>55</v>
      </c>
      <c r="N68" s="195"/>
      <c r="O68" s="191">
        <f t="shared" ca="1" si="15"/>
        <v>7.5067646413547795E-2</v>
      </c>
      <c r="P68" s="195"/>
      <c r="Q68" s="195"/>
      <c r="R68" s="195"/>
      <c r="S68" s="195"/>
      <c r="T68" s="123"/>
      <c r="V68" s="155"/>
      <c r="X68" s="154"/>
      <c r="Y68" s="451"/>
      <c r="Z68" s="154"/>
    </row>
    <row r="69" spans="1:26" ht="15" hidden="1" customHeight="1" x14ac:dyDescent="0.3">
      <c r="E69" s="76"/>
      <c r="F69" s="77"/>
      <c r="G69" s="125"/>
      <c r="H69" s="82" t="s">
        <v>56</v>
      </c>
      <c r="I69" s="83"/>
      <c r="J69" s="83"/>
      <c r="K69" s="83"/>
      <c r="L69" s="115">
        <v>0</v>
      </c>
      <c r="M69" s="139">
        <v>0.15</v>
      </c>
      <c r="N69" s="72">
        <f t="shared" ref="N69:S69" si="17">N57</f>
        <v>0.08</v>
      </c>
      <c r="O69" s="191">
        <f t="shared" ca="1" si="15"/>
        <v>7.5067646413547795E-2</v>
      </c>
      <c r="P69" s="68">
        <f t="shared" si="17"/>
        <v>7.5720874469360488E-2</v>
      </c>
      <c r="Q69" s="68">
        <f t="shared" si="17"/>
        <v>7.608062836339724E-2</v>
      </c>
      <c r="R69" s="68">
        <f t="shared" si="17"/>
        <v>7.0757395550150148E-2</v>
      </c>
      <c r="S69" s="68">
        <f t="shared" si="17"/>
        <v>6.8697795469422118E-2</v>
      </c>
      <c r="T69" s="123"/>
      <c r="V69" s="155"/>
      <c r="X69" s="154"/>
      <c r="Y69" s="451"/>
      <c r="Z69" s="154"/>
    </row>
    <row r="70" spans="1:26" ht="15" hidden="1" customHeight="1" x14ac:dyDescent="0.3">
      <c r="C70" s="154">
        <v>61</v>
      </c>
      <c r="E70" s="76"/>
      <c r="F70" s="77"/>
      <c r="G70" s="125"/>
      <c r="H70" s="82" t="s">
        <v>57</v>
      </c>
      <c r="I70" s="83"/>
      <c r="J70" s="83"/>
      <c r="K70" s="83"/>
      <c r="L70" s="140">
        <v>3</v>
      </c>
      <c r="M70" s="105"/>
      <c r="N70" s="87" t="e">
        <f ca="1">_xll.BQL(TKR,"contributor_count(IS_COMP_SALES(fpo=1, fpt=A))","excelfill=b")</f>
        <v>#NAME?</v>
      </c>
      <c r="O70" s="519">
        <f t="shared" ca="1" si="15"/>
        <v>7.5067646413547795E-2</v>
      </c>
      <c r="P70" s="87" t="e">
        <f ca="1">_xll.BQL(TKR,"contributor_count(IS_COMP_SALES(fpo=3, fpt=A))","excelfill=b")</f>
        <v>#NAME?</v>
      </c>
      <c r="Q70" s="87" t="e">
        <f ca="1">_xll.BQL(TKR,"contributor_count(IS_COMP_SALES(fpo=4, fpt=A))","excelfill=b")</f>
        <v>#NAME?</v>
      </c>
      <c r="R70" s="87" t="e">
        <f ca="1">_xll.BQL(TKR,"contributor_count(IS_COMP_SALES(fpo=5, fpt=A))","excelfill=b")</f>
        <v>#NAME?</v>
      </c>
      <c r="S70" s="87" t="e">
        <f ca="1">_xll.BQL(TKR,"contributor_count(IS_COMP_SALES(fpo=6, fpt=A))","excelfill=b")</f>
        <v>#NAME?</v>
      </c>
      <c r="T70" s="123"/>
      <c r="V70" s="155"/>
      <c r="X70" s="154"/>
      <c r="Y70" s="451" t="s">
        <v>58</v>
      </c>
      <c r="Z70" s="154"/>
    </row>
    <row r="71" spans="1:26" ht="15" hidden="1" customHeight="1" x14ac:dyDescent="0.3">
      <c r="C71" s="154">
        <v>63</v>
      </c>
      <c r="E71" s="76"/>
      <c r="F71" s="77"/>
      <c r="G71" s="125"/>
      <c r="H71" s="82" t="s">
        <v>59</v>
      </c>
      <c r="I71" s="83"/>
      <c r="J71" s="83"/>
      <c r="K71" s="83"/>
      <c r="L71" s="140">
        <v>3</v>
      </c>
      <c r="M71" s="105"/>
      <c r="N71" s="87" t="e">
        <f ca="1">_xll.BDP(TKR,"BEST_LTG_EPS","BEST_CONSENSUS_STAT_OVERRIDE=NUMEST","BEST_FPERIOD_OVERRIDE",N$53,"Fill=0")</f>
        <v>#NAME?</v>
      </c>
      <c r="O71" s="519">
        <f t="shared" ca="1" si="15"/>
        <v>7.5067646413547795E-2</v>
      </c>
      <c r="P71" s="450" t="e">
        <f ca="1">N71</f>
        <v>#NAME?</v>
      </c>
      <c r="Q71" s="450" t="e">
        <f ca="1">N71</f>
        <v>#NAME?</v>
      </c>
      <c r="R71" s="450" t="e">
        <f ca="1">N71</f>
        <v>#NAME?</v>
      </c>
      <c r="S71" s="450" t="e">
        <f ca="1">N71</f>
        <v>#NAME?</v>
      </c>
      <c r="T71" s="123"/>
      <c r="V71" s="155"/>
      <c r="X71" s="154"/>
      <c r="Y71" s="451"/>
      <c r="Z71" s="154"/>
    </row>
    <row r="72" spans="1:26" ht="15" hidden="1" customHeight="1" thickBot="1" x14ac:dyDescent="0.35">
      <c r="E72" s="76"/>
      <c r="F72" s="77"/>
      <c r="G72" s="132"/>
      <c r="H72" s="133"/>
      <c r="I72" s="122"/>
      <c r="J72" s="122"/>
      <c r="K72" s="122"/>
      <c r="L72" s="122"/>
      <c r="M72" s="196"/>
      <c r="N72" s="197"/>
      <c r="O72" s="191">
        <f t="shared" ca="1" si="15"/>
        <v>7.5067646413547795E-2</v>
      </c>
      <c r="P72" s="198"/>
      <c r="Q72" s="198"/>
      <c r="R72" s="198"/>
      <c r="S72" s="198"/>
      <c r="T72" s="124"/>
      <c r="V72" s="155"/>
      <c r="X72" s="154"/>
      <c r="Y72" s="451"/>
      <c r="Z72" s="154"/>
    </row>
    <row r="73" spans="1:26" ht="5.0999999999999996" hidden="1" customHeight="1" x14ac:dyDescent="0.3">
      <c r="E73" s="76"/>
      <c r="F73" s="77"/>
      <c r="G73" s="88"/>
      <c r="H73" s="88"/>
      <c r="I73" s="76"/>
      <c r="J73" s="76"/>
      <c r="K73" s="76"/>
      <c r="L73" s="76"/>
      <c r="M73" s="199"/>
      <c r="N73" s="200"/>
      <c r="O73" s="191">
        <f t="shared" ref="O73" ca="1" si="18">IF(ISNUMBER(O$61),O$61,IF(ISNUMBER(O$62),O$62,IF(ISNUMBER(O$63),O$63,"")))</f>
        <v>7.5067646413547795E-2</v>
      </c>
      <c r="P73" s="201"/>
      <c r="Q73" s="201"/>
      <c r="R73" s="201"/>
      <c r="S73" s="201"/>
      <c r="T73" s="76"/>
      <c r="V73" s="155"/>
      <c r="X73" s="154"/>
      <c r="Y73" s="451"/>
      <c r="Z73" s="154"/>
    </row>
    <row r="74" spans="1:26" ht="15" customHeight="1" x14ac:dyDescent="0.3">
      <c r="A74" s="89"/>
      <c r="B74" s="89"/>
      <c r="C74" s="30"/>
      <c r="E74" s="154" t="s">
        <v>60</v>
      </c>
      <c r="I74" s="202">
        <v>281580</v>
      </c>
      <c r="J74" s="202">
        <v>277640</v>
      </c>
      <c r="K74" s="202">
        <v>354560</v>
      </c>
      <c r="L74" s="202">
        <v>456240</v>
      </c>
      <c r="M74" s="202">
        <v>461510</v>
      </c>
      <c r="N74" s="202">
        <f t="shared" ref="N74:S74" si="19">IF(N77=0,0,N55-N77)</f>
        <v>28194</v>
      </c>
      <c r="O74" s="202">
        <f t="shared" si="19"/>
        <v>30218.925406800001</v>
      </c>
      <c r="P74" s="202">
        <f t="shared" si="19"/>
        <v>32493.734890683176</v>
      </c>
      <c r="Q74" s="202">
        <f t="shared" si="19"/>
        <v>34671.723390560001</v>
      </c>
      <c r="R74" s="202">
        <f t="shared" si="19"/>
        <v>37218.246544214999</v>
      </c>
      <c r="S74" s="202">
        <f t="shared" si="19"/>
        <v>39805.129103040003</v>
      </c>
      <c r="T74" s="186"/>
      <c r="U74" s="442"/>
      <c r="V74" s="155"/>
      <c r="X74" s="154"/>
      <c r="Y74"/>
      <c r="Z74" s="154"/>
    </row>
    <row r="75" spans="1:26" ht="15" customHeight="1" x14ac:dyDescent="0.3">
      <c r="E75" s="154" t="s">
        <v>61</v>
      </c>
      <c r="I75" s="202">
        <f>I74</f>
        <v>281580</v>
      </c>
      <c r="J75" s="202">
        <f t="shared" ref="J75:M75" si="20">J74</f>
        <v>277640</v>
      </c>
      <c r="K75" s="202">
        <f t="shared" si="20"/>
        <v>354560</v>
      </c>
      <c r="L75" s="202">
        <f t="shared" si="20"/>
        <v>456240</v>
      </c>
      <c r="M75" s="202">
        <f t="shared" si="20"/>
        <v>461510</v>
      </c>
      <c r="N75" s="202"/>
      <c r="O75" s="202"/>
      <c r="P75" s="202"/>
      <c r="Q75" s="202"/>
      <c r="R75" s="202"/>
      <c r="S75" s="202"/>
      <c r="T75" s="186"/>
      <c r="U75" s="52"/>
      <c r="V75" s="155"/>
      <c r="X75" s="154"/>
      <c r="Y75"/>
      <c r="Z75" s="154"/>
    </row>
    <row r="76" spans="1:26" ht="15" customHeight="1" x14ac:dyDescent="0.3">
      <c r="B76" s="52">
        <v>3</v>
      </c>
      <c r="E76" s="682" t="s">
        <v>62</v>
      </c>
      <c r="F76" s="681"/>
      <c r="G76" s="30"/>
      <c r="H76" s="189"/>
      <c r="I76" s="203"/>
      <c r="J76" s="203">
        <f t="shared" ref="I76:M76" si="21">IFERROR(J74/J$55,"")</f>
        <v>0.52047090581883626</v>
      </c>
      <c r="K76" s="203">
        <f t="shared" si="21"/>
        <v>0.52099803097540187</v>
      </c>
      <c r="L76" s="203">
        <f t="shared" si="21"/>
        <v>0.53896587163766518</v>
      </c>
      <c r="M76" s="203">
        <f t="shared" si="21"/>
        <v>0.53653347594080236</v>
      </c>
      <c r="N76" s="203">
        <v>0.27</v>
      </c>
      <c r="O76" s="203">
        <v>0.27</v>
      </c>
      <c r="P76" s="203">
        <v>0.27</v>
      </c>
      <c r="Q76" s="203">
        <v>0.27</v>
      </c>
      <c r="R76" s="203">
        <v>0.27</v>
      </c>
      <c r="S76" s="203">
        <v>0.27</v>
      </c>
      <c r="T76" s="186"/>
      <c r="U76" s="442"/>
      <c r="V76" s="155"/>
      <c r="X76" s="295"/>
      <c r="Y76"/>
      <c r="Z76" s="154"/>
    </row>
    <row r="77" spans="1:26" s="175" customFormat="1" ht="15" customHeight="1" x14ac:dyDescent="0.3">
      <c r="A77" s="89"/>
      <c r="B77" s="89"/>
      <c r="C77" s="30"/>
      <c r="E77" s="472" t="s">
        <v>63</v>
      </c>
      <c r="F77" s="472"/>
      <c r="G77" s="472"/>
      <c r="H77" s="472"/>
      <c r="I77" s="518">
        <f>I55-I74</f>
        <v>268640</v>
      </c>
      <c r="J77" s="518">
        <f t="shared" ref="J77:M77" si="22">J55-J74</f>
        <v>255800</v>
      </c>
      <c r="K77" s="518">
        <f t="shared" si="22"/>
        <v>325980</v>
      </c>
      <c r="L77" s="518">
        <f t="shared" si="22"/>
        <v>390270</v>
      </c>
      <c r="M77" s="518">
        <f t="shared" si="22"/>
        <v>398660</v>
      </c>
      <c r="N77" s="518">
        <v>61664</v>
      </c>
      <c r="O77" s="518">
        <f t="shared" ref="O77:S77" si="23">O$55*O78</f>
        <v>66384.074593199999</v>
      </c>
      <c r="P77" s="518">
        <f t="shared" si="23"/>
        <v>71424.128745680457</v>
      </c>
      <c r="Q77" s="518">
        <f t="shared" si="23"/>
        <v>77152.276609439999</v>
      </c>
      <c r="R77" s="518">
        <f t="shared" si="23"/>
        <v>82518.128455784987</v>
      </c>
      <c r="S77" s="518">
        <f t="shared" si="23"/>
        <v>88156.870896960012</v>
      </c>
      <c r="T77" s="186"/>
      <c r="U77" s="443"/>
      <c r="V77" s="188"/>
      <c r="W77" s="188"/>
      <c r="X77" s="447"/>
    </row>
    <row r="78" spans="1:26" s="204" customFormat="1" ht="15" customHeight="1" thickBot="1" x14ac:dyDescent="0.35">
      <c r="A78" s="89">
        <v>13</v>
      </c>
      <c r="B78" s="89"/>
      <c r="C78" s="30"/>
      <c r="E78" s="680" t="s">
        <v>10</v>
      </c>
      <c r="F78" s="205"/>
      <c r="G78" s="30"/>
      <c r="H78" s="364" t="s">
        <v>44</v>
      </c>
      <c r="I78" s="206">
        <f t="shared" ref="I78:M78" si="24">IF(ISERROR(I77/I$55),"",I77/I$55)</f>
        <v>0.48824106720947985</v>
      </c>
      <c r="J78" s="206">
        <f t="shared" si="24"/>
        <v>0.47952909418116374</v>
      </c>
      <c r="K78" s="206">
        <f t="shared" si="24"/>
        <v>0.47900196902459813</v>
      </c>
      <c r="L78" s="206">
        <f t="shared" si="24"/>
        <v>0.46103412836233476</v>
      </c>
      <c r="M78" s="206">
        <f t="shared" si="24"/>
        <v>0.46346652405919758</v>
      </c>
      <c r="N78" s="206">
        <f t="shared" ref="N78:S78" ca="1" si="25">IF(ISNUMBER(N$82),N$82,IF(ISNUMBER(N$83),N$83,""))</f>
        <v>0.46346652405919758</v>
      </c>
      <c r="O78" s="206">
        <f t="shared" si="25"/>
        <v>0.68718440000000003</v>
      </c>
      <c r="P78" s="206">
        <f t="shared" si="25"/>
        <v>0.68731329000000008</v>
      </c>
      <c r="Q78" s="206">
        <f t="shared" si="25"/>
        <v>0.68994381000000005</v>
      </c>
      <c r="R78" s="206">
        <f t="shared" si="25"/>
        <v>0.68916507999999999</v>
      </c>
      <c r="S78" s="206">
        <f t="shared" si="25"/>
        <v>0.68893008</v>
      </c>
      <c r="T78" s="186"/>
      <c r="U78" s="444"/>
      <c r="V78" s="155">
        <v>8</v>
      </c>
      <c r="W78" s="155">
        <v>4</v>
      </c>
    </row>
    <row r="79" spans="1:26" s="204" customFormat="1" ht="5.0999999999999996" hidden="1" customHeight="1" x14ac:dyDescent="0.3">
      <c r="A79" s="208"/>
      <c r="B79" s="208"/>
      <c r="E79" s="205"/>
      <c r="F79" s="205"/>
      <c r="G79" s="205"/>
      <c r="H79" s="193"/>
      <c r="I79" s="206"/>
      <c r="J79" s="206"/>
      <c r="K79" s="206"/>
      <c r="L79" s="206"/>
      <c r="M79" s="206"/>
      <c r="N79" s="206"/>
      <c r="O79" s="206"/>
      <c r="P79" s="206"/>
      <c r="Q79" s="206"/>
      <c r="R79" s="206"/>
      <c r="S79" s="206"/>
      <c r="T79" s="186"/>
      <c r="U79" s="207"/>
      <c r="V79" s="209"/>
      <c r="W79" s="209"/>
    </row>
    <row r="80" spans="1:26" s="204" customFormat="1" ht="15" hidden="1" customHeight="1" x14ac:dyDescent="0.3">
      <c r="A80" s="208"/>
      <c r="B80" s="208"/>
      <c r="E80" s="205"/>
      <c r="F80" s="205"/>
      <c r="G80" s="210"/>
      <c r="H80" s="211"/>
      <c r="I80" s="212"/>
      <c r="J80" s="212"/>
      <c r="K80" s="212"/>
      <c r="L80" s="212"/>
      <c r="M80" s="212"/>
      <c r="N80" s="213" t="e">
        <f ca="1" xml:space="preserve"> IF($N$82&lt;&gt;"", 1,2)</f>
        <v>#NAME?</v>
      </c>
      <c r="O80" s="213">
        <f xml:space="preserve"> IF($O$82&lt;&gt;"", 1,2)</f>
        <v>1</v>
      </c>
      <c r="P80" s="213">
        <f xml:space="preserve"> IF($P$82&lt;&gt;"", 1,2)</f>
        <v>1</v>
      </c>
      <c r="Q80" s="213">
        <f xml:space="preserve"> IF($Q$82&lt;&gt;"", 1,2)</f>
        <v>1</v>
      </c>
      <c r="R80" s="213">
        <f xml:space="preserve"> IF($R$82&lt;&gt;"", 1,2)</f>
        <v>1</v>
      </c>
      <c r="S80" s="213">
        <f xml:space="preserve"> IF($S$82&lt;&gt;"", 1,2)</f>
        <v>1</v>
      </c>
      <c r="T80" s="214"/>
      <c r="U80" s="207"/>
      <c r="V80" s="209"/>
      <c r="W80" s="209"/>
    </row>
    <row r="81" spans="1:31" s="204" customFormat="1" ht="15" hidden="1" customHeight="1" x14ac:dyDescent="0.3">
      <c r="A81" s="208"/>
      <c r="B81" s="208"/>
      <c r="E81" s="205"/>
      <c r="F81" s="205"/>
      <c r="G81" s="215"/>
      <c r="H81" s="97"/>
      <c r="I81" s="97"/>
      <c r="J81" s="97"/>
      <c r="K81" s="97"/>
      <c r="L81" s="97"/>
      <c r="M81" s="97"/>
      <c r="N81" s="98" t="s">
        <v>46</v>
      </c>
      <c r="O81" s="98"/>
      <c r="P81" s="98"/>
      <c r="Q81" s="98"/>
      <c r="R81" s="98"/>
      <c r="S81" s="98"/>
      <c r="T81" s="216"/>
      <c r="U81" s="207"/>
      <c r="V81" s="209"/>
      <c r="W81" s="209"/>
      <c r="Y81" s="455"/>
      <c r="Z81" s="455"/>
      <c r="AA81" s="455"/>
      <c r="AB81" s="455"/>
      <c r="AC81" s="455"/>
      <c r="AD81" s="455"/>
    </row>
    <row r="82" spans="1:31" s="204" customFormat="1" ht="15" hidden="1" customHeight="1" x14ac:dyDescent="0.3">
      <c r="A82" s="208"/>
      <c r="B82" s="208">
        <v>1</v>
      </c>
      <c r="E82" s="205"/>
      <c r="F82" s="205"/>
      <c r="G82" s="215"/>
      <c r="H82" s="82" t="s">
        <v>64</v>
      </c>
      <c r="I82" s="83"/>
      <c r="J82" s="83"/>
      <c r="K82" s="83"/>
      <c r="L82" s="83"/>
      <c r="M82" s="83"/>
      <c r="N82" s="84" t="e">
        <f ca="1">_xll.BQL(TKR,"GROSS_MARGIN/100","FPT=A","FPO=RANGE(1,6)","showids=false","transpose=t","showheaders=false","showdates=false","excelfill=b","currency",CCY,"cols=6;rows=1")</f>
        <v>#NAME?</v>
      </c>
      <c r="O82" s="84">
        <v>0.68718440000000003</v>
      </c>
      <c r="P82" s="84">
        <v>0.68731329000000008</v>
      </c>
      <c r="Q82" s="84">
        <v>0.68994381000000005</v>
      </c>
      <c r="R82" s="84">
        <v>0.68916507999999999</v>
      </c>
      <c r="S82" s="84">
        <v>0.68893008</v>
      </c>
      <c r="T82" s="216"/>
      <c r="U82" s="207"/>
      <c r="V82" s="209"/>
      <c r="W82" s="209"/>
      <c r="Y82" s="175"/>
      <c r="Z82" s="454"/>
      <c r="AA82" s="454"/>
      <c r="AB82" s="454"/>
      <c r="AC82" s="454"/>
      <c r="AD82" s="454"/>
      <c r="AE82" s="454"/>
    </row>
    <row r="83" spans="1:31" s="204" customFormat="1" ht="15" hidden="1" customHeight="1" x14ac:dyDescent="0.3">
      <c r="A83" s="208"/>
      <c r="B83" s="208">
        <v>1</v>
      </c>
      <c r="E83" s="205"/>
      <c r="F83" s="205"/>
      <c r="G83" s="215"/>
      <c r="H83" s="82" t="s">
        <v>65</v>
      </c>
      <c r="I83" s="83"/>
      <c r="J83" s="83"/>
      <c r="K83" s="83"/>
      <c r="L83" s="83"/>
      <c r="M83" s="83"/>
      <c r="N83" s="84">
        <f t="shared" ref="N83:S83" si="26">IF(ISBLANK(M78),"",M78)</f>
        <v>0.46346652405919758</v>
      </c>
      <c r="O83" s="84">
        <f t="shared" ca="1" si="26"/>
        <v>0.46346652405919758</v>
      </c>
      <c r="P83" s="84">
        <f t="shared" si="26"/>
        <v>0.68718440000000003</v>
      </c>
      <c r="Q83" s="84">
        <f t="shared" si="26"/>
        <v>0.68731329000000008</v>
      </c>
      <c r="R83" s="84">
        <f t="shared" si="26"/>
        <v>0.68994381000000005</v>
      </c>
      <c r="S83" s="84">
        <f t="shared" si="26"/>
        <v>0.68916507999999999</v>
      </c>
      <c r="T83" s="216"/>
      <c r="U83" s="207"/>
      <c r="V83" s="209"/>
      <c r="W83" s="209"/>
    </row>
    <row r="84" spans="1:31" s="204" customFormat="1" ht="15" hidden="1" customHeight="1" x14ac:dyDescent="0.3">
      <c r="A84" s="208"/>
      <c r="B84" s="208"/>
      <c r="E84" s="205"/>
      <c r="F84" s="205"/>
      <c r="G84" s="215"/>
      <c r="H84" s="217"/>
      <c r="I84" s="217"/>
      <c r="J84" s="217"/>
      <c r="K84" s="217"/>
      <c r="L84" s="217"/>
      <c r="M84" s="217"/>
      <c r="N84" s="217"/>
      <c r="O84" s="217"/>
      <c r="P84" s="217"/>
      <c r="Q84" s="217"/>
      <c r="R84" s="217"/>
      <c r="S84" s="217"/>
      <c r="T84" s="218"/>
      <c r="U84" s="207"/>
      <c r="V84" s="209"/>
      <c r="W84" s="209"/>
    </row>
    <row r="85" spans="1:31" s="204" customFormat="1" ht="15" hidden="1" customHeight="1" thickBot="1" x14ac:dyDescent="0.35">
      <c r="A85" s="208"/>
      <c r="B85" s="208">
        <v>2</v>
      </c>
      <c r="E85" s="138" t="s">
        <v>66</v>
      </c>
      <c r="F85" s="205"/>
      <c r="G85" s="215"/>
      <c r="H85" s="82" t="s">
        <v>67</v>
      </c>
      <c r="I85" s="83"/>
      <c r="J85" s="83"/>
      <c r="K85" s="83"/>
      <c r="L85" s="83"/>
      <c r="M85" s="83"/>
      <c r="N85" s="448">
        <v>0</v>
      </c>
      <c r="O85" s="448">
        <v>0</v>
      </c>
      <c r="P85" s="448">
        <v>0</v>
      </c>
      <c r="Q85" s="448">
        <v>0</v>
      </c>
      <c r="R85" s="448">
        <v>0</v>
      </c>
      <c r="S85" s="448">
        <v>0.17</v>
      </c>
      <c r="T85" s="216"/>
      <c r="U85" s="207"/>
      <c r="V85" s="209"/>
      <c r="W85" s="209">
        <v>4</v>
      </c>
    </row>
    <row r="86" spans="1:31" s="204" customFormat="1" ht="15" hidden="1" customHeight="1" collapsed="1" x14ac:dyDescent="0.3">
      <c r="A86" s="208"/>
      <c r="B86" s="208"/>
      <c r="E86" s="205"/>
      <c r="F86" s="205"/>
      <c r="G86" s="215"/>
      <c r="H86" s="100"/>
      <c r="I86" s="100"/>
      <c r="J86" s="100"/>
      <c r="K86" s="100"/>
      <c r="L86" s="100"/>
      <c r="M86" s="100"/>
      <c r="N86" s="219"/>
      <c r="O86" s="219"/>
      <c r="P86" s="219"/>
      <c r="Q86" s="219"/>
      <c r="R86" s="219"/>
      <c r="S86" s="219"/>
      <c r="T86" s="216"/>
      <c r="U86" s="207"/>
      <c r="V86" s="209"/>
      <c r="W86" s="209"/>
    </row>
    <row r="87" spans="1:31" s="204" customFormat="1" ht="15" hidden="1" customHeight="1" x14ac:dyDescent="0.3">
      <c r="A87" s="208"/>
      <c r="B87" s="208"/>
      <c r="E87" s="205"/>
      <c r="F87" s="205"/>
      <c r="G87" s="215"/>
      <c r="H87" s="102"/>
      <c r="I87" s="102"/>
      <c r="J87" s="102"/>
      <c r="K87" s="103" t="s">
        <v>53</v>
      </c>
      <c r="L87" s="104" t="s">
        <v>54</v>
      </c>
      <c r="M87" s="104" t="s">
        <v>55</v>
      </c>
      <c r="N87" s="220"/>
      <c r="O87" s="220"/>
      <c r="P87" s="220"/>
      <c r="Q87" s="220"/>
      <c r="R87" s="220"/>
      <c r="S87" s="220"/>
      <c r="T87" s="216"/>
      <c r="U87" s="207"/>
      <c r="V87" s="209"/>
      <c r="W87" s="209"/>
    </row>
    <row r="88" spans="1:31" s="204" customFormat="1" ht="15" hidden="1" customHeight="1" x14ac:dyDescent="0.3">
      <c r="A88" s="208"/>
      <c r="B88" s="208"/>
      <c r="C88" s="154"/>
      <c r="E88" s="205"/>
      <c r="F88" s="205"/>
      <c r="G88" s="215"/>
      <c r="H88" s="82" t="s">
        <v>68</v>
      </c>
      <c r="I88" s="83"/>
      <c r="J88" s="83"/>
      <c r="K88" s="83"/>
      <c r="L88" s="115">
        <v>-0.05</v>
      </c>
      <c r="M88" s="473">
        <v>0.05</v>
      </c>
      <c r="N88" s="72">
        <f t="shared" ref="N88:S88" ca="1" si="27">IFERROR(N78-M78,"NA")</f>
        <v>0</v>
      </c>
      <c r="O88" s="69">
        <f t="shared" ca="1" si="27"/>
        <v>0.22371787594080245</v>
      </c>
      <c r="P88" s="69">
        <f t="shared" si="27"/>
        <v>1.2889000000004813E-4</v>
      </c>
      <c r="Q88" s="69">
        <f t="shared" si="27"/>
        <v>2.6305199999999695E-3</v>
      </c>
      <c r="R88" s="69">
        <f t="shared" si="27"/>
        <v>-7.7873000000006076E-4</v>
      </c>
      <c r="S88" s="69">
        <f t="shared" si="27"/>
        <v>-2.3499999999998522E-4</v>
      </c>
      <c r="T88" s="216"/>
      <c r="U88" s="207"/>
      <c r="V88" s="209"/>
      <c r="W88" s="209"/>
    </row>
    <row r="89" spans="1:31" s="204" customFormat="1" ht="15" hidden="1" customHeight="1" x14ac:dyDescent="0.3">
      <c r="A89" s="208"/>
      <c r="B89" s="208"/>
      <c r="C89" s="154">
        <v>82</v>
      </c>
      <c r="E89" s="205"/>
      <c r="F89" s="205"/>
      <c r="G89" s="215"/>
      <c r="H89" s="82" t="s">
        <v>69</v>
      </c>
      <c r="I89" s="83"/>
      <c r="J89" s="83"/>
      <c r="K89" s="83"/>
      <c r="L89" s="114">
        <v>3</v>
      </c>
      <c r="M89" s="105"/>
      <c r="N89" s="87" t="e">
        <f ca="1">_xll.BDP(TKR,"BEST_GROSS_MARGIN","BEST_CONSENSUS_STAT_OVERRIDE=NUMEST","BEST_FPERIOD_OVERRIDE",N$53,"Fill=0")</f>
        <v>#NAME?</v>
      </c>
      <c r="O89" s="87" t="e">
        <f ca="1">_xll.BDP(TKR,"BEST_GROSS_MARGIN","BEST_CONSENSUS_STAT_OVERRIDE=NUMEST","BEST_FPERIOD_OVERRIDE",O$53,"Fill=0")</f>
        <v>#NAME?</v>
      </c>
      <c r="P89" s="87" t="e">
        <f ca="1">_xll.BDP(TKR,"BEST_GROSS_MARGIN","BEST_CONSENSUS_STAT_OVERRIDE=NUMEST","BEST_FPERIOD_OVERRIDE",P$53,"Fill=0")</f>
        <v>#NAME?</v>
      </c>
      <c r="Q89" s="87" t="e">
        <f ca="1">_xll.BDP(TKR,"BEST_GROSS_MARGIN","BEST_CONSENSUS_STAT_OVERRIDE=NUMEST","BEST_FPERIOD_OVERRIDE",Q$53,"Fill=0")</f>
        <v>#NAME?</v>
      </c>
      <c r="R89" s="87" t="e">
        <f ca="1">_xll.BDP(TKR,"BEST_GROSS_MARGIN","BEST_CONSENSUS_STAT_OVERRIDE=NUMEST","BEST_FPERIOD_OVERRIDE",R$53,"Fill=0")</f>
        <v>#NAME?</v>
      </c>
      <c r="S89" s="87" t="e">
        <f ca="1">_xll.BDP(TKR,"BEST_GROSS_MARGIN","BEST_CONSENSUS_STAT_OVERRIDE=NUMEST","BEST_FPERIOD_OVERRIDE",S$53,"Fill=0")</f>
        <v>#NAME?</v>
      </c>
      <c r="T89" s="216"/>
      <c r="U89" s="207"/>
      <c r="V89" s="209"/>
      <c r="W89" s="209"/>
    </row>
    <row r="90" spans="1:31" s="204" customFormat="1" ht="15" hidden="1" customHeight="1" thickBot="1" x14ac:dyDescent="0.35">
      <c r="A90" s="208"/>
      <c r="B90" s="208"/>
      <c r="E90" s="205"/>
      <c r="F90" s="205"/>
      <c r="G90" s="215"/>
      <c r="H90" s="99"/>
      <c r="I90" s="100"/>
      <c r="J90" s="100"/>
      <c r="K90" s="100"/>
      <c r="L90" s="101"/>
      <c r="M90" s="221"/>
      <c r="N90" s="222"/>
      <c r="O90" s="222"/>
      <c r="P90" s="222"/>
      <c r="Q90" s="222"/>
      <c r="R90" s="222"/>
      <c r="S90" s="222"/>
      <c r="T90" s="223"/>
      <c r="U90" s="207"/>
      <c r="V90" s="209"/>
      <c r="W90" s="209"/>
    </row>
    <row r="91" spans="1:31" s="204" customFormat="1" ht="5.0999999999999996" hidden="1" customHeight="1" x14ac:dyDescent="0.3">
      <c r="A91" s="208"/>
      <c r="B91" s="208"/>
      <c r="E91" s="205"/>
      <c r="F91" s="205"/>
      <c r="G91" s="224"/>
      <c r="H91" s="90"/>
      <c r="I91" s="91"/>
      <c r="J91" s="91"/>
      <c r="K91" s="91"/>
      <c r="L91" s="92"/>
      <c r="M91" s="225"/>
      <c r="N91" s="226"/>
      <c r="O91" s="226"/>
      <c r="P91" s="226"/>
      <c r="Q91" s="226"/>
      <c r="R91" s="226"/>
      <c r="S91" s="226"/>
      <c r="T91" s="227"/>
      <c r="U91" s="207"/>
      <c r="V91" s="209"/>
      <c r="W91" s="209"/>
    </row>
    <row r="92" spans="1:31" ht="15" customHeight="1" x14ac:dyDescent="0.3">
      <c r="A92" s="89"/>
      <c r="B92" s="89"/>
      <c r="C92" s="30"/>
      <c r="E92" s="154" t="s">
        <v>70</v>
      </c>
      <c r="I92" s="228">
        <f t="shared" ref="I92:M92" si="28">IF(AND(I74=0,I77=0),IFERROR(I55-I110,""),IFERROR(I77-I110,""))</f>
        <v>224620</v>
      </c>
      <c r="J92" s="228">
        <f t="shared" si="28"/>
        <v>234880</v>
      </c>
      <c r="K92" s="228">
        <f t="shared" si="28"/>
        <v>270270</v>
      </c>
      <c r="L92" s="228">
        <f t="shared" si="28"/>
        <v>326210</v>
      </c>
      <c r="M92" s="228">
        <f t="shared" si="28"/>
        <v>336500</v>
      </c>
      <c r="N92" s="202">
        <v>23854</v>
      </c>
      <c r="O92" s="228">
        <v>25446</v>
      </c>
      <c r="P92" s="228">
        <v>27386</v>
      </c>
      <c r="Q92" s="228">
        <v>29763</v>
      </c>
      <c r="R92" s="228">
        <v>31776</v>
      </c>
      <c r="S92" s="228">
        <v>33929</v>
      </c>
      <c r="T92" s="163"/>
      <c r="U92" s="52"/>
      <c r="V92" s="155"/>
      <c r="X92" s="154"/>
      <c r="Y92"/>
      <c r="Z92" s="154"/>
    </row>
    <row r="93" spans="1:31" s="204" customFormat="1" ht="15" customHeight="1" thickBot="1" x14ac:dyDescent="0.35">
      <c r="A93" s="89">
        <v>15</v>
      </c>
      <c r="B93" s="89"/>
      <c r="C93" s="30"/>
      <c r="E93" s="683" t="s">
        <v>62</v>
      </c>
      <c r="F93" s="229"/>
      <c r="G93" s="30"/>
      <c r="H93" s="364" t="s">
        <v>44</v>
      </c>
      <c r="I93" s="206">
        <f t="shared" ref="I93:M93" si="29">IF(ISERROR(I92/I$55),"",I92/I$55)</f>
        <v>0.40823670531787287</v>
      </c>
      <c r="J93" s="206">
        <f t="shared" si="29"/>
        <v>0.4403119376124775</v>
      </c>
      <c r="K93" s="206">
        <f t="shared" si="29"/>
        <v>0.39714050606871015</v>
      </c>
      <c r="L93" s="206">
        <f t="shared" si="29"/>
        <v>0.38535870810740569</v>
      </c>
      <c r="M93" s="206">
        <f t="shared" si="29"/>
        <v>0.39120173919109014</v>
      </c>
      <c r="N93" s="206">
        <f t="shared" ref="N93:S93" ca="1" si="30">IF(ISNUMBER(N$97),N$97,IF(ISNUMBER(N$98),N$98,""))</f>
        <v>0.39120173919109014</v>
      </c>
      <c r="O93" s="206">
        <f t="shared" ca="1" si="30"/>
        <v>0.39120173919109014</v>
      </c>
      <c r="P93" s="206">
        <f t="shared" ca="1" si="30"/>
        <v>0.39120173919109014</v>
      </c>
      <c r="Q93" s="206">
        <f t="shared" ca="1" si="30"/>
        <v>0.39120173919109014</v>
      </c>
      <c r="R93" s="206">
        <f t="shared" ca="1" si="30"/>
        <v>0.39120173919109014</v>
      </c>
      <c r="S93" s="206">
        <f t="shared" ca="1" si="30"/>
        <v>0.39120173919109014</v>
      </c>
      <c r="T93" s="163"/>
      <c r="U93" s="207"/>
      <c r="V93" s="155">
        <v>8</v>
      </c>
      <c r="W93" s="155">
        <v>6</v>
      </c>
    </row>
    <row r="94" spans="1:31" s="204" customFormat="1" ht="5.0999999999999996" hidden="1" customHeight="1" x14ac:dyDescent="0.3">
      <c r="A94" s="208"/>
      <c r="B94" s="208"/>
      <c r="E94" s="205"/>
      <c r="F94" s="205"/>
      <c r="G94" s="205"/>
      <c r="H94" s="193"/>
      <c r="I94" s="206"/>
      <c r="J94" s="206"/>
      <c r="K94" s="206"/>
      <c r="L94" s="206"/>
      <c r="M94" s="206"/>
      <c r="N94" s="206"/>
      <c r="O94" s="206"/>
      <c r="P94" s="206"/>
      <c r="Q94" s="206"/>
      <c r="R94" s="206"/>
      <c r="S94" s="206"/>
      <c r="T94" s="186"/>
      <c r="U94" s="207"/>
      <c r="V94" s="209"/>
      <c r="W94" s="209"/>
    </row>
    <row r="95" spans="1:31" s="204" customFormat="1" ht="15" hidden="1" customHeight="1" x14ac:dyDescent="0.3">
      <c r="A95" s="208"/>
      <c r="B95" s="208"/>
      <c r="E95" s="205"/>
      <c r="F95" s="205"/>
      <c r="G95" s="230"/>
      <c r="H95" s="231"/>
      <c r="I95" s="232"/>
      <c r="J95" s="232"/>
      <c r="K95" s="232"/>
      <c r="L95" s="232"/>
      <c r="M95" s="232"/>
      <c r="N95" s="233">
        <f ca="1" xml:space="preserve"> IF($N$97&lt;&gt;"", 1,2)</f>
        <v>2</v>
      </c>
      <c r="O95" s="233">
        <f ca="1" xml:space="preserve"> IF($O$97&lt;&gt;"", 1,2)</f>
        <v>2</v>
      </c>
      <c r="P95" s="233">
        <f ca="1" xml:space="preserve"> IF($P$97&lt;&gt;"", 1,2)</f>
        <v>2</v>
      </c>
      <c r="Q95" s="233">
        <f ca="1" xml:space="preserve"> IF($Q$97&lt;&gt;"", 1,2)</f>
        <v>2</v>
      </c>
      <c r="R95" s="233">
        <f ca="1" xml:space="preserve"> IF($R$97&lt;&gt;"", 1,2)</f>
        <v>2</v>
      </c>
      <c r="S95" s="233">
        <f ca="1" xml:space="preserve"> IF($S$97&lt;&gt;"", 1,2)</f>
        <v>2</v>
      </c>
      <c r="T95" s="234"/>
      <c r="U95" s="207"/>
      <c r="V95" s="209"/>
      <c r="W95" s="209"/>
    </row>
    <row r="96" spans="1:31" s="204" customFormat="1" ht="15" hidden="1" customHeight="1" x14ac:dyDescent="0.3">
      <c r="A96" s="208"/>
      <c r="B96" s="208"/>
      <c r="E96" s="205"/>
      <c r="F96" s="205"/>
      <c r="G96" s="235"/>
      <c r="H96" s="106"/>
      <c r="I96" s="106"/>
      <c r="J96" s="106"/>
      <c r="K96" s="106"/>
      <c r="L96" s="106"/>
      <c r="M96" s="106"/>
      <c r="N96" s="107" t="s">
        <v>46</v>
      </c>
      <c r="O96" s="107"/>
      <c r="P96" s="107"/>
      <c r="Q96" s="107"/>
      <c r="R96" s="107"/>
      <c r="S96" s="107"/>
      <c r="T96" s="236"/>
      <c r="U96" s="207"/>
      <c r="V96" s="209"/>
      <c r="W96" s="209"/>
      <c r="Y96" s="204" t="s">
        <v>71</v>
      </c>
    </row>
    <row r="97" spans="1:30" s="204" customFormat="1" ht="15" hidden="1" customHeight="1" x14ac:dyDescent="0.3">
      <c r="A97" s="208"/>
      <c r="B97" s="208">
        <v>1</v>
      </c>
      <c r="E97" s="205"/>
      <c r="F97" s="205"/>
      <c r="G97" s="235"/>
      <c r="H97" s="82" t="s">
        <v>72</v>
      </c>
      <c r="I97" s="83"/>
      <c r="J97" s="83"/>
      <c r="K97" s="83"/>
      <c r="L97" s="83"/>
      <c r="M97" s="83"/>
      <c r="N97" s="93" t="str">
        <f ca="1">IFERROR((_xll.BDP(TKR,"BEST_SALES","BEST_FPERIOD_OVERRIDE",N$53,"EQY_FUND_CRNCY",CCY)*(_xll.BDP(TKR,"BEST_GROSS_MARGIN","BEST_FPERIOD_OVERRIDE",N$53,"EQY_FUND_CRNCY",CCY)/100)-_xll.BDP(TKR,"BEST_OPP","BEST_FPERIOD_OVERRIDE",N$53,"EQY_FUND_CRNCY",CCY))/_xll.BDP(TKR,"BEST_SALES","BEST_FPERIOD_OVERRIDE",N$53,"EQY_FUND_CRNCY",CCY),"")</f>
        <v/>
      </c>
      <c r="O97" s="93" t="str">
        <f ca="1">IFERROR((_xll.BDP(TKR,"BEST_SALES","BEST_FPERIOD_OVERRIDE",O$53,"EQY_FUND_CRNCY",CCY)*(_xll.BDP(TKR,"BEST_GROSS_MARGIN","BEST_FPERIOD_OVERRIDE",O$53,"EQY_FUND_CRNCY",CCY)/100)-_xll.BDP(TKR,"BEST_OPP","BEST_FPERIOD_OVERRIDE",O$53,"EQY_FUND_CRNCY",CCY))/_xll.BDP(TKR,"BEST_SALES","BEST_FPERIOD_OVERRIDE",O$53,"EQY_FUND_CRNCY",CCY),"")</f>
        <v/>
      </c>
      <c r="P97" s="93" t="str">
        <f ca="1">IFERROR((_xll.BDP(TKR,"BEST_SALES","BEST_FPERIOD_OVERRIDE",P$53,"EQY_FUND_CRNCY",CCY)*(_xll.BDP(TKR,"BEST_GROSS_MARGIN","BEST_FPERIOD_OVERRIDE",P$53,"EQY_FUND_CRNCY",CCY)/100)-_xll.BDP(TKR,"BEST_OPP","BEST_FPERIOD_OVERRIDE",P$53,"EQY_FUND_CRNCY",CCY))/_xll.BDP(TKR,"BEST_SALES","BEST_FPERIOD_OVERRIDE",P$53,"EQY_FUND_CRNCY",CCY),"")</f>
        <v/>
      </c>
      <c r="Q97" s="93" t="str">
        <f ca="1">IFERROR((_xll.BDP(TKR,"BEST_SALES","BEST_FPERIOD_OVERRIDE",Q$53,"EQY_FUND_CRNCY",CCY)*(_xll.BDP(TKR,"BEST_GROSS_MARGIN","BEST_FPERIOD_OVERRIDE",Q$53,"EQY_FUND_CRNCY",CCY)/100)-_xll.BDP(TKR,"BEST_OPP","BEST_FPERIOD_OVERRIDE",Q$53,"EQY_FUND_CRNCY",CCY))/_xll.BDP(TKR,"BEST_SALES","BEST_FPERIOD_OVERRIDE",Q$53,"EQY_FUND_CRNCY",CCY),"")</f>
        <v/>
      </c>
      <c r="R97" s="93" t="str">
        <f ca="1">IFERROR((_xll.BDP(TKR,"BEST_SALES","BEST_FPERIOD_OVERRIDE",R$53,"EQY_FUND_CRNCY",CCY)*(_xll.BDP(TKR,"BEST_GROSS_MARGIN","BEST_FPERIOD_OVERRIDE",R$53,"EQY_FUND_CRNCY",CCY)/100)-_xll.BDP(TKR,"BEST_OPP","BEST_FPERIOD_OVERRIDE",R$53,"EQY_FUND_CRNCY",CCY))/_xll.BDP(TKR,"BEST_SALES","BEST_FPERIOD_OVERRIDE",R$53,"EQY_FUND_CRNCY",CCY),"")</f>
        <v/>
      </c>
      <c r="S97" s="93" t="str">
        <f ca="1">IFERROR((_xll.BDP(TKR,"BEST_SALES","BEST_FPERIOD_OVERRIDE",S$53,"EQY_FUND_CRNCY",CCY)*(_xll.BDP(TKR,"BEST_GROSS_MARGIN","BEST_FPERIOD_OVERRIDE",S$53,"EQY_FUND_CRNCY",CCY)/100)-_xll.BDP(TKR,"BEST_OPP","BEST_FPERIOD_OVERRIDE",S$53,"EQY_FUND_CRNCY",CCY))/_xll.BDP(TKR,"BEST_SALES","BEST_FPERIOD_OVERRIDE",S$53,"EQY_FUND_CRNCY",CCY),"")</f>
        <v/>
      </c>
      <c r="T97" s="237"/>
      <c r="U97" s="207"/>
      <c r="V97" s="209"/>
      <c r="W97" s="456"/>
      <c r="Y97" s="458" t="e">
        <f ca="1">_xll.BQL(TKR,"GROSS_MARGIN/100-IS_OPERATING_EXPN/SALES_REV_TURN/1000000","FPT=A","FPO=RANGE(1,6)","showids=false","transpose=t","showheaders=false","showdates=false","excelfill=b","currency",CCY,"FA_ADJUSTED",ADJ,"cols=6;rows=1")</f>
        <v>#NAME?</v>
      </c>
      <c r="Z97" s="457"/>
      <c r="AA97" s="454"/>
      <c r="AB97" s="454"/>
      <c r="AC97" s="454"/>
      <c r="AD97" s="454"/>
    </row>
    <row r="98" spans="1:30" s="204" customFormat="1" ht="15" hidden="1" customHeight="1" x14ac:dyDescent="0.3">
      <c r="A98" s="208"/>
      <c r="B98" s="208">
        <v>1</v>
      </c>
      <c r="E98" s="205"/>
      <c r="F98" s="205"/>
      <c r="G98" s="235"/>
      <c r="H98" s="82" t="s">
        <v>73</v>
      </c>
      <c r="I98" s="83"/>
      <c r="J98" s="83"/>
      <c r="K98" s="83"/>
      <c r="L98" s="83"/>
      <c r="M98" s="83"/>
      <c r="N98" s="84">
        <f t="shared" ref="N98:S98" si="31">IF(ISBLANK(M93),"",M93)</f>
        <v>0.39120173919109014</v>
      </c>
      <c r="O98" s="84">
        <f t="shared" ca="1" si="31"/>
        <v>0.39120173919109014</v>
      </c>
      <c r="P98" s="84">
        <f t="shared" ca="1" si="31"/>
        <v>0.39120173919109014</v>
      </c>
      <c r="Q98" s="84">
        <f t="shared" ca="1" si="31"/>
        <v>0.39120173919109014</v>
      </c>
      <c r="R98" s="84">
        <f t="shared" ca="1" si="31"/>
        <v>0.39120173919109014</v>
      </c>
      <c r="S98" s="84">
        <f t="shared" ca="1" si="31"/>
        <v>0.39120173919109014</v>
      </c>
      <c r="T98" s="237"/>
      <c r="U98" s="207"/>
      <c r="V98" s="209"/>
      <c r="W98" s="209"/>
    </row>
    <row r="99" spans="1:30" s="204" customFormat="1" ht="15" hidden="1" customHeight="1" x14ac:dyDescent="0.3">
      <c r="A99" s="208"/>
      <c r="B99" s="208"/>
      <c r="E99" s="205"/>
      <c r="F99" s="205"/>
      <c r="G99" s="235"/>
      <c r="H99" s="231"/>
      <c r="I99" s="231"/>
      <c r="J99" s="231"/>
      <c r="K99" s="231"/>
      <c r="L99" s="231"/>
      <c r="M99" s="231"/>
      <c r="N99" s="231"/>
      <c r="O99" s="231"/>
      <c r="P99" s="231"/>
      <c r="Q99" s="231"/>
      <c r="R99" s="231"/>
      <c r="S99" s="231"/>
      <c r="T99" s="237"/>
      <c r="U99" s="207"/>
      <c r="V99" s="209"/>
      <c r="W99" s="209"/>
    </row>
    <row r="100" spans="1:30" s="204" customFormat="1" ht="15" hidden="1" customHeight="1" thickBot="1" x14ac:dyDescent="0.35">
      <c r="A100" s="208"/>
      <c r="B100" s="208">
        <v>2</v>
      </c>
      <c r="E100" s="138" t="s">
        <v>52</v>
      </c>
      <c r="F100" s="205"/>
      <c r="G100" s="235"/>
      <c r="H100" s="82" t="s">
        <v>67</v>
      </c>
      <c r="I100" s="83"/>
      <c r="J100" s="83"/>
      <c r="K100" s="83"/>
      <c r="L100" s="83"/>
      <c r="M100" s="83"/>
      <c r="N100" s="448">
        <v>0</v>
      </c>
      <c r="O100" s="448">
        <v>0</v>
      </c>
      <c r="P100" s="448">
        <v>0</v>
      </c>
      <c r="Q100" s="448">
        <v>0</v>
      </c>
      <c r="R100" s="448">
        <v>0</v>
      </c>
      <c r="S100" s="448">
        <v>0</v>
      </c>
      <c r="T100" s="237"/>
      <c r="U100" s="207"/>
      <c r="V100" s="209"/>
      <c r="W100" s="209">
        <v>6</v>
      </c>
    </row>
    <row r="101" spans="1:30" s="204" customFormat="1" ht="15" hidden="1" customHeight="1" collapsed="1" x14ac:dyDescent="0.3">
      <c r="A101" s="208"/>
      <c r="B101" s="208"/>
      <c r="E101" s="205"/>
      <c r="F101" s="205"/>
      <c r="G101" s="235"/>
      <c r="H101" s="109"/>
      <c r="I101" s="109"/>
      <c r="J101" s="109"/>
      <c r="K101" s="109"/>
      <c r="L101" s="109"/>
      <c r="M101" s="109"/>
      <c r="N101" s="238"/>
      <c r="O101" s="238"/>
      <c r="P101" s="238"/>
      <c r="Q101" s="238"/>
      <c r="R101" s="238"/>
      <c r="S101" s="238"/>
      <c r="T101" s="237"/>
      <c r="U101" s="207"/>
      <c r="V101" s="209"/>
      <c r="W101" s="209"/>
    </row>
    <row r="102" spans="1:30" s="204" customFormat="1" ht="15" hidden="1" customHeight="1" x14ac:dyDescent="0.3">
      <c r="A102" s="208"/>
      <c r="B102" s="208"/>
      <c r="E102" s="205"/>
      <c r="F102" s="205"/>
      <c r="G102" s="235"/>
      <c r="H102" s="111"/>
      <c r="I102" s="111"/>
      <c r="J102" s="111"/>
      <c r="K102" s="112" t="s">
        <v>53</v>
      </c>
      <c r="L102" s="113" t="s">
        <v>54</v>
      </c>
      <c r="M102" s="113" t="s">
        <v>55</v>
      </c>
      <c r="N102" s="239"/>
      <c r="O102" s="239"/>
      <c r="P102" s="239"/>
      <c r="Q102" s="239"/>
      <c r="R102" s="239"/>
      <c r="S102" s="239"/>
      <c r="T102" s="237"/>
      <c r="U102" s="207"/>
      <c r="V102" s="209"/>
      <c r="W102" s="209"/>
    </row>
    <row r="103" spans="1:30" s="204" customFormat="1" ht="15" hidden="1" customHeight="1" x14ac:dyDescent="0.3">
      <c r="A103" s="208"/>
      <c r="B103" s="208"/>
      <c r="C103" s="154"/>
      <c r="E103" s="205"/>
      <c r="F103" s="205"/>
      <c r="G103" s="235"/>
      <c r="H103" s="82" t="s">
        <v>74</v>
      </c>
      <c r="I103" s="83"/>
      <c r="J103" s="83"/>
      <c r="K103" s="83"/>
      <c r="L103" s="115">
        <v>-0.05</v>
      </c>
      <c r="M103" s="116">
        <v>0.05</v>
      </c>
      <c r="N103" s="72">
        <f t="shared" ref="N103:S103" ca="1" si="32">IFERROR(N93-M93,"NA")</f>
        <v>0</v>
      </c>
      <c r="O103" s="72">
        <f t="shared" ca="1" si="32"/>
        <v>0</v>
      </c>
      <c r="P103" s="72">
        <f t="shared" ca="1" si="32"/>
        <v>0</v>
      </c>
      <c r="Q103" s="72">
        <f t="shared" ca="1" si="32"/>
        <v>0</v>
      </c>
      <c r="R103" s="72">
        <f t="shared" ca="1" si="32"/>
        <v>0</v>
      </c>
      <c r="S103" s="72">
        <f t="shared" ca="1" si="32"/>
        <v>0</v>
      </c>
      <c r="T103" s="237"/>
      <c r="U103" s="207"/>
      <c r="V103" s="209"/>
      <c r="W103" s="209"/>
    </row>
    <row r="104" spans="1:30" s="204" customFormat="1" ht="15" hidden="1" customHeight="1" x14ac:dyDescent="0.3">
      <c r="A104" s="208"/>
      <c r="B104" s="208"/>
      <c r="C104" s="154">
        <v>97</v>
      </c>
      <c r="E104" s="205"/>
      <c r="F104" s="205"/>
      <c r="G104" s="235"/>
      <c r="H104" s="82" t="s">
        <v>57</v>
      </c>
      <c r="I104" s="83"/>
      <c r="J104" s="83"/>
      <c r="K104" s="83"/>
      <c r="L104" s="117">
        <v>3</v>
      </c>
      <c r="M104" s="105"/>
      <c r="N104" s="87" t="e">
        <f ca="1">_xll.BQL(TKR,"contributor_count(IS_COMP_SALES(fpo=1, fpt=A))","excelfill=b")</f>
        <v>#NAME?</v>
      </c>
      <c r="O104" s="87" t="e">
        <f ca="1">_xll.BQL(TKR,"contributor_count(IS_COMP_SALES(fpo=2, fpt=A))","excelfill=b")</f>
        <v>#NAME?</v>
      </c>
      <c r="P104" s="87" t="e">
        <f ca="1">_xll.BQL(TKR,"contributor_count(IS_COMP_SALES(fpo=3, fpt=A))","excelfill=b")</f>
        <v>#NAME?</v>
      </c>
      <c r="Q104" s="87" t="e">
        <f ca="1">_xll.BQL(TKR,"contributor_count(IS_COMP_SALES(fpo=4, fpt=A))","excelfill=b")</f>
        <v>#NAME?</v>
      </c>
      <c r="R104" s="87" t="e">
        <f ca="1">_xll.BQL(TKR,"contributor_count(IS_COMP_SALES(fpo=5, fpt=A))","excelfill=b")</f>
        <v>#NAME?</v>
      </c>
      <c r="S104" s="87" t="e">
        <f ca="1">_xll.BQL(TKR,"contributor_count(IS_COMP_SALES(fpo=6, fpt=A))","excelfill=b")</f>
        <v>#NAME?</v>
      </c>
      <c r="T104" s="237"/>
      <c r="U104" s="207"/>
      <c r="V104" s="209"/>
      <c r="W104" s="209"/>
    </row>
    <row r="105" spans="1:30" s="204" customFormat="1" ht="15" hidden="1" customHeight="1" x14ac:dyDescent="0.3">
      <c r="A105" s="208"/>
      <c r="B105" s="208"/>
      <c r="C105" s="154">
        <v>97</v>
      </c>
      <c r="E105" s="205"/>
      <c r="F105" s="205"/>
      <c r="G105" s="235"/>
      <c r="H105" s="82" t="s">
        <v>69</v>
      </c>
      <c r="I105" s="83"/>
      <c r="J105" s="83"/>
      <c r="K105" s="83"/>
      <c r="L105" s="117">
        <v>3</v>
      </c>
      <c r="M105" s="105"/>
      <c r="N105" s="87" t="e">
        <f ca="1">_xll.BDP(TKR,"BEST_GROSS_MARGIN","BEST_CONSENSUS_STAT_OVERRIDE=NUMEST","BEST_FPERIOD_OVERRIDE",N$53,"Fill=0")</f>
        <v>#NAME?</v>
      </c>
      <c r="O105" s="87" t="e">
        <f ca="1">_xll.BDP(TKR,"BEST_GROSS_MARGIN","BEST_CONSENSUS_STAT_OVERRIDE=NUMEST","BEST_FPERIOD_OVERRIDE",O$53,"Fill=0")</f>
        <v>#NAME?</v>
      </c>
      <c r="P105" s="87" t="e">
        <f ca="1">_xll.BDP(TKR,"BEST_GROSS_MARGIN","BEST_CONSENSUS_STAT_OVERRIDE=NUMEST","BEST_FPERIOD_OVERRIDE",P$53,"Fill=0")</f>
        <v>#NAME?</v>
      </c>
      <c r="Q105" s="87" t="e">
        <f ca="1">_xll.BDP(TKR,"BEST_GROSS_MARGIN","BEST_CONSENSUS_STAT_OVERRIDE=NUMEST","BEST_FPERIOD_OVERRIDE",Q$53,"Fill=0")</f>
        <v>#NAME?</v>
      </c>
      <c r="R105" s="87" t="e">
        <f ca="1">_xll.BDP(TKR,"BEST_GROSS_MARGIN","BEST_CONSENSUS_STAT_OVERRIDE=NUMEST","BEST_FPERIOD_OVERRIDE",R$53,"Fill=0")</f>
        <v>#NAME?</v>
      </c>
      <c r="S105" s="87" t="e">
        <f ca="1">_xll.BDP(TKR,"BEST_GROSS_MARGIN","BEST_CONSENSUS_STAT_OVERRIDE=NUMEST","BEST_FPERIOD_OVERRIDE",S$53,"Fill=0")</f>
        <v>#NAME?</v>
      </c>
      <c r="T105" s="237"/>
      <c r="U105" s="207"/>
      <c r="V105" s="209"/>
      <c r="W105" s="209"/>
    </row>
    <row r="106" spans="1:30" s="204" customFormat="1" ht="15" hidden="1" customHeight="1" x14ac:dyDescent="0.3">
      <c r="A106" s="208"/>
      <c r="B106" s="208"/>
      <c r="C106" s="154">
        <v>97</v>
      </c>
      <c r="E106" s="205"/>
      <c r="F106" s="205"/>
      <c r="G106" s="235"/>
      <c r="H106" s="82" t="s">
        <v>75</v>
      </c>
      <c r="I106" s="83"/>
      <c r="J106" s="83"/>
      <c r="K106" s="83"/>
      <c r="L106" s="117">
        <v>3</v>
      </c>
      <c r="M106" s="105"/>
      <c r="N106" s="87" t="e">
        <f ca="1">_xll.BDP(TKR,"BEST_OPP","BEST_CONSENSUS_STAT_OVERRIDE=NUMEST","BEST_FPERIOD_OVERRIDE",N$53,"Fill=0")</f>
        <v>#NAME?</v>
      </c>
      <c r="O106" s="87" t="e">
        <f ca="1">_xll.BDP(TKR,"BEST_OPP","BEST_CONSENSUS_STAT_OVERRIDE=NUMEST","BEST_FPERIOD_OVERRIDE",O$53,"Fill=0")</f>
        <v>#NAME?</v>
      </c>
      <c r="P106" s="87" t="e">
        <f ca="1">_xll.BDP(TKR,"BEST_OPP","BEST_CONSENSUS_STAT_OVERRIDE=NUMEST","BEST_FPERIOD_OVERRIDE",P$53,"Fill=0")</f>
        <v>#NAME?</v>
      </c>
      <c r="Q106" s="87" t="e">
        <f ca="1">_xll.BDP(TKR,"BEST_OPP","BEST_CONSENSUS_STAT_OVERRIDE=NUMEST","BEST_FPERIOD_OVERRIDE",Q$53,"Fill=0")</f>
        <v>#NAME?</v>
      </c>
      <c r="R106" s="87" t="e">
        <f ca="1">_xll.BDP(TKR,"BEST_OPP","BEST_CONSENSUS_STAT_OVERRIDE=NUMEST","BEST_FPERIOD_OVERRIDE",R$53,"Fill=0")</f>
        <v>#NAME?</v>
      </c>
      <c r="S106" s="87" t="e">
        <f ca="1">_xll.BDP(TKR,"BEST_OPP","BEST_CONSENSUS_STAT_OVERRIDE=NUMEST","BEST_FPERIOD_OVERRIDE",S$53,"Fill=0")</f>
        <v>#NAME?</v>
      </c>
      <c r="T106" s="237"/>
      <c r="U106" s="207"/>
      <c r="V106" s="209"/>
      <c r="W106" s="209"/>
    </row>
    <row r="107" spans="1:30" s="204" customFormat="1" ht="15" hidden="1" customHeight="1" thickBot="1" x14ac:dyDescent="0.35">
      <c r="A107" s="208"/>
      <c r="B107" s="208"/>
      <c r="C107" s="154"/>
      <c r="E107" s="205"/>
      <c r="F107" s="205"/>
      <c r="G107" s="235"/>
      <c r="H107" s="108"/>
      <c r="I107" s="109"/>
      <c r="J107" s="109"/>
      <c r="K107" s="109"/>
      <c r="L107" s="110"/>
      <c r="M107" s="240"/>
      <c r="N107" s="241"/>
      <c r="O107" s="241"/>
      <c r="P107" s="241"/>
      <c r="Q107" s="241"/>
      <c r="R107" s="241"/>
      <c r="S107" s="241"/>
      <c r="T107" s="242"/>
      <c r="U107" s="207"/>
      <c r="V107" s="209"/>
      <c r="W107" s="209"/>
    </row>
    <row r="108" spans="1:30" s="204" customFormat="1" ht="5.0999999999999996" hidden="1" customHeight="1" x14ac:dyDescent="0.3">
      <c r="A108" s="208"/>
      <c r="B108" s="208"/>
      <c r="C108" s="154"/>
      <c r="E108" s="205"/>
      <c r="F108" s="205"/>
      <c r="G108" s="224"/>
      <c r="H108" s="90"/>
      <c r="I108" s="91"/>
      <c r="J108" s="91"/>
      <c r="K108" s="91"/>
      <c r="L108" s="92"/>
      <c r="M108" s="225"/>
      <c r="N108" s="226"/>
      <c r="O108" s="226"/>
      <c r="P108" s="226"/>
      <c r="Q108" s="226"/>
      <c r="R108" s="226"/>
      <c r="S108" s="226"/>
      <c r="T108" s="243"/>
      <c r="U108" s="207"/>
      <c r="V108" s="209"/>
      <c r="W108" s="209"/>
    </row>
    <row r="109" spans="1:30" s="204" customFormat="1" ht="15" customHeight="1" x14ac:dyDescent="0.3">
      <c r="A109" s="208"/>
      <c r="B109" s="208">
        <v>3</v>
      </c>
      <c r="C109" s="154"/>
      <c r="E109" s="684" t="s">
        <v>43</v>
      </c>
      <c r="F109" s="244"/>
      <c r="G109" s="244"/>
      <c r="H109" s="244"/>
      <c r="I109" s="203" t="str">
        <f>IF(ISERROR(I92/#REF!-1),"",I92/#REF!-1)</f>
        <v/>
      </c>
      <c r="J109" s="203">
        <f t="shared" ref="J109:S109" si="33">IF(ISERROR(J92/I92-1),"",J92/I92-1)</f>
        <v>4.567714362033648E-2</v>
      </c>
      <c r="K109" s="203">
        <f t="shared" si="33"/>
        <v>0.15067268392370581</v>
      </c>
      <c r="L109" s="203">
        <f t="shared" si="33"/>
        <v>0.2069782069782069</v>
      </c>
      <c r="M109" s="203">
        <f t="shared" si="33"/>
        <v>3.1544097360595824E-2</v>
      </c>
      <c r="N109" s="203">
        <f t="shared" si="33"/>
        <v>-0.92911144130757806</v>
      </c>
      <c r="O109" s="203">
        <f t="shared" si="33"/>
        <v>6.6739330929822982E-2</v>
      </c>
      <c r="P109" s="203">
        <f t="shared" si="33"/>
        <v>7.6239880531321136E-2</v>
      </c>
      <c r="Q109" s="203">
        <f t="shared" si="33"/>
        <v>8.679617322719646E-2</v>
      </c>
      <c r="R109" s="203">
        <f t="shared" si="33"/>
        <v>6.763431105735318E-2</v>
      </c>
      <c r="S109" s="203">
        <f t="shared" si="33"/>
        <v>6.7755538771399726E-2</v>
      </c>
      <c r="T109" s="163"/>
      <c r="U109" s="207"/>
      <c r="V109" s="209"/>
      <c r="W109" s="209"/>
    </row>
    <row r="110" spans="1:30" s="175" customFormat="1" ht="15" customHeight="1" x14ac:dyDescent="0.3">
      <c r="A110" s="89"/>
      <c r="B110" s="89"/>
      <c r="C110" s="154"/>
      <c r="E110" s="472" t="s">
        <v>76</v>
      </c>
      <c r="F110" s="472"/>
      <c r="G110" s="472"/>
      <c r="H110" s="472"/>
      <c r="I110" s="518">
        <v>44020</v>
      </c>
      <c r="J110" s="518">
        <v>20920</v>
      </c>
      <c r="K110" s="518">
        <v>55710</v>
      </c>
      <c r="L110" s="518">
        <v>64060</v>
      </c>
      <c r="M110" s="518">
        <v>62160</v>
      </c>
      <c r="N110" s="518">
        <f>N55-N74-N92</f>
        <v>37810</v>
      </c>
      <c r="O110" s="518">
        <f t="shared" ref="O110:S110" si="34">O55-O74-O92</f>
        <v>40938.074593199999</v>
      </c>
      <c r="P110" s="518">
        <f t="shared" si="34"/>
        <v>44038.128745680457</v>
      </c>
      <c r="Q110" s="518">
        <f t="shared" si="34"/>
        <v>47389.276609439999</v>
      </c>
      <c r="R110" s="518">
        <f t="shared" si="34"/>
        <v>50742.128455784987</v>
      </c>
      <c r="S110" s="518">
        <f t="shared" si="34"/>
        <v>54227.870896960012</v>
      </c>
      <c r="T110" s="163"/>
      <c r="U110" s="187"/>
      <c r="V110" s="188"/>
      <c r="W110" s="188"/>
      <c r="Z110" s="175" t="s">
        <v>77</v>
      </c>
    </row>
    <row r="111" spans="1:30" s="204" customFormat="1" ht="15" customHeight="1" x14ac:dyDescent="0.3">
      <c r="A111" s="208"/>
      <c r="B111" s="208">
        <v>3</v>
      </c>
      <c r="C111" s="154"/>
      <c r="E111" s="432" t="s">
        <v>10</v>
      </c>
      <c r="F111" s="205"/>
      <c r="G111" s="205"/>
      <c r="H111" s="205"/>
      <c r="I111" s="206">
        <f>IFERROR(I110/I$55,"")</f>
        <v>8.0004361891606993E-2</v>
      </c>
      <c r="J111" s="206">
        <f t="shared" ref="J111:M111" si="35">IFERROR(J110/J$55,"")</f>
        <v>3.9217156568686261E-2</v>
      </c>
      <c r="K111" s="206">
        <f t="shared" si="35"/>
        <v>8.1861462955887976E-2</v>
      </c>
      <c r="L111" s="206">
        <f t="shared" si="35"/>
        <v>7.5675420254929057E-2</v>
      </c>
      <c r="M111" s="206">
        <f t="shared" si="35"/>
        <v>7.2264784868107473E-2</v>
      </c>
      <c r="N111" s="206">
        <v>0.06</v>
      </c>
      <c r="O111" s="206">
        <f t="shared" ref="N111:S111" si="36">IFERROR(O110/O$55,"")</f>
        <v>0.42377643130337567</v>
      </c>
      <c r="P111" s="206">
        <f t="shared" si="36"/>
        <v>0.42377823412326521</v>
      </c>
      <c r="Q111" s="206">
        <f t="shared" si="36"/>
        <v>0.42378448820861353</v>
      </c>
      <c r="R111" s="206">
        <f t="shared" si="36"/>
        <v>0.42378206669264035</v>
      </c>
      <c r="S111" s="206">
        <f t="shared" si="36"/>
        <v>0.42378105138212913</v>
      </c>
      <c r="T111" s="163"/>
      <c r="U111" s="207"/>
      <c r="V111" s="209"/>
      <c r="W111" s="209"/>
    </row>
    <row r="112" spans="1:30" ht="15" customHeight="1" x14ac:dyDescent="0.3">
      <c r="A112" s="89"/>
      <c r="B112" s="89"/>
      <c r="E112" s="245" t="s">
        <v>78</v>
      </c>
      <c r="F112" s="245"/>
      <c r="G112" s="245"/>
      <c r="H112" s="245"/>
      <c r="I112" s="163">
        <v>3007.68</v>
      </c>
      <c r="J112" s="163">
        <v>2576.4645999999998</v>
      </c>
      <c r="K112" s="163">
        <v>4508.6250014528105</v>
      </c>
      <c r="L112" s="163">
        <v>5375.674</v>
      </c>
      <c r="M112" s="163">
        <v>5726.5</v>
      </c>
      <c r="N112" s="163">
        <f t="shared" ref="N112:S112" si="37">IFERROR(N110*N113,0)</f>
        <v>10526.796021910717</v>
      </c>
      <c r="O112" s="163">
        <f t="shared" si="37"/>
        <v>11429.538130003506</v>
      </c>
      <c r="P112" s="163">
        <f t="shared" si="37"/>
        <v>11876.846517732949</v>
      </c>
      <c r="Q112" s="163">
        <f t="shared" si="37"/>
        <v>12852.76879118708</v>
      </c>
      <c r="R112" s="163">
        <f t="shared" si="37"/>
        <v>13809.264716328344</v>
      </c>
      <c r="S112" s="163">
        <f t="shared" si="37"/>
        <v>14865.608895992455</v>
      </c>
      <c r="T112" s="163"/>
      <c r="U112" s="52"/>
      <c r="V112" s="155"/>
      <c r="X112" s="154"/>
      <c r="Y112"/>
      <c r="Z112" s="154"/>
    </row>
    <row r="113" spans="1:25" s="204" customFormat="1" ht="15" customHeight="1" thickBot="1" x14ac:dyDescent="0.35">
      <c r="A113" s="89">
        <v>12</v>
      </c>
      <c r="B113" s="89"/>
      <c r="C113" s="154"/>
      <c r="E113" s="433" t="s">
        <v>79</v>
      </c>
      <c r="F113" s="244"/>
      <c r="G113" s="94"/>
      <c r="H113" s="364" t="s">
        <v>44</v>
      </c>
      <c r="I113" s="203">
        <v>0.27452354874041623</v>
      </c>
      <c r="J113" s="203">
        <v>0.32667232154177761</v>
      </c>
      <c r="K113" s="203">
        <v>0.26208364828534614</v>
      </c>
      <c r="L113" s="203">
        <v>0.26657115937716946</v>
      </c>
      <c r="M113" s="203">
        <v>0.26221438710563671</v>
      </c>
      <c r="N113" s="203">
        <f t="shared" ref="N113:S113" si="38">IF(ISNUMBER(N$117),N$117,IF(ISNUMBER(N$118),N$118,""))</f>
        <v>0.27841301301006921</v>
      </c>
      <c r="O113" s="203">
        <f t="shared" si="38"/>
        <v>0.27919090586399986</v>
      </c>
      <c r="P113" s="203">
        <f t="shared" si="38"/>
        <v>0.2696946227284443</v>
      </c>
      <c r="Q113" s="203">
        <f t="shared" si="38"/>
        <v>0.2712168176170639</v>
      </c>
      <c r="R113" s="203">
        <f t="shared" si="38"/>
        <v>0.27214594926504276</v>
      </c>
      <c r="S113" s="203">
        <f t="shared" si="38"/>
        <v>0.27413226169692406</v>
      </c>
      <c r="T113" s="163"/>
      <c r="U113" s="207"/>
      <c r="V113" s="155">
        <v>8</v>
      </c>
      <c r="W113" s="155">
        <v>3</v>
      </c>
    </row>
    <row r="114" spans="1:25" s="204" customFormat="1" ht="5.0999999999999996" hidden="1" customHeight="1" x14ac:dyDescent="0.3">
      <c r="A114" s="208"/>
      <c r="B114" s="208"/>
      <c r="C114" s="154"/>
      <c r="E114" s="205"/>
      <c r="F114" s="205"/>
      <c r="G114" s="205"/>
      <c r="H114" s="193"/>
      <c r="I114" s="31"/>
      <c r="J114" s="31"/>
      <c r="K114" s="31"/>
      <c r="L114" s="31"/>
      <c r="M114" s="31"/>
      <c r="N114" s="31"/>
      <c r="O114" s="31"/>
      <c r="P114" s="31"/>
      <c r="Q114" s="31"/>
      <c r="R114" s="31"/>
      <c r="S114" s="31"/>
      <c r="T114" s="163"/>
      <c r="U114" s="207"/>
      <c r="V114" s="209"/>
      <c r="W114" s="209"/>
    </row>
    <row r="115" spans="1:25" s="204" customFormat="1" ht="15" hidden="1" customHeight="1" x14ac:dyDescent="0.3">
      <c r="A115" s="208"/>
      <c r="B115" s="208"/>
      <c r="C115" s="154"/>
      <c r="E115" s="205"/>
      <c r="F115" s="205"/>
      <c r="G115" s="230"/>
      <c r="H115" s="106"/>
      <c r="I115" s="120"/>
      <c r="J115" s="120"/>
      <c r="K115" s="120"/>
      <c r="L115" s="120"/>
      <c r="M115" s="120"/>
      <c r="N115" s="121">
        <f xml:space="preserve"> IF($N$117&lt;&gt;"", 1,2)</f>
        <v>1</v>
      </c>
      <c r="O115" s="121">
        <f xml:space="preserve"> IF($O$117&lt;&gt;"", 1,2)</f>
        <v>1</v>
      </c>
      <c r="P115" s="121">
        <f xml:space="preserve"> IF($P$117&lt;&gt;"", 1,2)</f>
        <v>1</v>
      </c>
      <c r="Q115" s="121">
        <f xml:space="preserve"> IF($Q$117&lt;&gt;"", 1,2)</f>
        <v>1</v>
      </c>
      <c r="R115" s="121">
        <f xml:space="preserve"> IF($R$117&lt;&gt;"", 1,2)</f>
        <v>1</v>
      </c>
      <c r="S115" s="121">
        <f xml:space="preserve"> IF($S$117&lt;&gt;"", 1,2)</f>
        <v>1</v>
      </c>
      <c r="T115" s="246"/>
      <c r="U115" s="207"/>
      <c r="V115" s="209"/>
      <c r="W115" s="209"/>
    </row>
    <row r="116" spans="1:25" s="204" customFormat="1" ht="15" hidden="1" customHeight="1" x14ac:dyDescent="0.3">
      <c r="A116" s="208"/>
      <c r="B116" s="208"/>
      <c r="C116" s="154"/>
      <c r="E116" s="205"/>
      <c r="F116" s="205"/>
      <c r="G116" s="235"/>
      <c r="H116" s="106"/>
      <c r="I116" s="106"/>
      <c r="J116" s="106"/>
      <c r="K116" s="106"/>
      <c r="L116" s="106"/>
      <c r="M116" s="106"/>
      <c r="N116" s="106" t="s">
        <v>46</v>
      </c>
      <c r="O116" s="106"/>
      <c r="P116" s="106"/>
      <c r="Q116" s="106"/>
      <c r="R116" s="106"/>
      <c r="S116" s="106"/>
      <c r="T116" s="237"/>
      <c r="U116" s="207"/>
      <c r="V116" s="209"/>
      <c r="W116" s="209"/>
    </row>
    <row r="117" spans="1:25" s="204" customFormat="1" ht="15" hidden="1" customHeight="1" x14ac:dyDescent="0.3">
      <c r="A117" s="208"/>
      <c r="B117" s="208">
        <v>1</v>
      </c>
      <c r="C117" s="154"/>
      <c r="E117" s="205"/>
      <c r="F117" s="205"/>
      <c r="G117" s="235"/>
      <c r="H117" s="82" t="s">
        <v>80</v>
      </c>
      <c r="I117" s="83"/>
      <c r="J117" s="83"/>
      <c r="K117" s="83"/>
      <c r="L117" s="83"/>
      <c r="M117" s="83"/>
      <c r="N117" s="93">
        <f t="shared" ref="N117:S117" si="39">AVERAGE(I113:M113)</f>
        <v>0.27841301301006921</v>
      </c>
      <c r="O117" s="93">
        <f t="shared" si="39"/>
        <v>0.27919090586399986</v>
      </c>
      <c r="P117" s="93">
        <f t="shared" si="39"/>
        <v>0.2696946227284443</v>
      </c>
      <c r="Q117" s="93">
        <f t="shared" si="39"/>
        <v>0.2712168176170639</v>
      </c>
      <c r="R117" s="93">
        <f t="shared" si="39"/>
        <v>0.27214594926504276</v>
      </c>
      <c r="S117" s="93">
        <f t="shared" si="39"/>
        <v>0.27413226169692406</v>
      </c>
      <c r="T117" s="237"/>
      <c r="U117" s="207"/>
      <c r="V117" s="209"/>
      <c r="W117" s="209"/>
    </row>
    <row r="118" spans="1:25" s="204" customFormat="1" ht="15" hidden="1" customHeight="1" x14ac:dyDescent="0.3">
      <c r="A118" s="208"/>
      <c r="B118" s="208">
        <v>1</v>
      </c>
      <c r="C118" s="154"/>
      <c r="E118" s="205"/>
      <c r="F118" s="205"/>
      <c r="G118" s="235"/>
      <c r="H118" s="82" t="s">
        <v>81</v>
      </c>
      <c r="I118" s="83"/>
      <c r="J118" s="83"/>
      <c r="K118" s="83"/>
      <c r="L118" s="83"/>
      <c r="M118" s="83"/>
      <c r="N118" s="84">
        <f t="shared" ref="N118:S118" si="40">IF(ISBLANK(M113),"",M113)</f>
        <v>0.26221438710563671</v>
      </c>
      <c r="O118" s="84">
        <f t="shared" si="40"/>
        <v>0.27841301301006921</v>
      </c>
      <c r="P118" s="84">
        <f t="shared" si="40"/>
        <v>0.27919090586399986</v>
      </c>
      <c r="Q118" s="84">
        <f t="shared" si="40"/>
        <v>0.2696946227284443</v>
      </c>
      <c r="R118" s="84">
        <f t="shared" si="40"/>
        <v>0.2712168176170639</v>
      </c>
      <c r="S118" s="84">
        <f t="shared" si="40"/>
        <v>0.27214594926504276</v>
      </c>
      <c r="T118" s="237"/>
      <c r="U118" s="207"/>
      <c r="V118" s="209"/>
      <c r="W118" s="209"/>
    </row>
    <row r="119" spans="1:25" s="204" customFormat="1" ht="15" hidden="1" customHeight="1" x14ac:dyDescent="0.3">
      <c r="A119" s="208"/>
      <c r="B119" s="208"/>
      <c r="C119" s="154"/>
      <c r="E119" s="205"/>
      <c r="F119" s="205"/>
      <c r="G119" s="235"/>
      <c r="H119" s="231"/>
      <c r="I119" s="231"/>
      <c r="J119" s="231"/>
      <c r="K119" s="231"/>
      <c r="L119" s="231"/>
      <c r="M119" s="231"/>
      <c r="N119" s="231"/>
      <c r="O119" s="231"/>
      <c r="P119" s="231"/>
      <c r="Q119" s="231"/>
      <c r="R119" s="231"/>
      <c r="S119" s="231"/>
      <c r="T119" s="237"/>
      <c r="U119" s="207"/>
      <c r="V119" s="209"/>
      <c r="W119" s="209"/>
    </row>
    <row r="120" spans="1:25" s="204" customFormat="1" ht="15" hidden="1" customHeight="1" thickBot="1" x14ac:dyDescent="0.35">
      <c r="A120" s="208"/>
      <c r="B120" s="208">
        <v>2</v>
      </c>
      <c r="C120" s="154"/>
      <c r="E120" s="138" t="s">
        <v>52</v>
      </c>
      <c r="F120" s="205"/>
      <c r="G120" s="235"/>
      <c r="H120" s="82" t="s">
        <v>67</v>
      </c>
      <c r="I120" s="83"/>
      <c r="J120" s="83"/>
      <c r="K120" s="83"/>
      <c r="L120" s="83"/>
      <c r="M120" s="83"/>
      <c r="N120" s="142" t="s">
        <v>14</v>
      </c>
      <c r="O120" s="142" t="s">
        <v>14</v>
      </c>
      <c r="P120" s="448" t="s">
        <v>14</v>
      </c>
      <c r="Q120" s="448" t="s">
        <v>14</v>
      </c>
      <c r="R120" s="142" t="s">
        <v>14</v>
      </c>
      <c r="S120" s="142" t="s">
        <v>14</v>
      </c>
      <c r="T120" s="237"/>
      <c r="U120" s="207"/>
      <c r="V120" s="209"/>
      <c r="W120" s="209">
        <v>3</v>
      </c>
    </row>
    <row r="121" spans="1:25" s="204" customFormat="1" ht="15" hidden="1" customHeight="1" collapsed="1" x14ac:dyDescent="0.3">
      <c r="A121" s="208"/>
      <c r="B121" s="208"/>
      <c r="C121" s="154"/>
      <c r="E121" s="205"/>
      <c r="F121" s="205"/>
      <c r="G121" s="235"/>
      <c r="H121" s="109"/>
      <c r="I121" s="109"/>
      <c r="J121" s="109"/>
      <c r="K121" s="109"/>
      <c r="L121" s="109"/>
      <c r="M121" s="109"/>
      <c r="N121" s="238"/>
      <c r="O121" s="238"/>
      <c r="P121" s="238"/>
      <c r="Q121" s="238"/>
      <c r="R121" s="238"/>
      <c r="S121" s="238"/>
      <c r="T121" s="237"/>
      <c r="U121" s="207"/>
      <c r="V121" s="209"/>
      <c r="W121" s="209"/>
    </row>
    <row r="122" spans="1:25" s="204" customFormat="1" ht="15" hidden="1" customHeight="1" x14ac:dyDescent="0.3">
      <c r="A122" s="208"/>
      <c r="B122" s="208"/>
      <c r="C122" s="154"/>
      <c r="E122" s="205"/>
      <c r="F122" s="205"/>
      <c r="G122" s="235"/>
      <c r="H122" s="111"/>
      <c r="I122" s="111"/>
      <c r="J122" s="111"/>
      <c r="K122" s="112" t="s">
        <v>53</v>
      </c>
      <c r="L122" s="113" t="s">
        <v>54</v>
      </c>
      <c r="M122" s="113" t="s">
        <v>55</v>
      </c>
      <c r="N122" s="239"/>
      <c r="O122" s="239"/>
      <c r="P122" s="239"/>
      <c r="Q122" s="239"/>
      <c r="R122" s="239"/>
      <c r="S122" s="239"/>
      <c r="T122" s="237"/>
      <c r="U122" s="207"/>
      <c r="V122" s="209"/>
      <c r="W122" s="209"/>
    </row>
    <row r="123" spans="1:25" s="204" customFormat="1" ht="15" hidden="1" customHeight="1" x14ac:dyDescent="0.3">
      <c r="A123" s="208"/>
      <c r="B123" s="208"/>
      <c r="C123" s="154"/>
      <c r="E123" s="205"/>
      <c r="F123" s="205"/>
      <c r="G123" s="235"/>
      <c r="H123" s="82" t="s">
        <v>82</v>
      </c>
      <c r="I123" s="83"/>
      <c r="J123" s="83"/>
      <c r="K123" s="83"/>
      <c r="L123" s="115">
        <v>0</v>
      </c>
      <c r="M123" s="116">
        <v>0.5</v>
      </c>
      <c r="N123" s="460">
        <f t="shared" ref="N123:S123" si="41">N113</f>
        <v>0.27841301301006921</v>
      </c>
      <c r="O123" s="461">
        <f t="shared" si="41"/>
        <v>0.27919090586399986</v>
      </c>
      <c r="P123" s="461">
        <f t="shared" si="41"/>
        <v>0.2696946227284443</v>
      </c>
      <c r="Q123" s="461">
        <f t="shared" si="41"/>
        <v>0.2712168176170639</v>
      </c>
      <c r="R123" s="461">
        <f t="shared" si="41"/>
        <v>0.27214594926504276</v>
      </c>
      <c r="S123" s="461">
        <f t="shared" si="41"/>
        <v>0.27413226169692406</v>
      </c>
      <c r="T123" s="237"/>
      <c r="U123" s="207"/>
      <c r="V123" s="209"/>
      <c r="W123" s="209"/>
    </row>
    <row r="124" spans="1:25" s="204" customFormat="1" ht="15" hidden="1" customHeight="1" thickBot="1" x14ac:dyDescent="0.35">
      <c r="A124" s="208"/>
      <c r="B124" s="208"/>
      <c r="C124" s="154"/>
      <c r="E124" s="205"/>
      <c r="F124" s="205"/>
      <c r="G124" s="235"/>
      <c r="H124" s="108"/>
      <c r="I124" s="109"/>
      <c r="J124" s="109"/>
      <c r="K124" s="109"/>
      <c r="L124" s="109"/>
      <c r="M124" s="109"/>
      <c r="N124" s="239"/>
      <c r="O124" s="239"/>
      <c r="P124" s="239"/>
      <c r="Q124" s="239"/>
      <c r="R124" s="239"/>
      <c r="S124" s="239"/>
      <c r="T124" s="242"/>
      <c r="U124" s="207"/>
      <c r="V124" s="209"/>
      <c r="W124" s="209"/>
    </row>
    <row r="125" spans="1:25" s="204" customFormat="1" ht="5.0999999999999996" hidden="1" customHeight="1" x14ac:dyDescent="0.3">
      <c r="A125" s="208"/>
      <c r="B125" s="208"/>
      <c r="C125" s="154"/>
      <c r="E125" s="205"/>
      <c r="F125" s="205"/>
      <c r="G125" s="224"/>
      <c r="H125" s="90"/>
      <c r="I125" s="91"/>
      <c r="J125" s="91"/>
      <c r="K125" s="91"/>
      <c r="L125" s="91"/>
      <c r="M125" s="91"/>
      <c r="N125" s="247"/>
      <c r="O125" s="247"/>
      <c r="P125" s="247"/>
      <c r="Q125" s="247"/>
      <c r="R125" s="247"/>
      <c r="S125" s="247"/>
      <c r="T125" s="243"/>
      <c r="U125" s="207"/>
      <c r="V125" s="209"/>
      <c r="W125" s="209"/>
    </row>
    <row r="126" spans="1:25" s="175" customFormat="1" ht="15" customHeight="1" x14ac:dyDescent="0.3">
      <c r="A126" s="89"/>
      <c r="B126" s="89"/>
      <c r="C126" s="154"/>
      <c r="E126" s="472" t="s">
        <v>83</v>
      </c>
      <c r="F126" s="472"/>
      <c r="G126" s="472"/>
      <c r="H126" s="472"/>
      <c r="I126" s="518">
        <f t="shared" ref="I126:M126" si="42">I110-I112</f>
        <v>41012.32</v>
      </c>
      <c r="J126" s="518">
        <f t="shared" si="42"/>
        <v>18343.535400000001</v>
      </c>
      <c r="K126" s="518">
        <f t="shared" si="42"/>
        <v>51201.374998547188</v>
      </c>
      <c r="L126" s="518">
        <f t="shared" si="42"/>
        <v>58684.326000000001</v>
      </c>
      <c r="M126" s="518">
        <f t="shared" si="42"/>
        <v>56433.5</v>
      </c>
      <c r="N126" s="518">
        <v>17018</v>
      </c>
      <c r="O126" s="518">
        <v>18341</v>
      </c>
      <c r="P126" s="518">
        <v>20000</v>
      </c>
      <c r="Q126" s="518">
        <v>21691</v>
      </c>
      <c r="R126" s="518">
        <v>23128</v>
      </c>
      <c r="S126" s="518">
        <v>24628</v>
      </c>
      <c r="T126" s="163"/>
      <c r="U126" s="187"/>
      <c r="V126" s="188"/>
      <c r="W126" s="188"/>
    </row>
    <row r="127" spans="1:25" s="204" customFormat="1" ht="15" customHeight="1" x14ac:dyDescent="0.3">
      <c r="A127" s="208"/>
      <c r="B127" s="208">
        <v>3</v>
      </c>
      <c r="C127" s="154"/>
      <c r="E127" s="432" t="s">
        <v>10</v>
      </c>
      <c r="F127" s="205"/>
      <c r="G127" s="205"/>
      <c r="H127" s="205"/>
      <c r="I127" s="206">
        <f>IFERROR(I126/I$55,"")</f>
        <v>7.4538039329722652E-2</v>
      </c>
      <c r="J127" s="206">
        <f>IFERROR(J126/J$55,"")</f>
        <v>3.4387251424715055E-2</v>
      </c>
      <c r="K127" s="206">
        <f>IFERROR(K126/K$55,"")</f>
        <v>7.5236393156239437E-2</v>
      </c>
      <c r="L127" s="206">
        <f>IFERROR(L126/L$55,"")</f>
        <v>6.9325023921749301E-2</v>
      </c>
      <c r="M127" s="206">
        <f>IFERROR(M126/M$55,"")</f>
        <v>6.5607379936524171E-2</v>
      </c>
      <c r="N127" s="206">
        <f t="shared" ref="N127:S127" si="43">IFERROR(N126/N55,"")</f>
        <v>0.18938770059427096</v>
      </c>
      <c r="O127" s="206">
        <f t="shared" si="43"/>
        <v>0.18985952817200294</v>
      </c>
      <c r="P127" s="206">
        <f t="shared" si="43"/>
        <v>0.1924596917233147</v>
      </c>
      <c r="Q127" s="206">
        <f t="shared" si="43"/>
        <v>0.19397445986550294</v>
      </c>
      <c r="R127" s="206">
        <f t="shared" si="43"/>
        <v>0.19315767660412303</v>
      </c>
      <c r="S127" s="206">
        <f t="shared" si="43"/>
        <v>0.19246338756818429</v>
      </c>
      <c r="T127" s="163"/>
      <c r="V127" s="209"/>
      <c r="W127" s="209"/>
    </row>
    <row r="128" spans="1:25" s="175" customFormat="1" ht="15" customHeight="1" x14ac:dyDescent="0.3">
      <c r="A128" s="89"/>
      <c r="B128" s="89"/>
      <c r="C128" s="154"/>
      <c r="E128" s="248" t="s">
        <v>84</v>
      </c>
      <c r="F128" s="248"/>
      <c r="G128" s="248"/>
      <c r="H128" s="248"/>
      <c r="I128" s="202">
        <v>5108</v>
      </c>
      <c r="J128" s="202">
        <v>6050</v>
      </c>
      <c r="K128" s="202">
        <v>5830</v>
      </c>
      <c r="L128" s="202">
        <v>6226</v>
      </c>
      <c r="M128" s="202">
        <v>7177</v>
      </c>
      <c r="N128" s="202">
        <f t="shared" ref="N128:S128" ca="1" si="44">N$55*N129</f>
        <v>749.74814978434506</v>
      </c>
      <c r="O128" s="202">
        <f t="shared" ca="1" si="44"/>
        <v>806.02640292035301</v>
      </c>
      <c r="P128" s="202">
        <f t="shared" ca="1" si="44"/>
        <v>867.05942699487525</v>
      </c>
      <c r="Q128" s="202">
        <f t="shared" ca="1" si="44"/>
        <v>933.02585302905243</v>
      </c>
      <c r="R128" s="202">
        <f t="shared" ca="1" si="44"/>
        <v>999.04433237034539</v>
      </c>
      <c r="S128" s="202">
        <f t="shared" ca="1" si="44"/>
        <v>1067.6764755804088</v>
      </c>
      <c r="T128" s="163"/>
      <c r="V128" s="188"/>
      <c r="W128" s="188"/>
      <c r="Y128" s="175" t="s">
        <v>85</v>
      </c>
    </row>
    <row r="129" spans="1:25" s="204" customFormat="1" ht="15" customHeight="1" thickBot="1" x14ac:dyDescent="0.35">
      <c r="A129" s="208">
        <v>15</v>
      </c>
      <c r="B129" s="208"/>
      <c r="C129" s="154"/>
      <c r="E129" s="432" t="s">
        <v>62</v>
      </c>
      <c r="F129" s="205"/>
      <c r="G129" s="30"/>
      <c r="H129" s="364" t="s">
        <v>44</v>
      </c>
      <c r="I129" s="206">
        <f t="shared" ref="I129:M129" si="45">IF(ISERROR(I128/I$55),"",I128/I$55)</f>
        <v>9.2835593035513076E-3</v>
      </c>
      <c r="J129" s="206">
        <f t="shared" si="45"/>
        <v>1.1341481703659268E-2</v>
      </c>
      <c r="K129" s="206">
        <f t="shared" si="45"/>
        <v>8.5667264231345693E-3</v>
      </c>
      <c r="L129" s="206">
        <f t="shared" si="45"/>
        <v>7.3549042539367525E-3</v>
      </c>
      <c r="M129" s="206">
        <f t="shared" si="45"/>
        <v>8.3436995012613792E-3</v>
      </c>
      <c r="N129" s="206">
        <f t="shared" ref="N129:S129" ca="1" si="46">IF(ISNUMBER(N$133),N$133,IF(ISNUMBER(N$134),N$134,""))</f>
        <v>8.3436995012613792E-3</v>
      </c>
      <c r="O129" s="206">
        <f t="shared" ca="1" si="46"/>
        <v>8.3436995012613792E-3</v>
      </c>
      <c r="P129" s="206">
        <f t="shared" ca="1" si="46"/>
        <v>8.3436995012613792E-3</v>
      </c>
      <c r="Q129" s="206">
        <f t="shared" ca="1" si="46"/>
        <v>8.3436995012613792E-3</v>
      </c>
      <c r="R129" s="206">
        <f t="shared" ca="1" si="46"/>
        <v>8.3436995012613792E-3</v>
      </c>
      <c r="S129" s="206">
        <f t="shared" ca="1" si="46"/>
        <v>8.3436995012613792E-3</v>
      </c>
      <c r="T129" s="163"/>
      <c r="V129" s="209">
        <v>8</v>
      </c>
      <c r="W129" s="209">
        <v>6</v>
      </c>
    </row>
    <row r="130" spans="1:25" s="204" customFormat="1" ht="5.0999999999999996" hidden="1" customHeight="1" x14ac:dyDescent="0.3">
      <c r="A130" s="208"/>
      <c r="B130" s="208"/>
      <c r="C130" s="154"/>
      <c r="E130" s="205"/>
      <c r="F130" s="205"/>
      <c r="G130" s="205"/>
      <c r="H130" s="193"/>
      <c r="I130" s="31"/>
      <c r="J130" s="31"/>
      <c r="K130" s="31"/>
      <c r="L130" s="31"/>
      <c r="M130" s="31"/>
      <c r="N130" s="31"/>
      <c r="O130" s="31"/>
      <c r="P130" s="31"/>
      <c r="Q130" s="31"/>
      <c r="R130" s="31"/>
      <c r="S130" s="31"/>
      <c r="T130" s="163"/>
      <c r="U130" s="207"/>
      <c r="V130" s="209"/>
      <c r="W130" s="209"/>
    </row>
    <row r="131" spans="1:25" s="204" customFormat="1" ht="15" hidden="1" customHeight="1" x14ac:dyDescent="0.3">
      <c r="A131" s="208"/>
      <c r="B131" s="208"/>
      <c r="C131" s="154"/>
      <c r="E131" s="205"/>
      <c r="F131" s="205"/>
      <c r="G131" s="230"/>
      <c r="H131" s="106"/>
      <c r="I131" s="120"/>
      <c r="J131" s="120"/>
      <c r="K131" s="120"/>
      <c r="L131" s="120"/>
      <c r="M131" s="120"/>
      <c r="N131" s="121">
        <f ca="1" xml:space="preserve"> IF($N$133&lt;&gt;"", 1,2)</f>
        <v>2</v>
      </c>
      <c r="O131" s="121">
        <f ca="1" xml:space="preserve"> IF($O$133&lt;&gt;"", 1,2)</f>
        <v>2</v>
      </c>
      <c r="P131" s="121">
        <f ca="1" xml:space="preserve"> IF($P$133&lt;&gt;"", 1,2)</f>
        <v>2</v>
      </c>
      <c r="Q131" s="121">
        <f ca="1" xml:space="preserve"> IF($Q$133&lt;&gt;"", 1,2)</f>
        <v>2</v>
      </c>
      <c r="R131" s="121">
        <f ca="1" xml:space="preserve"> IF($R$133&lt;&gt;"", 1,2)</f>
        <v>2</v>
      </c>
      <c r="S131" s="121">
        <f ca="1" xml:space="preserve"> IF($S$133&lt;&gt;"", 1,2)</f>
        <v>2</v>
      </c>
      <c r="T131" s="246"/>
      <c r="U131" s="207"/>
      <c r="V131" s="209"/>
      <c r="W131" s="209"/>
    </row>
    <row r="132" spans="1:25" s="204" customFormat="1" ht="15" hidden="1" customHeight="1" x14ac:dyDescent="0.3">
      <c r="A132" s="208"/>
      <c r="B132" s="208"/>
      <c r="C132" s="154"/>
      <c r="E132" s="205"/>
      <c r="F132" s="205"/>
      <c r="G132" s="235"/>
      <c r="H132" s="106"/>
      <c r="I132" s="106"/>
      <c r="J132" s="106"/>
      <c r="K132" s="106"/>
      <c r="L132" s="106"/>
      <c r="M132" s="106"/>
      <c r="N132" s="107" t="s">
        <v>46</v>
      </c>
      <c r="O132" s="107"/>
      <c r="P132" s="107"/>
      <c r="Q132" s="107"/>
      <c r="R132" s="107"/>
      <c r="S132" s="107"/>
      <c r="T132" s="237"/>
      <c r="U132" s="207"/>
      <c r="V132" s="209"/>
      <c r="W132" s="209"/>
    </row>
    <row r="133" spans="1:25" s="204" customFormat="1" ht="15" hidden="1" customHeight="1" x14ac:dyDescent="0.3">
      <c r="A133" s="208"/>
      <c r="B133" s="208">
        <v>1</v>
      </c>
      <c r="C133" s="154"/>
      <c r="E133" s="205"/>
      <c r="F133" s="205"/>
      <c r="G133" s="235"/>
      <c r="H133" s="82" t="s">
        <v>86</v>
      </c>
      <c r="I133" s="83"/>
      <c r="J133" s="83"/>
      <c r="K133" s="83"/>
      <c r="L133" s="83"/>
      <c r="M133" s="83"/>
      <c r="N133" s="93" t="str">
        <f ca="1">IFERROR((_xll.BDP(TKR,"BEST_EBITDA","BEST_FPERIOD_OVERRIDE",N$53,"EQY_FUND_CRNCY",CCY)-_xll.BDP(TKR,"BEST_OPP","BEST_FPERIOD_OVERRIDE",N$53,"EQY_FUND_CRNCY",CCY))/_xll.BDP(TKR,"BEST_SALES","BEST_FPERIOD_OVERRIDE",N$53,"EQY_FUND_CRNCY",CCY),"")</f>
        <v/>
      </c>
      <c r="O133" s="93" t="str">
        <f ca="1">IFERROR((_xll.BDP(TKR,"BEST_EBITDA","BEST_FPERIOD_OVERRIDE",O$53,"EQY_FUND_CRNCY",CCY)-_xll.BDP(TKR,"BEST_OPP","BEST_FPERIOD_OVERRIDE",O$53,"EQY_FUND_CRNCY",CCY))/_xll.BDP(TKR,"BEST_SALES","BEST_FPERIOD_OVERRIDE",O$53,"EQY_FUND_CRNCY",CCY),"")</f>
        <v/>
      </c>
      <c r="P133" s="93" t="str">
        <f ca="1">IFERROR((_xll.BDP(TKR,"BEST_EBITDA","BEST_FPERIOD_OVERRIDE",P$53,"EQY_FUND_CRNCY",CCY)-_xll.BDP(TKR,"BEST_OPP","BEST_FPERIOD_OVERRIDE",P$53,"EQY_FUND_CRNCY",CCY))/_xll.BDP(TKR,"BEST_SALES","BEST_FPERIOD_OVERRIDE",P$53,"EQY_FUND_CRNCY",CCY),"")</f>
        <v/>
      </c>
      <c r="Q133" s="93" t="str">
        <f ca="1">IFERROR((_xll.BDP(TKR,"BEST_EBITDA","BEST_FPERIOD_OVERRIDE",Q$53,"EQY_FUND_CRNCY",CCY)-_xll.BDP(TKR,"BEST_OPP","BEST_FPERIOD_OVERRIDE",Q$53,"EQY_FUND_CRNCY",CCY))/_xll.BDP(TKR,"BEST_SALES","BEST_FPERIOD_OVERRIDE",Q$53,"EQY_FUND_CRNCY",CCY),"")</f>
        <v/>
      </c>
      <c r="R133" s="93" t="str">
        <f ca="1">IFERROR((_xll.BDP(TKR,"BEST_EBITDA","BEST_FPERIOD_OVERRIDE",R$53,"EQY_FUND_CRNCY",CCY)-_xll.BDP(TKR,"BEST_OPP","BEST_FPERIOD_OVERRIDE",R$53,"EQY_FUND_CRNCY",CCY))/_xll.BDP(TKR,"BEST_SALES","BEST_FPERIOD_OVERRIDE",R$53,"EQY_FUND_CRNCY",CCY),"")</f>
        <v/>
      </c>
      <c r="S133" s="93" t="str">
        <f ca="1">IFERROR((_xll.BDP(TKR,"BEST_EBITDA","BEST_FPERIOD_OVERRIDE",S$53,"EQY_FUND_CRNCY",CCY)-_xll.BDP(TKR,"BEST_OPP","BEST_FPERIOD_OVERRIDE",S$53,"EQY_FUND_CRNCY",CCY))/_xll.BDP(TKR,"BEST_SALES","BEST_FPERIOD_OVERRIDE",S$53,"EQY_FUND_CRNCY",CCY),"")</f>
        <v/>
      </c>
      <c r="T133" s="237"/>
      <c r="U133" s="207"/>
      <c r="V133" s="209"/>
      <c r="W133" s="209"/>
      <c r="Y133" s="204" t="s">
        <v>87</v>
      </c>
    </row>
    <row r="134" spans="1:25" s="204" customFormat="1" ht="15" hidden="1" customHeight="1" x14ac:dyDescent="0.3">
      <c r="A134" s="208"/>
      <c r="B134" s="208">
        <v>1</v>
      </c>
      <c r="C134" s="154"/>
      <c r="E134" s="205"/>
      <c r="F134" s="205"/>
      <c r="G134" s="235"/>
      <c r="H134" s="82" t="s">
        <v>88</v>
      </c>
      <c r="I134" s="83"/>
      <c r="J134" s="83"/>
      <c r="K134" s="83"/>
      <c r="L134" s="83"/>
      <c r="M134" s="83"/>
      <c r="N134" s="84">
        <f t="shared" ref="N134:S134" si="47">IF(ISBLANK(M129),"",M129)</f>
        <v>8.3436995012613792E-3</v>
      </c>
      <c r="O134" s="84">
        <f t="shared" ca="1" si="47"/>
        <v>8.3436995012613792E-3</v>
      </c>
      <c r="P134" s="84">
        <f t="shared" ca="1" si="47"/>
        <v>8.3436995012613792E-3</v>
      </c>
      <c r="Q134" s="84">
        <f t="shared" ca="1" si="47"/>
        <v>8.3436995012613792E-3</v>
      </c>
      <c r="R134" s="84">
        <f t="shared" ca="1" si="47"/>
        <v>8.3436995012613792E-3</v>
      </c>
      <c r="S134" s="84">
        <f t="shared" ca="1" si="47"/>
        <v>8.3436995012613792E-3</v>
      </c>
      <c r="T134" s="237"/>
      <c r="U134" s="207"/>
      <c r="V134" s="209"/>
      <c r="W134" s="209"/>
      <c r="Y134" s="204" t="e">
        <f ca="1">_xll.BQL(TKR,"(IS_EBITDA-IS_OPERATING_EXPN)/(SALES_REV_TURN)","FPT=A","FPO=RANGE(1,6)","showids=false","transpose=t","showheaders=false","showdates=false","excelfill=b","currency",CCY,"cols=6;rows=1")</f>
        <v>#NAME?</v>
      </c>
    </row>
    <row r="135" spans="1:25" s="204" customFormat="1" ht="15" hidden="1" customHeight="1" x14ac:dyDescent="0.3">
      <c r="A135" s="208"/>
      <c r="B135" s="208"/>
      <c r="C135" s="154"/>
      <c r="E135" s="205"/>
      <c r="F135" s="205"/>
      <c r="G135" s="235"/>
      <c r="H135" s="231"/>
      <c r="I135" s="231"/>
      <c r="J135" s="231"/>
      <c r="K135" s="231"/>
      <c r="L135" s="231"/>
      <c r="M135" s="231"/>
      <c r="N135" s="231"/>
      <c r="O135" s="231"/>
      <c r="P135" s="231"/>
      <c r="Q135" s="231"/>
      <c r="R135" s="231"/>
      <c r="S135" s="231"/>
      <c r="T135" s="237"/>
      <c r="U135" s="207"/>
      <c r="V135" s="209"/>
      <c r="W135" s="209"/>
    </row>
    <row r="136" spans="1:25" s="204" customFormat="1" ht="15" hidden="1" customHeight="1" thickBot="1" x14ac:dyDescent="0.35">
      <c r="A136" s="208"/>
      <c r="B136" s="208">
        <v>2</v>
      </c>
      <c r="C136" s="154"/>
      <c r="E136" s="138" t="s">
        <v>52</v>
      </c>
      <c r="F136" s="205"/>
      <c r="G136" s="235"/>
      <c r="H136" s="82" t="s">
        <v>67</v>
      </c>
      <c r="I136" s="83"/>
      <c r="J136" s="83"/>
      <c r="K136" s="83"/>
      <c r="L136" s="83"/>
      <c r="M136" s="83"/>
      <c r="N136" s="448">
        <v>0</v>
      </c>
      <c r="O136" s="448">
        <v>0</v>
      </c>
      <c r="P136" s="448">
        <v>0</v>
      </c>
      <c r="Q136" s="448">
        <v>0</v>
      </c>
      <c r="R136" s="448">
        <v>0</v>
      </c>
      <c r="S136" s="448">
        <v>0</v>
      </c>
      <c r="T136" s="237"/>
      <c r="U136" s="207"/>
      <c r="V136" s="209"/>
      <c r="W136" s="209">
        <v>6</v>
      </c>
    </row>
    <row r="137" spans="1:25" s="204" customFormat="1" ht="15" hidden="1" customHeight="1" collapsed="1" x14ac:dyDescent="0.3">
      <c r="A137" s="208"/>
      <c r="B137" s="208"/>
      <c r="C137" s="154"/>
      <c r="E137" s="205"/>
      <c r="F137" s="205"/>
      <c r="G137" s="235"/>
      <c r="H137" s="109"/>
      <c r="I137" s="109"/>
      <c r="J137" s="109"/>
      <c r="K137" s="109"/>
      <c r="L137" s="109"/>
      <c r="M137" s="109"/>
      <c r="N137" s="238"/>
      <c r="O137" s="238"/>
      <c r="P137" s="238"/>
      <c r="Q137" s="238"/>
      <c r="R137" s="238"/>
      <c r="S137" s="238"/>
      <c r="T137" s="237"/>
      <c r="U137" s="207"/>
      <c r="V137" s="209"/>
      <c r="W137" s="209"/>
    </row>
    <row r="138" spans="1:25" s="204" customFormat="1" ht="15" hidden="1" customHeight="1" x14ac:dyDescent="0.3">
      <c r="A138" s="208"/>
      <c r="B138" s="208"/>
      <c r="C138" s="154"/>
      <c r="E138" s="205"/>
      <c r="F138" s="205"/>
      <c r="G138" s="235"/>
      <c r="H138" s="111"/>
      <c r="I138" s="111"/>
      <c r="J138" s="111"/>
      <c r="K138" s="112" t="s">
        <v>53</v>
      </c>
      <c r="L138" s="113" t="s">
        <v>54</v>
      </c>
      <c r="M138" s="113" t="s">
        <v>55</v>
      </c>
      <c r="N138" s="239"/>
      <c r="O138" s="239"/>
      <c r="P138" s="239"/>
      <c r="Q138" s="239"/>
      <c r="R138" s="239"/>
      <c r="S138" s="239"/>
      <c r="T138" s="237"/>
      <c r="U138" s="207"/>
      <c r="V138" s="209"/>
      <c r="W138" s="209"/>
    </row>
    <row r="139" spans="1:25" s="204" customFormat="1" ht="15" hidden="1" customHeight="1" x14ac:dyDescent="0.3">
      <c r="A139" s="208"/>
      <c r="B139" s="208"/>
      <c r="C139" s="154"/>
      <c r="E139" s="205"/>
      <c r="F139" s="205"/>
      <c r="G139" s="235"/>
      <c r="H139" s="82" t="s">
        <v>89</v>
      </c>
      <c r="I139" s="83"/>
      <c r="J139" s="83"/>
      <c r="K139" s="83"/>
      <c r="L139" s="115">
        <v>-0.05</v>
      </c>
      <c r="M139" s="116">
        <v>0.05</v>
      </c>
      <c r="N139" s="72">
        <f t="shared" ref="N139:S139" ca="1" si="48">N129-M129</f>
        <v>0</v>
      </c>
      <c r="O139" s="68">
        <f t="shared" ca="1" si="48"/>
        <v>0</v>
      </c>
      <c r="P139" s="68">
        <f t="shared" ca="1" si="48"/>
        <v>0</v>
      </c>
      <c r="Q139" s="68">
        <f t="shared" ca="1" si="48"/>
        <v>0</v>
      </c>
      <c r="R139" s="68">
        <f t="shared" ca="1" si="48"/>
        <v>0</v>
      </c>
      <c r="S139" s="68">
        <f t="shared" ca="1" si="48"/>
        <v>0</v>
      </c>
      <c r="T139" s="237"/>
      <c r="U139" s="207"/>
      <c r="V139" s="209"/>
      <c r="W139" s="209"/>
    </row>
    <row r="140" spans="1:25" s="204" customFormat="1" ht="15" hidden="1" customHeight="1" x14ac:dyDescent="0.3">
      <c r="A140" s="208"/>
      <c r="B140" s="208"/>
      <c r="C140" s="154">
        <v>133</v>
      </c>
      <c r="E140" s="205"/>
      <c r="F140" s="205"/>
      <c r="G140" s="235"/>
      <c r="H140" s="82" t="s">
        <v>57</v>
      </c>
      <c r="I140" s="83"/>
      <c r="J140" s="83"/>
      <c r="K140" s="83"/>
      <c r="L140" s="117">
        <v>3</v>
      </c>
      <c r="M140" s="105"/>
      <c r="N140" s="87" t="e">
        <f ca="1">_xll.BQL(TKR,"contributor_count(IS_COMP_SALES(fpo=1, fpt=A))","excelfill=b")</f>
        <v>#NAME?</v>
      </c>
      <c r="O140" s="87" t="e">
        <f ca="1">_xll.BQL(TKR,"contributor_count(IS_COMP_SALES(fpo=2, fpt=A))","excelfill=b")</f>
        <v>#NAME?</v>
      </c>
      <c r="P140" s="87" t="e">
        <f ca="1">_xll.BQL(TKR,"contributor_count(IS_COMP_SALES(fpo=3, fpt=A))","excelfill=b")</f>
        <v>#NAME?</v>
      </c>
      <c r="Q140" s="87" t="e">
        <f ca="1">_xll.BQL(TKR,"contributor_count(IS_COMP_SALES(fpo=4, fpt=A))","excelfill=b")</f>
        <v>#NAME?</v>
      </c>
      <c r="R140" s="87" t="e">
        <f ca="1">_xll.BQL(TKR,"contributor_count(IS_COMP_SALES(fpo=5, fpt=A))","excelfill=b")</f>
        <v>#NAME?</v>
      </c>
      <c r="S140" s="87" t="e">
        <f ca="1">_xll.BQL(TKR,"contributor_count(IS_COMP_SALES(fpo=6, fpt=A))","excelfill=b")</f>
        <v>#NAME?</v>
      </c>
      <c r="T140" s="237"/>
      <c r="U140" s="207"/>
      <c r="V140" s="209"/>
      <c r="W140" s="209"/>
    </row>
    <row r="141" spans="1:25" s="204" customFormat="1" ht="15" hidden="1" customHeight="1" x14ac:dyDescent="0.3">
      <c r="A141" s="208"/>
      <c r="B141" s="208"/>
      <c r="C141" s="154">
        <v>133</v>
      </c>
      <c r="E141" s="205"/>
      <c r="F141" s="205"/>
      <c r="G141" s="235"/>
      <c r="H141" s="82" t="s">
        <v>75</v>
      </c>
      <c r="I141" s="83"/>
      <c r="J141" s="83"/>
      <c r="K141" s="83"/>
      <c r="L141" s="117">
        <v>3</v>
      </c>
      <c r="M141" s="105"/>
      <c r="N141" s="87" t="e">
        <f ca="1">_xll.BDP(TKR,"BEST_OPP","BEST_CONSENSUS_STAT_OVERRIDE=NUMEST","BEST_FPERIOD_OVERRIDE",N$53,"Fill=0")</f>
        <v>#NAME?</v>
      </c>
      <c r="O141" s="87" t="e">
        <f ca="1">_xll.BDP(TKR,"BEST_OPP","BEST_CONSENSUS_STAT_OVERRIDE=NUMEST","BEST_FPERIOD_OVERRIDE",O$53,"Fill=0")</f>
        <v>#NAME?</v>
      </c>
      <c r="P141" s="87" t="e">
        <f ca="1">_xll.BDP(TKR,"BEST_OPP","BEST_CONSENSUS_STAT_OVERRIDE=NUMEST","BEST_FPERIOD_OVERRIDE",P$53,"Fill=0")</f>
        <v>#NAME?</v>
      </c>
      <c r="Q141" s="87" t="e">
        <f ca="1">_xll.BDP(TKR,"BEST_OPP","BEST_CONSENSUS_STAT_OVERRIDE=NUMEST","BEST_FPERIOD_OVERRIDE",Q$53,"Fill=0")</f>
        <v>#NAME?</v>
      </c>
      <c r="R141" s="87" t="e">
        <f ca="1">_xll.BDP(TKR,"BEST_OPP","BEST_CONSENSUS_STAT_OVERRIDE=NUMEST","BEST_FPERIOD_OVERRIDE",R$53,"Fill=0")</f>
        <v>#NAME?</v>
      </c>
      <c r="S141" s="87" t="e">
        <f ca="1">_xll.BDP(TKR,"BEST_OPP","BEST_CONSENSUS_STAT_OVERRIDE=NUMEST","BEST_FPERIOD_OVERRIDE",S$53,"Fill=0")</f>
        <v>#NAME?</v>
      </c>
      <c r="T141" s="237"/>
      <c r="U141" s="207"/>
      <c r="V141" s="209"/>
      <c r="W141" s="209"/>
    </row>
    <row r="142" spans="1:25" s="204" customFormat="1" ht="15" hidden="1" customHeight="1" x14ac:dyDescent="0.3">
      <c r="A142" s="208"/>
      <c r="B142" s="208"/>
      <c r="C142" s="154">
        <v>133</v>
      </c>
      <c r="E142" s="205"/>
      <c r="F142" s="205"/>
      <c r="G142" s="235"/>
      <c r="H142" s="82" t="s">
        <v>90</v>
      </c>
      <c r="I142" s="83"/>
      <c r="J142" s="83"/>
      <c r="K142" s="83"/>
      <c r="L142" s="117">
        <v>3</v>
      </c>
      <c r="M142" s="105"/>
      <c r="N142" s="87" t="e">
        <f ca="1">_xll.BDP(TKR,"BEST_EBITDA","BEST_CONSENSUS_STAT_OVERRIDE=NUMEST","BEST_FPERIOD_OVERRIDE",N$53,"Fill=0")</f>
        <v>#NAME?</v>
      </c>
      <c r="O142" s="87" t="e">
        <f ca="1">_xll.BDP(TKR,"BEST_EBITDA","BEST_CONSENSUS_STAT_OVERRIDE=NUMEST","BEST_FPERIOD_OVERRIDE",O$53,"Fill=0")</f>
        <v>#NAME?</v>
      </c>
      <c r="P142" s="87" t="e">
        <f ca="1">_xll.BDP(TKR,"BEST_EBITDA","BEST_CONSENSUS_STAT_OVERRIDE=NUMEST","BEST_FPERIOD_OVERRIDE",P$53,"Fill=0")</f>
        <v>#NAME?</v>
      </c>
      <c r="Q142" s="87" t="e">
        <f ca="1">_xll.BDP(TKR,"BEST_EBITDA","BEST_CONSENSUS_STAT_OVERRIDE=NUMEST","BEST_FPERIOD_OVERRIDE",Q$53,"Fill=0")</f>
        <v>#NAME?</v>
      </c>
      <c r="R142" s="87" t="e">
        <f ca="1">_xll.BDP(TKR,"BEST_EBITDA","BEST_CONSENSUS_STAT_OVERRIDE=NUMEST","BEST_FPERIOD_OVERRIDE",R$53,"Fill=0")</f>
        <v>#NAME?</v>
      </c>
      <c r="S142" s="87" t="e">
        <f ca="1">_xll.BDP(TKR,"BEST_EBITDA","BEST_CONSENSUS_STAT_OVERRIDE=NUMEST","BEST_FPERIOD_OVERRIDE",S$53,"Fill=0")</f>
        <v>#NAME?</v>
      </c>
      <c r="T142" s="237"/>
      <c r="U142" s="207"/>
      <c r="V142" s="209"/>
      <c r="W142" s="209"/>
    </row>
    <row r="143" spans="1:25" s="204" customFormat="1" ht="15" hidden="1" customHeight="1" thickBot="1" x14ac:dyDescent="0.35">
      <c r="A143" s="208"/>
      <c r="B143" s="208"/>
      <c r="C143" s="154"/>
      <c r="E143" s="205"/>
      <c r="F143" s="205"/>
      <c r="G143" s="235"/>
      <c r="H143" s="108"/>
      <c r="I143" s="109"/>
      <c r="J143" s="109"/>
      <c r="K143" s="109"/>
      <c r="L143" s="109"/>
      <c r="M143" s="240"/>
      <c r="N143" s="241"/>
      <c r="O143" s="241"/>
      <c r="P143" s="241"/>
      <c r="Q143" s="241"/>
      <c r="R143" s="241"/>
      <c r="S143" s="241"/>
      <c r="T143" s="242"/>
      <c r="U143" s="207"/>
      <c r="V143" s="209"/>
      <c r="W143" s="209"/>
    </row>
    <row r="144" spans="1:25" s="204" customFormat="1" ht="5.0999999999999996" hidden="1" customHeight="1" x14ac:dyDescent="0.3">
      <c r="A144" s="208"/>
      <c r="B144" s="208"/>
      <c r="C144" s="154"/>
      <c r="E144" s="205"/>
      <c r="F144" s="205"/>
      <c r="G144" s="224"/>
      <c r="H144" s="90"/>
      <c r="I144" s="91"/>
      <c r="J144" s="91"/>
      <c r="K144" s="91"/>
      <c r="L144" s="91"/>
      <c r="M144" s="225"/>
      <c r="N144" s="226"/>
      <c r="O144" s="226"/>
      <c r="P144" s="226"/>
      <c r="Q144" s="226"/>
      <c r="R144" s="226"/>
      <c r="S144" s="226"/>
      <c r="T144" s="243"/>
      <c r="U144" s="207"/>
      <c r="V144" s="209"/>
      <c r="W144" s="209"/>
    </row>
    <row r="145" spans="1:33" s="204" customFormat="1" ht="15" customHeight="1" x14ac:dyDescent="0.3">
      <c r="A145" s="208"/>
      <c r="B145" s="208">
        <v>3</v>
      </c>
      <c r="C145" s="154"/>
      <c r="E145" s="432" t="s">
        <v>43</v>
      </c>
      <c r="F145" s="205"/>
      <c r="G145" s="205"/>
      <c r="H145" s="205"/>
      <c r="I145" s="206" t="str">
        <f>IFERROR(I128/#REF!-1,"")</f>
        <v/>
      </c>
      <c r="J145" s="206">
        <f t="shared" ref="J145:S145" si="49">IFERROR(J128/I128-1,"")</f>
        <v>0.18441660140955363</v>
      </c>
      <c r="K145" s="206">
        <f t="shared" si="49"/>
        <v>-3.6363636363636376E-2</v>
      </c>
      <c r="L145" s="206">
        <f t="shared" si="49"/>
        <v>6.7924528301886777E-2</v>
      </c>
      <c r="M145" s="206">
        <f t="shared" si="49"/>
        <v>0.15274654673947952</v>
      </c>
      <c r="N145" s="206">
        <f t="shared" ca="1" si="49"/>
        <v>-0.89553460362486481</v>
      </c>
      <c r="O145" s="206">
        <f t="shared" ca="1" si="49"/>
        <v>7.5062876983685189E-2</v>
      </c>
      <c r="P145" s="206">
        <f t="shared" ca="1" si="49"/>
        <v>7.5720874469360488E-2</v>
      </c>
      <c r="Q145" s="206">
        <f t="shared" ca="1" si="49"/>
        <v>7.608062836339724E-2</v>
      </c>
      <c r="R145" s="206">
        <f t="shared" ca="1" si="49"/>
        <v>7.0757395550150148E-2</v>
      </c>
      <c r="S145" s="206">
        <f t="shared" ca="1" si="49"/>
        <v>6.8697795469422118E-2</v>
      </c>
      <c r="T145" s="163"/>
      <c r="V145" s="209"/>
      <c r="W145" s="209"/>
    </row>
    <row r="146" spans="1:33" s="175" customFormat="1" ht="15" customHeight="1" x14ac:dyDescent="0.3">
      <c r="A146" s="89"/>
      <c r="B146" s="89"/>
      <c r="C146" s="154"/>
      <c r="E146" s="189" t="s">
        <v>91</v>
      </c>
      <c r="F146" s="189"/>
      <c r="G146" s="189"/>
      <c r="H146" s="189"/>
      <c r="I146" s="202">
        <v>-21840</v>
      </c>
      <c r="J146" s="202">
        <v>-15100</v>
      </c>
      <c r="K146" s="202">
        <v>-20240</v>
      </c>
      <c r="L146" s="202">
        <v>-26360</v>
      </c>
      <c r="M146" s="202">
        <v>-30040</v>
      </c>
      <c r="N146" s="464">
        <f t="shared" ref="N146:S146" ca="1" si="50">IF(ISNUMBER(N$151),N$151,IF(ISNUMBER(N$152),N$152,""))</f>
        <v>-22716</v>
      </c>
      <c r="O146" s="464">
        <f t="shared" ca="1" si="50"/>
        <v>-22891.200000000001</v>
      </c>
      <c r="P146" s="464">
        <f t="shared" ca="1" si="50"/>
        <v>-24449.439999999999</v>
      </c>
      <c r="Q146" s="464">
        <f t="shared" ca="1" si="50"/>
        <v>-25291.328000000001</v>
      </c>
      <c r="R146" s="464">
        <f t="shared" ca="1" si="50"/>
        <v>-25077.5936</v>
      </c>
      <c r="S146" s="464">
        <f t="shared" ca="1" si="50"/>
        <v>-24085.112319999997</v>
      </c>
      <c r="T146" s="163"/>
      <c r="V146" s="188"/>
      <c r="W146" s="188"/>
      <c r="Y146" s="175" t="s">
        <v>92</v>
      </c>
    </row>
    <row r="147" spans="1:33" s="204" customFormat="1" ht="15" customHeight="1" thickBot="1" x14ac:dyDescent="0.35">
      <c r="A147" s="208">
        <v>15</v>
      </c>
      <c r="B147" s="208"/>
      <c r="C147" s="154"/>
      <c r="E147" s="432" t="s">
        <v>62</v>
      </c>
      <c r="F147" s="205"/>
      <c r="G147" s="30"/>
      <c r="H147" s="364" t="s">
        <v>44</v>
      </c>
      <c r="I147" s="206">
        <f t="shared" ref="I147:M147" si="51">IFERROR(I146/I$55,"")</f>
        <v>-3.9693213623641456E-2</v>
      </c>
      <c r="J147" s="206">
        <f t="shared" si="51"/>
        <v>-2.8306838632273547E-2</v>
      </c>
      <c r="K147" s="206">
        <f t="shared" si="51"/>
        <v>-2.9741087959561523E-2</v>
      </c>
      <c r="L147" s="206">
        <f t="shared" si="51"/>
        <v>-3.1139620323445676E-2</v>
      </c>
      <c r="M147" s="206">
        <f t="shared" si="51"/>
        <v>-3.4923329109362106E-2</v>
      </c>
      <c r="N147" s="206">
        <f t="shared" ref="N147:S147" ca="1" si="52">IFERROR(N146/N$55,"")</f>
        <v>-0.25279886042422489</v>
      </c>
      <c r="O147" s="206">
        <f ca="1">IFERROR(O146/O$55,"")</f>
        <v>-0.23696158504394274</v>
      </c>
      <c r="P147" s="206">
        <f t="shared" ca="1" si="52"/>
        <v>-0.23527658426038398</v>
      </c>
      <c r="Q147" s="206">
        <f t="shared" ca="1" si="52"/>
        <v>-0.22617083989125769</v>
      </c>
      <c r="R147" s="206">
        <f t="shared" ca="1" si="52"/>
        <v>-0.20944006029913637</v>
      </c>
      <c r="S147" s="206">
        <f t="shared" ca="1" si="52"/>
        <v>-0.18822081805536015</v>
      </c>
      <c r="T147" s="163"/>
      <c r="V147" s="209">
        <v>9</v>
      </c>
      <c r="W147" s="209">
        <v>5</v>
      </c>
    </row>
    <row r="148" spans="1:33" s="204" customFormat="1" ht="5.0999999999999996" hidden="1" customHeight="1" x14ac:dyDescent="0.3">
      <c r="A148" s="208"/>
      <c r="B148" s="208"/>
      <c r="C148" s="154"/>
      <c r="E148" s="205"/>
      <c r="F148" s="205"/>
      <c r="G148" s="205"/>
      <c r="H148" s="193"/>
      <c r="I148" s="31"/>
      <c r="J148" s="31"/>
      <c r="K148" s="31"/>
      <c r="L148" s="31"/>
      <c r="M148" s="31"/>
      <c r="N148" s="31"/>
      <c r="O148" s="31"/>
      <c r="P148" s="31"/>
      <c r="Q148" s="31"/>
      <c r="R148" s="31"/>
      <c r="S148" s="31"/>
      <c r="T148" s="163"/>
      <c r="U148" s="249"/>
      <c r="V148" s="209"/>
      <c r="W148" s="209"/>
    </row>
    <row r="149" spans="1:33" s="204" customFormat="1" ht="15" hidden="1" customHeight="1" x14ac:dyDescent="0.3">
      <c r="A149" s="208"/>
      <c r="B149" s="208"/>
      <c r="C149" s="154"/>
      <c r="E149" s="205"/>
      <c r="F149" s="205"/>
      <c r="G149" s="230"/>
      <c r="H149" s="106"/>
      <c r="I149" s="120"/>
      <c r="J149" s="120"/>
      <c r="K149" s="120"/>
      <c r="L149" s="120"/>
      <c r="M149" s="120"/>
      <c r="N149" s="121">
        <f ca="1" xml:space="preserve"> IF($N$151&lt;&gt;"",1, IF($N$152&lt;&gt;"",2,3 ))</f>
        <v>2</v>
      </c>
      <c r="O149" s="121">
        <f ca="1" xml:space="preserve"> IF($O$151&lt;&gt;"",1, IF($O$152&lt;&gt;"",2,3 ))</f>
        <v>2</v>
      </c>
      <c r="P149" s="121">
        <f ca="1" xml:space="preserve"> IF($P$151&lt;&gt;"",1, IF($P$152&lt;&gt;"",2,3 ))</f>
        <v>2</v>
      </c>
      <c r="Q149" s="121">
        <f ca="1" xml:space="preserve"> IF($Q$151&lt;&gt;"",1, IF($Q$152&lt;&gt;"",2,3 ))</f>
        <v>2</v>
      </c>
      <c r="R149" s="121">
        <f ca="1" xml:space="preserve"> IF($R$151&lt;&gt;"",1, IF($R$152&lt;&gt;"",2,3 ))</f>
        <v>2</v>
      </c>
      <c r="S149" s="121">
        <f ca="1" xml:space="preserve"> IF($S$151&lt;&gt;"",1, IF($S$152&lt;&gt;"",2,3 ))</f>
        <v>2</v>
      </c>
      <c r="T149" s="246"/>
      <c r="U149" s="249"/>
      <c r="V149" s="209"/>
      <c r="W149" s="209"/>
    </row>
    <row r="150" spans="1:33" s="204" customFormat="1" ht="15" hidden="1" customHeight="1" x14ac:dyDescent="0.3">
      <c r="A150" s="208"/>
      <c r="B150" s="208"/>
      <c r="C150" s="154"/>
      <c r="E150" s="205"/>
      <c r="F150" s="205"/>
      <c r="G150" s="235"/>
      <c r="H150" s="106"/>
      <c r="I150" s="106"/>
      <c r="J150" s="106"/>
      <c r="K150" s="106"/>
      <c r="L150" s="106"/>
      <c r="M150" s="106"/>
      <c r="N150" s="107" t="s">
        <v>46</v>
      </c>
      <c r="O150" s="107"/>
      <c r="P150" s="107"/>
      <c r="Q150" s="107"/>
      <c r="R150" s="107"/>
      <c r="S150" s="107"/>
      <c r="T150" s="237"/>
      <c r="U150" s="249"/>
      <c r="V150" s="209"/>
      <c r="W150" s="209"/>
      <c r="Y150" s="459" t="s">
        <v>92</v>
      </c>
    </row>
    <row r="151" spans="1:33" s="204" customFormat="1" ht="15" hidden="1" customHeight="1" x14ac:dyDescent="0.3">
      <c r="A151" s="208"/>
      <c r="B151" s="208">
        <v>1</v>
      </c>
      <c r="C151" s="154"/>
      <c r="E151" s="205"/>
      <c r="F151" s="205"/>
      <c r="G151" s="235"/>
      <c r="H151" s="82" t="s">
        <v>93</v>
      </c>
      <c r="I151" s="83"/>
      <c r="J151" s="83"/>
      <c r="K151" s="83"/>
      <c r="L151" s="83"/>
      <c r="M151" s="83"/>
      <c r="N151" s="95" t="str">
        <f ca="1">IFERROR(-_xll.BDP(TKR,"BEST_CAPEX","BEST_FPERIOD_OVERRIDE",N$53,"EQY_FUND_CRNCY",CCY),"")</f>
        <v/>
      </c>
      <c r="O151" s="95" t="str">
        <f ca="1">IFERROR(-_xll.BDP(TKR,"BEST_CAPEX","BEST_FPERIOD_OVERRIDE",O$53,"EQY_FUND_CRNCY",CCY),"")</f>
        <v/>
      </c>
      <c r="P151" s="95" t="str">
        <f ca="1">IFERROR(-_xll.BDP(TKR,"BEST_CAPEX","BEST_FPERIOD_OVERRIDE",P$53,"EQY_FUND_CRNCY",CCY),"")</f>
        <v/>
      </c>
      <c r="Q151" s="95" t="str">
        <f ca="1">IFERROR(-_xll.BDP(TKR,"BEST_CAPEX","BEST_FPERIOD_OVERRIDE",Q$53,"EQY_FUND_CRNCY",CCY),"")</f>
        <v/>
      </c>
      <c r="R151" s="95" t="str">
        <f ca="1">IFERROR(-_xll.BDP(TKR,"BEST_CAPEX","BEST_FPERIOD_OVERRIDE",R$53,"EQY_FUND_CRNCY",CCY),"")</f>
        <v/>
      </c>
      <c r="S151" s="95" t="str">
        <f ca="1">IFERROR(-_xll.BDP(TKR,"BEST_CAPEX","BEST_FPERIOD_OVERRIDE",S$53,"EQY_FUND_CRNCY",CCY),"")</f>
        <v/>
      </c>
      <c r="T151" s="237"/>
      <c r="U151" s="249"/>
      <c r="V151" s="209"/>
      <c r="W151" s="209"/>
      <c r="Y151" s="204" t="e">
        <f ca="1">_xll.BQL(TKR,"-CF_CAP_EXPEND_PRPTY_ADD/1000000","FPT=A","FPO=RANGE(1,6)","showids=false","transpose=t","showheaders=false","showdates=false","excelfill=b","currency",CCY,"cols=6;rows=1")</f>
        <v>#NAME?</v>
      </c>
    </row>
    <row r="152" spans="1:33" s="204" customFormat="1" ht="15" hidden="1" customHeight="1" x14ac:dyDescent="0.3">
      <c r="A152" s="208"/>
      <c r="B152" s="208">
        <v>1</v>
      </c>
      <c r="C152" s="154"/>
      <c r="E152" s="205"/>
      <c r="F152" s="205"/>
      <c r="G152" s="235"/>
      <c r="H152" s="82" t="s">
        <v>94</v>
      </c>
      <c r="I152" s="83"/>
      <c r="J152" s="83"/>
      <c r="K152" s="83"/>
      <c r="L152" s="83"/>
      <c r="M152" s="83"/>
      <c r="N152" s="95">
        <f t="shared" ref="N152:S152" si="53">IFERROR(AVERAGE(I146:M146),"")</f>
        <v>-22716</v>
      </c>
      <c r="O152" s="95">
        <f t="shared" ca="1" si="53"/>
        <v>-22891.200000000001</v>
      </c>
      <c r="P152" s="95">
        <f t="shared" ca="1" si="53"/>
        <v>-24449.439999999999</v>
      </c>
      <c r="Q152" s="95">
        <f t="shared" ca="1" si="53"/>
        <v>-25291.328000000001</v>
      </c>
      <c r="R152" s="95">
        <f t="shared" ca="1" si="53"/>
        <v>-25077.5936</v>
      </c>
      <c r="S152" s="95">
        <f t="shared" ca="1" si="53"/>
        <v>-24085.112319999997</v>
      </c>
      <c r="T152" s="237"/>
      <c r="U152" s="249"/>
      <c r="V152" s="209"/>
      <c r="W152" s="209"/>
    </row>
    <row r="153" spans="1:33" s="204" customFormat="1" ht="15" hidden="1" customHeight="1" x14ac:dyDescent="0.3">
      <c r="A153" s="208"/>
      <c r="B153" s="208">
        <v>1</v>
      </c>
      <c r="C153" s="154"/>
      <c r="E153" s="205"/>
      <c r="F153" s="205"/>
      <c r="G153" s="235"/>
      <c r="H153" s="82" t="s">
        <v>95</v>
      </c>
      <c r="I153" s="83"/>
      <c r="J153" s="83"/>
      <c r="K153" s="83"/>
      <c r="L153" s="83"/>
      <c r="M153" s="83"/>
      <c r="N153" s="95">
        <f t="shared" ref="N153:S153" si="54">IF(ISBLANK(M146),"",M146)</f>
        <v>-30040</v>
      </c>
      <c r="O153" s="95">
        <f t="shared" ca="1" si="54"/>
        <v>-22716</v>
      </c>
      <c r="P153" s="95">
        <f t="shared" ca="1" si="54"/>
        <v>-22891.200000000001</v>
      </c>
      <c r="Q153" s="95">
        <f t="shared" ca="1" si="54"/>
        <v>-24449.439999999999</v>
      </c>
      <c r="R153" s="95">
        <f t="shared" ca="1" si="54"/>
        <v>-25291.328000000001</v>
      </c>
      <c r="S153" s="95">
        <f t="shared" ca="1" si="54"/>
        <v>-25077.5936</v>
      </c>
      <c r="T153" s="237"/>
      <c r="U153" s="249"/>
      <c r="V153" s="209"/>
      <c r="W153" s="209"/>
    </row>
    <row r="154" spans="1:33" s="204" customFormat="1" ht="15" hidden="1" customHeight="1" x14ac:dyDescent="0.3">
      <c r="A154" s="208"/>
      <c r="B154" s="208"/>
      <c r="C154" s="154"/>
      <c r="E154" s="205"/>
      <c r="F154" s="205"/>
      <c r="G154" s="235"/>
      <c r="H154" s="231"/>
      <c r="I154" s="231"/>
      <c r="J154" s="231"/>
      <c r="K154" s="231"/>
      <c r="L154" s="231"/>
      <c r="M154" s="231"/>
      <c r="N154" s="231"/>
      <c r="O154" s="231"/>
      <c r="P154" s="231"/>
      <c r="Q154" s="231"/>
      <c r="R154" s="231"/>
      <c r="S154" s="231"/>
      <c r="T154" s="237"/>
      <c r="U154" s="249"/>
      <c r="V154" s="209"/>
      <c r="W154" s="209"/>
    </row>
    <row r="155" spans="1:33" s="204" customFormat="1" ht="15" hidden="1" customHeight="1" thickBot="1" x14ac:dyDescent="0.35">
      <c r="A155" s="208"/>
      <c r="B155" s="208">
        <v>2</v>
      </c>
      <c r="C155" s="154"/>
      <c r="E155" s="138" t="s">
        <v>52</v>
      </c>
      <c r="F155" s="205"/>
      <c r="G155" s="235"/>
      <c r="H155" s="82" t="str">
        <f>"Input ("&amp;CCY&amp;")"</f>
        <v>Input (EUR)</v>
      </c>
      <c r="I155" s="83"/>
      <c r="J155" s="83"/>
      <c r="K155" s="83"/>
      <c r="L155" s="83"/>
      <c r="M155" s="83"/>
      <c r="N155" s="142" t="s">
        <v>14</v>
      </c>
      <c r="O155" s="142" t="s">
        <v>14</v>
      </c>
      <c r="P155" s="142" t="s">
        <v>14</v>
      </c>
      <c r="Q155" s="142" t="s">
        <v>14</v>
      </c>
      <c r="R155" s="142" t="s">
        <v>14</v>
      </c>
      <c r="S155" s="142" t="s">
        <v>14</v>
      </c>
      <c r="T155" s="237"/>
      <c r="U155" s="207"/>
      <c r="V155" s="209"/>
      <c r="W155" s="209">
        <v>5</v>
      </c>
    </row>
    <row r="156" spans="1:33" s="204" customFormat="1" ht="15" hidden="1" customHeight="1" collapsed="1" x14ac:dyDescent="0.3">
      <c r="A156" s="208"/>
      <c r="B156" s="208"/>
      <c r="C156" s="154"/>
      <c r="E156" s="205"/>
      <c r="F156" s="205"/>
      <c r="G156" s="235"/>
      <c r="H156" s="109"/>
      <c r="I156" s="109"/>
      <c r="J156" s="109"/>
      <c r="K156" s="109"/>
      <c r="L156" s="109"/>
      <c r="M156" s="109"/>
      <c r="N156" s="238"/>
      <c r="O156" s="238"/>
      <c r="P156" s="238"/>
      <c r="Q156" s="238"/>
      <c r="R156" s="238"/>
      <c r="S156" s="238"/>
      <c r="T156" s="237"/>
      <c r="U156" s="207"/>
      <c r="V156" s="209"/>
      <c r="W156" s="209"/>
    </row>
    <row r="157" spans="1:33" s="204" customFormat="1" ht="15" hidden="1" customHeight="1" x14ac:dyDescent="0.3">
      <c r="A157" s="208"/>
      <c r="B157" s="208"/>
      <c r="C157" s="154"/>
      <c r="E157" s="205"/>
      <c r="F157" s="205"/>
      <c r="G157" s="235"/>
      <c r="H157" s="111"/>
      <c r="I157" s="111"/>
      <c r="J157" s="111"/>
      <c r="K157" s="112" t="s">
        <v>53</v>
      </c>
      <c r="L157" s="113" t="s">
        <v>54</v>
      </c>
      <c r="M157" s="113" t="s">
        <v>55</v>
      </c>
      <c r="N157" s="239"/>
      <c r="O157" s="239"/>
      <c r="P157" s="239"/>
      <c r="Q157" s="239"/>
      <c r="R157" s="239"/>
      <c r="S157" s="239"/>
      <c r="T157" s="237"/>
      <c r="U157" s="207"/>
      <c r="V157" s="209"/>
      <c r="W157" s="209"/>
    </row>
    <row r="158" spans="1:33" s="204" customFormat="1" ht="15" hidden="1" customHeight="1" x14ac:dyDescent="0.3">
      <c r="A158" s="208"/>
      <c r="B158" s="208"/>
      <c r="C158" s="154"/>
      <c r="E158" s="205"/>
      <c r="F158" s="205"/>
      <c r="G158" s="235"/>
      <c r="H158" s="82" t="s">
        <v>96</v>
      </c>
      <c r="I158" s="83"/>
      <c r="J158" s="83"/>
      <c r="K158" s="83"/>
      <c r="L158" s="115">
        <v>-0.05</v>
      </c>
      <c r="M158" s="116">
        <v>0.05</v>
      </c>
      <c r="N158" s="96">
        <f t="shared" ref="N158:S158" ca="1" si="55">IFERROR(N147-M147,"NA")</f>
        <v>-0.21787553131486279</v>
      </c>
      <c r="O158" s="96">
        <f t="shared" ca="1" si="55"/>
        <v>1.5837275380282151E-2</v>
      </c>
      <c r="P158" s="96">
        <f t="shared" ca="1" si="55"/>
        <v>1.6850007835587655E-3</v>
      </c>
      <c r="Q158" s="96">
        <f t="shared" ca="1" si="55"/>
        <v>9.105744369126284E-3</v>
      </c>
      <c r="R158" s="96">
        <f t="shared" ca="1" si="55"/>
        <v>1.6730779592121325E-2</v>
      </c>
      <c r="S158" s="96">
        <f t="shared" ca="1" si="55"/>
        <v>2.1219242243776221E-2</v>
      </c>
      <c r="T158" s="237"/>
      <c r="U158" s="207"/>
      <c r="V158" s="209"/>
      <c r="W158" s="209"/>
    </row>
    <row r="159" spans="1:33" s="204" customFormat="1" ht="15" hidden="1" customHeight="1" x14ac:dyDescent="0.3">
      <c r="A159" s="208"/>
      <c r="B159" s="208"/>
      <c r="C159" s="154">
        <v>151</v>
      </c>
      <c r="E159" s="205"/>
      <c r="F159" s="205"/>
      <c r="G159" s="235"/>
      <c r="H159" s="82" t="s">
        <v>97</v>
      </c>
      <c r="I159" s="83"/>
      <c r="J159" s="83"/>
      <c r="K159" s="83"/>
      <c r="L159" s="118">
        <f>1/M159</f>
        <v>0.8</v>
      </c>
      <c r="M159" s="119">
        <v>1.25</v>
      </c>
      <c r="N159" s="463">
        <f t="shared" ref="N159:S159" ca="1" si="56">IFERROR(N146/N128,"NA")</f>
        <v>-30.298174135586663</v>
      </c>
      <c r="O159" s="463">
        <f t="shared" ca="1" si="56"/>
        <v>-28.400062227566981</v>
      </c>
      <c r="P159" s="463">
        <f t="shared" ca="1" si="56"/>
        <v>-28.198113345862403</v>
      </c>
      <c r="Q159" s="463">
        <f t="shared" ca="1" si="56"/>
        <v>-27.106781572978004</v>
      </c>
      <c r="R159" s="463">
        <f t="shared" ca="1" si="56"/>
        <v>-25.101582369723854</v>
      </c>
      <c r="S159" s="463">
        <f t="shared" ca="1" si="56"/>
        <v>-22.558436821329121</v>
      </c>
      <c r="T159" s="237"/>
      <c r="U159" s="207"/>
      <c r="V159" s="209"/>
      <c r="W159" s="209"/>
      <c r="AB159" s="204" t="str">
        <f t="shared" ref="AB159:AG159" si="57">IF(ISNUMBER(AB$82),AB$82,IF(ISNUMBER(AB$83),AB$83,"NA"))</f>
        <v>NA</v>
      </c>
      <c r="AC159" s="204" t="str">
        <f t="shared" si="57"/>
        <v>NA</v>
      </c>
      <c r="AD159" s="204" t="str">
        <f t="shared" si="57"/>
        <v>NA</v>
      </c>
      <c r="AE159" s="204" t="str">
        <f t="shared" si="57"/>
        <v>NA</v>
      </c>
      <c r="AF159" s="204" t="str">
        <f t="shared" si="57"/>
        <v>NA</v>
      </c>
      <c r="AG159" s="204" t="str">
        <f t="shared" si="57"/>
        <v>NA</v>
      </c>
    </row>
    <row r="160" spans="1:33" s="204" customFormat="1" ht="15" hidden="1" customHeight="1" x14ac:dyDescent="0.3">
      <c r="A160" s="208"/>
      <c r="B160" s="208"/>
      <c r="C160" s="154">
        <v>151</v>
      </c>
      <c r="E160" s="205"/>
      <c r="F160" s="205"/>
      <c r="G160" s="235"/>
      <c r="H160" s="82" t="s">
        <v>98</v>
      </c>
      <c r="I160" s="83"/>
      <c r="J160" s="83"/>
      <c r="K160" s="83"/>
      <c r="L160" s="117">
        <v>3</v>
      </c>
      <c r="M160" s="105"/>
      <c r="N160" s="87" t="e">
        <f ca="1">_xll.BDP(TKR,"BEST_CAPEX","BEST_CONSENSUS_STAT_OVERRIDE=NUMEST","BEST_FPERIOD_OVERRIDE",N$53,"Fill=0")</f>
        <v>#NAME?</v>
      </c>
      <c r="O160" s="87" t="e">
        <f ca="1">_xll.BDP(TKR,"BEST_CAPEX","BEST_CONSENSUS_STAT_OVERRIDE=NUMEST","BEST_FPERIOD_OVERRIDE",O$53,"Fill=0")</f>
        <v>#NAME?</v>
      </c>
      <c r="P160" s="87" t="e">
        <f ca="1">_xll.BDP(TKR,"BEST_CAPEX","BEST_CONSENSUS_STAT_OVERRIDE=NUMEST","BEST_FPERIOD_OVERRIDE",P$53,"Fill=0")</f>
        <v>#NAME?</v>
      </c>
      <c r="Q160" s="87" t="e">
        <f ca="1">_xll.BDP(TKR,"BEST_CAPEX","BEST_CONSENSUS_STAT_OVERRIDE=NUMEST","BEST_FPERIOD_OVERRIDE",Q$53,"Fill=0")</f>
        <v>#NAME?</v>
      </c>
      <c r="R160" s="87" t="e">
        <f ca="1">_xll.BDP(TKR,"BEST_CAPEX","BEST_CONSENSUS_STAT_OVERRIDE=NUMEST","BEST_FPERIOD_OVERRIDE",R$53,"Fill=0")</f>
        <v>#NAME?</v>
      </c>
      <c r="S160" s="87" t="e">
        <f ca="1">_xll.BDP(TKR,"BEST_CAPEX","BEST_CONSENSUS_STAT_OVERRIDE=NUMEST","BEST_FPERIOD_OVERRIDE",S$53,"Fill=0")</f>
        <v>#NAME?</v>
      </c>
      <c r="T160" s="237"/>
      <c r="U160" s="207"/>
      <c r="V160" s="209"/>
      <c r="W160" s="209"/>
    </row>
    <row r="161" spans="1:33" s="204" customFormat="1" ht="15" hidden="1" customHeight="1" thickBot="1" x14ac:dyDescent="0.35">
      <c r="A161" s="208"/>
      <c r="B161" s="208"/>
      <c r="C161" s="154"/>
      <c r="E161" s="205"/>
      <c r="F161" s="205"/>
      <c r="G161" s="250"/>
      <c r="H161" s="251"/>
      <c r="I161" s="252"/>
      <c r="J161" s="252"/>
      <c r="K161" s="252"/>
      <c r="L161" s="252"/>
      <c r="M161" s="252"/>
      <c r="N161" s="252"/>
      <c r="O161" s="252"/>
      <c r="P161" s="252"/>
      <c r="Q161" s="252"/>
      <c r="R161" s="252"/>
      <c r="S161" s="252"/>
      <c r="T161" s="242"/>
      <c r="V161" s="209"/>
      <c r="W161" s="209"/>
    </row>
    <row r="162" spans="1:33" s="204" customFormat="1" ht="5.0999999999999996" hidden="1" customHeight="1" x14ac:dyDescent="0.3">
      <c r="A162" s="253"/>
      <c r="B162" s="253"/>
      <c r="C162" s="154"/>
      <c r="E162" s="205"/>
      <c r="F162" s="205"/>
      <c r="G162" s="224"/>
      <c r="H162" s="224"/>
      <c r="I162" s="254"/>
      <c r="J162" s="254"/>
      <c r="K162" s="254"/>
      <c r="L162" s="254"/>
      <c r="M162" s="254"/>
      <c r="N162" s="254"/>
      <c r="O162" s="254"/>
      <c r="P162" s="254"/>
      <c r="Q162" s="254"/>
      <c r="R162" s="254"/>
      <c r="S162" s="254"/>
      <c r="T162" s="243"/>
      <c r="V162" s="209"/>
      <c r="W162" s="209"/>
    </row>
    <row r="163" spans="1:33" s="204" customFormat="1" ht="15" customHeight="1" x14ac:dyDescent="0.3">
      <c r="A163" s="253"/>
      <c r="B163" s="253">
        <v>3</v>
      </c>
      <c r="C163" s="154"/>
      <c r="E163" s="432" t="s">
        <v>43</v>
      </c>
      <c r="F163" s="205"/>
      <c r="G163" s="205"/>
      <c r="H163" s="205"/>
      <c r="I163" s="206" t="str">
        <f>IFERROR(I146/#REF!-1,"")</f>
        <v/>
      </c>
      <c r="J163" s="206">
        <f t="shared" ref="J163:S163" si="58">IFERROR(J146/I146-1,"")</f>
        <v>-0.30860805860805862</v>
      </c>
      <c r="K163" s="206">
        <f t="shared" si="58"/>
        <v>0.34039735099337753</v>
      </c>
      <c r="L163" s="206">
        <f t="shared" si="58"/>
        <v>0.30237154150197632</v>
      </c>
      <c r="M163" s="206">
        <f t="shared" si="58"/>
        <v>0.13960546282245834</v>
      </c>
      <c r="N163" s="206">
        <f t="shared" ca="1" si="58"/>
        <v>-0.24380825565912112</v>
      </c>
      <c r="O163" s="206">
        <f t="shared" ca="1" si="58"/>
        <v>7.7126254622292834E-3</v>
      </c>
      <c r="P163" s="206">
        <f t="shared" ca="1" si="58"/>
        <v>6.8071573355700021E-2</v>
      </c>
      <c r="Q163" s="206">
        <f t="shared" ca="1" si="58"/>
        <v>3.4433835703394644E-2</v>
      </c>
      <c r="R163" s="206">
        <f t="shared" ca="1" si="58"/>
        <v>-8.4508966868011015E-3</v>
      </c>
      <c r="S163" s="206">
        <f t="shared" ca="1" si="58"/>
        <v>-3.9576416135876924E-2</v>
      </c>
      <c r="T163" s="163"/>
      <c r="V163" s="209"/>
      <c r="W163" s="209"/>
    </row>
    <row r="164" spans="1:33" s="175" customFormat="1" ht="15" customHeight="1" x14ac:dyDescent="0.3">
      <c r="A164" s="89"/>
      <c r="B164" s="89"/>
      <c r="C164" s="154"/>
      <c r="E164" s="245" t="s">
        <v>99</v>
      </c>
      <c r="F164" s="245"/>
      <c r="G164" s="245"/>
      <c r="H164" s="245"/>
      <c r="I164" s="202">
        <v>795</v>
      </c>
      <c r="J164" s="202">
        <v>-523</v>
      </c>
      <c r="K164" s="202">
        <v>-532</v>
      </c>
      <c r="L164" s="202">
        <v>3127</v>
      </c>
      <c r="M164" s="202">
        <v>3373</v>
      </c>
      <c r="N164" s="202">
        <f t="shared" ref="N164:S164" si="59">N$55*N165</f>
        <v>131.15716858668966</v>
      </c>
      <c r="O164" s="202">
        <f t="shared" si="59"/>
        <v>141.28676085959506</v>
      </c>
      <c r="P164" s="202">
        <f t="shared" si="59"/>
        <v>202.75895717394576</v>
      </c>
      <c r="Q164" s="202">
        <f t="shared" si="59"/>
        <v>279.30526652550225</v>
      </c>
      <c r="R164" s="202">
        <f t="shared" si="59"/>
        <v>270.4208064659216</v>
      </c>
      <c r="S164" s="202">
        <f t="shared" si="59"/>
        <v>246.4418079759007</v>
      </c>
      <c r="T164" s="163"/>
      <c r="V164" s="188"/>
      <c r="W164" s="188"/>
    </row>
    <row r="165" spans="1:33" s="204" customFormat="1" ht="15" customHeight="1" thickBot="1" x14ac:dyDescent="0.35">
      <c r="A165" s="253">
        <v>11</v>
      </c>
      <c r="B165" s="253"/>
      <c r="C165" s="154"/>
      <c r="E165" s="432" t="s">
        <v>62</v>
      </c>
      <c r="F165" s="205"/>
      <c r="G165" s="30"/>
      <c r="H165" s="364" t="s">
        <v>44</v>
      </c>
      <c r="I165" s="206">
        <f t="shared" ref="I165:M165" si="60">IFERROR(I164/I$55,"")</f>
        <v>1.4448765948166188E-3</v>
      </c>
      <c r="J165" s="206">
        <f t="shared" si="60"/>
        <v>-9.8042891421715661E-4</v>
      </c>
      <c r="K165" s="206">
        <f t="shared" si="60"/>
        <v>-7.817321538778029E-4</v>
      </c>
      <c r="L165" s="206">
        <f t="shared" si="60"/>
        <v>3.6939906203116326E-3</v>
      </c>
      <c r="M165" s="206">
        <f t="shared" si="60"/>
        <v>3.9213178790239141E-3</v>
      </c>
      <c r="N165" s="206">
        <f t="shared" ref="N165:S165" si="61">IF(ISNUMBER(N$169),N$169,IF(ISNUMBER(N$170),N$170,""))</f>
        <v>1.4596048052114411E-3</v>
      </c>
      <c r="O165" s="206">
        <f t="shared" si="61"/>
        <v>1.4625504472904056E-3</v>
      </c>
      <c r="P165" s="206">
        <f t="shared" si="61"/>
        <v>1.9511463195919184E-3</v>
      </c>
      <c r="Q165" s="206">
        <f t="shared" si="61"/>
        <v>2.4977220142858624E-3</v>
      </c>
      <c r="R165" s="206">
        <f t="shared" si="61"/>
        <v>2.2584682930807086E-3</v>
      </c>
      <c r="S165" s="206">
        <f t="shared" si="61"/>
        <v>1.9258983758920669E-3</v>
      </c>
      <c r="T165" s="163"/>
      <c r="V165" s="209">
        <v>7</v>
      </c>
      <c r="W165" s="209">
        <v>3</v>
      </c>
    </row>
    <row r="166" spans="1:33" s="204" customFormat="1" ht="5.0999999999999996" hidden="1" customHeight="1" x14ac:dyDescent="0.3">
      <c r="A166" s="253"/>
      <c r="B166" s="253"/>
      <c r="C166" s="154"/>
      <c r="E166" s="205"/>
      <c r="F166" s="205"/>
      <c r="G166" s="205"/>
      <c r="H166" s="193"/>
      <c r="I166" s="31"/>
      <c r="J166" s="31"/>
      <c r="K166" s="31"/>
      <c r="L166" s="31"/>
      <c r="M166" s="31"/>
      <c r="N166" s="31"/>
      <c r="O166" s="31"/>
      <c r="P166" s="31"/>
      <c r="Q166" s="31"/>
      <c r="R166" s="31"/>
      <c r="S166" s="31"/>
      <c r="T166" s="163"/>
      <c r="U166" s="207"/>
      <c r="V166" s="209"/>
      <c r="W166" s="209"/>
    </row>
    <row r="167" spans="1:33" s="204" customFormat="1" ht="15" hidden="1" customHeight="1" x14ac:dyDescent="0.3">
      <c r="A167" s="253"/>
      <c r="B167" s="253"/>
      <c r="C167" s="154"/>
      <c r="E167" s="205"/>
      <c r="F167" s="205"/>
      <c r="G167" s="230"/>
      <c r="H167" s="106"/>
      <c r="I167" s="120"/>
      <c r="J167" s="120"/>
      <c r="K167" s="120"/>
      <c r="L167" s="120"/>
      <c r="M167" s="120"/>
      <c r="N167" s="121">
        <v>1</v>
      </c>
      <c r="O167" s="121">
        <v>1</v>
      </c>
      <c r="P167" s="121">
        <v>1</v>
      </c>
      <c r="Q167" s="121">
        <v>1</v>
      </c>
      <c r="R167" s="121">
        <v>1</v>
      </c>
      <c r="S167" s="121">
        <v>1</v>
      </c>
      <c r="T167" s="246"/>
      <c r="U167" s="207"/>
      <c r="V167" s="209"/>
      <c r="W167" s="209"/>
    </row>
    <row r="168" spans="1:33" s="204" customFormat="1" ht="15" hidden="1" customHeight="1" x14ac:dyDescent="0.3">
      <c r="A168" s="253"/>
      <c r="B168" s="253"/>
      <c r="C168" s="154"/>
      <c r="E168" s="205"/>
      <c r="F168" s="205"/>
      <c r="G168" s="235"/>
      <c r="H168" s="106"/>
      <c r="I168" s="106"/>
      <c r="J168" s="106"/>
      <c r="K168" s="106"/>
      <c r="L168" s="106"/>
      <c r="M168" s="106"/>
      <c r="N168" s="107" t="s">
        <v>46</v>
      </c>
      <c r="O168" s="107"/>
      <c r="P168" s="107"/>
      <c r="Q168" s="107"/>
      <c r="R168" s="107"/>
      <c r="S168" s="107"/>
      <c r="T168" s="237"/>
      <c r="U168" s="207"/>
      <c r="V168" s="209"/>
      <c r="W168" s="209"/>
    </row>
    <row r="169" spans="1:33" s="204" customFormat="1" ht="15" hidden="1" customHeight="1" x14ac:dyDescent="0.3">
      <c r="A169" s="253"/>
      <c r="B169" s="253">
        <v>1</v>
      </c>
      <c r="C169" s="154"/>
      <c r="E169" s="205"/>
      <c r="F169" s="205"/>
      <c r="G169" s="235"/>
      <c r="H169" s="82" t="s">
        <v>100</v>
      </c>
      <c r="I169" s="83"/>
      <c r="J169" s="83"/>
      <c r="K169" s="83"/>
      <c r="L169" s="83"/>
      <c r="M169" s="83"/>
      <c r="N169" s="93">
        <f>IFERROR(AVERAGE(I165:M165),0)</f>
        <v>1.4596048052114411E-3</v>
      </c>
      <c r="O169" s="93">
        <f>AVERAGE(J165:N165)</f>
        <v>1.4625504472904056E-3</v>
      </c>
      <c r="P169" s="93">
        <f>AVERAGE(K165:O165)</f>
        <v>1.9511463195919184E-3</v>
      </c>
      <c r="Q169" s="93">
        <f>AVERAGE(L165:P165)</f>
        <v>2.4977220142858624E-3</v>
      </c>
      <c r="R169" s="93">
        <f>AVERAGE(M165:Q165)</f>
        <v>2.2584682930807086E-3</v>
      </c>
      <c r="S169" s="93">
        <f>AVERAGE(N165:R165)</f>
        <v>1.9258983758920669E-3</v>
      </c>
      <c r="T169" s="237"/>
      <c r="U169" s="207"/>
      <c r="V169" s="209"/>
      <c r="W169" s="209"/>
    </row>
    <row r="170" spans="1:33" s="204" customFormat="1" ht="15" hidden="1" customHeight="1" x14ac:dyDescent="0.3">
      <c r="A170" s="253"/>
      <c r="B170" s="253"/>
      <c r="C170" s="154"/>
      <c r="E170" s="205"/>
      <c r="F170" s="205"/>
      <c r="G170" s="235"/>
      <c r="H170" s="231"/>
      <c r="I170" s="231"/>
      <c r="J170" s="231"/>
      <c r="K170" s="231"/>
      <c r="L170" s="231"/>
      <c r="M170" s="231"/>
      <c r="N170" s="231"/>
      <c r="O170" s="231"/>
      <c r="P170" s="231"/>
      <c r="Q170" s="231"/>
      <c r="R170" s="231"/>
      <c r="S170" s="231"/>
      <c r="T170" s="237"/>
      <c r="U170" s="207"/>
      <c r="V170" s="209"/>
      <c r="W170" s="209"/>
    </row>
    <row r="171" spans="1:33" s="204" customFormat="1" ht="15" hidden="1" customHeight="1" thickBot="1" x14ac:dyDescent="0.35">
      <c r="A171" s="253"/>
      <c r="B171" s="253">
        <v>2</v>
      </c>
      <c r="C171" s="154"/>
      <c r="E171" s="138" t="s">
        <v>66</v>
      </c>
      <c r="F171" s="205"/>
      <c r="G171" s="235"/>
      <c r="H171" s="82" t="s">
        <v>67</v>
      </c>
      <c r="I171" s="83"/>
      <c r="J171" s="83"/>
      <c r="K171" s="83"/>
      <c r="L171" s="83"/>
      <c r="M171" s="83"/>
      <c r="N171" s="448" t="s">
        <v>14</v>
      </c>
      <c r="O171" s="448" t="s">
        <v>14</v>
      </c>
      <c r="P171" s="142" t="s">
        <v>14</v>
      </c>
      <c r="Q171" s="142" t="s">
        <v>14</v>
      </c>
      <c r="R171" s="142" t="s">
        <v>14</v>
      </c>
      <c r="S171" s="142" t="s">
        <v>14</v>
      </c>
      <c r="T171" s="237"/>
      <c r="U171" s="207"/>
      <c r="V171" s="209"/>
      <c r="W171" s="209">
        <v>3</v>
      </c>
    </row>
    <row r="172" spans="1:33" s="204" customFormat="1" ht="15" hidden="1" customHeight="1" collapsed="1" x14ac:dyDescent="0.3">
      <c r="A172" s="253"/>
      <c r="B172" s="253"/>
      <c r="C172" s="154"/>
      <c r="E172" s="205"/>
      <c r="F172" s="205"/>
      <c r="G172" s="235"/>
      <c r="H172" s="109"/>
      <c r="I172" s="109"/>
      <c r="J172" s="109"/>
      <c r="K172" s="109"/>
      <c r="L172" s="109"/>
      <c r="M172" s="109"/>
      <c r="N172" s="238"/>
      <c r="O172" s="238"/>
      <c r="P172" s="238"/>
      <c r="Q172" s="238"/>
      <c r="R172" s="238"/>
      <c r="S172" s="238"/>
      <c r="T172" s="237"/>
      <c r="U172" s="207"/>
      <c r="V172" s="209"/>
      <c r="W172" s="209"/>
    </row>
    <row r="173" spans="1:33" s="204" customFormat="1" ht="15" hidden="1" customHeight="1" x14ac:dyDescent="0.3">
      <c r="A173" s="253"/>
      <c r="B173" s="253"/>
      <c r="C173" s="154"/>
      <c r="E173" s="205"/>
      <c r="F173" s="205"/>
      <c r="G173" s="235"/>
      <c r="H173" s="111"/>
      <c r="I173" s="111"/>
      <c r="J173" s="111"/>
      <c r="K173" s="112" t="s">
        <v>53</v>
      </c>
      <c r="L173" s="113" t="s">
        <v>54</v>
      </c>
      <c r="M173" s="113" t="s">
        <v>55</v>
      </c>
      <c r="N173" s="239"/>
      <c r="O173" s="239"/>
      <c r="P173" s="239"/>
      <c r="Q173" s="239"/>
      <c r="R173" s="239"/>
      <c r="S173" s="239"/>
      <c r="T173" s="237"/>
      <c r="U173" s="207"/>
      <c r="V173" s="209"/>
      <c r="W173" s="209"/>
    </row>
    <row r="174" spans="1:33" s="204" customFormat="1" ht="15" hidden="1" customHeight="1" x14ac:dyDescent="0.3">
      <c r="A174" s="253"/>
      <c r="B174" s="253"/>
      <c r="C174" s="154"/>
      <c r="E174" s="205"/>
      <c r="F174" s="205"/>
      <c r="G174" s="235"/>
      <c r="H174" s="82" t="s">
        <v>101</v>
      </c>
      <c r="I174" s="83"/>
      <c r="J174" s="83"/>
      <c r="K174" s="83"/>
      <c r="L174" s="115">
        <v>-0.05</v>
      </c>
      <c r="M174" s="116">
        <v>0.05</v>
      </c>
      <c r="N174" s="72">
        <f t="shared" ref="N174:S174" si="62">N165-M165</f>
        <v>-2.461713073812473E-3</v>
      </c>
      <c r="O174" s="72">
        <f t="shared" si="62"/>
        <v>2.9456420789645069E-6</v>
      </c>
      <c r="P174" s="72">
        <f t="shared" si="62"/>
        <v>4.8859587230151279E-4</v>
      </c>
      <c r="Q174" s="72">
        <f t="shared" si="62"/>
        <v>5.4657569469394396E-4</v>
      </c>
      <c r="R174" s="72">
        <f t="shared" si="62"/>
        <v>-2.3925372120515379E-4</v>
      </c>
      <c r="S174" s="72">
        <f t="shared" si="62"/>
        <v>-3.3256991718864167E-4</v>
      </c>
      <c r="T174" s="237"/>
      <c r="U174" s="207"/>
      <c r="V174" s="209"/>
      <c r="W174" s="209"/>
      <c r="AB174" s="204" t="str">
        <f t="shared" ref="AB174:AG174" si="63">IF(ISNUMBER(AB$82),AB$82,IF(ISNUMBER(AB$83),AB$83,"NA"))</f>
        <v>NA</v>
      </c>
      <c r="AC174" s="204" t="str">
        <f t="shared" si="63"/>
        <v>NA</v>
      </c>
      <c r="AD174" s="204" t="str">
        <f t="shared" si="63"/>
        <v>NA</v>
      </c>
      <c r="AE174" s="204" t="str">
        <f t="shared" si="63"/>
        <v>NA</v>
      </c>
      <c r="AF174" s="204" t="str">
        <f t="shared" si="63"/>
        <v>NA</v>
      </c>
      <c r="AG174" s="204" t="str">
        <f t="shared" si="63"/>
        <v>NA</v>
      </c>
    </row>
    <row r="175" spans="1:33" s="175" customFormat="1" ht="15" hidden="1" customHeight="1" thickBot="1" x14ac:dyDescent="0.35">
      <c r="A175" s="52"/>
      <c r="B175" s="52"/>
      <c r="C175" s="154"/>
      <c r="E175" s="255"/>
      <c r="F175" s="255"/>
      <c r="G175" s="256"/>
      <c r="H175" s="474"/>
      <c r="I175" s="257"/>
      <c r="J175" s="257"/>
      <c r="K175" s="257"/>
      <c r="L175" s="257"/>
      <c r="M175" s="257"/>
      <c r="N175" s="257"/>
      <c r="O175" s="257"/>
      <c r="P175" s="257"/>
      <c r="Q175" s="257"/>
      <c r="R175" s="257"/>
      <c r="S175" s="257"/>
      <c r="T175" s="242"/>
      <c r="V175" s="188"/>
      <c r="W175" s="188"/>
    </row>
    <row r="176" spans="1:33" s="175" customFormat="1" ht="5.0999999999999996" hidden="1" customHeight="1" x14ac:dyDescent="0.3">
      <c r="A176" s="52"/>
      <c r="B176" s="52"/>
      <c r="C176" s="154"/>
      <c r="E176" s="255"/>
      <c r="F176" s="255"/>
      <c r="G176" s="258"/>
      <c r="H176" s="258"/>
      <c r="I176" s="259"/>
      <c r="J176" s="243"/>
      <c r="K176" s="243"/>
      <c r="L176" s="243"/>
      <c r="M176" s="243"/>
      <c r="N176" s="243"/>
      <c r="O176" s="243"/>
      <c r="P176" s="243"/>
      <c r="Q176" s="243"/>
      <c r="R176" s="243"/>
      <c r="S176" s="243"/>
      <c r="T176" s="243"/>
      <c r="V176" s="188"/>
      <c r="W176" s="188"/>
    </row>
    <row r="177" spans="1:23" s="175" customFormat="1" ht="15" customHeight="1" x14ac:dyDescent="0.3">
      <c r="A177" s="89"/>
      <c r="B177" s="89"/>
      <c r="C177" s="154"/>
      <c r="E177" s="245" t="s">
        <v>102</v>
      </c>
      <c r="F177" s="260"/>
      <c r="G177" s="260"/>
      <c r="H177" s="260"/>
      <c r="I177" s="202">
        <f>IF(ISBLANK('Additional Data'!G55),"",'Additional Data'!G55)</f>
        <v>120</v>
      </c>
      <c r="J177" s="202">
        <f>IF(ISBLANK('Additional Data'!H55),"",'Additional Data'!H55)</f>
        <v>-68</v>
      </c>
      <c r="K177" s="202">
        <f>IF(ISBLANK('Additional Data'!I55),"",'Additional Data'!I55)</f>
        <v>392</v>
      </c>
      <c r="L177" s="202">
        <f>IF(ISBLANK('Additional Data'!J55),"",'Additional Data'!J55)</f>
        <v>-257</v>
      </c>
      <c r="M177" s="202">
        <f>IF(ISBLANK('Additional Data'!K55),"",'Additional Data'!K55)</f>
        <v>-271</v>
      </c>
      <c r="N177" s="261">
        <f t="shared" ref="N177:S177" si="64">N$55*N178</f>
        <v>0.86227297158155813</v>
      </c>
      <c r="O177" s="261">
        <f t="shared" si="64"/>
        <v>-3.1013209552155057</v>
      </c>
      <c r="P177" s="261">
        <f t="shared" si="64"/>
        <v>-1.354011180347739</v>
      </c>
      <c r="Q177" s="261">
        <f t="shared" si="64"/>
        <v>-14.630849497408853</v>
      </c>
      <c r="R177" s="261">
        <f t="shared" si="64"/>
        <v>-11.528928007224204</v>
      </c>
      <c r="S177" s="261">
        <f t="shared" si="64"/>
        <v>-6.7221399205381882</v>
      </c>
      <c r="T177" s="163"/>
      <c r="V177" s="188"/>
      <c r="W177" s="188"/>
    </row>
    <row r="178" spans="1:23" s="175" customFormat="1" ht="15" customHeight="1" thickBot="1" x14ac:dyDescent="0.35">
      <c r="A178" s="52">
        <v>11</v>
      </c>
      <c r="B178" s="52"/>
      <c r="C178" s="154"/>
      <c r="E178" s="432" t="s">
        <v>62</v>
      </c>
      <c r="F178" s="205"/>
      <c r="G178" s="30"/>
      <c r="H178" s="364" t="s">
        <v>44</v>
      </c>
      <c r="I178" s="206">
        <f t="shared" ref="I178:M178" si="65">IFERROR(I177/I$55,"")</f>
        <v>2.1809458034967831E-4</v>
      </c>
      <c r="J178" s="206">
        <f t="shared" si="65"/>
        <v>-1.274745050989802E-4</v>
      </c>
      <c r="K178" s="206">
        <f t="shared" si="65"/>
        <v>5.7601316601522316E-4</v>
      </c>
      <c r="L178" s="206">
        <f t="shared" si="65"/>
        <v>-3.0359948494406444E-4</v>
      </c>
      <c r="M178" s="206">
        <f t="shared" si="65"/>
        <v>-3.1505400095329993E-4</v>
      </c>
      <c r="N178" s="206">
        <f t="shared" ref="N178:S178" si="66">IF(ISNUMBER(N$182),N$182,IF(ISNUMBER(N$183),N$183,""))</f>
        <v>9.5959510737113908E-6</v>
      </c>
      <c r="O178" s="206">
        <f t="shared" si="66"/>
        <v>-3.2103774781482001E-5</v>
      </c>
      <c r="P178" s="206">
        <f t="shared" si="66"/>
        <v>-1.3029628717982366E-5</v>
      </c>
      <c r="Q178" s="206">
        <f t="shared" si="66"/>
        <v>-1.3083818766462346E-4</v>
      </c>
      <c r="R178" s="206">
        <f t="shared" si="66"/>
        <v>-9.6285928208735274E-5</v>
      </c>
      <c r="S178" s="206">
        <f t="shared" si="66"/>
        <v>-5.2532313659822349E-5</v>
      </c>
      <c r="T178" s="163"/>
      <c r="V178" s="188">
        <v>7</v>
      </c>
      <c r="W178" s="188">
        <v>3</v>
      </c>
    </row>
    <row r="179" spans="1:23" s="204" customFormat="1" ht="5.0999999999999996" hidden="1" customHeight="1" x14ac:dyDescent="0.3">
      <c r="A179" s="253"/>
      <c r="B179" s="253"/>
      <c r="C179" s="154"/>
      <c r="E179" s="205"/>
      <c r="F179" s="205"/>
      <c r="G179" s="205"/>
      <c r="H179" s="193"/>
      <c r="I179" s="262"/>
      <c r="J179" s="262"/>
      <c r="K179" s="31"/>
      <c r="L179" s="31"/>
      <c r="M179" s="31"/>
      <c r="N179" s="31"/>
      <c r="O179" s="31"/>
      <c r="P179" s="31"/>
      <c r="Q179" s="31"/>
      <c r="R179" s="31"/>
      <c r="S179" s="31"/>
      <c r="T179" s="163"/>
      <c r="U179" s="207"/>
      <c r="V179" s="209"/>
      <c r="W179" s="209"/>
    </row>
    <row r="180" spans="1:23" s="204" customFormat="1" ht="15" hidden="1" customHeight="1" x14ac:dyDescent="0.3">
      <c r="A180" s="253"/>
      <c r="B180" s="253"/>
      <c r="C180" s="154"/>
      <c r="E180" s="205"/>
      <c r="F180" s="205"/>
      <c r="G180" s="230"/>
      <c r="H180" s="263"/>
      <c r="I180" s="264"/>
      <c r="J180" s="264"/>
      <c r="K180" s="120"/>
      <c r="L180" s="120"/>
      <c r="M180" s="120"/>
      <c r="N180" s="121">
        <v>1</v>
      </c>
      <c r="O180" s="121">
        <v>1</v>
      </c>
      <c r="P180" s="121">
        <v>1</v>
      </c>
      <c r="Q180" s="121">
        <v>1</v>
      </c>
      <c r="R180" s="121">
        <v>1</v>
      </c>
      <c r="S180" s="121">
        <v>1</v>
      </c>
      <c r="T180" s="246"/>
      <c r="U180" s="207"/>
      <c r="V180" s="209"/>
      <c r="W180" s="209"/>
    </row>
    <row r="181" spans="1:23" s="204" customFormat="1" ht="15" hidden="1" customHeight="1" x14ac:dyDescent="0.3">
      <c r="A181" s="253"/>
      <c r="B181" s="253"/>
      <c r="C181" s="154"/>
      <c r="E181" s="205"/>
      <c r="F181" s="205"/>
      <c r="G181" s="235"/>
      <c r="H181" s="106"/>
      <c r="I181" s="106"/>
      <c r="J181" s="106"/>
      <c r="K181" s="106"/>
      <c r="L181" s="106"/>
      <c r="M181" s="106"/>
      <c r="N181" s="107" t="s">
        <v>46</v>
      </c>
      <c r="O181" s="107"/>
      <c r="P181" s="107"/>
      <c r="Q181" s="107"/>
      <c r="R181" s="107"/>
      <c r="S181" s="107"/>
      <c r="T181" s="237"/>
      <c r="U181" s="207"/>
      <c r="V181" s="209"/>
      <c r="W181" s="209"/>
    </row>
    <row r="182" spans="1:23" s="204" customFormat="1" ht="15" hidden="1" customHeight="1" x14ac:dyDescent="0.3">
      <c r="A182" s="253"/>
      <c r="B182" s="253">
        <v>1</v>
      </c>
      <c r="C182" s="154"/>
      <c r="E182" s="205"/>
      <c r="F182" s="205"/>
      <c r="G182" s="235"/>
      <c r="H182" s="82" t="s">
        <v>100</v>
      </c>
      <c r="I182" s="83"/>
      <c r="J182" s="83"/>
      <c r="K182" s="83"/>
      <c r="L182" s="83"/>
      <c r="M182" s="83"/>
      <c r="N182" s="93">
        <f t="shared" ref="N182:S182" si="67">AVERAGE(I178:M178)</f>
        <v>9.5959510737113908E-6</v>
      </c>
      <c r="O182" s="93">
        <f t="shared" si="67"/>
        <v>-3.2103774781482001E-5</v>
      </c>
      <c r="P182" s="93">
        <f t="shared" si="67"/>
        <v>-1.3029628717982366E-5</v>
      </c>
      <c r="Q182" s="93">
        <f t="shared" si="67"/>
        <v>-1.3083818766462346E-4</v>
      </c>
      <c r="R182" s="93">
        <f t="shared" si="67"/>
        <v>-9.6285928208735274E-5</v>
      </c>
      <c r="S182" s="93">
        <f t="shared" si="67"/>
        <v>-5.2532313659822349E-5</v>
      </c>
      <c r="T182" s="237"/>
      <c r="U182" s="207"/>
      <c r="V182" s="209"/>
      <c r="W182" s="209"/>
    </row>
    <row r="183" spans="1:23" s="204" customFormat="1" ht="15" hidden="1" customHeight="1" x14ac:dyDescent="0.3">
      <c r="A183" s="253"/>
      <c r="B183" s="253"/>
      <c r="C183" s="154"/>
      <c r="E183" s="205"/>
      <c r="F183" s="205"/>
      <c r="G183" s="235"/>
      <c r="H183" s="231"/>
      <c r="I183" s="231"/>
      <c r="J183" s="231"/>
      <c r="K183" s="231"/>
      <c r="L183" s="231"/>
      <c r="M183" s="231"/>
      <c r="N183" s="231"/>
      <c r="O183" s="231"/>
      <c r="P183" s="231"/>
      <c r="Q183" s="231"/>
      <c r="R183" s="231"/>
      <c r="S183" s="231"/>
      <c r="T183" s="237"/>
      <c r="U183" s="207"/>
      <c r="V183" s="209"/>
      <c r="W183" s="209"/>
    </row>
    <row r="184" spans="1:23" s="204" customFormat="1" ht="15" hidden="1" customHeight="1" thickBot="1" x14ac:dyDescent="0.35">
      <c r="A184" s="253"/>
      <c r="B184" s="253">
        <v>2</v>
      </c>
      <c r="C184" s="154"/>
      <c r="E184" s="138" t="s">
        <v>52</v>
      </c>
      <c r="F184" s="205"/>
      <c r="G184" s="235"/>
      <c r="H184" s="82" t="s">
        <v>67</v>
      </c>
      <c r="I184" s="83"/>
      <c r="J184" s="83"/>
      <c r="K184" s="83"/>
      <c r="L184" s="83"/>
      <c r="M184" s="83"/>
      <c r="N184" s="448">
        <v>0</v>
      </c>
      <c r="O184" s="448">
        <v>0</v>
      </c>
      <c r="P184" s="448">
        <v>0</v>
      </c>
      <c r="Q184" s="448">
        <v>0</v>
      </c>
      <c r="R184" s="448">
        <v>0</v>
      </c>
      <c r="S184" s="448">
        <v>0</v>
      </c>
      <c r="T184" s="237"/>
      <c r="U184" s="207"/>
      <c r="V184" s="209"/>
      <c r="W184" s="209">
        <v>3</v>
      </c>
    </row>
    <row r="185" spans="1:23" s="204" customFormat="1" ht="15" hidden="1" customHeight="1" collapsed="1" x14ac:dyDescent="0.3">
      <c r="A185" s="253"/>
      <c r="B185" s="253"/>
      <c r="C185" s="154"/>
      <c r="E185" s="205"/>
      <c r="F185" s="205"/>
      <c r="G185" s="235"/>
      <c r="H185" s="109"/>
      <c r="I185" s="109"/>
      <c r="J185" s="109"/>
      <c r="K185" s="109"/>
      <c r="L185" s="109"/>
      <c r="M185" s="109"/>
      <c r="N185" s="238"/>
      <c r="O185" s="238"/>
      <c r="P185" s="238"/>
      <c r="Q185" s="238"/>
      <c r="R185" s="238"/>
      <c r="S185" s="238"/>
      <c r="T185" s="237"/>
      <c r="U185" s="207"/>
      <c r="V185" s="209"/>
      <c r="W185" s="209"/>
    </row>
    <row r="186" spans="1:23" s="204" customFormat="1" ht="15" hidden="1" customHeight="1" x14ac:dyDescent="0.3">
      <c r="A186" s="253"/>
      <c r="B186" s="253"/>
      <c r="C186" s="154"/>
      <c r="E186" s="205"/>
      <c r="F186" s="205"/>
      <c r="G186" s="235"/>
      <c r="H186" s="111"/>
      <c r="I186" s="111"/>
      <c r="J186" s="111"/>
      <c r="K186" s="112" t="s">
        <v>53</v>
      </c>
      <c r="L186" s="113" t="s">
        <v>54</v>
      </c>
      <c r="M186" s="113" t="s">
        <v>55</v>
      </c>
      <c r="N186" s="239"/>
      <c r="O186" s="239"/>
      <c r="P186" s="239"/>
      <c r="Q186" s="239"/>
      <c r="R186" s="239"/>
      <c r="S186" s="239"/>
      <c r="T186" s="237"/>
      <c r="U186" s="207"/>
      <c r="V186" s="209"/>
      <c r="W186" s="209"/>
    </row>
    <row r="187" spans="1:23" s="204" customFormat="1" ht="15" hidden="1" customHeight="1" x14ac:dyDescent="0.3">
      <c r="A187" s="253"/>
      <c r="B187" s="253"/>
      <c r="C187" s="154"/>
      <c r="E187" s="205"/>
      <c r="F187" s="205"/>
      <c r="G187" s="235"/>
      <c r="H187" s="82" t="s">
        <v>103</v>
      </c>
      <c r="I187" s="83"/>
      <c r="J187" s="83"/>
      <c r="K187" s="83"/>
      <c r="L187" s="115">
        <v>-0.05</v>
      </c>
      <c r="M187" s="116">
        <v>0.05</v>
      </c>
      <c r="N187" s="72">
        <f t="shared" ref="N187:S187" si="68">N178-M178</f>
        <v>3.246499520270113E-4</v>
      </c>
      <c r="O187" s="72">
        <f t="shared" si="68"/>
        <v>-4.169972585519339E-5</v>
      </c>
      <c r="P187" s="72">
        <f t="shared" si="68"/>
        <v>1.9074146063499634E-5</v>
      </c>
      <c r="Q187" s="72">
        <f t="shared" si="68"/>
        <v>-1.178085589466411E-4</v>
      </c>
      <c r="R187" s="72">
        <f t="shared" si="68"/>
        <v>3.4552259455888188E-5</v>
      </c>
      <c r="S187" s="72">
        <f t="shared" si="68"/>
        <v>4.3753614548912924E-5</v>
      </c>
      <c r="T187" s="237"/>
      <c r="U187" s="207"/>
      <c r="V187" s="209"/>
      <c r="W187" s="209"/>
    </row>
    <row r="188" spans="1:23" s="175" customFormat="1" ht="15" hidden="1" customHeight="1" thickBot="1" x14ac:dyDescent="0.35">
      <c r="A188" s="52"/>
      <c r="B188" s="52"/>
      <c r="C188" s="154"/>
      <c r="E188" s="255"/>
      <c r="F188" s="255"/>
      <c r="G188" s="265"/>
      <c r="H188" s="266"/>
      <c r="I188" s="267"/>
      <c r="J188" s="267"/>
      <c r="K188" s="267"/>
      <c r="L188" s="267"/>
      <c r="M188" s="267"/>
      <c r="N188" s="267"/>
      <c r="O188" s="267"/>
      <c r="P188" s="267"/>
      <c r="Q188" s="267"/>
      <c r="R188" s="267"/>
      <c r="S188" s="267"/>
      <c r="T188" s="242"/>
      <c r="V188" s="188"/>
      <c r="W188" s="188"/>
    </row>
    <row r="189" spans="1:23" s="175" customFormat="1" ht="5.0999999999999996" hidden="1" customHeight="1" x14ac:dyDescent="0.3">
      <c r="A189" s="52"/>
      <c r="B189" s="52"/>
      <c r="C189" s="154"/>
      <c r="E189" s="255"/>
      <c r="F189" s="255"/>
      <c r="G189" s="258"/>
      <c r="H189" s="258"/>
      <c r="I189" s="243"/>
      <c r="J189" s="243"/>
      <c r="K189" s="243"/>
      <c r="L189" s="243"/>
      <c r="M189" s="243"/>
      <c r="N189" s="243"/>
      <c r="O189" s="243"/>
      <c r="P189" s="243"/>
      <c r="Q189" s="243"/>
      <c r="R189" s="243"/>
      <c r="S189" s="243"/>
      <c r="T189" s="243"/>
      <c r="V189" s="188"/>
      <c r="W189" s="188"/>
    </row>
    <row r="190" spans="1:23" s="175" customFormat="1" ht="15" customHeight="1" x14ac:dyDescent="0.3">
      <c r="A190" s="89"/>
      <c r="B190" s="89"/>
      <c r="C190" s="154"/>
      <c r="E190" s="245" t="s">
        <v>104</v>
      </c>
      <c r="F190" s="260"/>
      <c r="G190" s="260"/>
      <c r="H190" s="260"/>
      <c r="I190" s="202"/>
      <c r="J190" s="202"/>
      <c r="K190" s="202"/>
      <c r="L190" s="202"/>
      <c r="M190" s="202"/>
      <c r="N190" s="202">
        <f t="shared" ref="N190:S190" si="69">IF(ISNUMBER(N194),N194,0)</f>
        <v>0</v>
      </c>
      <c r="O190" s="202">
        <f t="shared" si="69"/>
        <v>0</v>
      </c>
      <c r="P190" s="202">
        <f t="shared" si="69"/>
        <v>0</v>
      </c>
      <c r="Q190" s="202">
        <f t="shared" si="69"/>
        <v>0</v>
      </c>
      <c r="R190" s="202">
        <f t="shared" si="69"/>
        <v>0</v>
      </c>
      <c r="S190" s="202">
        <f t="shared" si="69"/>
        <v>0</v>
      </c>
      <c r="T190" s="163"/>
      <c r="V190" s="188"/>
      <c r="W190" s="188"/>
    </row>
    <row r="191" spans="1:23" s="175" customFormat="1" ht="15" customHeight="1" thickBot="1" x14ac:dyDescent="0.35">
      <c r="A191" s="52">
        <v>5</v>
      </c>
      <c r="B191" s="52"/>
      <c r="C191" s="154"/>
      <c r="E191" s="433" t="s">
        <v>62</v>
      </c>
      <c r="F191" s="244"/>
      <c r="G191" s="94"/>
      <c r="H191" s="364" t="s">
        <v>44</v>
      </c>
      <c r="I191" s="244"/>
      <c r="J191" s="244"/>
      <c r="K191" s="244"/>
      <c r="L191" s="244"/>
      <c r="M191" s="244"/>
      <c r="N191" s="203">
        <f t="shared" ref="N191:S191" si="70">IFERROR(N190/N$55,"")</f>
        <v>0</v>
      </c>
      <c r="O191" s="203">
        <f t="shared" si="70"/>
        <v>0</v>
      </c>
      <c r="P191" s="203">
        <f t="shared" si="70"/>
        <v>0</v>
      </c>
      <c r="Q191" s="203">
        <f t="shared" si="70"/>
        <v>0</v>
      </c>
      <c r="R191" s="203">
        <f t="shared" si="70"/>
        <v>0</v>
      </c>
      <c r="S191" s="203">
        <f t="shared" si="70"/>
        <v>0</v>
      </c>
      <c r="T191" s="244"/>
      <c r="V191" s="188"/>
      <c r="W191" s="188"/>
    </row>
    <row r="192" spans="1:23" s="175" customFormat="1" ht="5.0999999999999996" hidden="1" customHeight="1" x14ac:dyDescent="0.3">
      <c r="A192" s="52"/>
      <c r="B192" s="52"/>
      <c r="C192" s="154"/>
      <c r="E192" s="205"/>
      <c r="F192" s="205"/>
      <c r="G192" s="205"/>
      <c r="H192" s="193"/>
      <c r="I192" s="205"/>
      <c r="J192" s="205"/>
      <c r="K192" s="205"/>
      <c r="L192" s="205"/>
      <c r="M192" s="205"/>
      <c r="N192" s="206"/>
      <c r="O192" s="206"/>
      <c r="P192" s="206"/>
      <c r="Q192" s="206"/>
      <c r="R192" s="206"/>
      <c r="S192" s="206"/>
      <c r="T192" s="205"/>
      <c r="V192" s="188"/>
      <c r="W192" s="188"/>
    </row>
    <row r="193" spans="1:26" s="204" customFormat="1" ht="15" hidden="1" customHeight="1" x14ac:dyDescent="0.3">
      <c r="A193" s="253"/>
      <c r="B193" s="253"/>
      <c r="C193" s="154"/>
      <c r="E193" s="205"/>
      <c r="F193" s="205"/>
      <c r="G193" s="230"/>
      <c r="H193" s="107"/>
      <c r="I193" s="120"/>
      <c r="J193" s="120"/>
      <c r="K193" s="120"/>
      <c r="L193" s="120"/>
      <c r="M193" s="120"/>
      <c r="N193" s="120"/>
      <c r="O193" s="120"/>
      <c r="P193" s="120"/>
      <c r="Q193" s="120"/>
      <c r="R193" s="120"/>
      <c r="S193" s="120"/>
      <c r="T193" s="246"/>
      <c r="U193" s="207"/>
      <c r="V193" s="209"/>
      <c r="W193" s="209"/>
    </row>
    <row r="194" spans="1:26" s="204" customFormat="1" ht="15" hidden="1" customHeight="1" x14ac:dyDescent="0.3">
      <c r="A194" s="253"/>
      <c r="B194" s="253"/>
      <c r="C194" s="154"/>
      <c r="E194" s="205"/>
      <c r="F194" s="205"/>
      <c r="G194" s="235"/>
      <c r="H194" s="82" t="str">
        <f>"Input ("&amp;CCY&amp;")"</f>
        <v>Input (EUR)</v>
      </c>
      <c r="I194" s="83"/>
      <c r="J194" s="83"/>
      <c r="K194" s="83"/>
      <c r="L194" s="83"/>
      <c r="M194" s="83"/>
      <c r="N194" s="475">
        <v>0</v>
      </c>
      <c r="O194" s="475">
        <v>0</v>
      </c>
      <c r="P194" s="475">
        <v>0</v>
      </c>
      <c r="Q194" s="475">
        <v>0</v>
      </c>
      <c r="R194" s="475">
        <v>0</v>
      </c>
      <c r="S194" s="475">
        <v>0</v>
      </c>
      <c r="T194" s="237"/>
      <c r="U194" s="207"/>
      <c r="V194" s="209"/>
      <c r="W194" s="209"/>
    </row>
    <row r="195" spans="1:26" s="204" customFormat="1" ht="15" hidden="1" customHeight="1" thickBot="1" x14ac:dyDescent="0.35">
      <c r="A195" s="253"/>
      <c r="B195" s="253"/>
      <c r="C195" s="154"/>
      <c r="E195" s="205"/>
      <c r="F195" s="205"/>
      <c r="G195" s="250"/>
      <c r="H195" s="122"/>
      <c r="I195" s="122"/>
      <c r="J195" s="122"/>
      <c r="K195" s="122"/>
      <c r="L195" s="122"/>
      <c r="M195" s="122"/>
      <c r="N195" s="268"/>
      <c r="O195" s="268"/>
      <c r="P195" s="268"/>
      <c r="Q195" s="268"/>
      <c r="R195" s="268"/>
      <c r="S195" s="268"/>
      <c r="T195" s="242"/>
      <c r="U195" s="207"/>
      <c r="V195" s="209"/>
      <c r="W195" s="209"/>
    </row>
    <row r="196" spans="1:26" s="204" customFormat="1" ht="5.0999999999999996" hidden="1" customHeight="1" x14ac:dyDescent="0.3">
      <c r="A196" s="253"/>
      <c r="B196" s="253"/>
      <c r="C196" s="154"/>
      <c r="E196" s="205"/>
      <c r="F196" s="205"/>
      <c r="G196" s="269"/>
      <c r="H196" s="79"/>
      <c r="I196" s="79"/>
      <c r="J196" s="79"/>
      <c r="K196" s="79"/>
      <c r="L196" s="79"/>
      <c r="M196" s="79"/>
      <c r="N196" s="270"/>
      <c r="O196" s="270"/>
      <c r="P196" s="270"/>
      <c r="Q196" s="270"/>
      <c r="R196" s="270"/>
      <c r="S196" s="270"/>
      <c r="T196" s="271"/>
      <c r="U196" s="207"/>
      <c r="V196" s="209"/>
      <c r="W196" s="209"/>
    </row>
    <row r="197" spans="1:26" s="175" customFormat="1" ht="15" customHeight="1" x14ac:dyDescent="0.3">
      <c r="A197" s="89"/>
      <c r="B197" s="89"/>
      <c r="C197" s="154"/>
      <c r="E197" s="476" t="s">
        <v>105</v>
      </c>
      <c r="F197" s="476"/>
      <c r="G197" s="476"/>
      <c r="H197" s="476"/>
      <c r="I197" s="518">
        <f>IFERROR(I126+I128-I146-I164+I177+I190,"")</f>
        <v>67285.320000000007</v>
      </c>
      <c r="J197" s="518">
        <f t="shared" ref="J197:S197" si="71">IFERROR(J126+J128-J146-J164+J177+J190,"")</f>
        <v>39948.535400000001</v>
      </c>
      <c r="K197" s="518">
        <f t="shared" si="71"/>
        <v>78195.374998547195</v>
      </c>
      <c r="L197" s="518">
        <f t="shared" si="71"/>
        <v>87886.326000000001</v>
      </c>
      <c r="M197" s="518">
        <f t="shared" si="71"/>
        <v>90006.5</v>
      </c>
      <c r="N197" s="477">
        <f t="shared" ca="1" si="71"/>
        <v>40353.453254169232</v>
      </c>
      <c r="O197" s="518">
        <f t="shared" ca="1" si="71"/>
        <v>41893.838321105541</v>
      </c>
      <c r="P197" s="518">
        <f t="shared" ca="1" si="71"/>
        <v>45112.386458640583</v>
      </c>
      <c r="Q197" s="518">
        <f t="shared" ca="1" si="71"/>
        <v>47621.417737006144</v>
      </c>
      <c r="R197" s="518">
        <f t="shared" ca="1" si="71"/>
        <v>48922.688197897194</v>
      </c>
      <c r="S197" s="518">
        <f t="shared" ca="1" si="71"/>
        <v>49527.624847683968</v>
      </c>
      <c r="T197" s="518">
        <f ca="1">IFERROR(S197*S207+R197*(1-S207),"")</f>
        <v>48922.688197897194</v>
      </c>
      <c r="V197" s="188"/>
      <c r="W197" s="188"/>
    </row>
    <row r="198" spans="1:26" s="204" customFormat="1" ht="15" customHeight="1" thickBot="1" x14ac:dyDescent="0.35">
      <c r="A198" s="253">
        <v>6</v>
      </c>
      <c r="B198" s="253"/>
      <c r="C198" s="154"/>
      <c r="E198" s="432" t="s">
        <v>10</v>
      </c>
      <c r="F198" s="272"/>
      <c r="G198" s="30"/>
      <c r="H198" s="364" t="s">
        <v>44</v>
      </c>
      <c r="I198" s="206">
        <f t="shared" ref="I198:S198" si="72">IF(ISERROR(I197/I$55),"",I197/I$55)</f>
        <v>0.12228803024244848</v>
      </c>
      <c r="J198" s="206">
        <f t="shared" si="72"/>
        <v>7.4888526169766045E-2</v>
      </c>
      <c r="K198" s="206">
        <f t="shared" si="72"/>
        <v>0.11490195285882857</v>
      </c>
      <c r="L198" s="206">
        <f t="shared" si="72"/>
        <v>0.10382195839387603</v>
      </c>
      <c r="M198" s="206">
        <f t="shared" si="72"/>
        <v>0.10463803666717045</v>
      </c>
      <c r="N198" s="206">
        <f ca="1">IF(ISERROR(N197/N$55),"",N197/N$55)</f>
        <v>0.44908025166561943</v>
      </c>
      <c r="O198" s="206">
        <f t="shared" ca="1" si="72"/>
        <v>0.43367015849513513</v>
      </c>
      <c r="P198" s="206">
        <f t="shared" ca="1" si="72"/>
        <v>0.43411579953665019</v>
      </c>
      <c r="Q198" s="206">
        <f t="shared" ca="1" si="72"/>
        <v>0.42586043905607157</v>
      </c>
      <c r="R198" s="206">
        <f t="shared" ca="1" si="72"/>
        <v>0.4085866821832313</v>
      </c>
      <c r="S198" s="206">
        <f t="shared" ca="1" si="72"/>
        <v>0.38704947443525395</v>
      </c>
      <c r="T198" s="163"/>
      <c r="V198" s="209"/>
      <c r="W198" s="209"/>
    </row>
    <row r="199" spans="1:26" s="204" customFormat="1" ht="5.0999999999999996" hidden="1" customHeight="1" x14ac:dyDescent="0.3">
      <c r="A199" s="253"/>
      <c r="B199" s="253"/>
      <c r="C199" s="154"/>
      <c r="E199" s="205"/>
      <c r="F199" s="272"/>
      <c r="G199" s="272"/>
      <c r="H199" s="193"/>
      <c r="I199" s="206"/>
      <c r="J199" s="206"/>
      <c r="K199" s="206"/>
      <c r="L199" s="206"/>
      <c r="M199" s="206"/>
      <c r="N199" s="206"/>
      <c r="O199" s="206"/>
      <c r="P199" s="206"/>
      <c r="Q199" s="206"/>
      <c r="R199" s="206"/>
      <c r="S199" s="206"/>
      <c r="T199" s="163"/>
      <c r="V199" s="209"/>
      <c r="W199" s="209"/>
    </row>
    <row r="200" spans="1:26" s="204" customFormat="1" ht="15" hidden="1" customHeight="1" x14ac:dyDescent="0.3">
      <c r="A200" s="253"/>
      <c r="B200" s="253"/>
      <c r="C200" s="154"/>
      <c r="E200" s="205"/>
      <c r="F200" s="272"/>
      <c r="G200" s="273"/>
      <c r="H200" s="274"/>
      <c r="I200" s="232"/>
      <c r="J200" s="232"/>
      <c r="K200" s="232"/>
      <c r="L200" s="232"/>
      <c r="M200" s="232"/>
      <c r="N200" s="232"/>
      <c r="O200" s="232"/>
      <c r="P200" s="232"/>
      <c r="Q200" s="232"/>
      <c r="R200" s="232"/>
      <c r="S200" s="232"/>
      <c r="T200" s="246"/>
      <c r="V200" s="209"/>
      <c r="W200" s="209"/>
    </row>
    <row r="201" spans="1:26" ht="15" hidden="1" customHeight="1" x14ac:dyDescent="0.3">
      <c r="E201" s="76"/>
      <c r="F201" s="76"/>
      <c r="G201" s="125"/>
      <c r="H201" s="274"/>
      <c r="I201" s="111"/>
      <c r="J201" s="111"/>
      <c r="K201" s="112" t="s">
        <v>53</v>
      </c>
      <c r="L201" s="113" t="s">
        <v>54</v>
      </c>
      <c r="M201" s="113" t="s">
        <v>55</v>
      </c>
      <c r="N201" s="239"/>
      <c r="O201" s="239"/>
      <c r="P201" s="239"/>
      <c r="Q201" s="239"/>
      <c r="R201" s="239"/>
      <c r="S201" s="239"/>
      <c r="T201" s="123"/>
      <c r="U201" s="204"/>
      <c r="V201" s="155"/>
      <c r="X201" s="154"/>
      <c r="Y201"/>
      <c r="Z201" s="154"/>
    </row>
    <row r="202" spans="1:26" ht="15" hidden="1" customHeight="1" x14ac:dyDescent="0.3">
      <c r="E202" s="76"/>
      <c r="F202" s="76"/>
      <c r="G202" s="125"/>
      <c r="H202" s="82" t="s">
        <v>106</v>
      </c>
      <c r="I202" s="83"/>
      <c r="J202" s="83"/>
      <c r="K202" s="83"/>
      <c r="L202" s="115">
        <v>-0.05</v>
      </c>
      <c r="M202" s="116">
        <v>0.05</v>
      </c>
      <c r="N202" s="465">
        <f t="shared" ref="N202:S202" ca="1" si="73">N198-M198</f>
        <v>0.34444221499844896</v>
      </c>
      <c r="O202" s="72">
        <f t="shared" ca="1" si="73"/>
        <v>-1.5410093170484307E-2</v>
      </c>
      <c r="P202" s="72">
        <f t="shared" ca="1" si="73"/>
        <v>4.4564104151506578E-4</v>
      </c>
      <c r="Q202" s="72">
        <f t="shared" ca="1" si="73"/>
        <v>-8.2553604805786218E-3</v>
      </c>
      <c r="R202" s="72">
        <f t="shared" ca="1" si="73"/>
        <v>-1.7273756872840274E-2</v>
      </c>
      <c r="S202" s="72">
        <f t="shared" ca="1" si="73"/>
        <v>-2.1537207747977349E-2</v>
      </c>
      <c r="T202" s="123"/>
      <c r="U202" s="204"/>
      <c r="V202" s="155"/>
      <c r="X202" s="154"/>
      <c r="Y202"/>
      <c r="Z202" s="154"/>
    </row>
    <row r="203" spans="1:26" ht="15" hidden="1" customHeight="1" thickBot="1" x14ac:dyDescent="0.35">
      <c r="E203" s="76"/>
      <c r="F203" s="76"/>
      <c r="G203" s="125"/>
      <c r="H203" s="108"/>
      <c r="I203" s="109"/>
      <c r="J203" s="109"/>
      <c r="K203" s="109"/>
      <c r="L203" s="109"/>
      <c r="M203" s="109"/>
      <c r="N203" s="239"/>
      <c r="O203" s="239"/>
      <c r="P203" s="239"/>
      <c r="Q203" s="239"/>
      <c r="R203" s="239"/>
      <c r="S203" s="239"/>
      <c r="T203" s="124"/>
      <c r="U203" s="204"/>
      <c r="V203" s="155"/>
      <c r="X203" s="154"/>
      <c r="Y203"/>
      <c r="Z203" s="154"/>
    </row>
    <row r="204" spans="1:26" ht="5.0999999999999996" hidden="1" customHeight="1" x14ac:dyDescent="0.3">
      <c r="E204" s="76"/>
      <c r="F204" s="76"/>
      <c r="G204" s="91"/>
      <c r="H204" s="90"/>
      <c r="I204" s="91"/>
      <c r="J204" s="91"/>
      <c r="K204" s="91"/>
      <c r="L204" s="91"/>
      <c r="M204" s="91"/>
      <c r="N204" s="247"/>
      <c r="O204" s="247"/>
      <c r="P204" s="247"/>
      <c r="Q204" s="247"/>
      <c r="R204" s="247"/>
      <c r="S204" s="247"/>
      <c r="T204" s="91"/>
      <c r="U204" s="204"/>
      <c r="V204" s="155"/>
      <c r="X204" s="154"/>
      <c r="Y204"/>
      <c r="Z204" s="154"/>
    </row>
    <row r="205" spans="1:26" s="204" customFormat="1" ht="15" customHeight="1" x14ac:dyDescent="0.3">
      <c r="A205" s="208"/>
      <c r="B205" s="208">
        <v>3</v>
      </c>
      <c r="C205" s="154"/>
      <c r="E205" s="432" t="s">
        <v>43</v>
      </c>
      <c r="F205" s="272"/>
      <c r="G205" s="272"/>
      <c r="H205" s="272"/>
      <c r="I205" s="206" t="str">
        <f>IF(ISERROR(I197/#REF!-1),"",I197/#REF!-1)</f>
        <v/>
      </c>
      <c r="J205" s="206">
        <f t="shared" ref="J205:S205" si="74">IFERROR(J197/I197-1,"")</f>
        <v>-0.40628155740360605</v>
      </c>
      <c r="K205" s="206">
        <f t="shared" si="74"/>
        <v>0.95740279876561374</v>
      </c>
      <c r="L205" s="206">
        <f t="shared" si="74"/>
        <v>0.1239325343939186</v>
      </c>
      <c r="M205" s="206">
        <f t="shared" si="74"/>
        <v>2.4124048603419768E-2</v>
      </c>
      <c r="N205" s="206">
        <f t="shared" ca="1" si="74"/>
        <v>-0.55166067723809697</v>
      </c>
      <c r="O205" s="206">
        <f t="shared" ca="1" si="74"/>
        <v>3.8172323375500916E-2</v>
      </c>
      <c r="P205" s="206">
        <f t="shared" ca="1" si="74"/>
        <v>7.68262891756466E-2</v>
      </c>
      <c r="Q205" s="206">
        <f t="shared" ca="1" si="74"/>
        <v>5.5617347591794042E-2</v>
      </c>
      <c r="R205" s="206">
        <f t="shared" ca="1" si="74"/>
        <v>2.732531962986573E-2</v>
      </c>
      <c r="S205" s="206">
        <f t="shared" ca="1" si="74"/>
        <v>1.2365155556042673E-2</v>
      </c>
      <c r="T205" s="163"/>
      <c r="V205" s="209"/>
      <c r="W205" s="209"/>
    </row>
    <row r="206" spans="1:26" ht="15" customHeight="1" x14ac:dyDescent="0.3">
      <c r="E206" s="189"/>
      <c r="F206" s="275"/>
      <c r="G206" s="275"/>
      <c r="H206" s="275"/>
      <c r="I206" s="262"/>
      <c r="J206" s="262"/>
      <c r="K206" s="262"/>
      <c r="L206" s="262"/>
      <c r="M206" s="262"/>
      <c r="N206" s="276"/>
      <c r="O206" s="277"/>
      <c r="P206" s="277"/>
      <c r="Q206" s="277"/>
      <c r="R206" s="277"/>
      <c r="S206" s="277"/>
      <c r="T206" s="277"/>
      <c r="V206" s="155"/>
      <c r="X206" s="154"/>
      <c r="Y206"/>
      <c r="Z206" s="154"/>
    </row>
    <row r="207" spans="1:26" ht="15" customHeight="1" x14ac:dyDescent="0.3">
      <c r="E207" s="434" t="s">
        <v>107</v>
      </c>
      <c r="F207" s="255"/>
      <c r="G207" s="255"/>
      <c r="H207" s="255"/>
      <c r="I207" s="229"/>
      <c r="J207" s="229"/>
      <c r="K207" s="229"/>
      <c r="L207" s="229"/>
      <c r="M207" s="229"/>
      <c r="N207" s="206">
        <v>1</v>
      </c>
      <c r="O207" s="206">
        <v>1</v>
      </c>
      <c r="P207" s="206">
        <v>1</v>
      </c>
      <c r="Q207" s="206">
        <v>1</v>
      </c>
      <c r="R207" s="206">
        <v>1</v>
      </c>
      <c r="S207" s="206">
        <f>1-N207</f>
        <v>0</v>
      </c>
      <c r="T207" s="278"/>
      <c r="V207" s="155"/>
      <c r="X207" s="154"/>
      <c r="Y207"/>
      <c r="Z207" s="154"/>
    </row>
    <row r="208" spans="1:26" ht="15" customHeight="1" x14ac:dyDescent="0.3">
      <c r="E208" s="434" t="s">
        <v>108</v>
      </c>
      <c r="F208" s="255"/>
      <c r="G208" s="255"/>
      <c r="H208" s="255"/>
      <c r="I208" s="229"/>
      <c r="J208" s="229"/>
      <c r="K208" s="229"/>
      <c r="L208" s="229"/>
      <c r="N208" s="279">
        <v>1</v>
      </c>
      <c r="O208" s="279">
        <v>2</v>
      </c>
      <c r="P208" s="279">
        <v>3</v>
      </c>
      <c r="Q208" s="279">
        <v>4</v>
      </c>
      <c r="R208" s="279">
        <v>5</v>
      </c>
      <c r="S208" s="279">
        <f>IF(S207=0,0,S207/2+4+N207)</f>
        <v>0</v>
      </c>
      <c r="T208" s="280"/>
      <c r="V208" s="155"/>
      <c r="X208" s="154"/>
      <c r="Y208"/>
      <c r="Z208" s="154"/>
    </row>
    <row r="209" spans="1:26" ht="15" customHeight="1" x14ac:dyDescent="0.3">
      <c r="E209" s="435" t="str">
        <f ca="1">"Discount Factor @ "&amp;TEXT(P47,"0.0%")&amp;" WACC"</f>
        <v>Discount Factor @ 00% WACC</v>
      </c>
      <c r="F209" s="255"/>
      <c r="G209" s="30"/>
      <c r="I209" s="229"/>
      <c r="J209" s="229"/>
      <c r="K209" s="229"/>
      <c r="L209" s="229"/>
      <c r="M209" s="229"/>
      <c r="N209" s="279">
        <f ca="1">IF(N208&lt;&gt;0,1/(1+$P$47)^N208,0)</f>
        <v>1</v>
      </c>
      <c r="O209" s="279">
        <f ca="1">1/(1+$P$47)^O208</f>
        <v>1</v>
      </c>
      <c r="P209" s="279">
        <f ca="1">1/(1+$P$47)^P208</f>
        <v>1</v>
      </c>
      <c r="Q209" s="279">
        <f ca="1">1/(1+$P$47)^Q208</f>
        <v>1</v>
      </c>
      <c r="R209" s="279">
        <f ca="1">1/(1+$P$47)^R208</f>
        <v>1</v>
      </c>
      <c r="S209" s="279">
        <f ca="1">1/(1+$P$47)^S208</f>
        <v>1</v>
      </c>
      <c r="T209" s="280"/>
      <c r="V209" s="155"/>
      <c r="X209" s="154"/>
      <c r="Y209"/>
      <c r="Z209" s="154"/>
    </row>
    <row r="210" spans="1:26" ht="15" customHeight="1" x14ac:dyDescent="0.3">
      <c r="E210" s="436" t="s">
        <v>109</v>
      </c>
      <c r="F210" s="281"/>
      <c r="G210" s="281"/>
      <c r="H210" s="281"/>
      <c r="I210" s="282"/>
      <c r="J210" s="282"/>
      <c r="K210" s="282"/>
      <c r="L210" s="282"/>
      <c r="M210" s="282"/>
      <c r="N210" s="283">
        <f t="shared" ref="N210:S210" ca="1" si="75">N197*N209*N207</f>
        <v>40353.453254169232</v>
      </c>
      <c r="O210" s="283">
        <f t="shared" ca="1" si="75"/>
        <v>41893.838321105541</v>
      </c>
      <c r="P210" s="283">
        <f t="shared" ca="1" si="75"/>
        <v>45112.386458640583</v>
      </c>
      <c r="Q210" s="283">
        <f t="shared" ca="1" si="75"/>
        <v>47621.417737006144</v>
      </c>
      <c r="R210" s="283">
        <f t="shared" ca="1" si="75"/>
        <v>48922.688197897194</v>
      </c>
      <c r="S210" s="283">
        <f t="shared" ca="1" si="75"/>
        <v>0</v>
      </c>
      <c r="T210" s="284"/>
      <c r="V210" s="155"/>
      <c r="X210" s="154"/>
      <c r="Y210"/>
      <c r="Z210" s="154"/>
    </row>
    <row r="211" spans="1:26" ht="15" customHeight="1" x14ac:dyDescent="0.3">
      <c r="E211" s="437" t="s">
        <v>110</v>
      </c>
      <c r="F211" s="285"/>
      <c r="G211" s="285"/>
      <c r="H211" s="285"/>
      <c r="I211" s="286">
        <f>I18</f>
        <v>44020</v>
      </c>
      <c r="J211" s="286">
        <f t="shared" ref="J211:M211" si="76">J18</f>
        <v>20920</v>
      </c>
      <c r="K211" s="286">
        <f t="shared" si="76"/>
        <v>55710</v>
      </c>
      <c r="L211" s="286">
        <f t="shared" si="76"/>
        <v>64060</v>
      </c>
      <c r="M211" s="286">
        <f t="shared" si="76"/>
        <v>62160</v>
      </c>
      <c r="N211" s="286">
        <f t="shared" ref="I211:S211" ca="1" si="77">IF(OR(ISBLANK(N110)+ISBLANK(N128)),"",IFERROR(N110+N128,""))</f>
        <v>38559.748149784347</v>
      </c>
      <c r="O211" s="286">
        <f t="shared" ca="1" si="77"/>
        <v>41744.100996120353</v>
      </c>
      <c r="P211" s="286">
        <f t="shared" ca="1" si="77"/>
        <v>44905.188172675334</v>
      </c>
      <c r="Q211" s="286">
        <f t="shared" ca="1" si="77"/>
        <v>48322.302462469052</v>
      </c>
      <c r="R211" s="286">
        <f t="shared" ca="1" si="77"/>
        <v>51741.172788155331</v>
      </c>
      <c r="S211" s="286">
        <f t="shared" ca="1" si="77"/>
        <v>55295.547372540423</v>
      </c>
      <c r="T211" s="287">
        <f ca="1">IFERROR(S211*S207+R211*(1-S207),"")</f>
        <v>51741.172788155331</v>
      </c>
      <c r="V211" s="155"/>
      <c r="X211" s="154"/>
      <c r="Y211"/>
      <c r="Z211" s="154"/>
    </row>
    <row r="212" spans="1:26" ht="15" customHeight="1" thickBot="1" x14ac:dyDescent="0.35">
      <c r="A212" s="52">
        <v>7</v>
      </c>
      <c r="E212" s="432" t="s">
        <v>10</v>
      </c>
      <c r="F212" s="175"/>
      <c r="G212" s="30"/>
      <c r="H212" s="364" t="s">
        <v>44</v>
      </c>
      <c r="I212" s="229">
        <f t="shared" ref="I212:S212" si="78">IFERROR(I211/I$55,"")</f>
        <v>8.0004361891606993E-2</v>
      </c>
      <c r="J212" s="229">
        <f t="shared" si="78"/>
        <v>3.9217156568686261E-2</v>
      </c>
      <c r="K212" s="229">
        <f t="shared" si="78"/>
        <v>8.1861462955887976E-2</v>
      </c>
      <c r="L212" s="229">
        <f t="shared" si="78"/>
        <v>7.5675420254929057E-2</v>
      </c>
      <c r="M212" s="229">
        <f t="shared" si="78"/>
        <v>7.2264784868107473E-2</v>
      </c>
      <c r="N212" s="278">
        <f t="shared" ca="1" si="78"/>
        <v>0.42911870005769487</v>
      </c>
      <c r="O212" s="278">
        <f t="shared" ca="1" si="78"/>
        <v>0.43212013080463707</v>
      </c>
      <c r="P212" s="278">
        <f t="shared" ca="1" si="78"/>
        <v>0.43212193362452661</v>
      </c>
      <c r="Q212" s="278">
        <f t="shared" ca="1" si="78"/>
        <v>0.43212818770987493</v>
      </c>
      <c r="R212" s="278">
        <f t="shared" ca="1" si="78"/>
        <v>0.43212576619390169</v>
      </c>
      <c r="S212" s="278">
        <f t="shared" ca="1" si="78"/>
        <v>0.43212475088339053</v>
      </c>
      <c r="T212" s="288"/>
      <c r="V212" s="155"/>
      <c r="X212" s="154"/>
      <c r="Y212"/>
      <c r="Z212" s="154"/>
    </row>
    <row r="213" spans="1:26" s="204" customFormat="1" ht="5.0999999999999996" hidden="1" customHeight="1" x14ac:dyDescent="0.3">
      <c r="A213" s="253"/>
      <c r="B213" s="253"/>
      <c r="C213" s="154"/>
      <c r="E213" s="205"/>
      <c r="F213" s="272"/>
      <c r="G213" s="272"/>
      <c r="H213" s="193"/>
      <c r="I213" s="206"/>
      <c r="J213" s="206"/>
      <c r="K213" s="206"/>
      <c r="L213" s="206"/>
      <c r="M213" s="206"/>
      <c r="N213" s="206"/>
      <c r="O213" s="206"/>
      <c r="P213" s="206"/>
      <c r="Q213" s="206"/>
      <c r="R213" s="206"/>
      <c r="S213" s="206"/>
      <c r="T213" s="163"/>
      <c r="V213" s="209"/>
      <c r="W213" s="209"/>
    </row>
    <row r="214" spans="1:26" s="204" customFormat="1" ht="15" hidden="1" customHeight="1" x14ac:dyDescent="0.3">
      <c r="A214" s="253"/>
      <c r="B214" s="253"/>
      <c r="C214" s="154"/>
      <c r="E214" s="205"/>
      <c r="F214" s="272"/>
      <c r="G214" s="273"/>
      <c r="H214" s="274"/>
      <c r="I214" s="232"/>
      <c r="J214" s="232"/>
      <c r="K214" s="232"/>
      <c r="L214" s="232"/>
      <c r="M214" s="232"/>
      <c r="N214" s="232"/>
      <c r="O214" s="232"/>
      <c r="P214" s="232"/>
      <c r="Q214" s="232"/>
      <c r="R214" s="232"/>
      <c r="S214" s="232"/>
      <c r="T214" s="246"/>
      <c r="V214" s="209"/>
      <c r="W214" s="209"/>
    </row>
    <row r="215" spans="1:26" ht="15" hidden="1" customHeight="1" x14ac:dyDescent="0.3">
      <c r="E215" s="76"/>
      <c r="F215" s="76"/>
      <c r="G215" s="125"/>
      <c r="H215" s="274"/>
      <c r="I215" s="111"/>
      <c r="J215" s="111"/>
      <c r="K215" s="112"/>
      <c r="L215" s="113"/>
      <c r="M215" s="113"/>
      <c r="N215" s="239"/>
      <c r="O215" s="239"/>
      <c r="P215" s="239"/>
      <c r="Q215" s="239"/>
      <c r="R215" s="239"/>
      <c r="S215" s="239"/>
      <c r="T215" s="123"/>
      <c r="V215" s="155"/>
      <c r="X215" s="154"/>
      <c r="Y215"/>
      <c r="Z215" s="154"/>
    </row>
    <row r="216" spans="1:26" ht="15" hidden="1" customHeight="1" x14ac:dyDescent="0.3">
      <c r="E216" s="76"/>
      <c r="F216" s="76"/>
      <c r="G216" s="125"/>
      <c r="H216" s="274"/>
      <c r="I216" s="111"/>
      <c r="J216" s="111"/>
      <c r="K216" s="112" t="s">
        <v>53</v>
      </c>
      <c r="L216" s="113" t="s">
        <v>54</v>
      </c>
      <c r="M216" s="113" t="s">
        <v>55</v>
      </c>
      <c r="N216" s="239"/>
      <c r="O216" s="239"/>
      <c r="P216" s="239"/>
      <c r="Q216" s="239"/>
      <c r="R216" s="239"/>
      <c r="S216" s="239"/>
      <c r="T216" s="123"/>
      <c r="V216" s="155"/>
      <c r="X216" s="154"/>
      <c r="Y216"/>
      <c r="Z216" s="154"/>
    </row>
    <row r="217" spans="1:26" ht="15" hidden="1" customHeight="1" x14ac:dyDescent="0.3">
      <c r="E217" s="76"/>
      <c r="F217" s="76"/>
      <c r="G217" s="125"/>
      <c r="H217" s="82" t="s">
        <v>111</v>
      </c>
      <c r="I217" s="83"/>
      <c r="J217" s="83"/>
      <c r="K217" s="83"/>
      <c r="L217" s="115">
        <v>-0.05</v>
      </c>
      <c r="M217" s="116">
        <v>0.05</v>
      </c>
      <c r="N217" s="72">
        <f t="shared" ref="N217:S217" ca="1" si="79">N212-M212</f>
        <v>0.35685391518958742</v>
      </c>
      <c r="O217" s="72">
        <f t="shared" ca="1" si="79"/>
        <v>3.0014307469422019E-3</v>
      </c>
      <c r="P217" s="72">
        <f t="shared" ca="1" si="79"/>
        <v>1.8028198895403413E-6</v>
      </c>
      <c r="Q217" s="72">
        <f t="shared" ca="1" si="79"/>
        <v>6.2540853483228354E-6</v>
      </c>
      <c r="R217" s="72">
        <f ca="1">R212-Q212</f>
        <v>-2.4215159732388081E-6</v>
      </c>
      <c r="S217" s="72">
        <f t="shared" ca="1" si="79"/>
        <v>-1.0153105111654348E-6</v>
      </c>
      <c r="T217" s="123"/>
      <c r="V217" s="155"/>
      <c r="X217" s="154"/>
      <c r="Y217"/>
      <c r="Z217" s="154"/>
    </row>
    <row r="218" spans="1:26" ht="15" hidden="1" customHeight="1" thickBot="1" x14ac:dyDescent="0.35">
      <c r="E218" s="76"/>
      <c r="F218" s="76"/>
      <c r="G218" s="125"/>
      <c r="H218" s="108"/>
      <c r="I218" s="109"/>
      <c r="J218" s="109"/>
      <c r="K218" s="109"/>
      <c r="L218" s="109"/>
      <c r="M218" s="109"/>
      <c r="N218" s="239"/>
      <c r="O218" s="239"/>
      <c r="P218" s="239"/>
      <c r="Q218" s="239"/>
      <c r="R218" s="239"/>
      <c r="S218" s="239"/>
      <c r="T218" s="124"/>
      <c r="V218" s="155"/>
      <c r="X218" s="154"/>
      <c r="Y218"/>
      <c r="Z218" s="154"/>
    </row>
    <row r="219" spans="1:26" ht="5.0999999999999996" hidden="1" customHeight="1" x14ac:dyDescent="0.3">
      <c r="E219" s="76"/>
      <c r="F219" s="76"/>
      <c r="G219" s="91"/>
      <c r="H219" s="90"/>
      <c r="I219" s="91"/>
      <c r="J219" s="91"/>
      <c r="K219" s="91"/>
      <c r="L219" s="91"/>
      <c r="M219" s="91"/>
      <c r="N219" s="247"/>
      <c r="O219" s="247"/>
      <c r="P219" s="247"/>
      <c r="Q219" s="247"/>
      <c r="R219" s="247"/>
      <c r="S219" s="247"/>
      <c r="T219" s="91"/>
      <c r="V219" s="155"/>
      <c r="X219" s="154"/>
      <c r="Y219"/>
      <c r="Z219" s="154"/>
    </row>
    <row r="220" spans="1:26" ht="15" customHeight="1" x14ac:dyDescent="0.3">
      <c r="B220" s="52">
        <v>3</v>
      </c>
      <c r="E220" s="433" t="s">
        <v>43</v>
      </c>
      <c r="F220" s="289"/>
      <c r="G220" s="289"/>
      <c r="H220" s="289"/>
      <c r="I220" s="290" t="str">
        <f>IFERROR(I211/#REF!-1,"")</f>
        <v/>
      </c>
      <c r="J220" s="290">
        <f t="shared" ref="J220:S220" si="80">IFERROR(J211/I211-1,"")</f>
        <v>-0.52476147205815538</v>
      </c>
      <c r="K220" s="290">
        <f t="shared" si="80"/>
        <v>1.663001912045889</v>
      </c>
      <c r="L220" s="290">
        <f t="shared" si="80"/>
        <v>0.149883324358284</v>
      </c>
      <c r="M220" s="290">
        <f t="shared" si="80"/>
        <v>-2.9659694036840434E-2</v>
      </c>
      <c r="N220" s="290">
        <f t="shared" ca="1" si="80"/>
        <v>-0.3796694313097756</v>
      </c>
      <c r="O220" s="290">
        <f t="shared" ca="1" si="80"/>
        <v>8.2582304063980594E-2</v>
      </c>
      <c r="P220" s="290">
        <f t="shared" ca="1" si="80"/>
        <v>7.5725362413452624E-2</v>
      </c>
      <c r="Q220" s="290">
        <f t="shared" ca="1" si="80"/>
        <v>7.609620243998938E-2</v>
      </c>
      <c r="R220" s="290">
        <f t="shared" ca="1" si="80"/>
        <v>7.0751395348796597E-2</v>
      </c>
      <c r="S220" s="290">
        <f t="shared" ca="1" si="80"/>
        <v>6.8695284487226838E-2</v>
      </c>
      <c r="T220" s="291"/>
      <c r="V220" s="155"/>
      <c r="X220" s="154"/>
      <c r="Y220"/>
      <c r="Z220" s="154"/>
    </row>
    <row r="221" spans="1:26" ht="15" customHeight="1" x14ac:dyDescent="0.3">
      <c r="E221" s="183"/>
      <c r="F221" s="175"/>
      <c r="G221" s="175"/>
      <c r="H221" s="175"/>
      <c r="I221" s="175"/>
      <c r="J221" s="175"/>
      <c r="K221" s="175"/>
      <c r="L221" s="175"/>
      <c r="M221" s="175"/>
      <c r="N221" s="229"/>
      <c r="O221" s="292"/>
      <c r="P221" s="162"/>
      <c r="Q221" s="162"/>
      <c r="R221" s="162"/>
      <c r="S221" s="162"/>
      <c r="T221" s="162"/>
      <c r="U221" s="293"/>
    </row>
    <row r="222" spans="1:26" ht="15" customHeight="1" x14ac:dyDescent="0.3">
      <c r="E222" s="526" t="s">
        <v>8</v>
      </c>
      <c r="F222" s="527"/>
      <c r="G222" s="527"/>
      <c r="H222" s="527"/>
      <c r="I222" s="527"/>
      <c r="J222" s="527"/>
      <c r="K222" s="527"/>
      <c r="L222" s="527"/>
      <c r="M222" s="527"/>
      <c r="N222" s="527"/>
      <c r="O222" s="527"/>
      <c r="P222" s="527"/>
      <c r="Q222" s="527"/>
      <c r="R222" s="527"/>
      <c r="S222" s="527"/>
      <c r="T222" s="527"/>
      <c r="U222" s="528"/>
    </row>
    <row r="223" spans="1:26" ht="5.0999999999999996" customHeight="1" x14ac:dyDescent="0.3">
      <c r="K223" s="30"/>
      <c r="L223" s="179"/>
      <c r="M223" s="179"/>
      <c r="N223" s="179"/>
      <c r="O223" s="179"/>
      <c r="Q223" s="179"/>
    </row>
    <row r="224" spans="1:26" ht="15" customHeight="1" x14ac:dyDescent="0.3">
      <c r="E224" s="541" t="s">
        <v>112</v>
      </c>
      <c r="F224" s="542"/>
      <c r="G224" s="542"/>
      <c r="H224" s="542"/>
      <c r="I224" s="542"/>
      <c r="J224" s="542"/>
      <c r="K224" s="542"/>
      <c r="L224" s="543"/>
      <c r="M224" s="54"/>
      <c r="N224" s="541" t="s">
        <v>113</v>
      </c>
      <c r="O224" s="542"/>
      <c r="P224" s="542"/>
      <c r="Q224" s="542"/>
      <c r="R224" s="542"/>
      <c r="S224" s="542"/>
      <c r="T224" s="542"/>
      <c r="U224" s="543"/>
    </row>
    <row r="225" spans="5:22" ht="15" customHeight="1" x14ac:dyDescent="0.3">
      <c r="E225" s="180"/>
      <c r="F225" s="417" t="s">
        <v>114</v>
      </c>
      <c r="K225" s="294">
        <f>'Sheet1 (2)'!R11</f>
        <v>647</v>
      </c>
      <c r="L225" s="174"/>
      <c r="N225" s="180"/>
      <c r="O225" s="417" t="s">
        <v>115</v>
      </c>
      <c r="T225" s="295">
        <f ca="1">T211</f>
        <v>51741.172788155331</v>
      </c>
      <c r="U225" s="174"/>
    </row>
    <row r="226" spans="5:22" ht="15" customHeight="1" x14ac:dyDescent="0.3">
      <c r="E226" s="180"/>
      <c r="F226" s="417" t="s">
        <v>116</v>
      </c>
      <c r="K226" s="296">
        <v>0.08</v>
      </c>
      <c r="L226" s="174"/>
      <c r="N226" s="180"/>
      <c r="O226" s="417" t="s">
        <v>116</v>
      </c>
      <c r="T226" s="296">
        <f>K226</f>
        <v>0.08</v>
      </c>
      <c r="U226" s="174"/>
    </row>
    <row r="227" spans="5:22" ht="15" customHeight="1" x14ac:dyDescent="0.3">
      <c r="E227" s="180"/>
      <c r="F227" s="417" t="s">
        <v>23</v>
      </c>
      <c r="K227" s="296">
        <v>0.02</v>
      </c>
      <c r="L227" s="174"/>
      <c r="N227" s="180"/>
      <c r="O227" s="417" t="s">
        <v>25</v>
      </c>
      <c r="T227" s="297">
        <f>12.2</f>
        <v>12.2</v>
      </c>
      <c r="U227" s="174"/>
    </row>
    <row r="228" spans="5:22" ht="15" customHeight="1" x14ac:dyDescent="0.3">
      <c r="E228" s="180"/>
      <c r="F228" s="418" t="s">
        <v>117</v>
      </c>
      <c r="G228" s="478"/>
      <c r="H228" s="478"/>
      <c r="I228" s="478"/>
      <c r="J228" s="478"/>
      <c r="K228" s="479">
        <f>(K225*(1+K227))/(K226-K227)</f>
        <v>10999.000000000002</v>
      </c>
      <c r="L228" s="174"/>
      <c r="N228" s="180"/>
      <c r="O228" s="418" t="s">
        <v>118</v>
      </c>
      <c r="P228" s="478"/>
      <c r="Q228" s="478"/>
      <c r="R228" s="478"/>
      <c r="S228" s="478"/>
      <c r="T228" s="298">
        <f ca="1">T225*T227</f>
        <v>631242.30801549496</v>
      </c>
      <c r="U228" s="174"/>
    </row>
    <row r="229" spans="5:22" ht="15" customHeight="1" x14ac:dyDescent="0.3">
      <c r="E229" s="180"/>
      <c r="F229" s="419"/>
      <c r="K229" s="299"/>
      <c r="L229" s="174"/>
      <c r="N229" s="180"/>
      <c r="O229" s="422"/>
      <c r="U229" s="174"/>
    </row>
    <row r="230" spans="5:22" ht="15" customHeight="1" x14ac:dyDescent="0.3">
      <c r="E230" s="180"/>
      <c r="F230" s="420" t="str">
        <f ca="1">"Present Value of Perpetuity  (@ "&amp;TEXT(P47,"0.0%")&amp;" WACC)"</f>
        <v>Present Value of Perpetuity  (@ 00% WACC)</v>
      </c>
      <c r="K230" s="294">
        <f>K228/(1+K226)^5</f>
        <v>7485.7345841742508</v>
      </c>
      <c r="L230" s="174"/>
      <c r="N230" s="180"/>
      <c r="O230" s="420" t="str">
        <f ca="1">"Present Value of Terminal Value  (@ "&amp;TEXT(P47,"0.0%")&amp;" WACC)"</f>
        <v>Present Value of Terminal Value  (@ 00% WACC)</v>
      </c>
      <c r="T230" s="294">
        <f ca="1">T228/(1+T226)^5</f>
        <v>429612.90809215064</v>
      </c>
      <c r="U230" s="174"/>
    </row>
    <row r="231" spans="5:22" ht="15" customHeight="1" x14ac:dyDescent="0.3">
      <c r="E231" s="180"/>
      <c r="F231" s="417" t="str">
        <f ca="1">"(+) Present Value of Free Cash Flows  (@ "&amp;TEXT(P47,"0.0%")&amp;" WACC)"</f>
        <v>(+) Present Value of Free Cash Flows  (@ 00% WACC)</v>
      </c>
      <c r="K231" s="298">
        <f ca="1">SUM($N$210:$S$210)</f>
        <v>223903.78396881869</v>
      </c>
      <c r="L231" s="174"/>
      <c r="N231" s="180"/>
      <c r="O231" s="417" t="str">
        <f ca="1">"(+) Present Value of Free Cash Flows  (@ "&amp;TEXT(P47,"0.0%")&amp;" WACC)"</f>
        <v>(+) Present Value of Free Cash Flows  (@ 00% WACC)</v>
      </c>
      <c r="T231" s="298">
        <f ca="1">SUM($N$210:$S$210)</f>
        <v>223903.78396881869</v>
      </c>
      <c r="U231" s="174"/>
    </row>
    <row r="232" spans="5:22" ht="15" customHeight="1" x14ac:dyDescent="0.3">
      <c r="E232" s="180"/>
      <c r="F232" s="421" t="s">
        <v>119</v>
      </c>
      <c r="G232" s="472"/>
      <c r="H232" s="472"/>
      <c r="I232" s="472"/>
      <c r="J232" s="538">
        <f ca="1">K231+K230</f>
        <v>231389.51855299296</v>
      </c>
      <c r="K232" s="538"/>
      <c r="L232" s="174"/>
      <c r="M232" s="175"/>
      <c r="N232" s="300"/>
      <c r="O232" s="421" t="s">
        <v>119</v>
      </c>
      <c r="P232" s="472"/>
      <c r="Q232" s="472"/>
      <c r="R232" s="472"/>
      <c r="S232" s="537">
        <f ca="1">SUM(T230:T231)</f>
        <v>653516.6920609693</v>
      </c>
      <c r="T232" s="537"/>
      <c r="U232" s="174"/>
    </row>
    <row r="233" spans="5:22" ht="15" customHeight="1" x14ac:dyDescent="0.3">
      <c r="E233" s="180"/>
      <c r="F233" s="422"/>
      <c r="K233" s="298"/>
      <c r="L233" s="174"/>
      <c r="N233" s="180"/>
      <c r="O233" s="422"/>
      <c r="T233" s="299"/>
      <c r="U233" s="174"/>
      <c r="V233" s="298"/>
    </row>
    <row r="234" spans="5:22" ht="15" customHeight="1" x14ac:dyDescent="0.3">
      <c r="E234" s="180"/>
      <c r="F234" s="423" t="s">
        <v>120</v>
      </c>
      <c r="K234" s="298">
        <v>14590</v>
      </c>
      <c r="L234" s="174"/>
      <c r="N234" s="180"/>
      <c r="O234" s="423" t="s">
        <v>120</v>
      </c>
      <c r="T234" s="298">
        <f>K234</f>
        <v>14590</v>
      </c>
      <c r="U234" s="174"/>
    </row>
    <row r="235" spans="5:22" ht="15" customHeight="1" x14ac:dyDescent="0.3">
      <c r="E235" s="180"/>
      <c r="F235" s="420" t="s">
        <v>121</v>
      </c>
      <c r="K235" s="298">
        <v>43750</v>
      </c>
      <c r="L235" s="174"/>
      <c r="N235" s="180"/>
      <c r="O235" s="420" t="s">
        <v>121</v>
      </c>
      <c r="T235" s="298">
        <f>K235</f>
        <v>43750</v>
      </c>
      <c r="U235" s="174"/>
      <c r="V235" s="298"/>
    </row>
    <row r="236" spans="5:22" ht="15" customHeight="1" x14ac:dyDescent="0.3">
      <c r="E236" s="180"/>
      <c r="F236" s="420" t="s">
        <v>122</v>
      </c>
      <c r="J236" s="480"/>
      <c r="K236" s="298">
        <v>55290</v>
      </c>
      <c r="L236" s="174"/>
      <c r="N236" s="180"/>
      <c r="O236" s="420" t="s">
        <v>122</v>
      </c>
      <c r="S236" s="480"/>
      <c r="T236" s="298">
        <f>K236</f>
        <v>55290</v>
      </c>
      <c r="U236" s="174"/>
    </row>
    <row r="237" spans="5:22" ht="15" customHeight="1" x14ac:dyDescent="0.3">
      <c r="E237" s="180"/>
      <c r="F237" s="417" t="s">
        <v>123</v>
      </c>
      <c r="K237" s="298">
        <v>30671</v>
      </c>
      <c r="L237" s="174"/>
      <c r="N237" s="180"/>
      <c r="O237" s="417" t="s">
        <v>123</v>
      </c>
      <c r="T237" s="298">
        <f>SUM(T234:T235)-SUM(T236)</f>
        <v>3050</v>
      </c>
      <c r="U237" s="174"/>
    </row>
    <row r="238" spans="5:22" ht="15" customHeight="1" x14ac:dyDescent="0.3">
      <c r="E238" s="180"/>
      <c r="F238" s="417" t="s">
        <v>124</v>
      </c>
      <c r="K238" s="298">
        <v>1684</v>
      </c>
      <c r="L238" s="174"/>
      <c r="N238" s="180"/>
      <c r="O238" s="417" t="s">
        <v>124</v>
      </c>
      <c r="T238" s="298">
        <f>K238</f>
        <v>1684</v>
      </c>
      <c r="U238" s="174"/>
    </row>
    <row r="239" spans="5:22" ht="15" customHeight="1" x14ac:dyDescent="0.3">
      <c r="E239" s="180"/>
      <c r="F239" s="418" t="s">
        <v>125</v>
      </c>
      <c r="G239" s="478"/>
      <c r="H239" s="478"/>
      <c r="I239" s="478"/>
      <c r="J239" s="478"/>
      <c r="K239" s="479">
        <f ca="1">SUM(J232,-K237,-K238)</f>
        <v>199034.51855299296</v>
      </c>
      <c r="L239" s="174"/>
      <c r="M239" s="175"/>
      <c r="N239" s="300"/>
      <c r="O239" s="418" t="str">
        <f>F239</f>
        <v>(=) Equity Value</v>
      </c>
      <c r="P239" s="478"/>
      <c r="Q239" s="478"/>
      <c r="R239" s="478"/>
      <c r="S239" s="478"/>
      <c r="T239" s="479">
        <f ca="1">SUM(S232,-T237,-T238)</f>
        <v>648782.6920609693</v>
      </c>
      <c r="U239" s="174"/>
    </row>
    <row r="240" spans="5:22" ht="15" customHeight="1" x14ac:dyDescent="0.3">
      <c r="E240" s="180"/>
      <c r="F240" s="422"/>
      <c r="K240" s="298"/>
      <c r="L240" s="174"/>
      <c r="N240" s="180"/>
      <c r="O240" s="422"/>
      <c r="T240" s="298"/>
      <c r="U240" s="174"/>
    </row>
    <row r="241" spans="5:37" ht="15" customHeight="1" x14ac:dyDescent="0.3">
      <c r="E241" s="180"/>
      <c r="F241" s="420" t="s">
        <v>126</v>
      </c>
      <c r="G241" s="30"/>
      <c r="K241" s="298">
        <v>500</v>
      </c>
      <c r="L241" s="174"/>
      <c r="N241" s="180"/>
      <c r="O241" s="420" t="s">
        <v>126</v>
      </c>
      <c r="P241" s="30"/>
      <c r="T241" s="298">
        <f>K241</f>
        <v>500</v>
      </c>
      <c r="U241" s="174"/>
      <c r="AK241" s="298"/>
    </row>
    <row r="242" spans="5:37" ht="15" customHeight="1" x14ac:dyDescent="0.3">
      <c r="E242" s="180"/>
      <c r="F242" s="424" t="str">
        <f>"Estimated Value per Share ("&amp;CCY&amp;")"</f>
        <v>Estimated Value per Share (EUR)</v>
      </c>
      <c r="G242" s="301"/>
      <c r="H242" s="301"/>
      <c r="I242" s="301"/>
      <c r="J242" s="539">
        <f ca="1">K239/K241</f>
        <v>398.0690371059859</v>
      </c>
      <c r="K242" s="539"/>
      <c r="L242" s="174"/>
      <c r="M242" s="175"/>
      <c r="N242" s="300"/>
      <c r="O242" s="424" t="str">
        <f>"Estimated Value per Share ("&amp;CCY&amp;")"</f>
        <v>Estimated Value per Share (EUR)</v>
      </c>
      <c r="P242" s="301"/>
      <c r="Q242" s="301"/>
      <c r="R242" s="301"/>
      <c r="S242" s="539">
        <f ca="1">T239/T241</f>
        <v>1297.5653841219387</v>
      </c>
      <c r="T242" s="539"/>
      <c r="U242" s="174"/>
    </row>
    <row r="243" spans="5:37" ht="15" customHeight="1" x14ac:dyDescent="0.3">
      <c r="E243" s="180"/>
      <c r="F243" s="425" t="str">
        <f>"Current Price ("&amp;CCY&amp;")"</f>
        <v>Current Price (EUR)</v>
      </c>
      <c r="G243" s="285"/>
      <c r="H243" s="285"/>
      <c r="I243" s="285"/>
      <c r="J243" s="285"/>
      <c r="K243" s="302">
        <f>J24</f>
        <v>762.5</v>
      </c>
      <c r="L243" s="174"/>
      <c r="M243" s="175"/>
      <c r="N243" s="300"/>
      <c r="O243" s="425" t="str">
        <f>"Current Price ("&amp;CCY&amp;")"</f>
        <v>Current Price (EUR)</v>
      </c>
      <c r="P243" s="285"/>
      <c r="Q243" s="285"/>
      <c r="R243" s="285"/>
      <c r="S243" s="285"/>
      <c r="T243" s="302">
        <f>K243</f>
        <v>762.5</v>
      </c>
      <c r="U243" s="174"/>
    </row>
    <row r="244" spans="5:37" ht="15" customHeight="1" x14ac:dyDescent="0.3">
      <c r="E244" s="180"/>
      <c r="F244" s="426" t="s">
        <v>127</v>
      </c>
      <c r="G244" s="175"/>
      <c r="H244" s="175"/>
      <c r="I244" s="175"/>
      <c r="J244" s="540">
        <f ca="1">IFERROR(J242/K243-1,"")</f>
        <v>-0.47794224641837912</v>
      </c>
      <c r="K244" s="540"/>
      <c r="L244" s="174"/>
      <c r="M244" s="175"/>
      <c r="N244" s="300"/>
      <c r="O244" s="426" t="s">
        <v>127</v>
      </c>
      <c r="P244" s="175"/>
      <c r="Q244" s="175"/>
      <c r="R244" s="175"/>
      <c r="S244" s="540">
        <f ca="1">IFERROR(S242/T243-1,"")</f>
        <v>0.70172509393041138</v>
      </c>
      <c r="T244" s="540"/>
      <c r="U244" s="174"/>
    </row>
    <row r="245" spans="5:37" ht="15" customHeight="1" x14ac:dyDescent="0.3">
      <c r="E245" s="303"/>
      <c r="F245" s="304"/>
      <c r="G245" s="289"/>
      <c r="H245" s="289"/>
      <c r="I245" s="289"/>
      <c r="J245" s="305"/>
      <c r="K245" s="305"/>
      <c r="L245" s="306"/>
      <c r="M245" s="175"/>
      <c r="N245" s="303"/>
      <c r="O245" s="304"/>
      <c r="P245" s="289"/>
      <c r="Q245" s="289"/>
      <c r="R245" s="289"/>
      <c r="S245" s="305"/>
      <c r="T245" s="305"/>
      <c r="U245" s="306"/>
    </row>
    <row r="246" spans="5:37" ht="5.0999999999999996" customHeight="1" x14ac:dyDescent="0.3">
      <c r="M246" s="175"/>
      <c r="N246" s="175"/>
      <c r="O246" s="175"/>
      <c r="P246" s="175"/>
      <c r="Q246" s="175"/>
      <c r="R246" s="175"/>
      <c r="S246" s="175"/>
      <c r="T246" s="175"/>
      <c r="U246" s="175"/>
      <c r="V246" s="175"/>
      <c r="W246" s="188"/>
    </row>
    <row r="247" spans="5:37" ht="15" customHeight="1" x14ac:dyDescent="0.3">
      <c r="E247" s="541" t="s">
        <v>128</v>
      </c>
      <c r="F247" s="542"/>
      <c r="G247" s="542"/>
      <c r="H247" s="542"/>
      <c r="I247" s="542"/>
      <c r="J247" s="542"/>
      <c r="K247" s="542"/>
      <c r="L247" s="543"/>
      <c r="M247" s="175"/>
      <c r="N247" s="541" t="s">
        <v>129</v>
      </c>
      <c r="O247" s="542"/>
      <c r="P247" s="542"/>
      <c r="Q247" s="542"/>
      <c r="R247" s="542"/>
      <c r="S247" s="542"/>
      <c r="T247" s="542"/>
      <c r="U247" s="543"/>
    </row>
    <row r="248" spans="5:37" ht="15" customHeight="1" x14ac:dyDescent="0.3">
      <c r="E248" s="180"/>
      <c r="F248" s="160"/>
      <c r="G248" s="170"/>
      <c r="H248" s="170"/>
      <c r="I248" s="307"/>
      <c r="J248" s="308"/>
      <c r="K248" s="170"/>
      <c r="L248" s="309"/>
      <c r="N248" s="180"/>
      <c r="O248" s="160"/>
      <c r="P248" s="170"/>
      <c r="Q248" s="170"/>
      <c r="R248" s="307"/>
      <c r="S248" s="308"/>
      <c r="T248" s="170"/>
      <c r="U248" s="309"/>
    </row>
    <row r="249" spans="5:37" ht="15" customHeight="1" x14ac:dyDescent="0.3">
      <c r="E249" s="180"/>
      <c r="F249" s="160"/>
      <c r="G249" s="170"/>
      <c r="H249" s="170"/>
      <c r="I249" s="307"/>
      <c r="J249" s="308" t="str">
        <f>"Enterprise Value in Millions of "&amp;CCY</f>
        <v>Enterprise Value in Millions of EUR</v>
      </c>
      <c r="K249" s="170"/>
      <c r="L249" s="309"/>
      <c r="N249" s="535"/>
      <c r="O249" s="536"/>
      <c r="P249" s="170"/>
      <c r="Q249" s="170"/>
      <c r="R249" s="170"/>
      <c r="S249" s="308" t="str">
        <f>"Enterprise Value in Millions of "&amp;CCY</f>
        <v>Enterprise Value in Millions of EUR</v>
      </c>
      <c r="T249" s="170"/>
      <c r="U249" s="309"/>
    </row>
    <row r="250" spans="5:37" ht="15" customHeight="1" x14ac:dyDescent="0.3">
      <c r="E250" s="180"/>
      <c r="F250" s="160" t="s">
        <v>130</v>
      </c>
      <c r="J250" s="160" t="s">
        <v>131</v>
      </c>
      <c r="L250" s="174"/>
      <c r="N250" s="535" t="s">
        <v>130</v>
      </c>
      <c r="O250" s="536"/>
      <c r="S250" s="160" t="s">
        <v>132</v>
      </c>
      <c r="U250" s="174"/>
    </row>
    <row r="251" spans="5:37" ht="15" customHeight="1" x14ac:dyDescent="0.3">
      <c r="E251" s="180"/>
      <c r="F251" s="481">
        <v>5.0000000000000001E-3</v>
      </c>
      <c r="G251" s="160"/>
      <c r="H251" s="482"/>
      <c r="I251" s="483"/>
      <c r="J251" s="483"/>
      <c r="K251" s="483"/>
      <c r="L251" s="484"/>
      <c r="N251" s="485">
        <v>1.5</v>
      </c>
      <c r="O251" s="484">
        <v>5.0000000000000001E-3</v>
      </c>
      <c r="Q251" s="486"/>
      <c r="R251" s="487"/>
      <c r="S251" s="487"/>
      <c r="T251" s="487"/>
      <c r="U251" s="488"/>
    </row>
    <row r="252" spans="5:37" ht="15" customHeight="1" x14ac:dyDescent="0.3">
      <c r="E252" s="180"/>
      <c r="F252" s="160"/>
      <c r="G252" s="160"/>
      <c r="H252" s="310">
        <f>H276</f>
        <v>9.9999999999999985E-3</v>
      </c>
      <c r="I252" s="310">
        <f>I276</f>
        <v>1.4999999999999999E-2</v>
      </c>
      <c r="J252" s="310">
        <f>J276</f>
        <v>0.02</v>
      </c>
      <c r="K252" s="310">
        <f>K276</f>
        <v>2.5000000000000001E-2</v>
      </c>
      <c r="L252" s="311">
        <f>L276</f>
        <v>3.0000000000000002E-2</v>
      </c>
      <c r="N252" s="180"/>
      <c r="Q252" s="176">
        <f>Q276</f>
        <v>9.1999999999999993</v>
      </c>
      <c r="R252" s="176">
        <f>R276</f>
        <v>10.7</v>
      </c>
      <c r="S252" s="176">
        <f>S276</f>
        <v>12.2</v>
      </c>
      <c r="T252" s="176">
        <f>T276</f>
        <v>13.7</v>
      </c>
      <c r="U252" s="177">
        <f>U276</f>
        <v>15.2</v>
      </c>
    </row>
    <row r="253" spans="5:37" ht="15" customHeight="1" x14ac:dyDescent="0.3">
      <c r="E253" s="300"/>
      <c r="F253" s="489">
        <v>8.5000000000000006E-2</v>
      </c>
      <c r="G253" s="312">
        <v>0.08</v>
      </c>
      <c r="H253" s="313">
        <f t="shared" ref="H253:L257" ca="1" si="81">IFERROR((($K$225*(1+H$252))/($G253-H$252))/(1+$G253)^5+
($N$197*$N$207)/(1+$G253)^$N$208 + ($O$197*$O$207)/(1+$G253)^$O$208 + ($P$197*$P$207)/(1+$G253)^$P$208 + ($Q$197*$Q$207)/(1+$G253)^$Q$208 + ($R$197*$R$207)/(1+$G253)^$R$208 + ($S$197*$S$207)/(1+$G253)^$S$208,"-")</f>
        <v>183745.75114008854</v>
      </c>
      <c r="I253" s="313">
        <f t="shared" ca="1" si="81"/>
        <v>184268.3492881757</v>
      </c>
      <c r="J253" s="313">
        <f t="shared" ca="1" si="81"/>
        <v>184878.04712761071</v>
      </c>
      <c r="K253" s="313">
        <f t="shared" ca="1" si="81"/>
        <v>185598.59911967022</v>
      </c>
      <c r="L253" s="313">
        <f t="shared" ca="1" si="81"/>
        <v>186463.26151014172</v>
      </c>
      <c r="N253" s="180"/>
      <c r="O253" s="490"/>
      <c r="P253" s="314">
        <v>8.5000000000000006E-2</v>
      </c>
      <c r="Q253" s="315">
        <f t="shared" ref="Q253:U257" ca="1" si="82">IFERROR(($T$225*Q$252)/(1+$P253)^5+
($N$197*$N$207)/(1+$P253)^$N$208 + ($O$197*$O$207)/(1+$P253)^$O$208 + ($P$197*$P$207)/(1+$P253)^$P$208 + ($Q$197*$Q$207)/(1+$P253)^$Q$208 + ($R$197*$R$207)/(1+$P253)^$R$208 + ($S$197*$S$207)/(1+$P253)^$S$208,"-")</f>
        <v>491570.23571610695</v>
      </c>
      <c r="R253" s="315">
        <f t="shared" ca="1" si="82"/>
        <v>543185.58095361537</v>
      </c>
      <c r="S253" s="315">
        <f t="shared" ca="1" si="82"/>
        <v>594800.92619112367</v>
      </c>
      <c r="T253" s="315">
        <f t="shared" ca="1" si="82"/>
        <v>646416.27142863185</v>
      </c>
      <c r="U253" s="315">
        <f t="shared" ca="1" si="82"/>
        <v>698031.61666614027</v>
      </c>
    </row>
    <row r="254" spans="5:37" ht="15" customHeight="1" thickBot="1" x14ac:dyDescent="0.35">
      <c r="E254" s="316" t="s">
        <v>133</v>
      </c>
      <c r="F254" s="317"/>
      <c r="G254" s="312">
        <v>8.5000000000000006E-2</v>
      </c>
      <c r="H254" s="313">
        <f t="shared" ca="1" si="81"/>
        <v>180790.61469613988</v>
      </c>
      <c r="I254" s="313">
        <f t="shared" ca="1" si="81"/>
        <v>181235.24189796977</v>
      </c>
      <c r="J254" s="318">
        <f t="shared" ca="1" si="81"/>
        <v>181748.27328469654</v>
      </c>
      <c r="K254" s="313">
        <f t="shared" ca="1" si="81"/>
        <v>182346.80990254445</v>
      </c>
      <c r="L254" s="313">
        <f t="shared" ca="1" si="81"/>
        <v>183054.17136000106</v>
      </c>
      <c r="N254" s="316" t="s">
        <v>133</v>
      </c>
      <c r="O254" s="319"/>
      <c r="P254" s="314">
        <v>0.09</v>
      </c>
      <c r="Q254" s="315">
        <f t="shared" ca="1" si="82"/>
        <v>482029.91720787255</v>
      </c>
      <c r="R254" s="315">
        <f t="shared" ca="1" si="82"/>
        <v>532472.23544623458</v>
      </c>
      <c r="S254" s="320">
        <f t="shared" ca="1" si="82"/>
        <v>582914.55368459667</v>
      </c>
      <c r="T254" s="315">
        <f t="shared" ca="1" si="82"/>
        <v>633356.87192295864</v>
      </c>
      <c r="U254" s="315">
        <f t="shared" ca="1" si="82"/>
        <v>683799.19016132061</v>
      </c>
    </row>
    <row r="255" spans="5:37" ht="15" customHeight="1" thickBot="1" x14ac:dyDescent="0.35">
      <c r="E255" s="316" t="s">
        <v>134</v>
      </c>
      <c r="F255" s="317"/>
      <c r="G255" s="312">
        <v>9.5000000000000001E-2</v>
      </c>
      <c r="H255" s="313">
        <f t="shared" ca="1" si="81"/>
        <v>175237.24679388836</v>
      </c>
      <c r="I255" s="321">
        <f t="shared" ca="1" si="81"/>
        <v>175568.15603497947</v>
      </c>
      <c r="J255" s="322">
        <f t="shared" ca="1" si="81"/>
        <v>175943.18650821608</v>
      </c>
      <c r="K255" s="323">
        <f t="shared" ca="1" si="81"/>
        <v>176371.7927633436</v>
      </c>
      <c r="L255" s="313">
        <f t="shared" ca="1" si="81"/>
        <v>176866.33844233691</v>
      </c>
      <c r="N255" s="316" t="s">
        <v>134</v>
      </c>
      <c r="O255" s="319"/>
      <c r="P255" s="314">
        <v>9.5000000000000001E-2</v>
      </c>
      <c r="Q255" s="315">
        <f t="shared" ca="1" si="82"/>
        <v>472733.99561618856</v>
      </c>
      <c r="R255" s="324">
        <f t="shared" ca="1" si="82"/>
        <v>522035.13219993655</v>
      </c>
      <c r="S255" s="325">
        <f t="shared" ca="1" si="82"/>
        <v>571336.26878368435</v>
      </c>
      <c r="T255" s="326">
        <f t="shared" ca="1" si="82"/>
        <v>620637.40536743228</v>
      </c>
      <c r="U255" s="315">
        <f t="shared" ca="1" si="82"/>
        <v>669938.54195118032</v>
      </c>
    </row>
    <row r="256" spans="5:37" ht="15" customHeight="1" x14ac:dyDescent="0.3">
      <c r="E256" s="316" t="s">
        <v>135</v>
      </c>
      <c r="F256" s="317"/>
      <c r="G256" s="312">
        <v>0.1</v>
      </c>
      <c r="H256" s="313">
        <f t="shared" ca="1" si="81"/>
        <v>172613.14913670666</v>
      </c>
      <c r="I256" s="313">
        <f t="shared" ca="1" si="81"/>
        <v>172901.97900966168</v>
      </c>
      <c r="J256" s="327">
        <f t="shared" ca="1" si="81"/>
        <v>173226.91261673611</v>
      </c>
      <c r="K256" s="313">
        <f t="shared" ca="1" si="81"/>
        <v>173595.17070475378</v>
      </c>
      <c r="L256" s="313">
        <f t="shared" ca="1" si="81"/>
        <v>174016.03709105967</v>
      </c>
      <c r="N256" s="316" t="s">
        <v>135</v>
      </c>
      <c r="O256" s="319"/>
      <c r="P256" s="314">
        <v>0.1</v>
      </c>
      <c r="Q256" s="315">
        <f t="shared" ca="1" si="82"/>
        <v>463674.99406362488</v>
      </c>
      <c r="R256" s="315">
        <f t="shared" ca="1" si="82"/>
        <v>511865.79026000551</v>
      </c>
      <c r="S256" s="328">
        <f t="shared" ca="1" si="82"/>
        <v>560056.58645638614</v>
      </c>
      <c r="T256" s="315">
        <f t="shared" ca="1" si="82"/>
        <v>608247.38265276677</v>
      </c>
      <c r="U256" s="315">
        <f t="shared" ca="1" si="82"/>
        <v>656438.1788491474</v>
      </c>
    </row>
    <row r="257" spans="5:21" ht="15" customHeight="1" x14ac:dyDescent="0.3">
      <c r="E257" s="180"/>
      <c r="F257" s="329"/>
      <c r="G257" s="312">
        <v>0.105</v>
      </c>
      <c r="H257" s="313">
        <f t="shared" ca="1" si="81"/>
        <v>170077.6762566106</v>
      </c>
      <c r="I257" s="313">
        <f t="shared" ca="1" si="81"/>
        <v>170331.45722964016</v>
      </c>
      <c r="J257" s="313">
        <f t="shared" ca="1" si="81"/>
        <v>170615.09478773206</v>
      </c>
      <c r="K257" s="313">
        <f t="shared" ca="1" si="81"/>
        <v>170934.18704058544</v>
      </c>
      <c r="L257" s="313">
        <f t="shared" ca="1" si="81"/>
        <v>171295.8249271526</v>
      </c>
      <c r="N257" s="180"/>
      <c r="O257" s="330"/>
      <c r="P257" s="314">
        <v>0.105</v>
      </c>
      <c r="Q257" s="315">
        <f t="shared" ca="1" si="82"/>
        <v>454845.6989758283</v>
      </c>
      <c r="R257" s="315">
        <f t="shared" ca="1" si="82"/>
        <v>501956.02799330029</v>
      </c>
      <c r="S257" s="315">
        <f t="shared" ca="1" si="82"/>
        <v>549066.35701077234</v>
      </c>
      <c r="T257" s="315">
        <f t="shared" ca="1" si="82"/>
        <v>596176.68602824421</v>
      </c>
      <c r="U257" s="315">
        <f t="shared" ca="1" si="82"/>
        <v>643287.01504571619</v>
      </c>
    </row>
    <row r="258" spans="5:21" ht="15" customHeight="1" x14ac:dyDescent="0.3">
      <c r="E258" s="180"/>
      <c r="F258" s="160"/>
      <c r="G258" s="160"/>
      <c r="H258" s="160"/>
      <c r="I258" s="160"/>
      <c r="J258" s="160"/>
      <c r="K258" s="160"/>
      <c r="L258" s="331"/>
      <c r="N258" s="180"/>
      <c r="U258" s="174"/>
    </row>
    <row r="259" spans="5:21" ht="15" customHeight="1" x14ac:dyDescent="0.3">
      <c r="E259" s="180"/>
      <c r="F259" s="160"/>
      <c r="G259" s="332"/>
      <c r="H259" s="332"/>
      <c r="I259" s="332"/>
      <c r="J259" s="308" t="str">
        <f>"Value in "&amp;CCY</f>
        <v>Value in EUR</v>
      </c>
      <c r="K259" s="332"/>
      <c r="L259" s="331"/>
      <c r="N259" s="180"/>
      <c r="P259" s="170"/>
      <c r="Q259" s="170"/>
      <c r="R259" s="170"/>
      <c r="S259" s="308" t="str">
        <f>"Value in "&amp;CCY</f>
        <v>Value in EUR</v>
      </c>
      <c r="T259" s="170"/>
      <c r="U259" s="309"/>
    </row>
    <row r="260" spans="5:21" ht="15" customHeight="1" x14ac:dyDescent="0.3">
      <c r="E260" s="180"/>
      <c r="F260" s="157"/>
      <c r="G260" s="157"/>
      <c r="H260" s="310">
        <f>H276</f>
        <v>9.9999999999999985E-3</v>
      </c>
      <c r="I260" s="310">
        <f>I276</f>
        <v>1.4999999999999999E-2</v>
      </c>
      <c r="J260" s="310">
        <f>J276</f>
        <v>0.02</v>
      </c>
      <c r="K260" s="310">
        <f>K276</f>
        <v>2.5000000000000001E-2</v>
      </c>
      <c r="L260" s="311">
        <f>L276</f>
        <v>3.0000000000000002E-2</v>
      </c>
      <c r="N260" s="180"/>
      <c r="Q260" s="176">
        <f>Q276</f>
        <v>9.1999999999999993</v>
      </c>
      <c r="R260" s="176">
        <f>R276</f>
        <v>10.7</v>
      </c>
      <c r="S260" s="176">
        <f>S276</f>
        <v>12.2</v>
      </c>
      <c r="T260" s="176">
        <f>T276</f>
        <v>13.7</v>
      </c>
      <c r="U260" s="177">
        <f>U276</f>
        <v>15.2</v>
      </c>
    </row>
    <row r="261" spans="5:21" ht="15" customHeight="1" x14ac:dyDescent="0.3">
      <c r="E261" s="180"/>
      <c r="F261" s="160"/>
      <c r="G261" s="312">
        <f>G253</f>
        <v>0.08</v>
      </c>
      <c r="H261" s="333">
        <f t="shared" ref="H261:L265" ca="1" si="83">IFERROR((H253-SUM($K$237:$K$238))/$K$241,"-")</f>
        <v>302.78150228017711</v>
      </c>
      <c r="I261" s="333">
        <f t="shared" ca="1" si="83"/>
        <v>303.82669857635142</v>
      </c>
      <c r="J261" s="333">
        <f t="shared" ca="1" si="83"/>
        <v>305.04609425522142</v>
      </c>
      <c r="K261" s="333">
        <f t="shared" ca="1" si="83"/>
        <v>306.48719823934044</v>
      </c>
      <c r="L261" s="333">
        <f t="shared" ca="1" si="83"/>
        <v>308.21652302028343</v>
      </c>
      <c r="N261" s="180"/>
      <c r="P261" s="314">
        <f>P253</f>
        <v>8.5000000000000006E-2</v>
      </c>
      <c r="Q261" s="334">
        <f t="shared" ref="Q261:U265" ca="1" si="84">IFERROR((Q253-SUM($T$237:$T$238))/$T$241,"-")</f>
        <v>973.67247143221391</v>
      </c>
      <c r="R261" s="334">
        <f t="shared" ca="1" si="84"/>
        <v>1076.9031619072307</v>
      </c>
      <c r="S261" s="334">
        <f t="shared" ca="1" si="84"/>
        <v>1180.1338523822474</v>
      </c>
      <c r="T261" s="334">
        <f t="shared" ca="1" si="84"/>
        <v>1283.3645428572638</v>
      </c>
      <c r="U261" s="334">
        <f t="shared" ca="1" si="84"/>
        <v>1386.5952333322805</v>
      </c>
    </row>
    <row r="262" spans="5:21" ht="15" customHeight="1" thickBot="1" x14ac:dyDescent="0.35">
      <c r="E262" s="180"/>
      <c r="F262" s="160"/>
      <c r="G262" s="312">
        <f>G254</f>
        <v>8.5000000000000006E-2</v>
      </c>
      <c r="H262" s="333">
        <f t="shared" ca="1" si="83"/>
        <v>296.87122939227976</v>
      </c>
      <c r="I262" s="333">
        <f t="shared" ca="1" si="83"/>
        <v>297.76048379593954</v>
      </c>
      <c r="J262" s="335">
        <f t="shared" ca="1" si="83"/>
        <v>298.78654656939307</v>
      </c>
      <c r="K262" s="333">
        <f t="shared" ca="1" si="83"/>
        <v>299.98361980508889</v>
      </c>
      <c r="L262" s="333">
        <f t="shared" ca="1" si="83"/>
        <v>301.39834272000212</v>
      </c>
      <c r="N262" s="180"/>
      <c r="O262" s="336"/>
      <c r="P262" s="314">
        <f>P254</f>
        <v>0.09</v>
      </c>
      <c r="Q262" s="334">
        <f t="shared" ca="1" si="84"/>
        <v>954.5918344157451</v>
      </c>
      <c r="R262" s="334">
        <f t="shared" ca="1" si="84"/>
        <v>1055.4764708924693</v>
      </c>
      <c r="S262" s="337">
        <f t="shared" ca="1" si="84"/>
        <v>1156.3611073691934</v>
      </c>
      <c r="T262" s="334">
        <f t="shared" ca="1" si="84"/>
        <v>1257.2457438459173</v>
      </c>
      <c r="U262" s="334">
        <f t="shared" ca="1" si="84"/>
        <v>1358.1303803226413</v>
      </c>
    </row>
    <row r="263" spans="5:21" ht="15" customHeight="1" thickBot="1" x14ac:dyDescent="0.35">
      <c r="E263" s="180"/>
      <c r="F263" s="160"/>
      <c r="G263" s="312">
        <f>G255</f>
        <v>9.5000000000000001E-2</v>
      </c>
      <c r="H263" s="333">
        <f t="shared" ca="1" si="83"/>
        <v>285.76449358777671</v>
      </c>
      <c r="I263" s="338">
        <f t="shared" ca="1" si="83"/>
        <v>286.42631206995895</v>
      </c>
      <c r="J263" s="521">
        <f t="shared" ca="1" si="83"/>
        <v>287.17637301643214</v>
      </c>
      <c r="K263" s="340">
        <f t="shared" ca="1" si="83"/>
        <v>288.0335855266872</v>
      </c>
      <c r="L263" s="333">
        <f t="shared" ca="1" si="83"/>
        <v>289.02267688467384</v>
      </c>
      <c r="N263" s="180"/>
      <c r="O263" s="336"/>
      <c r="P263" s="314">
        <f>P255</f>
        <v>9.5000000000000001E-2</v>
      </c>
      <c r="Q263" s="334">
        <f t="shared" ca="1" si="84"/>
        <v>935.99999123237717</v>
      </c>
      <c r="R263" s="341">
        <f t="shared" ca="1" si="84"/>
        <v>1034.6022643998731</v>
      </c>
      <c r="S263" s="342">
        <f t="shared" ca="1" si="84"/>
        <v>1133.2045375673688</v>
      </c>
      <c r="T263" s="343">
        <f t="shared" ca="1" si="84"/>
        <v>1231.8068107348645</v>
      </c>
      <c r="U263" s="334">
        <f t="shared" ca="1" si="84"/>
        <v>1330.4090839023606</v>
      </c>
    </row>
    <row r="264" spans="5:21" ht="15" customHeight="1" x14ac:dyDescent="0.3">
      <c r="E264" s="180"/>
      <c r="F264" s="160"/>
      <c r="G264" s="312">
        <v>0.1</v>
      </c>
      <c r="H264" s="333">
        <f t="shared" ca="1" si="83"/>
        <v>280.51629827341333</v>
      </c>
      <c r="I264" s="333">
        <f t="shared" ca="1" si="83"/>
        <v>281.09395801932334</v>
      </c>
      <c r="J264" s="344">
        <f t="shared" ca="1" si="83"/>
        <v>281.74382523347219</v>
      </c>
      <c r="K264" s="333">
        <f t="shared" ca="1" si="83"/>
        <v>282.48034140950756</v>
      </c>
      <c r="L264" s="333">
        <f t="shared" ca="1" si="83"/>
        <v>283.32207418211931</v>
      </c>
      <c r="N264" s="180"/>
      <c r="O264" s="336"/>
      <c r="P264" s="314">
        <v>0.1</v>
      </c>
      <c r="Q264" s="334">
        <f t="shared" ca="1" si="84"/>
        <v>917.88198812724977</v>
      </c>
      <c r="R264" s="334">
        <f t="shared" ca="1" si="84"/>
        <v>1014.263580520011</v>
      </c>
      <c r="S264" s="345">
        <f t="shared" ca="1" si="84"/>
        <v>1110.6451729127723</v>
      </c>
      <c r="T264" s="334">
        <f t="shared" ca="1" si="84"/>
        <v>1207.0267653055334</v>
      </c>
      <c r="U264" s="334">
        <f t="shared" ca="1" si="84"/>
        <v>1303.4083576982948</v>
      </c>
    </row>
    <row r="265" spans="5:21" ht="15" customHeight="1" x14ac:dyDescent="0.3">
      <c r="E265" s="180"/>
      <c r="F265" s="160"/>
      <c r="G265" s="312">
        <f>G257</f>
        <v>0.105</v>
      </c>
      <c r="H265" s="333">
        <f t="shared" ca="1" si="83"/>
        <v>275.44535251322122</v>
      </c>
      <c r="I265" s="333">
        <f t="shared" ca="1" si="83"/>
        <v>275.95291445928029</v>
      </c>
      <c r="J265" s="333">
        <f t="shared" ca="1" si="83"/>
        <v>276.52018957546409</v>
      </c>
      <c r="K265" s="333">
        <f t="shared" ca="1" si="83"/>
        <v>277.1583740811709</v>
      </c>
      <c r="L265" s="333">
        <f t="shared" ca="1" si="83"/>
        <v>277.88164985430518</v>
      </c>
      <c r="N265" s="180"/>
      <c r="P265" s="314">
        <v>0.105</v>
      </c>
      <c r="Q265" s="334">
        <f t="shared" ca="1" si="84"/>
        <v>900.22339795165658</v>
      </c>
      <c r="R265" s="334">
        <f t="shared" ca="1" si="84"/>
        <v>994.44405598660057</v>
      </c>
      <c r="S265" s="334">
        <f t="shared" ca="1" si="84"/>
        <v>1088.6647140215446</v>
      </c>
      <c r="T265" s="334">
        <f t="shared" ca="1" si="84"/>
        <v>1182.8853720564884</v>
      </c>
      <c r="U265" s="334">
        <f t="shared" ca="1" si="84"/>
        <v>1277.1060300914323</v>
      </c>
    </row>
    <row r="266" spans="5:21" ht="15" customHeight="1" x14ac:dyDescent="0.3">
      <c r="E266" s="180"/>
      <c r="F266" s="160"/>
      <c r="G266" s="160"/>
      <c r="H266" s="160"/>
      <c r="I266" s="160"/>
      <c r="J266" s="160"/>
      <c r="K266" s="160"/>
      <c r="L266" s="331"/>
      <c r="N266" s="180"/>
      <c r="U266" s="174"/>
    </row>
    <row r="267" spans="5:21" ht="15" customHeight="1" x14ac:dyDescent="0.3">
      <c r="E267" s="180"/>
      <c r="F267" s="160"/>
      <c r="G267" s="332"/>
      <c r="H267" s="332"/>
      <c r="I267" s="332"/>
      <c r="J267" s="308" t="s">
        <v>136</v>
      </c>
      <c r="K267" s="332"/>
      <c r="L267" s="331"/>
      <c r="N267" s="180"/>
      <c r="P267" s="170"/>
      <c r="Q267" s="170"/>
      <c r="R267" s="170"/>
      <c r="S267" s="308" t="s">
        <v>136</v>
      </c>
      <c r="T267" s="170"/>
      <c r="U267" s="309"/>
    </row>
    <row r="268" spans="5:21" ht="15" customHeight="1" x14ac:dyDescent="0.3">
      <c r="E268" s="180"/>
      <c r="F268" s="160"/>
      <c r="G268" s="160"/>
      <c r="H268" s="346">
        <f>H276</f>
        <v>9.9999999999999985E-3</v>
      </c>
      <c r="I268" s="346">
        <f>I276</f>
        <v>1.4999999999999999E-2</v>
      </c>
      <c r="J268" s="346">
        <f>J276</f>
        <v>0.02</v>
      </c>
      <c r="K268" s="346">
        <f>K276</f>
        <v>2.5000000000000001E-2</v>
      </c>
      <c r="L268" s="347">
        <f>L276</f>
        <v>3.0000000000000002E-2</v>
      </c>
      <c r="M268" s="175"/>
      <c r="N268" s="180"/>
      <c r="O268" s="175"/>
      <c r="P268" s="175"/>
      <c r="Q268" s="176">
        <f>Q276</f>
        <v>9.1999999999999993</v>
      </c>
      <c r="R268" s="176">
        <f>R276</f>
        <v>10.7</v>
      </c>
      <c r="S268" s="176">
        <f>S276</f>
        <v>12.2</v>
      </c>
      <c r="T268" s="176">
        <f>T276</f>
        <v>13.7</v>
      </c>
      <c r="U268" s="177">
        <f>U276</f>
        <v>15.2</v>
      </c>
    </row>
    <row r="269" spans="5:21" ht="15" customHeight="1" x14ac:dyDescent="0.3">
      <c r="E269" s="180"/>
      <c r="F269" s="160"/>
      <c r="G269" s="312">
        <f>G277</f>
        <v>8.5000000000000006E-2</v>
      </c>
      <c r="H269" s="348">
        <f t="shared" ref="H269:L273" ca="1" si="85">IFERROR(H261/$K$243-1,"-")</f>
        <v>-0.60290950520632514</v>
      </c>
      <c r="I269" s="348">
        <f t="shared" ca="1" si="85"/>
        <v>-0.60153875596544082</v>
      </c>
      <c r="J269" s="348">
        <f t="shared" ca="1" si="85"/>
        <v>-0.59993954851774234</v>
      </c>
      <c r="K269" s="348">
        <f t="shared" ca="1" si="85"/>
        <v>-0.59804957607955345</v>
      </c>
      <c r="L269" s="348">
        <f t="shared" ca="1" si="85"/>
        <v>-0.59578160915372669</v>
      </c>
      <c r="N269" s="180"/>
      <c r="P269" s="314">
        <v>8.5000000000000006E-2</v>
      </c>
      <c r="Q269" s="348">
        <f t="shared" ref="Q269:U273" ca="1" si="86">IFERROR(Q261/$T$243-1,"-")</f>
        <v>0.27694750351765762</v>
      </c>
      <c r="R269" s="348">
        <f t="shared" ca="1" si="86"/>
        <v>0.41233201561604016</v>
      </c>
      <c r="S269" s="348">
        <f t="shared" ca="1" si="86"/>
        <v>0.5477165277144227</v>
      </c>
      <c r="T269" s="348">
        <f t="shared" ca="1" si="86"/>
        <v>0.68310103981280501</v>
      </c>
      <c r="U269" s="348">
        <f t="shared" ca="1" si="86"/>
        <v>0.81848555191118755</v>
      </c>
    </row>
    <row r="270" spans="5:21" ht="15" customHeight="1" thickBot="1" x14ac:dyDescent="0.35">
      <c r="E270" s="180"/>
      <c r="F270" s="160"/>
      <c r="G270" s="312">
        <f>G278</f>
        <v>0.09</v>
      </c>
      <c r="H270" s="348">
        <f t="shared" ca="1" si="85"/>
        <v>-0.61066068276422325</v>
      </c>
      <c r="I270" s="348">
        <f t="shared" ca="1" si="85"/>
        <v>-0.60949444748073511</v>
      </c>
      <c r="J270" s="349">
        <f t="shared" ca="1" si="85"/>
        <v>-0.60814879138440259</v>
      </c>
      <c r="K270" s="348">
        <f t="shared" ca="1" si="85"/>
        <v>-0.60657885927201449</v>
      </c>
      <c r="L270" s="348">
        <f t="shared" ca="1" si="85"/>
        <v>-0.60472348495737427</v>
      </c>
      <c r="N270" s="180"/>
      <c r="O270" s="336"/>
      <c r="P270" s="314">
        <v>0.09</v>
      </c>
      <c r="Q270" s="348">
        <f t="shared" ca="1" si="86"/>
        <v>0.25192371726655094</v>
      </c>
      <c r="R270" s="348">
        <f t="shared" ca="1" si="86"/>
        <v>0.38423143723602515</v>
      </c>
      <c r="S270" s="349">
        <f t="shared" ca="1" si="86"/>
        <v>0.51653915720549959</v>
      </c>
      <c r="T270" s="348">
        <f t="shared" ca="1" si="86"/>
        <v>0.64884687717497358</v>
      </c>
      <c r="U270" s="348">
        <f t="shared" ca="1" si="86"/>
        <v>0.78115459714444757</v>
      </c>
    </row>
    <row r="271" spans="5:21" ht="15" customHeight="1" thickBot="1" x14ac:dyDescent="0.35">
      <c r="E271" s="180"/>
      <c r="F271" s="160"/>
      <c r="G271" s="312">
        <f>G279</f>
        <v>9.5000000000000001E-2</v>
      </c>
      <c r="H271" s="348">
        <f t="shared" ca="1" si="85"/>
        <v>-0.62522689365537487</v>
      </c>
      <c r="I271" s="350">
        <f t="shared" ca="1" si="85"/>
        <v>-0.62435893499021777</v>
      </c>
      <c r="J271" s="351">
        <f t="shared" ca="1" si="85"/>
        <v>-0.62337524850303982</v>
      </c>
      <c r="K271" s="352">
        <f t="shared" ca="1" si="85"/>
        <v>-0.6222510353748365</v>
      </c>
      <c r="L271" s="348">
        <f t="shared" ca="1" si="85"/>
        <v>-0.62095386638075567</v>
      </c>
      <c r="N271" s="180"/>
      <c r="O271" s="336"/>
      <c r="P271" s="314">
        <v>9.5000000000000001E-2</v>
      </c>
      <c r="Q271" s="348">
        <f t="shared" ca="1" si="86"/>
        <v>0.2275409721080357</v>
      </c>
      <c r="R271" s="350">
        <f t="shared" ca="1" si="86"/>
        <v>0.35685542872114495</v>
      </c>
      <c r="S271" s="351">
        <f t="shared" ca="1" si="86"/>
        <v>0.4861698853342542</v>
      </c>
      <c r="T271" s="352">
        <f t="shared" ca="1" si="86"/>
        <v>0.61548434194736323</v>
      </c>
      <c r="U271" s="348">
        <f t="shared" ca="1" si="86"/>
        <v>0.74479879856047293</v>
      </c>
    </row>
    <row r="272" spans="5:21" ht="15" customHeight="1" x14ac:dyDescent="0.3">
      <c r="E272" s="180"/>
      <c r="F272" s="160"/>
      <c r="G272" s="312">
        <f>G280</f>
        <v>0.1</v>
      </c>
      <c r="H272" s="348">
        <f t="shared" ca="1" si="85"/>
        <v>-0.6321097727561793</v>
      </c>
      <c r="I272" s="348">
        <f t="shared" ca="1" si="85"/>
        <v>-0.63135218620416611</v>
      </c>
      <c r="J272" s="353">
        <f t="shared" ca="1" si="85"/>
        <v>-0.63049990133315115</v>
      </c>
      <c r="K272" s="348">
        <f t="shared" ca="1" si="85"/>
        <v>-0.62953397847933434</v>
      </c>
      <c r="L272" s="348">
        <f t="shared" ca="1" si="85"/>
        <v>-0.62843006664640089</v>
      </c>
      <c r="N272" s="180"/>
      <c r="O272" s="336"/>
      <c r="P272" s="314">
        <v>0.1</v>
      </c>
      <c r="Q272" s="348">
        <f t="shared" ca="1" si="86"/>
        <v>0.20377965656032759</v>
      </c>
      <c r="R272" s="348">
        <f t="shared" ca="1" si="86"/>
        <v>0.33018174494427677</v>
      </c>
      <c r="S272" s="353">
        <f t="shared" ca="1" si="86"/>
        <v>0.45658383332822594</v>
      </c>
      <c r="T272" s="348">
        <f t="shared" ca="1" si="86"/>
        <v>0.58298592171217511</v>
      </c>
      <c r="U272" s="348">
        <f t="shared" ca="1" si="86"/>
        <v>0.70938801009612429</v>
      </c>
    </row>
    <row r="273" spans="5:21" ht="15" customHeight="1" x14ac:dyDescent="0.3">
      <c r="E273" s="180"/>
      <c r="F273" s="160"/>
      <c r="G273" s="312">
        <f>G281</f>
        <v>0.10500000000000001</v>
      </c>
      <c r="H273" s="348">
        <f t="shared" ca="1" si="85"/>
        <v>-0.63876019342528356</v>
      </c>
      <c r="I273" s="348">
        <f t="shared" ca="1" si="85"/>
        <v>-0.63809453841405861</v>
      </c>
      <c r="J273" s="348">
        <f t="shared" ca="1" si="85"/>
        <v>-0.63735057104857162</v>
      </c>
      <c r="K273" s="348">
        <f t="shared" ca="1" si="85"/>
        <v>-0.63651360776239874</v>
      </c>
      <c r="L273" s="348">
        <f t="shared" ca="1" si="85"/>
        <v>-0.63556504937140312</v>
      </c>
      <c r="N273" s="180"/>
      <c r="P273" s="314">
        <v>0.105</v>
      </c>
      <c r="Q273" s="348">
        <f t="shared" ca="1" si="86"/>
        <v>0.18062084977266446</v>
      </c>
      <c r="R273" s="348">
        <f t="shared" ca="1" si="86"/>
        <v>0.30418892588406643</v>
      </c>
      <c r="S273" s="348">
        <f t="shared" ca="1" si="86"/>
        <v>0.42775700199546818</v>
      </c>
      <c r="T273" s="348">
        <f t="shared" ca="1" si="86"/>
        <v>0.55132507810687015</v>
      </c>
      <c r="U273" s="348">
        <f t="shared" ca="1" si="86"/>
        <v>0.6748931542182719</v>
      </c>
    </row>
    <row r="274" spans="5:21" ht="15" customHeight="1" x14ac:dyDescent="0.3">
      <c r="E274" s="180"/>
      <c r="F274" s="160"/>
      <c r="G274" s="160"/>
      <c r="H274" s="160"/>
      <c r="I274" s="160"/>
      <c r="J274" s="160"/>
      <c r="K274" s="160"/>
      <c r="L274" s="331"/>
      <c r="N274" s="180"/>
      <c r="U274" s="174"/>
    </row>
    <row r="275" spans="5:21" ht="15" customHeight="1" x14ac:dyDescent="0.3">
      <c r="E275" s="180"/>
      <c r="F275" s="160"/>
      <c r="G275" s="54"/>
      <c r="H275" s="332"/>
      <c r="I275" s="332"/>
      <c r="J275" s="308" t="s">
        <v>137</v>
      </c>
      <c r="K275" s="332"/>
      <c r="L275" s="331"/>
      <c r="N275" s="180"/>
      <c r="P275" s="170"/>
      <c r="Q275" s="170"/>
      <c r="R275" s="170"/>
      <c r="S275" s="308" t="s">
        <v>138</v>
      </c>
      <c r="T275" s="170"/>
      <c r="U275" s="309"/>
    </row>
    <row r="276" spans="5:21" ht="15" customHeight="1" x14ac:dyDescent="0.3">
      <c r="E276" s="180"/>
      <c r="F276" s="160"/>
      <c r="G276" s="160"/>
      <c r="H276" s="346">
        <f>IF(H251&lt;&gt;"",H$251,I276-F251)</f>
        <v>9.9999999999999985E-3</v>
      </c>
      <c r="I276" s="346">
        <f>IF(I251&lt;&gt;"",I$251,J276-F251)</f>
        <v>1.4999999999999999E-2</v>
      </c>
      <c r="J276" s="346">
        <f>IF(J251&lt;&gt;"",J251,K227)</f>
        <v>0.02</v>
      </c>
      <c r="K276" s="346">
        <f>IF(K251&lt;&gt;"",K$251,J276+F251)</f>
        <v>2.5000000000000001E-2</v>
      </c>
      <c r="L276" s="347">
        <f>IF(L251&lt;&gt;"",L$251,K276+F251)</f>
        <v>3.0000000000000002E-2</v>
      </c>
      <c r="M276" s="175"/>
      <c r="N276" s="180"/>
      <c r="O276" s="175"/>
      <c r="P276" s="175"/>
      <c r="Q276" s="176">
        <f>IF(Q251&lt;&gt;"",Q251,R276-N251)</f>
        <v>9.1999999999999993</v>
      </c>
      <c r="R276" s="176">
        <f>IF(R251&lt;&gt;"",R251,S276-N251)</f>
        <v>10.7</v>
      </c>
      <c r="S276" s="176">
        <f>IF(S251&lt;&gt;"",S251,T227)</f>
        <v>12.2</v>
      </c>
      <c r="T276" s="176">
        <f>IF(T251&lt;&gt;"",T251,S276+N251)</f>
        <v>13.7</v>
      </c>
      <c r="U276" s="177">
        <f>IF(U251&lt;&gt;"",U251,T276+N251)</f>
        <v>15.2</v>
      </c>
    </row>
    <row r="277" spans="5:21" ht="15" customHeight="1" x14ac:dyDescent="0.3">
      <c r="E277" s="180"/>
      <c r="F277" s="160"/>
      <c r="G277" s="312">
        <f>IF(F253&lt;&gt;"",F253,G278-F251)</f>
        <v>8.5000000000000006E-2</v>
      </c>
      <c r="H277" s="333">
        <f ca="1">IFERROR((($K$225*(1+H$276))/($G277-H$276))/$T$225,"-")</f>
        <v>0.16839458527557594</v>
      </c>
      <c r="I277" s="333">
        <f t="shared" ref="H277:L281" ca="1" si="87">IFERROR((($K$225*(1+I$276))/($G277-I$276))/$T$225,"-")</f>
        <v>0.18131595196751368</v>
      </c>
      <c r="J277" s="333">
        <f ca="1">IFERROR((($K$225*(1+J$276))/($G277-J$276))/$T$225,"-")</f>
        <v>0.19622522122744193</v>
      </c>
      <c r="K277" s="333">
        <f t="shared" ca="1" si="87"/>
        <v>0.21361936869735806</v>
      </c>
      <c r="L277" s="333">
        <f t="shared" ca="1" si="87"/>
        <v>0.23417608843453178</v>
      </c>
      <c r="N277" s="180"/>
      <c r="P277" s="314">
        <v>8.5000000000000006E-2</v>
      </c>
      <c r="Q277" s="354">
        <f t="shared" ref="Q277:U281" ca="1" si="88">IFERROR((Q$276*$T$225*$P277-$K$225)/(Q$276*$T$225+$K$225),"-")</f>
        <v>8.3527280507137008E-2</v>
      </c>
      <c r="R277" s="354">
        <f t="shared" ca="1" si="88"/>
        <v>8.3733495517764198E-2</v>
      </c>
      <c r="S277" s="354">
        <f t="shared" ca="1" si="88"/>
        <v>8.3889053840450825E-2</v>
      </c>
      <c r="T277" s="354">
        <f t="shared" ca="1" si="88"/>
        <v>8.4010579359982337E-2</v>
      </c>
      <c r="U277" s="354">
        <f t="shared" ca="1" si="88"/>
        <v>8.4108139295317338E-2</v>
      </c>
    </row>
    <row r="278" spans="5:21" ht="15" customHeight="1" thickBot="1" x14ac:dyDescent="0.35">
      <c r="E278" s="180"/>
      <c r="F278" s="160"/>
      <c r="G278" s="312">
        <v>0.09</v>
      </c>
      <c r="H278" s="333">
        <f t="shared" ca="1" si="87"/>
        <v>0.15786992369585245</v>
      </c>
      <c r="I278" s="333">
        <f t="shared" ca="1" si="87"/>
        <v>0.16922822183634612</v>
      </c>
      <c r="J278" s="335">
        <f t="shared" ca="1" si="87"/>
        <v>0.18220913399691038</v>
      </c>
      <c r="K278" s="333">
        <f t="shared" ca="1" si="87"/>
        <v>0.19718710956679208</v>
      </c>
      <c r="L278" s="333">
        <f t="shared" ca="1" si="87"/>
        <v>0.21466141439832084</v>
      </c>
      <c r="N278" s="180"/>
      <c r="O278" s="336"/>
      <c r="P278" s="314">
        <v>0.09</v>
      </c>
      <c r="Q278" s="354">
        <f t="shared" ca="1" si="88"/>
        <v>8.8520493781363438E-2</v>
      </c>
      <c r="R278" s="354">
        <f t="shared" ca="1" si="88"/>
        <v>8.8727659091578773E-2</v>
      </c>
      <c r="S278" s="355">
        <f t="shared" ca="1" si="88"/>
        <v>8.8883934272895301E-2</v>
      </c>
      <c r="T278" s="354">
        <f t="shared" ca="1" si="88"/>
        <v>8.9006019817862422E-2</v>
      </c>
      <c r="U278" s="354">
        <f t="shared" ca="1" si="88"/>
        <v>8.9104029338152896E-2</v>
      </c>
    </row>
    <row r="279" spans="5:21" ht="15" customHeight="1" thickBot="1" x14ac:dyDescent="0.35">
      <c r="E279" s="180"/>
      <c r="F279" s="160"/>
      <c r="G279" s="312">
        <v>9.5000000000000001E-2</v>
      </c>
      <c r="H279" s="333">
        <f t="shared" ca="1" si="87"/>
        <v>0.14858345759609645</v>
      </c>
      <c r="I279" s="338">
        <f t="shared" ca="1" si="87"/>
        <v>0.15865145797157448</v>
      </c>
      <c r="J279" s="339">
        <f t="shared" ca="1" si="87"/>
        <v>0.17006185839711632</v>
      </c>
      <c r="K279" s="340">
        <f t="shared" ca="1" si="87"/>
        <v>0.18310231602630694</v>
      </c>
      <c r="L279" s="333">
        <f t="shared" ca="1" si="87"/>
        <v>0.19814899790614229</v>
      </c>
      <c r="N279" s="180"/>
      <c r="O279" s="336"/>
      <c r="P279" s="314">
        <v>9.5000000000000001E-2</v>
      </c>
      <c r="Q279" s="354">
        <f t="shared" ca="1" si="88"/>
        <v>9.3513707055589881E-2</v>
      </c>
      <c r="R279" s="356">
        <f t="shared" ca="1" si="88"/>
        <v>9.3721822665393362E-2</v>
      </c>
      <c r="S279" s="357">
        <f t="shared" ca="1" si="88"/>
        <v>9.3878814705339778E-2</v>
      </c>
      <c r="T279" s="358">
        <f t="shared" ca="1" si="88"/>
        <v>9.4001460275742535E-2</v>
      </c>
      <c r="U279" s="354">
        <f t="shared" ca="1" si="88"/>
        <v>9.4099919380988467E-2</v>
      </c>
    </row>
    <row r="280" spans="5:21" ht="15" customHeight="1" x14ac:dyDescent="0.3">
      <c r="E280" s="180"/>
      <c r="F280" s="160"/>
      <c r="G280" s="312">
        <v>0.1</v>
      </c>
      <c r="H280" s="333">
        <f t="shared" ca="1" si="87"/>
        <v>0.14032882106297997</v>
      </c>
      <c r="I280" s="333">
        <f t="shared" ca="1" si="87"/>
        <v>0.14931901926736421</v>
      </c>
      <c r="J280" s="344">
        <f t="shared" ca="1" si="87"/>
        <v>0.15943299224729654</v>
      </c>
      <c r="K280" s="333">
        <f t="shared" ca="1" si="87"/>
        <v>0.17089549495788647</v>
      </c>
      <c r="L280" s="333">
        <f t="shared" ca="1" si="87"/>
        <v>0.18399549805570353</v>
      </c>
      <c r="N280" s="180"/>
      <c r="O280" s="336"/>
      <c r="P280" s="314">
        <f>IF(O256&lt;&gt;"",O256,P279+O251)</f>
        <v>0.1</v>
      </c>
      <c r="Q280" s="354">
        <f t="shared" ca="1" si="88"/>
        <v>9.8506920329816325E-2</v>
      </c>
      <c r="R280" s="354">
        <f t="shared" ca="1" si="88"/>
        <v>9.8715986239207951E-2</v>
      </c>
      <c r="S280" s="359">
        <f t="shared" ca="1" si="88"/>
        <v>9.8873695137784254E-2</v>
      </c>
      <c r="T280" s="354">
        <f t="shared" ca="1" si="88"/>
        <v>9.8996900733622634E-2</v>
      </c>
      <c r="U280" s="354">
        <f t="shared" ca="1" si="88"/>
        <v>9.9095809423824038E-2</v>
      </c>
    </row>
    <row r="281" spans="5:21" ht="15" customHeight="1" x14ac:dyDescent="0.3">
      <c r="E281" s="303"/>
      <c r="F281" s="166"/>
      <c r="G281" s="360">
        <f>IF(F257&lt;&gt;"",F257,G280+F251)</f>
        <v>0.10500000000000001</v>
      </c>
      <c r="H281" s="333">
        <f t="shared" ca="1" si="87"/>
        <v>0.13294309363861259</v>
      </c>
      <c r="I281" s="333">
        <f t="shared" ca="1" si="87"/>
        <v>0.14102351819695508</v>
      </c>
      <c r="J281" s="333">
        <f t="shared" ca="1" si="87"/>
        <v>0.15005458093863205</v>
      </c>
      <c r="K281" s="333">
        <f t="shared" ca="1" si="87"/>
        <v>0.16021452652301857</v>
      </c>
      <c r="L281" s="333">
        <f t="shared" ca="1" si="87"/>
        <v>0.17172913151865665</v>
      </c>
      <c r="N281" s="303"/>
      <c r="O281" s="361"/>
      <c r="P281" s="362">
        <v>0.105</v>
      </c>
      <c r="Q281" s="354">
        <f t="shared" ca="1" si="88"/>
        <v>0.10350013360404275</v>
      </c>
      <c r="R281" s="354">
        <f t="shared" ca="1" si="88"/>
        <v>0.10371014981302251</v>
      </c>
      <c r="S281" s="354">
        <f t="shared" ca="1" si="88"/>
        <v>0.10386857557022872</v>
      </c>
      <c r="T281" s="354">
        <f t="shared" ca="1" si="88"/>
        <v>0.10399234119150273</v>
      </c>
      <c r="U281" s="354">
        <f t="shared" ca="1" si="88"/>
        <v>0.10409169946665958</v>
      </c>
    </row>
  </sheetData>
  <mergeCells count="53">
    <mergeCell ref="K6:L6"/>
    <mergeCell ref="F6:H6"/>
    <mergeCell ref="F8:H8"/>
    <mergeCell ref="K8:L8"/>
    <mergeCell ref="E12:U12"/>
    <mergeCell ref="E10:H10"/>
    <mergeCell ref="N8:O8"/>
    <mergeCell ref="Q8:R8"/>
    <mergeCell ref="T8:U8"/>
    <mergeCell ref="E15:H15"/>
    <mergeCell ref="F23:L23"/>
    <mergeCell ref="N23:T23"/>
    <mergeCell ref="F24:I24"/>
    <mergeCell ref="F25:I25"/>
    <mergeCell ref="N24:Q24"/>
    <mergeCell ref="R24:T24"/>
    <mergeCell ref="N25:Q25"/>
    <mergeCell ref="R25:T25"/>
    <mergeCell ref="J24:L24"/>
    <mergeCell ref="J25:L25"/>
    <mergeCell ref="N26:Q26"/>
    <mergeCell ref="R26:T26"/>
    <mergeCell ref="F26:I26"/>
    <mergeCell ref="F27:I27"/>
    <mergeCell ref="J26:L26"/>
    <mergeCell ref="J27:L27"/>
    <mergeCell ref="N27:Q27"/>
    <mergeCell ref="R27:T27"/>
    <mergeCell ref="N250:O250"/>
    <mergeCell ref="S232:T232"/>
    <mergeCell ref="N249:O249"/>
    <mergeCell ref="E43:U43"/>
    <mergeCell ref="J232:K232"/>
    <mergeCell ref="J242:K242"/>
    <mergeCell ref="J244:K244"/>
    <mergeCell ref="S244:T244"/>
    <mergeCell ref="S242:T242"/>
    <mergeCell ref="E224:L224"/>
    <mergeCell ref="S46:T46"/>
    <mergeCell ref="S45:T45"/>
    <mergeCell ref="N224:U224"/>
    <mergeCell ref="N247:U247"/>
    <mergeCell ref="E247:L247"/>
    <mergeCell ref="K45:K46"/>
    <mergeCell ref="G47:J47"/>
    <mergeCell ref="G48:J48"/>
    <mergeCell ref="E222:U222"/>
    <mergeCell ref="G49:J49"/>
    <mergeCell ref="L45:L46"/>
    <mergeCell ref="M45:M46"/>
    <mergeCell ref="N45:N46"/>
    <mergeCell ref="O45:O46"/>
    <mergeCell ref="P45:P46"/>
  </mergeCells>
  <conditionalFormatting sqref="H269:L273">
    <cfRule type="cellIs" dxfId="103" priority="19" operator="lessThan">
      <formula>0</formula>
    </cfRule>
    <cfRule type="cellIs" dxfId="102" priority="20" operator="greaterThan">
      <formula>0</formula>
    </cfRule>
  </conditionalFormatting>
  <conditionalFormatting sqref="J27">
    <cfRule type="cellIs" dxfId="101" priority="1" operator="lessThan">
      <formula>0</formula>
    </cfRule>
    <cfRule type="cellIs" dxfId="100" priority="2" operator="greaterThan">
      <formula>0</formula>
    </cfRule>
  </conditionalFormatting>
  <conditionalFormatting sqref="N61">
    <cfRule type="expression" dxfId="99" priority="22513" stopIfTrue="1">
      <formula>ISNUMBER($N$61)</formula>
    </cfRule>
  </conditionalFormatting>
  <conditionalFormatting sqref="N62">
    <cfRule type="expression" dxfId="98" priority="22519" stopIfTrue="1">
      <formula>AND(NOT(ISNUMBER($N$61 )),ISNUMBER($N$62))</formula>
    </cfRule>
  </conditionalFormatting>
  <conditionalFormatting sqref="N63">
    <cfRule type="expression" dxfId="97" priority="22525" stopIfTrue="1">
      <formula>AND(NOT(ISNUMBER($N$61)),NOT(ISNUMBER($N$62)),ISNUMBER($N$63))</formula>
    </cfRule>
  </conditionalFormatting>
  <conditionalFormatting sqref="N82">
    <cfRule type="expression" dxfId="96" priority="22531" stopIfTrue="1">
      <formula>ISNUMBER($N$82)</formula>
    </cfRule>
  </conditionalFormatting>
  <conditionalFormatting sqref="N83">
    <cfRule type="expression" dxfId="95" priority="22537" stopIfTrue="1">
      <formula>AND(NOT(ISNUMBER($N$82 )),ISNUMBER($N$83))</formula>
    </cfRule>
  </conditionalFormatting>
  <conditionalFormatting sqref="N97">
    <cfRule type="expression" dxfId="94" priority="22543" stopIfTrue="1">
      <formula>ISNUMBER($N$97)</formula>
    </cfRule>
  </conditionalFormatting>
  <conditionalFormatting sqref="N98">
    <cfRule type="expression" dxfId="93" priority="22549" stopIfTrue="1">
      <formula>AND(NOT(ISNUMBER($N$97 )),ISNUMBER($N$98))</formula>
    </cfRule>
  </conditionalFormatting>
  <conditionalFormatting sqref="N117">
    <cfRule type="expression" dxfId="92" priority="22555" stopIfTrue="1">
      <formula>ISNUMBER($N$117)</formula>
    </cfRule>
  </conditionalFormatting>
  <conditionalFormatting sqref="N118">
    <cfRule type="expression" dxfId="91" priority="22561" stopIfTrue="1">
      <formula>AND(NOT(ISNUMBER($N$117 )),ISNUMBER($N$118))</formula>
    </cfRule>
  </conditionalFormatting>
  <conditionalFormatting sqref="N133">
    <cfRule type="expression" dxfId="90" priority="22567" stopIfTrue="1">
      <formula>ISNUMBER($N$133)</formula>
    </cfRule>
  </conditionalFormatting>
  <conditionalFormatting sqref="N134">
    <cfRule type="expression" dxfId="89" priority="22573" stopIfTrue="1">
      <formula>AND(NOT(ISNUMBER($N$133 )),ISNUMBER($N$134))</formula>
    </cfRule>
  </conditionalFormatting>
  <conditionalFormatting sqref="N151">
    <cfRule type="expression" dxfId="88" priority="22579" stopIfTrue="1">
      <formula>ISNUMBER($N$151)</formula>
    </cfRule>
  </conditionalFormatting>
  <conditionalFormatting sqref="N152">
    <cfRule type="expression" dxfId="87" priority="22585" stopIfTrue="1">
      <formula>AND(NOT(ISNUMBER($N$151 )),ISNUMBER($N$152))</formula>
    </cfRule>
  </conditionalFormatting>
  <conditionalFormatting sqref="N153">
    <cfRule type="expression" dxfId="86" priority="22591" stopIfTrue="1">
      <formula>AND(NOT(ISNUMBER($N$151)),NOT(ISNUMBER($N$152)),ISNUMBER($N$153))</formula>
    </cfRule>
  </conditionalFormatting>
  <conditionalFormatting sqref="N169">
    <cfRule type="expression" dxfId="85" priority="22597" stopIfTrue="1">
      <formula>ISNUMBER($N$169)</formula>
    </cfRule>
  </conditionalFormatting>
  <conditionalFormatting sqref="N182">
    <cfRule type="expression" dxfId="84" priority="22603" stopIfTrue="1">
      <formula>ISNUMBER($N$182)</formula>
    </cfRule>
  </conditionalFormatting>
  <conditionalFormatting sqref="O82">
    <cfRule type="expression" dxfId="83" priority="22532" stopIfTrue="1">
      <formula>ISNUMBER($O$82)</formula>
    </cfRule>
  </conditionalFormatting>
  <conditionalFormatting sqref="O83">
    <cfRule type="expression" dxfId="82" priority="22538" stopIfTrue="1">
      <formula>AND(NOT(ISNUMBER($O$82 )),ISNUMBER($O$83))</formula>
    </cfRule>
  </conditionalFormatting>
  <conditionalFormatting sqref="O97">
    <cfRule type="expression" dxfId="81" priority="22544" stopIfTrue="1">
      <formula>ISNUMBER($O$97)</formula>
    </cfRule>
  </conditionalFormatting>
  <conditionalFormatting sqref="O98">
    <cfRule type="expression" dxfId="80" priority="22550" stopIfTrue="1">
      <formula>AND(NOT(ISNUMBER($O$97 )),ISNUMBER($O$98))</formula>
    </cfRule>
  </conditionalFormatting>
  <conditionalFormatting sqref="O117">
    <cfRule type="expression" dxfId="79" priority="22556" stopIfTrue="1">
      <formula>ISNUMBER($O$117)</formula>
    </cfRule>
  </conditionalFormatting>
  <conditionalFormatting sqref="O118">
    <cfRule type="expression" dxfId="78" priority="22562" stopIfTrue="1">
      <formula>AND(NOT(ISNUMBER($O$117 )),ISNUMBER($O$118))</formula>
    </cfRule>
  </conditionalFormatting>
  <conditionalFormatting sqref="O133">
    <cfRule type="expression" dxfId="77" priority="22568" stopIfTrue="1">
      <formula>ISNUMBER($O$133)</formula>
    </cfRule>
  </conditionalFormatting>
  <conditionalFormatting sqref="O134">
    <cfRule type="expression" dxfId="76" priority="22574" stopIfTrue="1">
      <formula>AND(NOT(ISNUMBER($O$133 )),ISNUMBER($O$134))</formula>
    </cfRule>
  </conditionalFormatting>
  <conditionalFormatting sqref="O151">
    <cfRule type="expression" dxfId="75" priority="22580" stopIfTrue="1">
      <formula>ISNUMBER($O$151)</formula>
    </cfRule>
  </conditionalFormatting>
  <conditionalFormatting sqref="O152">
    <cfRule type="expression" dxfId="74" priority="22586" stopIfTrue="1">
      <formula>AND(NOT(ISNUMBER($O$151 )),ISNUMBER($O$152))</formula>
    </cfRule>
  </conditionalFormatting>
  <conditionalFormatting sqref="O153">
    <cfRule type="expression" dxfId="73" priority="22592" stopIfTrue="1">
      <formula>AND(NOT(ISNUMBER($O$151)),NOT(ISNUMBER($O$152)),ISNUMBER($O$153))</formula>
    </cfRule>
  </conditionalFormatting>
  <conditionalFormatting sqref="O169">
    <cfRule type="expression" dxfId="72" priority="22598" stopIfTrue="1">
      <formula>ISNUMBER($O$169)</formula>
    </cfRule>
  </conditionalFormatting>
  <conditionalFormatting sqref="O182">
    <cfRule type="expression" dxfId="71" priority="22604" stopIfTrue="1">
      <formula>ISNUMBER($O$182)</formula>
    </cfRule>
  </conditionalFormatting>
  <conditionalFormatting sqref="P61">
    <cfRule type="expression" dxfId="70" priority="22515" stopIfTrue="1">
      <formula>ISNUMBER($P$61)</formula>
    </cfRule>
  </conditionalFormatting>
  <conditionalFormatting sqref="P62">
    <cfRule type="expression" dxfId="69" priority="22521" stopIfTrue="1">
      <formula>AND(NOT(ISNUMBER($P$61 )),ISNUMBER($P$62))</formula>
    </cfRule>
  </conditionalFormatting>
  <conditionalFormatting sqref="P63">
    <cfRule type="expression" dxfId="68" priority="22527" stopIfTrue="1">
      <formula>AND(NOT(ISNUMBER($P$61)),NOT(ISNUMBER($P$62)),ISNUMBER($P$63))</formula>
    </cfRule>
  </conditionalFormatting>
  <conditionalFormatting sqref="P82">
    <cfRule type="expression" dxfId="67" priority="22533" stopIfTrue="1">
      <formula>ISNUMBER($P$82)</formula>
    </cfRule>
  </conditionalFormatting>
  <conditionalFormatting sqref="P83">
    <cfRule type="expression" dxfId="66" priority="22539" stopIfTrue="1">
      <formula>AND(NOT(ISNUMBER($P$82 )),ISNUMBER($P$83))</formula>
    </cfRule>
  </conditionalFormatting>
  <conditionalFormatting sqref="P97">
    <cfRule type="expression" dxfId="65" priority="22545" stopIfTrue="1">
      <formula>ISNUMBER($P$97)</formula>
    </cfRule>
  </conditionalFormatting>
  <conditionalFormatting sqref="P98">
    <cfRule type="expression" dxfId="64" priority="22551" stopIfTrue="1">
      <formula>AND(NOT(ISNUMBER($P$97 )),ISNUMBER($P$98))</formula>
    </cfRule>
  </conditionalFormatting>
  <conditionalFormatting sqref="P117">
    <cfRule type="expression" dxfId="63" priority="22557" stopIfTrue="1">
      <formula>ISNUMBER($P$117)</formula>
    </cfRule>
  </conditionalFormatting>
  <conditionalFormatting sqref="P118">
    <cfRule type="expression" dxfId="62" priority="22563" stopIfTrue="1">
      <formula>AND(NOT(ISNUMBER($P$117 )),ISNUMBER($P$118))</formula>
    </cfRule>
  </conditionalFormatting>
  <conditionalFormatting sqref="P133">
    <cfRule type="expression" dxfId="61" priority="22569" stopIfTrue="1">
      <formula>ISNUMBER($P$133)</formula>
    </cfRule>
  </conditionalFormatting>
  <conditionalFormatting sqref="P134">
    <cfRule type="expression" dxfId="60" priority="22575" stopIfTrue="1">
      <formula>AND(NOT(ISNUMBER($P$133 )),ISNUMBER($P$134))</formula>
    </cfRule>
  </conditionalFormatting>
  <conditionalFormatting sqref="P151">
    <cfRule type="expression" dxfId="59" priority="22581" stopIfTrue="1">
      <formula>ISNUMBER($P$151)</formula>
    </cfRule>
  </conditionalFormatting>
  <conditionalFormatting sqref="P152">
    <cfRule type="expression" dxfId="58" priority="22587" stopIfTrue="1">
      <formula>AND(NOT(ISNUMBER($P$151 )),ISNUMBER($P$152))</formula>
    </cfRule>
  </conditionalFormatting>
  <conditionalFormatting sqref="P153">
    <cfRule type="expression" dxfId="57" priority="22593" stopIfTrue="1">
      <formula>AND(NOT(ISNUMBER($P$151)),NOT(ISNUMBER($P$152)),ISNUMBER($P$153))</formula>
    </cfRule>
  </conditionalFormatting>
  <conditionalFormatting sqref="P169">
    <cfRule type="expression" dxfId="56" priority="22599" stopIfTrue="1">
      <formula>ISNUMBER($P$169)</formula>
    </cfRule>
  </conditionalFormatting>
  <conditionalFormatting sqref="P182">
    <cfRule type="expression" dxfId="55" priority="22605" stopIfTrue="1">
      <formula>ISNUMBER($P$182)</formula>
    </cfRule>
  </conditionalFormatting>
  <conditionalFormatting sqref="Q61">
    <cfRule type="expression" dxfId="54" priority="22516" stopIfTrue="1">
      <formula>ISNUMBER($Q$61)</formula>
    </cfRule>
  </conditionalFormatting>
  <conditionalFormatting sqref="Q62">
    <cfRule type="expression" dxfId="53" priority="22522" stopIfTrue="1">
      <formula>AND(NOT(ISNUMBER($Q$61 )),ISNUMBER($Q$62))</formula>
    </cfRule>
  </conditionalFormatting>
  <conditionalFormatting sqref="Q63">
    <cfRule type="expression" dxfId="52" priority="22528" stopIfTrue="1">
      <formula>AND(NOT(ISNUMBER($Q$61)),NOT(ISNUMBER($Q$62)),ISNUMBER($Q$63))</formula>
    </cfRule>
  </conditionalFormatting>
  <conditionalFormatting sqref="Q82">
    <cfRule type="expression" dxfId="51" priority="22534" stopIfTrue="1">
      <formula>ISNUMBER($Q$82)</formula>
    </cfRule>
  </conditionalFormatting>
  <conditionalFormatting sqref="Q83">
    <cfRule type="expression" dxfId="50" priority="22540" stopIfTrue="1">
      <formula>AND(NOT(ISNUMBER($Q$82 )),ISNUMBER($Q$83))</formula>
    </cfRule>
  </conditionalFormatting>
  <conditionalFormatting sqref="Q97">
    <cfRule type="expression" dxfId="49" priority="22546" stopIfTrue="1">
      <formula>ISNUMBER($Q$97)</formula>
    </cfRule>
  </conditionalFormatting>
  <conditionalFormatting sqref="Q98">
    <cfRule type="expression" dxfId="48" priority="22552" stopIfTrue="1">
      <formula>AND(NOT(ISNUMBER($Q$97 )),ISNUMBER($Q$98))</formula>
    </cfRule>
  </conditionalFormatting>
  <conditionalFormatting sqref="Q117">
    <cfRule type="expression" dxfId="47" priority="22558" stopIfTrue="1">
      <formula>ISNUMBER($Q$117)</formula>
    </cfRule>
  </conditionalFormatting>
  <conditionalFormatting sqref="Q118">
    <cfRule type="expression" dxfId="46" priority="22564" stopIfTrue="1">
      <formula>AND(NOT(ISNUMBER($Q$117 )),ISNUMBER($Q$118))</formula>
    </cfRule>
  </conditionalFormatting>
  <conditionalFormatting sqref="Q133">
    <cfRule type="expression" dxfId="45" priority="22570" stopIfTrue="1">
      <formula>ISNUMBER($Q$133)</formula>
    </cfRule>
  </conditionalFormatting>
  <conditionalFormatting sqref="Q134">
    <cfRule type="expression" dxfId="44" priority="22576" stopIfTrue="1">
      <formula>AND(NOT(ISNUMBER($Q$133 )),ISNUMBER($Q$134))</formula>
    </cfRule>
  </conditionalFormatting>
  <conditionalFormatting sqref="Q151">
    <cfRule type="expression" dxfId="43" priority="22582" stopIfTrue="1">
      <formula>ISNUMBER($Q$151)</formula>
    </cfRule>
  </conditionalFormatting>
  <conditionalFormatting sqref="Q152">
    <cfRule type="expression" dxfId="42" priority="22588" stopIfTrue="1">
      <formula>AND(NOT(ISNUMBER($Q$151 )),ISNUMBER($Q$152))</formula>
    </cfRule>
  </conditionalFormatting>
  <conditionalFormatting sqref="Q153">
    <cfRule type="expression" dxfId="41" priority="22594" stopIfTrue="1">
      <formula>AND(NOT(ISNUMBER($Q$151)),NOT(ISNUMBER($Q$152)),ISNUMBER($Q$153))</formula>
    </cfRule>
  </conditionalFormatting>
  <conditionalFormatting sqref="Q169">
    <cfRule type="expression" dxfId="40" priority="22600" stopIfTrue="1">
      <formula>ISNUMBER($Q$169)</formula>
    </cfRule>
  </conditionalFormatting>
  <conditionalFormatting sqref="Q182">
    <cfRule type="expression" dxfId="39" priority="22606" stopIfTrue="1">
      <formula>ISNUMBER($Q$182)</formula>
    </cfRule>
  </conditionalFormatting>
  <conditionalFormatting sqref="Q269:U273">
    <cfRule type="cellIs" dxfId="38" priority="17" operator="lessThan">
      <formula>0</formula>
    </cfRule>
    <cfRule type="cellIs" dxfId="37" priority="18" operator="greaterThan">
      <formula>0</formula>
    </cfRule>
  </conditionalFormatting>
  <conditionalFormatting sqref="R27">
    <cfRule type="cellIs" dxfId="36" priority="23" operator="lessThan">
      <formula>0</formula>
    </cfRule>
    <cfRule type="cellIs" dxfId="35" priority="24" operator="greaterThan">
      <formula>0</formula>
    </cfRule>
  </conditionalFormatting>
  <conditionalFormatting sqref="R61">
    <cfRule type="expression" dxfId="34" priority="22517" stopIfTrue="1">
      <formula>ISNUMBER($R$61)</formula>
    </cfRule>
  </conditionalFormatting>
  <conditionalFormatting sqref="R62">
    <cfRule type="expression" dxfId="33" priority="22523" stopIfTrue="1">
      <formula>AND(NOT(ISNUMBER($R$61 )),ISNUMBER($R$62))</formula>
    </cfRule>
  </conditionalFormatting>
  <conditionalFormatting sqref="R63">
    <cfRule type="expression" dxfId="32" priority="22529" stopIfTrue="1">
      <formula>AND(NOT(ISNUMBER($R$61)),NOT(ISNUMBER($R$62)),ISNUMBER($R$63))</formula>
    </cfRule>
  </conditionalFormatting>
  <conditionalFormatting sqref="R82">
    <cfRule type="expression" dxfId="31" priority="22535" stopIfTrue="1">
      <formula>ISNUMBER($R$82)</formula>
    </cfRule>
  </conditionalFormatting>
  <conditionalFormatting sqref="R83">
    <cfRule type="expression" dxfId="30" priority="22541" stopIfTrue="1">
      <formula>AND(NOT(ISNUMBER($R$82 )),ISNUMBER($R$83))</formula>
    </cfRule>
  </conditionalFormatting>
  <conditionalFormatting sqref="R97">
    <cfRule type="expression" dxfId="29" priority="22547" stopIfTrue="1">
      <formula>ISNUMBER($R$97)</formula>
    </cfRule>
  </conditionalFormatting>
  <conditionalFormatting sqref="R98">
    <cfRule type="expression" dxfId="28" priority="22553" stopIfTrue="1">
      <formula>AND(NOT(ISNUMBER($R$97 )),ISNUMBER($R$98))</formula>
    </cfRule>
  </conditionalFormatting>
  <conditionalFormatting sqref="R117">
    <cfRule type="expression" dxfId="27" priority="22559" stopIfTrue="1">
      <formula>ISNUMBER($R$117)</formula>
    </cfRule>
  </conditionalFormatting>
  <conditionalFormatting sqref="R118">
    <cfRule type="expression" dxfId="26" priority="22565" stopIfTrue="1">
      <formula>AND(NOT(ISNUMBER($R$117 )),ISNUMBER($R$118))</formula>
    </cfRule>
  </conditionalFormatting>
  <conditionalFormatting sqref="R133">
    <cfRule type="expression" dxfId="25" priority="22571" stopIfTrue="1">
      <formula>ISNUMBER($R$133)</formula>
    </cfRule>
  </conditionalFormatting>
  <conditionalFormatting sqref="R134">
    <cfRule type="expression" dxfId="24" priority="22577" stopIfTrue="1">
      <formula>AND(NOT(ISNUMBER($R$133 )),ISNUMBER($R$134))</formula>
    </cfRule>
  </conditionalFormatting>
  <conditionalFormatting sqref="R151">
    <cfRule type="expression" dxfId="23" priority="22583" stopIfTrue="1">
      <formula>ISNUMBER($R$151)</formula>
    </cfRule>
  </conditionalFormatting>
  <conditionalFormatting sqref="R152">
    <cfRule type="expression" dxfId="22" priority="22589" stopIfTrue="1">
      <formula>AND(NOT(ISNUMBER($R$151 )),ISNUMBER($R$152))</formula>
    </cfRule>
  </conditionalFormatting>
  <conditionalFormatting sqref="R153">
    <cfRule type="expression" dxfId="21" priority="22595" stopIfTrue="1">
      <formula>AND(NOT(ISNUMBER($R$151)),NOT(ISNUMBER($R$152)),ISNUMBER($R$153))</formula>
    </cfRule>
  </conditionalFormatting>
  <conditionalFormatting sqref="R169">
    <cfRule type="expression" dxfId="20" priority="22601" stopIfTrue="1">
      <formula>ISNUMBER($R$169)</formula>
    </cfRule>
  </conditionalFormatting>
  <conditionalFormatting sqref="R182">
    <cfRule type="expression" dxfId="19" priority="22607" stopIfTrue="1">
      <formula>ISNUMBER($R$182)</formula>
    </cfRule>
  </conditionalFormatting>
  <conditionalFormatting sqref="S61">
    <cfRule type="expression" dxfId="18" priority="22518" stopIfTrue="1">
      <formula>ISNUMBER($S$61)</formula>
    </cfRule>
  </conditionalFormatting>
  <conditionalFormatting sqref="S62">
    <cfRule type="expression" dxfId="17" priority="22524" stopIfTrue="1">
      <formula>AND(NOT(ISNUMBER($S$61 )),ISNUMBER($S$62))</formula>
    </cfRule>
  </conditionalFormatting>
  <conditionalFormatting sqref="S63">
    <cfRule type="expression" dxfId="16" priority="22530" stopIfTrue="1">
      <formula>AND(NOT(ISNUMBER($S$61)),NOT(ISNUMBER($S$62)),ISNUMBER($S$63))</formula>
    </cfRule>
  </conditionalFormatting>
  <conditionalFormatting sqref="S82">
    <cfRule type="expression" dxfId="15" priority="22536" stopIfTrue="1">
      <formula>ISNUMBER($S$82)</formula>
    </cfRule>
  </conditionalFormatting>
  <conditionalFormatting sqref="S83">
    <cfRule type="expression" dxfId="14" priority="22542" stopIfTrue="1">
      <formula>AND(NOT(ISNUMBER($S$82 )),ISNUMBER($S$83))</formula>
    </cfRule>
  </conditionalFormatting>
  <conditionalFormatting sqref="S97">
    <cfRule type="expression" dxfId="13" priority="22548" stopIfTrue="1">
      <formula>ISNUMBER($S$97)</formula>
    </cfRule>
  </conditionalFormatting>
  <conditionalFormatting sqref="S98">
    <cfRule type="expression" dxfId="12" priority="22554" stopIfTrue="1">
      <formula>AND(NOT(ISNUMBER($S$97 )),ISNUMBER($S$98))</formula>
    </cfRule>
  </conditionalFormatting>
  <conditionalFormatting sqref="S117">
    <cfRule type="expression" dxfId="11" priority="22560" stopIfTrue="1">
      <formula>ISNUMBER($S$117)</formula>
    </cfRule>
  </conditionalFormatting>
  <conditionalFormatting sqref="S118">
    <cfRule type="expression" dxfId="10" priority="22566" stopIfTrue="1">
      <formula>AND(NOT(ISNUMBER($S$117 )),ISNUMBER($S$118))</formula>
    </cfRule>
  </conditionalFormatting>
  <conditionalFormatting sqref="S133">
    <cfRule type="expression" dxfId="9" priority="22572" stopIfTrue="1">
      <formula>ISNUMBER($S$133)</formula>
    </cfRule>
  </conditionalFormatting>
  <conditionalFormatting sqref="S134">
    <cfRule type="expression" dxfId="8" priority="22578" stopIfTrue="1">
      <formula>AND(NOT(ISNUMBER($S$133 )),ISNUMBER($S$134))</formula>
    </cfRule>
  </conditionalFormatting>
  <conditionalFormatting sqref="S151">
    <cfRule type="expression" dxfId="7" priority="22584" stopIfTrue="1">
      <formula>ISNUMBER($S$151)</formula>
    </cfRule>
  </conditionalFormatting>
  <conditionalFormatting sqref="S152">
    <cfRule type="expression" dxfId="6" priority="22590" stopIfTrue="1">
      <formula>AND(NOT(ISNUMBER($S$151 )),ISNUMBER($S$152))</formula>
    </cfRule>
  </conditionalFormatting>
  <conditionalFormatting sqref="S153">
    <cfRule type="expression" dxfId="5" priority="22596" stopIfTrue="1">
      <formula>AND(NOT(ISNUMBER($S$151)),NOT(ISNUMBER($S$152)),ISNUMBER($S$153))</formula>
    </cfRule>
  </conditionalFormatting>
  <conditionalFormatting sqref="S169">
    <cfRule type="expression" dxfId="4" priority="22602" stopIfTrue="1">
      <formula>ISNUMBER($S$169)</formula>
    </cfRule>
  </conditionalFormatting>
  <conditionalFormatting sqref="S182">
    <cfRule type="expression" dxfId="3" priority="22608" stopIfTrue="1">
      <formula>ISNUMBER($S$182)</formula>
    </cfRule>
  </conditionalFormatting>
  <dataValidations count="3">
    <dataValidation allowBlank="1" showInputMessage="1" showErrorMessage="1" prompt="The model will select the best forecasting assumptions available once this cell is updated._x000a__x000a_Review and change these assumptions by clicking &quot;Edit&quot; on &quot;Input Calculation&quot;." sqref="F6" xr:uid="{00000000-0002-0000-0000-000000000000}"/>
    <dataValidation allowBlank="1" showErrorMessage="1" prompt="Consensus value in monetary terms expressed as a YoY % growth rate. " sqref="N61" xr:uid="{00000000-0002-0000-0000-000001000000}"/>
    <dataValidation type="list" allowBlank="1" showInputMessage="1" showErrorMessage="1" sqref="S46" xr:uid="{00000000-0002-0000-0000-000002000000}">
      <formula1>"On, Off"</formula1>
    </dataValidation>
  </dataValidations>
  <pageMargins left="0.25" right="0.25" top="0.75" bottom="0.75" header="0.3" footer="0.3"/>
  <pageSetup scale="78" fitToHeight="0"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25:CY64"/>
  <sheetViews>
    <sheetView topLeftCell="A22" zoomScale="80" zoomScaleNormal="80" workbookViewId="0">
      <selection activeCell="N27" sqref="N27"/>
    </sheetView>
  </sheetViews>
  <sheetFormatPr defaultColWidth="8.88671875" defaultRowHeight="14.4" x14ac:dyDescent="0.3"/>
  <cols>
    <col min="1" max="1" width="14.44140625" bestFit="1" customWidth="1"/>
    <col min="2" max="2" width="9.109375" customWidth="1"/>
  </cols>
  <sheetData>
    <row r="25" spans="1:103" x14ac:dyDescent="0.3">
      <c r="C25" s="13">
        <v>1</v>
      </c>
      <c r="D25" s="13">
        <f>C25+1</f>
        <v>2</v>
      </c>
      <c r="E25" s="13">
        <f t="shared" ref="E25:BP25" si="0">D25+1</f>
        <v>3</v>
      </c>
      <c r="F25" s="13">
        <f t="shared" si="0"/>
        <v>4</v>
      </c>
      <c r="G25" s="13">
        <f t="shared" si="0"/>
        <v>5</v>
      </c>
      <c r="H25" s="13">
        <f t="shared" si="0"/>
        <v>6</v>
      </c>
      <c r="I25" s="13">
        <f t="shared" si="0"/>
        <v>7</v>
      </c>
      <c r="J25" s="13">
        <f t="shared" si="0"/>
        <v>8</v>
      </c>
      <c r="K25" s="13">
        <f t="shared" si="0"/>
        <v>9</v>
      </c>
      <c r="L25" s="13">
        <f t="shared" si="0"/>
        <v>10</v>
      </c>
      <c r="M25" s="13">
        <f t="shared" si="0"/>
        <v>11</v>
      </c>
      <c r="N25" s="13">
        <f t="shared" si="0"/>
        <v>12</v>
      </c>
      <c r="O25">
        <f t="shared" si="0"/>
        <v>13</v>
      </c>
      <c r="P25">
        <f t="shared" si="0"/>
        <v>14</v>
      </c>
      <c r="Q25">
        <f t="shared" si="0"/>
        <v>15</v>
      </c>
      <c r="R25">
        <f t="shared" si="0"/>
        <v>16</v>
      </c>
      <c r="S25">
        <f t="shared" si="0"/>
        <v>17</v>
      </c>
      <c r="T25">
        <f t="shared" si="0"/>
        <v>18</v>
      </c>
      <c r="U25">
        <f t="shared" si="0"/>
        <v>19</v>
      </c>
      <c r="V25">
        <f t="shared" si="0"/>
        <v>20</v>
      </c>
      <c r="W25">
        <f t="shared" si="0"/>
        <v>21</v>
      </c>
      <c r="X25">
        <f t="shared" si="0"/>
        <v>22</v>
      </c>
      <c r="Y25">
        <f t="shared" si="0"/>
        <v>23</v>
      </c>
      <c r="Z25">
        <f t="shared" si="0"/>
        <v>24</v>
      </c>
      <c r="AA25">
        <f t="shared" si="0"/>
        <v>25</v>
      </c>
      <c r="AB25">
        <f t="shared" si="0"/>
        <v>26</v>
      </c>
      <c r="AC25">
        <f t="shared" si="0"/>
        <v>27</v>
      </c>
      <c r="AD25">
        <f t="shared" si="0"/>
        <v>28</v>
      </c>
      <c r="AE25">
        <f t="shared" si="0"/>
        <v>29</v>
      </c>
      <c r="AF25">
        <f t="shared" si="0"/>
        <v>30</v>
      </c>
      <c r="AG25">
        <f t="shared" si="0"/>
        <v>31</v>
      </c>
      <c r="AH25">
        <f t="shared" si="0"/>
        <v>32</v>
      </c>
      <c r="AI25">
        <f t="shared" si="0"/>
        <v>33</v>
      </c>
      <c r="AJ25">
        <f t="shared" si="0"/>
        <v>34</v>
      </c>
      <c r="AK25">
        <f t="shared" si="0"/>
        <v>35</v>
      </c>
      <c r="AL25">
        <f t="shared" si="0"/>
        <v>36</v>
      </c>
      <c r="AM25">
        <f t="shared" si="0"/>
        <v>37</v>
      </c>
      <c r="AN25">
        <f t="shared" si="0"/>
        <v>38</v>
      </c>
      <c r="AO25">
        <f t="shared" si="0"/>
        <v>39</v>
      </c>
      <c r="AP25">
        <f t="shared" si="0"/>
        <v>40</v>
      </c>
      <c r="AQ25">
        <f t="shared" si="0"/>
        <v>41</v>
      </c>
      <c r="AR25">
        <f t="shared" si="0"/>
        <v>42</v>
      </c>
      <c r="AS25">
        <f t="shared" si="0"/>
        <v>43</v>
      </c>
      <c r="AT25">
        <f t="shared" si="0"/>
        <v>44</v>
      </c>
      <c r="AU25">
        <f t="shared" si="0"/>
        <v>45</v>
      </c>
      <c r="AV25">
        <f t="shared" si="0"/>
        <v>46</v>
      </c>
      <c r="AW25">
        <f t="shared" si="0"/>
        <v>47</v>
      </c>
      <c r="AX25">
        <f t="shared" si="0"/>
        <v>48</v>
      </c>
      <c r="AY25">
        <f t="shared" si="0"/>
        <v>49</v>
      </c>
      <c r="AZ25">
        <f t="shared" si="0"/>
        <v>50</v>
      </c>
      <c r="BA25">
        <f t="shared" si="0"/>
        <v>51</v>
      </c>
      <c r="BB25">
        <f t="shared" si="0"/>
        <v>52</v>
      </c>
      <c r="BC25">
        <f t="shared" si="0"/>
        <v>53</v>
      </c>
      <c r="BD25">
        <f t="shared" si="0"/>
        <v>54</v>
      </c>
      <c r="BE25">
        <f t="shared" si="0"/>
        <v>55</v>
      </c>
      <c r="BF25">
        <f t="shared" si="0"/>
        <v>56</v>
      </c>
      <c r="BG25">
        <f t="shared" si="0"/>
        <v>57</v>
      </c>
      <c r="BH25">
        <f t="shared" si="0"/>
        <v>58</v>
      </c>
      <c r="BI25">
        <f t="shared" si="0"/>
        <v>59</v>
      </c>
      <c r="BJ25">
        <f t="shared" si="0"/>
        <v>60</v>
      </c>
      <c r="BK25">
        <f t="shared" si="0"/>
        <v>61</v>
      </c>
      <c r="BL25">
        <f t="shared" si="0"/>
        <v>62</v>
      </c>
      <c r="BM25">
        <f t="shared" si="0"/>
        <v>63</v>
      </c>
      <c r="BN25">
        <f t="shared" si="0"/>
        <v>64</v>
      </c>
      <c r="BO25">
        <f t="shared" si="0"/>
        <v>65</v>
      </c>
      <c r="BP25">
        <f t="shared" si="0"/>
        <v>66</v>
      </c>
      <c r="BQ25">
        <f t="shared" ref="BQ25:CX25" si="1">BP25+1</f>
        <v>67</v>
      </c>
      <c r="BR25">
        <f t="shared" si="1"/>
        <v>68</v>
      </c>
      <c r="BS25">
        <f t="shared" si="1"/>
        <v>69</v>
      </c>
      <c r="BT25">
        <f t="shared" si="1"/>
        <v>70</v>
      </c>
      <c r="BU25">
        <f t="shared" si="1"/>
        <v>71</v>
      </c>
      <c r="BV25">
        <f t="shared" si="1"/>
        <v>72</v>
      </c>
      <c r="BW25">
        <f t="shared" si="1"/>
        <v>73</v>
      </c>
      <c r="BX25">
        <f t="shared" si="1"/>
        <v>74</v>
      </c>
      <c r="BY25">
        <f t="shared" si="1"/>
        <v>75</v>
      </c>
      <c r="BZ25">
        <f t="shared" si="1"/>
        <v>76</v>
      </c>
      <c r="CA25">
        <f t="shared" si="1"/>
        <v>77</v>
      </c>
      <c r="CB25">
        <f t="shared" si="1"/>
        <v>78</v>
      </c>
      <c r="CC25">
        <f t="shared" si="1"/>
        <v>79</v>
      </c>
      <c r="CD25">
        <f t="shared" si="1"/>
        <v>80</v>
      </c>
      <c r="CE25">
        <f t="shared" si="1"/>
        <v>81</v>
      </c>
      <c r="CF25">
        <f t="shared" si="1"/>
        <v>82</v>
      </c>
      <c r="CG25">
        <f t="shared" si="1"/>
        <v>83</v>
      </c>
      <c r="CH25">
        <f t="shared" si="1"/>
        <v>84</v>
      </c>
      <c r="CI25">
        <f t="shared" si="1"/>
        <v>85</v>
      </c>
      <c r="CJ25">
        <f t="shared" si="1"/>
        <v>86</v>
      </c>
      <c r="CK25">
        <f t="shared" si="1"/>
        <v>87</v>
      </c>
      <c r="CL25">
        <f t="shared" si="1"/>
        <v>88</v>
      </c>
      <c r="CM25">
        <f t="shared" si="1"/>
        <v>89</v>
      </c>
      <c r="CN25">
        <f t="shared" si="1"/>
        <v>90</v>
      </c>
      <c r="CO25">
        <f t="shared" si="1"/>
        <v>91</v>
      </c>
      <c r="CP25">
        <f t="shared" si="1"/>
        <v>92</v>
      </c>
      <c r="CQ25">
        <f t="shared" si="1"/>
        <v>93</v>
      </c>
      <c r="CR25">
        <f t="shared" si="1"/>
        <v>94</v>
      </c>
      <c r="CS25">
        <f t="shared" si="1"/>
        <v>95</v>
      </c>
      <c r="CT25">
        <f t="shared" si="1"/>
        <v>96</v>
      </c>
      <c r="CU25">
        <f t="shared" si="1"/>
        <v>97</v>
      </c>
      <c r="CV25">
        <f t="shared" si="1"/>
        <v>98</v>
      </c>
      <c r="CW25">
        <f t="shared" si="1"/>
        <v>99</v>
      </c>
      <c r="CX25">
        <f t="shared" si="1"/>
        <v>100</v>
      </c>
      <c r="CY25">
        <f>CX25+1</f>
        <v>101</v>
      </c>
    </row>
    <row r="26" spans="1:103" x14ac:dyDescent="0.3">
      <c r="C26" s="13">
        <v>1</v>
      </c>
      <c r="D26" s="13">
        <f>C26*(1+C27)</f>
        <v>1.05</v>
      </c>
      <c r="E26" s="13">
        <f t="shared" ref="E26:BP26" si="2">D26*(1+D27)</f>
        <v>1.0996363636363637</v>
      </c>
      <c r="F26" s="13">
        <f t="shared" si="2"/>
        <v>1.1486201652892563</v>
      </c>
      <c r="G26" s="13">
        <f t="shared" si="2"/>
        <v>1.1966533722013524</v>
      </c>
      <c r="H26" s="13">
        <f t="shared" si="2"/>
        <v>1.2434316403874053</v>
      </c>
      <c r="I26" s="13">
        <f t="shared" si="2"/>
        <v>1.2886473364014928</v>
      </c>
      <c r="J26" s="13">
        <f t="shared" si="2"/>
        <v>1.3319927468077248</v>
      </c>
      <c r="K26" s="13">
        <f t="shared" si="2"/>
        <v>1.3731634317090546</v>
      </c>
      <c r="L26" s="13">
        <f t="shared" si="2"/>
        <v>1.4118616738754006</v>
      </c>
      <c r="M26" s="13">
        <f t="shared" si="2"/>
        <v>1.4477999710285925</v>
      </c>
      <c r="N26" s="13">
        <f t="shared" si="2"/>
        <v>1.4807045158246968</v>
      </c>
      <c r="O26">
        <f t="shared" si="2"/>
        <v>1.5103186061411906</v>
      </c>
      <c r="P26">
        <f t="shared" si="2"/>
        <v>1.5405249782640145</v>
      </c>
      <c r="Q26">
        <f t="shared" si="2"/>
        <v>1.5713354778292947</v>
      </c>
      <c r="R26">
        <f t="shared" si="2"/>
        <v>1.6027621873858806</v>
      </c>
      <c r="S26">
        <f t="shared" si="2"/>
        <v>1.6348174311335983</v>
      </c>
      <c r="T26">
        <f t="shared" si="2"/>
        <v>1.6675137797562702</v>
      </c>
      <c r="U26">
        <f t="shared" si="2"/>
        <v>1.7008640553513956</v>
      </c>
      <c r="V26">
        <f t="shared" si="2"/>
        <v>1.7348813364584235</v>
      </c>
      <c r="W26">
        <f t="shared" si="2"/>
        <v>1.769578963187592</v>
      </c>
      <c r="X26">
        <f t="shared" si="2"/>
        <v>1.8049705424513438</v>
      </c>
      <c r="Y26">
        <f t="shared" si="2"/>
        <v>1.8410699533003707</v>
      </c>
      <c r="Z26">
        <f t="shared" si="2"/>
        <v>1.8778913523663781</v>
      </c>
      <c r="AA26">
        <f t="shared" si="2"/>
        <v>1.9154491794137056</v>
      </c>
      <c r="AB26">
        <f t="shared" si="2"/>
        <v>1.9537581630019798</v>
      </c>
      <c r="AC26">
        <f t="shared" si="2"/>
        <v>1.9928333262620195</v>
      </c>
      <c r="AD26">
        <f t="shared" si="2"/>
        <v>2.0326899927872599</v>
      </c>
      <c r="AE26">
        <f t="shared" si="2"/>
        <v>2.0733437926430049</v>
      </c>
      <c r="AF26">
        <f t="shared" si="2"/>
        <v>2.1148106684958652</v>
      </c>
      <c r="AG26">
        <f t="shared" si="2"/>
        <v>2.1571068818657824</v>
      </c>
      <c r="AH26">
        <f t="shared" si="2"/>
        <v>2.2002490195030981</v>
      </c>
      <c r="AI26">
        <f t="shared" si="2"/>
        <v>2.2442539998931603</v>
      </c>
      <c r="AJ26">
        <f t="shared" si="2"/>
        <v>2.2891390798910236</v>
      </c>
      <c r="AK26">
        <f t="shared" si="2"/>
        <v>2.3349218614888443</v>
      </c>
      <c r="AL26">
        <f t="shared" si="2"/>
        <v>2.3816202987186212</v>
      </c>
      <c r="AM26">
        <f t="shared" si="2"/>
        <v>2.4292527046929937</v>
      </c>
      <c r="AN26">
        <f t="shared" si="2"/>
        <v>2.4778377587868534</v>
      </c>
      <c r="AO26">
        <f t="shared" si="2"/>
        <v>2.5273945139625904</v>
      </c>
      <c r="AP26">
        <f t="shared" si="2"/>
        <v>2.5779424042418424</v>
      </c>
      <c r="AQ26">
        <f t="shared" si="2"/>
        <v>2.6295012523266794</v>
      </c>
      <c r="AR26">
        <f t="shared" si="2"/>
        <v>2.6820912773732131</v>
      </c>
      <c r="AS26">
        <f t="shared" si="2"/>
        <v>2.7357331029206775</v>
      </c>
      <c r="AT26">
        <f t="shared" si="2"/>
        <v>2.7904477649790911</v>
      </c>
      <c r="AU26">
        <f t="shared" si="2"/>
        <v>2.846256720278673</v>
      </c>
      <c r="AV26">
        <f t="shared" si="2"/>
        <v>2.9031818546842465</v>
      </c>
      <c r="AW26">
        <f t="shared" si="2"/>
        <v>2.9612454917779316</v>
      </c>
      <c r="AX26">
        <f t="shared" si="2"/>
        <v>3.0204704016134905</v>
      </c>
      <c r="AY26">
        <f t="shared" si="2"/>
        <v>3.0808798096457601</v>
      </c>
      <c r="AZ26">
        <f t="shared" si="2"/>
        <v>3.1424974058386752</v>
      </c>
      <c r="BA26">
        <f t="shared" si="2"/>
        <v>3.2053473539554487</v>
      </c>
      <c r="BB26">
        <f t="shared" si="2"/>
        <v>3.2694543010345578</v>
      </c>
      <c r="BC26">
        <f t="shared" si="2"/>
        <v>3.334843387055249</v>
      </c>
      <c r="BD26">
        <f t="shared" si="2"/>
        <v>3.401540254796354</v>
      </c>
      <c r="BE26">
        <f t="shared" si="2"/>
        <v>3.4695710598922811</v>
      </c>
      <c r="BF26">
        <f t="shared" si="2"/>
        <v>3.5389624810901266</v>
      </c>
      <c r="BG26">
        <f t="shared" si="2"/>
        <v>3.6097417307119293</v>
      </c>
      <c r="BH26">
        <f t="shared" si="2"/>
        <v>3.681936565326168</v>
      </c>
      <c r="BI26">
        <f t="shared" si="2"/>
        <v>3.7555752966326912</v>
      </c>
      <c r="BJ26">
        <f t="shared" si="2"/>
        <v>3.8306868025653449</v>
      </c>
      <c r="BK26">
        <f t="shared" si="2"/>
        <v>3.9073005386166519</v>
      </c>
      <c r="BL26">
        <f t="shared" si="2"/>
        <v>3.985446549388985</v>
      </c>
      <c r="BM26">
        <f t="shared" si="2"/>
        <v>4.0651554803767649</v>
      </c>
      <c r="BN26">
        <f t="shared" si="2"/>
        <v>4.1464585899843005</v>
      </c>
      <c r="BO26">
        <f t="shared" si="2"/>
        <v>4.229387761783987</v>
      </c>
      <c r="BP26">
        <f t="shared" si="2"/>
        <v>4.3139755170196672</v>
      </c>
      <c r="BQ26">
        <f t="shared" ref="BQ26:CX26" si="3">BP26*(1+BP27)</f>
        <v>4.4002550273600605</v>
      </c>
      <c r="BR26">
        <f t="shared" si="3"/>
        <v>4.488260127907262</v>
      </c>
      <c r="BS26">
        <f t="shared" si="3"/>
        <v>4.5780253304654073</v>
      </c>
      <c r="BT26">
        <f t="shared" si="3"/>
        <v>4.6695858370747159</v>
      </c>
      <c r="BU26">
        <f t="shared" si="3"/>
        <v>4.76297755381621</v>
      </c>
      <c r="BV26">
        <f t="shared" si="3"/>
        <v>4.8582371048925346</v>
      </c>
      <c r="BW26">
        <f t="shared" si="3"/>
        <v>4.9554018469903856</v>
      </c>
      <c r="BX26">
        <f t="shared" si="3"/>
        <v>5.0545098839301934</v>
      </c>
      <c r="BY26">
        <f t="shared" si="3"/>
        <v>5.1556000816087977</v>
      </c>
      <c r="BZ26">
        <f t="shared" si="3"/>
        <v>5.2587120832409742</v>
      </c>
      <c r="CA26">
        <f t="shared" si="3"/>
        <v>5.3638863249057938</v>
      </c>
      <c r="CB26">
        <f t="shared" si="3"/>
        <v>5.4711640514039095</v>
      </c>
      <c r="CC26">
        <f t="shared" si="3"/>
        <v>5.5805873324319881</v>
      </c>
      <c r="CD26">
        <f t="shared" si="3"/>
        <v>5.6921990790806278</v>
      </c>
      <c r="CE26">
        <f t="shared" si="3"/>
        <v>5.8060430606622404</v>
      </c>
      <c r="CF26">
        <f t="shared" si="3"/>
        <v>5.9221639218754856</v>
      </c>
      <c r="CG26">
        <f t="shared" si="3"/>
        <v>6.0406072003129951</v>
      </c>
      <c r="CH26">
        <f t="shared" si="3"/>
        <v>6.1614193443192553</v>
      </c>
      <c r="CI26">
        <f t="shared" si="3"/>
        <v>6.2846477312056406</v>
      </c>
      <c r="CJ26">
        <f t="shared" si="3"/>
        <v>6.4103406858297536</v>
      </c>
      <c r="CK26">
        <f t="shared" si="3"/>
        <v>6.5385474995463486</v>
      </c>
      <c r="CL26">
        <f t="shared" si="3"/>
        <v>6.6693184495372755</v>
      </c>
      <c r="CM26">
        <f t="shared" si="3"/>
        <v>6.8027048185280208</v>
      </c>
      <c r="CN26">
        <f t="shared" si="3"/>
        <v>6.9387589148985809</v>
      </c>
      <c r="CO26">
        <f t="shared" si="3"/>
        <v>7.0775340931965527</v>
      </c>
      <c r="CP26">
        <f t="shared" si="3"/>
        <v>7.2190847750604838</v>
      </c>
      <c r="CQ26">
        <f t="shared" si="3"/>
        <v>7.3634664705616935</v>
      </c>
      <c r="CR26">
        <f t="shared" si="3"/>
        <v>7.5107357999729274</v>
      </c>
      <c r="CS26">
        <f t="shared" si="3"/>
        <v>7.6609505159723863</v>
      </c>
      <c r="CT26">
        <f t="shared" si="3"/>
        <v>7.8141695262918338</v>
      </c>
      <c r="CU26">
        <f t="shared" si="3"/>
        <v>7.9704529168176705</v>
      </c>
      <c r="CV26">
        <f t="shared" si="3"/>
        <v>8.1298619751540233</v>
      </c>
      <c r="CW26">
        <f t="shared" si="3"/>
        <v>8.2924592146571037</v>
      </c>
      <c r="CX26">
        <f t="shared" si="3"/>
        <v>8.4583083989502459</v>
      </c>
      <c r="CY26">
        <f>CX26*(1+CX27)</f>
        <v>8.6274745669292514</v>
      </c>
    </row>
    <row r="27" spans="1:103" x14ac:dyDescent="0.3">
      <c r="C27" s="13">
        <v>0.05</v>
      </c>
      <c r="D27" s="13">
        <f>C27-($C$27-$N$27)/11</f>
        <v>4.7272727272727272E-2</v>
      </c>
      <c r="E27" s="13">
        <f t="shared" ref="E27:M27" si="4">D27-($C$27-$N$27)/11</f>
        <v>4.4545454545454541E-2</v>
      </c>
      <c r="F27" s="13">
        <f t="shared" si="4"/>
        <v>4.181818181818181E-2</v>
      </c>
      <c r="G27" s="13">
        <f t="shared" si="4"/>
        <v>3.9090909090909079E-2</v>
      </c>
      <c r="H27" s="13">
        <f t="shared" si="4"/>
        <v>3.6363636363636348E-2</v>
      </c>
      <c r="I27" s="13">
        <f t="shared" si="4"/>
        <v>3.3636363636363617E-2</v>
      </c>
      <c r="J27" s="13">
        <f t="shared" si="4"/>
        <v>3.090909090909089E-2</v>
      </c>
      <c r="K27" s="13">
        <f t="shared" si="4"/>
        <v>2.8181818181818162E-2</v>
      </c>
      <c r="L27" s="13">
        <f t="shared" si="4"/>
        <v>2.5454545454545435E-2</v>
      </c>
      <c r="M27" s="13">
        <f t="shared" si="4"/>
        <v>2.2727272727272707E-2</v>
      </c>
      <c r="N27" s="13">
        <v>0.02</v>
      </c>
      <c r="O27">
        <f>N27</f>
        <v>0.02</v>
      </c>
      <c r="P27">
        <f t="shared" ref="P27:CA27" si="5">O27</f>
        <v>0.02</v>
      </c>
      <c r="Q27">
        <f t="shared" si="5"/>
        <v>0.02</v>
      </c>
      <c r="R27">
        <f t="shared" si="5"/>
        <v>0.02</v>
      </c>
      <c r="S27">
        <f t="shared" si="5"/>
        <v>0.02</v>
      </c>
      <c r="T27">
        <f t="shared" si="5"/>
        <v>0.02</v>
      </c>
      <c r="U27">
        <f t="shared" si="5"/>
        <v>0.02</v>
      </c>
      <c r="V27">
        <f t="shared" si="5"/>
        <v>0.02</v>
      </c>
      <c r="W27">
        <f t="shared" si="5"/>
        <v>0.02</v>
      </c>
      <c r="X27">
        <f t="shared" si="5"/>
        <v>0.02</v>
      </c>
      <c r="Y27">
        <f t="shared" si="5"/>
        <v>0.02</v>
      </c>
      <c r="Z27">
        <f t="shared" si="5"/>
        <v>0.02</v>
      </c>
      <c r="AA27">
        <f t="shared" si="5"/>
        <v>0.02</v>
      </c>
      <c r="AB27">
        <f t="shared" si="5"/>
        <v>0.02</v>
      </c>
      <c r="AC27">
        <f t="shared" si="5"/>
        <v>0.02</v>
      </c>
      <c r="AD27">
        <f t="shared" si="5"/>
        <v>0.02</v>
      </c>
      <c r="AE27">
        <f t="shared" si="5"/>
        <v>0.02</v>
      </c>
      <c r="AF27">
        <f t="shared" si="5"/>
        <v>0.02</v>
      </c>
      <c r="AG27">
        <f t="shared" si="5"/>
        <v>0.02</v>
      </c>
      <c r="AH27">
        <f t="shared" si="5"/>
        <v>0.02</v>
      </c>
      <c r="AI27">
        <f t="shared" si="5"/>
        <v>0.02</v>
      </c>
      <c r="AJ27">
        <f t="shared" si="5"/>
        <v>0.02</v>
      </c>
      <c r="AK27">
        <f t="shared" si="5"/>
        <v>0.02</v>
      </c>
      <c r="AL27">
        <f t="shared" si="5"/>
        <v>0.02</v>
      </c>
      <c r="AM27">
        <f t="shared" si="5"/>
        <v>0.02</v>
      </c>
      <c r="AN27">
        <f t="shared" si="5"/>
        <v>0.02</v>
      </c>
      <c r="AO27">
        <f t="shared" si="5"/>
        <v>0.02</v>
      </c>
      <c r="AP27">
        <f t="shared" si="5"/>
        <v>0.02</v>
      </c>
      <c r="AQ27">
        <f t="shared" si="5"/>
        <v>0.02</v>
      </c>
      <c r="AR27">
        <f t="shared" si="5"/>
        <v>0.02</v>
      </c>
      <c r="AS27">
        <f t="shared" si="5"/>
        <v>0.02</v>
      </c>
      <c r="AT27">
        <f t="shared" si="5"/>
        <v>0.02</v>
      </c>
      <c r="AU27">
        <f t="shared" si="5"/>
        <v>0.02</v>
      </c>
      <c r="AV27">
        <f t="shared" si="5"/>
        <v>0.02</v>
      </c>
      <c r="AW27">
        <f t="shared" si="5"/>
        <v>0.02</v>
      </c>
      <c r="AX27">
        <f t="shared" si="5"/>
        <v>0.02</v>
      </c>
      <c r="AY27">
        <f t="shared" si="5"/>
        <v>0.02</v>
      </c>
      <c r="AZ27">
        <f t="shared" si="5"/>
        <v>0.02</v>
      </c>
      <c r="BA27">
        <f t="shared" si="5"/>
        <v>0.02</v>
      </c>
      <c r="BB27">
        <f t="shared" si="5"/>
        <v>0.02</v>
      </c>
      <c r="BC27">
        <f t="shared" si="5"/>
        <v>0.02</v>
      </c>
      <c r="BD27">
        <f t="shared" si="5"/>
        <v>0.02</v>
      </c>
      <c r="BE27">
        <f t="shared" si="5"/>
        <v>0.02</v>
      </c>
      <c r="BF27">
        <f t="shared" si="5"/>
        <v>0.02</v>
      </c>
      <c r="BG27">
        <f t="shared" si="5"/>
        <v>0.02</v>
      </c>
      <c r="BH27">
        <f t="shared" si="5"/>
        <v>0.02</v>
      </c>
      <c r="BI27">
        <f t="shared" si="5"/>
        <v>0.02</v>
      </c>
      <c r="BJ27">
        <f t="shared" si="5"/>
        <v>0.02</v>
      </c>
      <c r="BK27">
        <f t="shared" si="5"/>
        <v>0.02</v>
      </c>
      <c r="BL27">
        <f t="shared" si="5"/>
        <v>0.02</v>
      </c>
      <c r="BM27">
        <f t="shared" si="5"/>
        <v>0.02</v>
      </c>
      <c r="BN27">
        <f t="shared" si="5"/>
        <v>0.02</v>
      </c>
      <c r="BO27">
        <f t="shared" si="5"/>
        <v>0.02</v>
      </c>
      <c r="BP27">
        <f t="shared" si="5"/>
        <v>0.02</v>
      </c>
      <c r="BQ27">
        <f t="shared" si="5"/>
        <v>0.02</v>
      </c>
      <c r="BR27">
        <f t="shared" si="5"/>
        <v>0.02</v>
      </c>
      <c r="BS27">
        <f t="shared" si="5"/>
        <v>0.02</v>
      </c>
      <c r="BT27">
        <f t="shared" si="5"/>
        <v>0.02</v>
      </c>
      <c r="BU27">
        <f t="shared" si="5"/>
        <v>0.02</v>
      </c>
      <c r="BV27">
        <f t="shared" si="5"/>
        <v>0.02</v>
      </c>
      <c r="BW27">
        <f t="shared" si="5"/>
        <v>0.02</v>
      </c>
      <c r="BX27">
        <f t="shared" si="5"/>
        <v>0.02</v>
      </c>
      <c r="BY27">
        <f t="shared" si="5"/>
        <v>0.02</v>
      </c>
      <c r="BZ27">
        <f t="shared" si="5"/>
        <v>0.02</v>
      </c>
      <c r="CA27">
        <f t="shared" si="5"/>
        <v>0.02</v>
      </c>
      <c r="CB27">
        <f t="shared" ref="CB27:CY27" si="6">CA27</f>
        <v>0.02</v>
      </c>
      <c r="CC27">
        <f t="shared" si="6"/>
        <v>0.02</v>
      </c>
      <c r="CD27">
        <f t="shared" si="6"/>
        <v>0.02</v>
      </c>
      <c r="CE27">
        <f t="shared" si="6"/>
        <v>0.02</v>
      </c>
      <c r="CF27">
        <f t="shared" si="6"/>
        <v>0.02</v>
      </c>
      <c r="CG27">
        <f t="shared" si="6"/>
        <v>0.02</v>
      </c>
      <c r="CH27">
        <f t="shared" si="6"/>
        <v>0.02</v>
      </c>
      <c r="CI27">
        <f t="shared" si="6"/>
        <v>0.02</v>
      </c>
      <c r="CJ27">
        <f t="shared" si="6"/>
        <v>0.02</v>
      </c>
      <c r="CK27">
        <f t="shared" si="6"/>
        <v>0.02</v>
      </c>
      <c r="CL27">
        <f t="shared" si="6"/>
        <v>0.02</v>
      </c>
      <c r="CM27">
        <f t="shared" si="6"/>
        <v>0.02</v>
      </c>
      <c r="CN27">
        <f t="shared" si="6"/>
        <v>0.02</v>
      </c>
      <c r="CO27">
        <f t="shared" si="6"/>
        <v>0.02</v>
      </c>
      <c r="CP27">
        <f t="shared" si="6"/>
        <v>0.02</v>
      </c>
      <c r="CQ27">
        <f t="shared" si="6"/>
        <v>0.02</v>
      </c>
      <c r="CR27">
        <f t="shared" si="6"/>
        <v>0.02</v>
      </c>
      <c r="CS27">
        <f t="shared" si="6"/>
        <v>0.02</v>
      </c>
      <c r="CT27">
        <f t="shared" si="6"/>
        <v>0.02</v>
      </c>
      <c r="CU27">
        <f t="shared" si="6"/>
        <v>0.02</v>
      </c>
      <c r="CV27">
        <f t="shared" si="6"/>
        <v>0.02</v>
      </c>
      <c r="CW27">
        <f t="shared" si="6"/>
        <v>0.02</v>
      </c>
      <c r="CX27">
        <f t="shared" si="6"/>
        <v>0.02</v>
      </c>
      <c r="CY27">
        <f t="shared" si="6"/>
        <v>0.02</v>
      </c>
    </row>
    <row r="28" spans="1:103" x14ac:dyDescent="0.3">
      <c r="B28" s="18">
        <f>NPV(B29,C26:CL26)</f>
        <v>35.842082194929368</v>
      </c>
    </row>
    <row r="29" spans="1:103" x14ac:dyDescent="0.3">
      <c r="A29" t="s">
        <v>139</v>
      </c>
      <c r="B29" s="17">
        <v>0.05</v>
      </c>
      <c r="C29">
        <v>1</v>
      </c>
      <c r="D29">
        <f>C29*(1+C30)</f>
        <v>1.026</v>
      </c>
      <c r="E29">
        <f t="shared" ref="E29:BP29" si="7">D29*(1+D30)</f>
        <v>1.0526759999999999</v>
      </c>
      <c r="F29">
        <f t="shared" si="7"/>
        <v>1.0800455760000001</v>
      </c>
      <c r="G29">
        <f t="shared" si="7"/>
        <v>1.1081267609760002</v>
      </c>
      <c r="H29">
        <f t="shared" si="7"/>
        <v>1.1369380567613763</v>
      </c>
      <c r="I29">
        <f t="shared" si="7"/>
        <v>1.1664984462371721</v>
      </c>
      <c r="J29">
        <f t="shared" si="7"/>
        <v>1.1968274058393387</v>
      </c>
      <c r="K29">
        <f t="shared" si="7"/>
        <v>1.2279449183911615</v>
      </c>
      <c r="L29">
        <f t="shared" si="7"/>
        <v>1.2598714862693317</v>
      </c>
      <c r="M29">
        <f t="shared" si="7"/>
        <v>1.2926281449123342</v>
      </c>
      <c r="N29">
        <f t="shared" si="7"/>
        <v>1.326236476680055</v>
      </c>
      <c r="O29">
        <f t="shared" si="7"/>
        <v>1.3607186250737364</v>
      </c>
      <c r="P29">
        <f t="shared" si="7"/>
        <v>1.3960973093256537</v>
      </c>
      <c r="Q29">
        <f t="shared" si="7"/>
        <v>1.4323958393681206</v>
      </c>
      <c r="R29">
        <f t="shared" si="7"/>
        <v>1.4696381311916917</v>
      </c>
      <c r="S29">
        <f t="shared" si="7"/>
        <v>1.5078487226026758</v>
      </c>
      <c r="T29">
        <f t="shared" si="7"/>
        <v>1.5470527893903454</v>
      </c>
      <c r="U29">
        <f t="shared" si="7"/>
        <v>1.5872761619144944</v>
      </c>
      <c r="V29">
        <f t="shared" si="7"/>
        <v>1.6285453421242713</v>
      </c>
      <c r="W29">
        <f t="shared" si="7"/>
        <v>1.6708875210195024</v>
      </c>
      <c r="X29">
        <f t="shared" si="7"/>
        <v>1.7143305965660096</v>
      </c>
      <c r="Y29">
        <f t="shared" si="7"/>
        <v>1.758903192076726</v>
      </c>
      <c r="Z29">
        <f t="shared" si="7"/>
        <v>1.804634675070721</v>
      </c>
      <c r="AA29">
        <f t="shared" si="7"/>
        <v>1.8515551766225598</v>
      </c>
      <c r="AB29">
        <f t="shared" si="7"/>
        <v>1.8996956112147463</v>
      </c>
      <c r="AC29">
        <f t="shared" si="7"/>
        <v>1.9490876971063298</v>
      </c>
      <c r="AD29">
        <f t="shared" si="7"/>
        <v>1.9997639772310944</v>
      </c>
      <c r="AE29">
        <f t="shared" si="7"/>
        <v>2.051757840639103</v>
      </c>
      <c r="AF29">
        <f t="shared" si="7"/>
        <v>2.1051035444957198</v>
      </c>
      <c r="AG29">
        <f t="shared" si="7"/>
        <v>2.1598362366526085</v>
      </c>
      <c r="AH29">
        <f t="shared" si="7"/>
        <v>2.2159919788055764</v>
      </c>
      <c r="AI29">
        <f t="shared" si="7"/>
        <v>2.2736077702545217</v>
      </c>
      <c r="AJ29">
        <f t="shared" si="7"/>
        <v>2.3327215722811392</v>
      </c>
      <c r="AK29">
        <f t="shared" si="7"/>
        <v>2.3933723331604488</v>
      </c>
      <c r="AL29">
        <f t="shared" si="7"/>
        <v>2.4556000138226204</v>
      </c>
      <c r="AM29">
        <f t="shared" si="7"/>
        <v>2.5194456141820085</v>
      </c>
      <c r="AN29">
        <f t="shared" si="7"/>
        <v>2.5849512001507406</v>
      </c>
      <c r="AO29">
        <f t="shared" si="7"/>
        <v>2.6521599313546598</v>
      </c>
      <c r="AP29">
        <f t="shared" si="7"/>
        <v>2.7211160895698812</v>
      </c>
      <c r="AQ29">
        <f t="shared" si="7"/>
        <v>2.791865107898698</v>
      </c>
      <c r="AR29">
        <f t="shared" si="7"/>
        <v>2.8644536007040644</v>
      </c>
      <c r="AS29">
        <f t="shared" si="7"/>
        <v>2.9389293943223702</v>
      </c>
      <c r="AT29">
        <f t="shared" si="7"/>
        <v>3.0153415585747521</v>
      </c>
      <c r="AU29">
        <f t="shared" si="7"/>
        <v>3.0937404390976955</v>
      </c>
      <c r="AV29">
        <f t="shared" si="7"/>
        <v>3.1741776905142358</v>
      </c>
      <c r="AW29">
        <f t="shared" si="7"/>
        <v>3.2567063104676062</v>
      </c>
      <c r="AX29">
        <f t="shared" si="7"/>
        <v>3.3413806745397641</v>
      </c>
      <c r="AY29">
        <f t="shared" si="7"/>
        <v>3.4282565720777982</v>
      </c>
      <c r="AZ29">
        <f t="shared" si="7"/>
        <v>3.5173912429518213</v>
      </c>
      <c r="BA29">
        <f t="shared" si="7"/>
        <v>3.6088434152685687</v>
      </c>
      <c r="BB29">
        <f t="shared" si="7"/>
        <v>3.7026733440655515</v>
      </c>
      <c r="BC29">
        <f t="shared" si="7"/>
        <v>3.798942851011256</v>
      </c>
      <c r="BD29">
        <f t="shared" si="7"/>
        <v>3.8977153651375489</v>
      </c>
      <c r="BE29">
        <f t="shared" si="7"/>
        <v>3.9990559646311254</v>
      </c>
      <c r="BF29">
        <f t="shared" si="7"/>
        <v>4.1030314197115345</v>
      </c>
      <c r="BG29">
        <f t="shared" si="7"/>
        <v>4.2097102366240344</v>
      </c>
      <c r="BH29">
        <f t="shared" si="7"/>
        <v>4.3191627027762598</v>
      </c>
      <c r="BI29">
        <f t="shared" si="7"/>
        <v>4.4314609330484425</v>
      </c>
      <c r="BJ29">
        <f t="shared" si="7"/>
        <v>4.5466789173077018</v>
      </c>
      <c r="BK29">
        <f t="shared" si="7"/>
        <v>4.6648925691577023</v>
      </c>
      <c r="BL29">
        <f t="shared" si="7"/>
        <v>4.7861797759558025</v>
      </c>
      <c r="BM29">
        <f t="shared" si="7"/>
        <v>4.9106204501306534</v>
      </c>
      <c r="BN29">
        <f t="shared" si="7"/>
        <v>5.0382965818340502</v>
      </c>
      <c r="BO29">
        <f t="shared" si="7"/>
        <v>5.1692922929617353</v>
      </c>
      <c r="BP29">
        <f t="shared" si="7"/>
        <v>5.3036938925787407</v>
      </c>
      <c r="BQ29">
        <f t="shared" ref="BQ29:CY29" si="8">BP29*(1+BP30)</f>
        <v>5.4415899337857878</v>
      </c>
      <c r="BR29">
        <f t="shared" si="8"/>
        <v>5.5830712720642186</v>
      </c>
      <c r="BS29">
        <f t="shared" si="8"/>
        <v>5.7282311251378886</v>
      </c>
      <c r="BT29">
        <f t="shared" si="8"/>
        <v>5.8771651343914737</v>
      </c>
      <c r="BU29">
        <f t="shared" si="8"/>
        <v>6.029971427885652</v>
      </c>
      <c r="BV29">
        <f t="shared" si="8"/>
        <v>6.1867506850106793</v>
      </c>
      <c r="BW29">
        <f t="shared" si="8"/>
        <v>6.3476062028209572</v>
      </c>
      <c r="BX29">
        <f t="shared" si="8"/>
        <v>6.5126439640943019</v>
      </c>
      <c r="BY29">
        <f t="shared" si="8"/>
        <v>6.681972707160754</v>
      </c>
      <c r="BZ29">
        <f t="shared" si="8"/>
        <v>6.855703997546934</v>
      </c>
      <c r="CA29">
        <f t="shared" si="8"/>
        <v>7.0339523014831542</v>
      </c>
      <c r="CB29">
        <f t="shared" si="8"/>
        <v>7.2168350613217163</v>
      </c>
      <c r="CC29">
        <f t="shared" si="8"/>
        <v>7.4044727729160806</v>
      </c>
      <c r="CD29">
        <f t="shared" si="8"/>
        <v>7.5969890650118987</v>
      </c>
      <c r="CE29">
        <f t="shared" si="8"/>
        <v>7.7945107807022085</v>
      </c>
      <c r="CF29">
        <f t="shared" si="8"/>
        <v>7.9971680610004663</v>
      </c>
      <c r="CG29">
        <f t="shared" si="8"/>
        <v>8.2050944305864792</v>
      </c>
      <c r="CH29">
        <f t="shared" si="8"/>
        <v>8.4184268857817273</v>
      </c>
      <c r="CI29">
        <f t="shared" si="8"/>
        <v>8.6373059848120519</v>
      </c>
      <c r="CJ29">
        <f t="shared" si="8"/>
        <v>8.8618759404171659</v>
      </c>
      <c r="CK29">
        <f t="shared" si="8"/>
        <v>9.092284714868013</v>
      </c>
      <c r="CL29">
        <f t="shared" si="8"/>
        <v>9.328684117454582</v>
      </c>
      <c r="CM29">
        <f t="shared" si="8"/>
        <v>9.5712299045084013</v>
      </c>
      <c r="CN29">
        <f t="shared" si="8"/>
        <v>9.8200818820256206</v>
      </c>
      <c r="CO29">
        <f t="shared" si="8"/>
        <v>10.075404010958287</v>
      </c>
      <c r="CP29">
        <f t="shared" si="8"/>
        <v>10.337364515243204</v>
      </c>
      <c r="CQ29">
        <f t="shared" si="8"/>
        <v>10.606135992639528</v>
      </c>
      <c r="CR29">
        <f t="shared" si="8"/>
        <v>10.881895528448156</v>
      </c>
      <c r="CS29">
        <f t="shared" si="8"/>
        <v>11.164824812187808</v>
      </c>
      <c r="CT29">
        <f t="shared" si="8"/>
        <v>11.455110257304691</v>
      </c>
      <c r="CU29">
        <f t="shared" si="8"/>
        <v>11.752943123994614</v>
      </c>
      <c r="CV29">
        <f t="shared" si="8"/>
        <v>12.058519645218475</v>
      </c>
      <c r="CW29">
        <f t="shared" si="8"/>
        <v>12.372041155994156</v>
      </c>
      <c r="CX29">
        <f t="shared" si="8"/>
        <v>12.693714226050004</v>
      </c>
      <c r="CY29">
        <f t="shared" si="8"/>
        <v>13.023750795927304</v>
      </c>
    </row>
    <row r="30" spans="1:103" x14ac:dyDescent="0.3">
      <c r="C30">
        <v>2.5999999999999999E-2</v>
      </c>
      <c r="D30">
        <f>C30</f>
        <v>2.5999999999999999E-2</v>
      </c>
      <c r="E30">
        <f t="shared" ref="E30:BP30" si="9">D30</f>
        <v>2.5999999999999999E-2</v>
      </c>
      <c r="F30">
        <f t="shared" si="9"/>
        <v>2.5999999999999999E-2</v>
      </c>
      <c r="G30">
        <f t="shared" si="9"/>
        <v>2.5999999999999999E-2</v>
      </c>
      <c r="H30">
        <f t="shared" si="9"/>
        <v>2.5999999999999999E-2</v>
      </c>
      <c r="I30">
        <f t="shared" si="9"/>
        <v>2.5999999999999999E-2</v>
      </c>
      <c r="J30">
        <f t="shared" si="9"/>
        <v>2.5999999999999999E-2</v>
      </c>
      <c r="K30">
        <f t="shared" si="9"/>
        <v>2.5999999999999999E-2</v>
      </c>
      <c r="L30">
        <f t="shared" si="9"/>
        <v>2.5999999999999999E-2</v>
      </c>
      <c r="M30">
        <f t="shared" si="9"/>
        <v>2.5999999999999999E-2</v>
      </c>
      <c r="N30">
        <f t="shared" si="9"/>
        <v>2.5999999999999999E-2</v>
      </c>
      <c r="O30">
        <f t="shared" si="9"/>
        <v>2.5999999999999999E-2</v>
      </c>
      <c r="P30">
        <f t="shared" si="9"/>
        <v>2.5999999999999999E-2</v>
      </c>
      <c r="Q30">
        <f t="shared" si="9"/>
        <v>2.5999999999999999E-2</v>
      </c>
      <c r="R30">
        <f t="shared" si="9"/>
        <v>2.5999999999999999E-2</v>
      </c>
      <c r="S30">
        <f t="shared" si="9"/>
        <v>2.5999999999999999E-2</v>
      </c>
      <c r="T30">
        <f t="shared" si="9"/>
        <v>2.5999999999999999E-2</v>
      </c>
      <c r="U30">
        <f t="shared" si="9"/>
        <v>2.5999999999999999E-2</v>
      </c>
      <c r="V30">
        <f t="shared" si="9"/>
        <v>2.5999999999999999E-2</v>
      </c>
      <c r="W30">
        <f t="shared" si="9"/>
        <v>2.5999999999999999E-2</v>
      </c>
      <c r="X30">
        <f t="shared" si="9"/>
        <v>2.5999999999999999E-2</v>
      </c>
      <c r="Y30">
        <f t="shared" si="9"/>
        <v>2.5999999999999999E-2</v>
      </c>
      <c r="Z30">
        <f t="shared" si="9"/>
        <v>2.5999999999999999E-2</v>
      </c>
      <c r="AA30">
        <f t="shared" si="9"/>
        <v>2.5999999999999999E-2</v>
      </c>
      <c r="AB30">
        <f t="shared" si="9"/>
        <v>2.5999999999999999E-2</v>
      </c>
      <c r="AC30">
        <f t="shared" si="9"/>
        <v>2.5999999999999999E-2</v>
      </c>
      <c r="AD30">
        <f t="shared" si="9"/>
        <v>2.5999999999999999E-2</v>
      </c>
      <c r="AE30">
        <f t="shared" si="9"/>
        <v>2.5999999999999999E-2</v>
      </c>
      <c r="AF30">
        <f t="shared" si="9"/>
        <v>2.5999999999999999E-2</v>
      </c>
      <c r="AG30">
        <f t="shared" si="9"/>
        <v>2.5999999999999999E-2</v>
      </c>
      <c r="AH30">
        <f t="shared" si="9"/>
        <v>2.5999999999999999E-2</v>
      </c>
      <c r="AI30">
        <f t="shared" si="9"/>
        <v>2.5999999999999999E-2</v>
      </c>
      <c r="AJ30">
        <f t="shared" si="9"/>
        <v>2.5999999999999999E-2</v>
      </c>
      <c r="AK30">
        <f t="shared" si="9"/>
        <v>2.5999999999999999E-2</v>
      </c>
      <c r="AL30">
        <f t="shared" si="9"/>
        <v>2.5999999999999999E-2</v>
      </c>
      <c r="AM30">
        <f t="shared" si="9"/>
        <v>2.5999999999999999E-2</v>
      </c>
      <c r="AN30">
        <f t="shared" si="9"/>
        <v>2.5999999999999999E-2</v>
      </c>
      <c r="AO30">
        <f t="shared" si="9"/>
        <v>2.5999999999999999E-2</v>
      </c>
      <c r="AP30">
        <f t="shared" si="9"/>
        <v>2.5999999999999999E-2</v>
      </c>
      <c r="AQ30">
        <f t="shared" si="9"/>
        <v>2.5999999999999999E-2</v>
      </c>
      <c r="AR30">
        <f t="shared" si="9"/>
        <v>2.5999999999999999E-2</v>
      </c>
      <c r="AS30">
        <f t="shared" si="9"/>
        <v>2.5999999999999999E-2</v>
      </c>
      <c r="AT30">
        <f t="shared" si="9"/>
        <v>2.5999999999999999E-2</v>
      </c>
      <c r="AU30">
        <f t="shared" si="9"/>
        <v>2.5999999999999999E-2</v>
      </c>
      <c r="AV30">
        <f t="shared" si="9"/>
        <v>2.5999999999999999E-2</v>
      </c>
      <c r="AW30">
        <f t="shared" si="9"/>
        <v>2.5999999999999999E-2</v>
      </c>
      <c r="AX30">
        <f t="shared" si="9"/>
        <v>2.5999999999999999E-2</v>
      </c>
      <c r="AY30">
        <f t="shared" si="9"/>
        <v>2.5999999999999999E-2</v>
      </c>
      <c r="AZ30">
        <f t="shared" si="9"/>
        <v>2.5999999999999999E-2</v>
      </c>
      <c r="BA30">
        <f t="shared" si="9"/>
        <v>2.5999999999999999E-2</v>
      </c>
      <c r="BB30">
        <f t="shared" si="9"/>
        <v>2.5999999999999999E-2</v>
      </c>
      <c r="BC30">
        <f t="shared" si="9"/>
        <v>2.5999999999999999E-2</v>
      </c>
      <c r="BD30">
        <f t="shared" si="9"/>
        <v>2.5999999999999999E-2</v>
      </c>
      <c r="BE30">
        <f t="shared" si="9"/>
        <v>2.5999999999999999E-2</v>
      </c>
      <c r="BF30">
        <f t="shared" si="9"/>
        <v>2.5999999999999999E-2</v>
      </c>
      <c r="BG30">
        <f t="shared" si="9"/>
        <v>2.5999999999999999E-2</v>
      </c>
      <c r="BH30">
        <f t="shared" si="9"/>
        <v>2.5999999999999999E-2</v>
      </c>
      <c r="BI30">
        <f t="shared" si="9"/>
        <v>2.5999999999999999E-2</v>
      </c>
      <c r="BJ30">
        <f t="shared" si="9"/>
        <v>2.5999999999999999E-2</v>
      </c>
      <c r="BK30">
        <f t="shared" si="9"/>
        <v>2.5999999999999999E-2</v>
      </c>
      <c r="BL30">
        <f t="shared" si="9"/>
        <v>2.5999999999999999E-2</v>
      </c>
      <c r="BM30">
        <f t="shared" si="9"/>
        <v>2.5999999999999999E-2</v>
      </c>
      <c r="BN30">
        <f t="shared" si="9"/>
        <v>2.5999999999999999E-2</v>
      </c>
      <c r="BO30">
        <f t="shared" si="9"/>
        <v>2.5999999999999999E-2</v>
      </c>
      <c r="BP30">
        <f t="shared" si="9"/>
        <v>2.5999999999999999E-2</v>
      </c>
      <c r="BQ30">
        <f t="shared" ref="BQ30:CX30" si="10">BP30</f>
        <v>2.5999999999999999E-2</v>
      </c>
      <c r="BR30">
        <f t="shared" si="10"/>
        <v>2.5999999999999999E-2</v>
      </c>
      <c r="BS30">
        <f t="shared" si="10"/>
        <v>2.5999999999999999E-2</v>
      </c>
      <c r="BT30">
        <f t="shared" si="10"/>
        <v>2.5999999999999999E-2</v>
      </c>
      <c r="BU30">
        <f t="shared" si="10"/>
        <v>2.5999999999999999E-2</v>
      </c>
      <c r="BV30">
        <f t="shared" si="10"/>
        <v>2.5999999999999999E-2</v>
      </c>
      <c r="BW30">
        <f t="shared" si="10"/>
        <v>2.5999999999999999E-2</v>
      </c>
      <c r="BX30">
        <f t="shared" si="10"/>
        <v>2.5999999999999999E-2</v>
      </c>
      <c r="BY30">
        <f t="shared" si="10"/>
        <v>2.5999999999999999E-2</v>
      </c>
      <c r="BZ30">
        <f t="shared" si="10"/>
        <v>2.5999999999999999E-2</v>
      </c>
      <c r="CA30">
        <f t="shared" si="10"/>
        <v>2.5999999999999999E-2</v>
      </c>
      <c r="CB30">
        <f t="shared" si="10"/>
        <v>2.5999999999999999E-2</v>
      </c>
      <c r="CC30">
        <f t="shared" si="10"/>
        <v>2.5999999999999999E-2</v>
      </c>
      <c r="CD30">
        <f t="shared" si="10"/>
        <v>2.5999999999999999E-2</v>
      </c>
      <c r="CE30">
        <f t="shared" si="10"/>
        <v>2.5999999999999999E-2</v>
      </c>
      <c r="CF30">
        <f t="shared" si="10"/>
        <v>2.5999999999999999E-2</v>
      </c>
      <c r="CG30">
        <f t="shared" si="10"/>
        <v>2.5999999999999999E-2</v>
      </c>
      <c r="CH30">
        <f t="shared" si="10"/>
        <v>2.5999999999999999E-2</v>
      </c>
      <c r="CI30">
        <f t="shared" si="10"/>
        <v>2.5999999999999999E-2</v>
      </c>
      <c r="CJ30">
        <f t="shared" si="10"/>
        <v>2.5999999999999999E-2</v>
      </c>
      <c r="CK30">
        <f t="shared" si="10"/>
        <v>2.5999999999999999E-2</v>
      </c>
      <c r="CL30">
        <f t="shared" si="10"/>
        <v>2.5999999999999999E-2</v>
      </c>
      <c r="CM30">
        <f t="shared" si="10"/>
        <v>2.5999999999999999E-2</v>
      </c>
      <c r="CN30">
        <f t="shared" si="10"/>
        <v>2.5999999999999999E-2</v>
      </c>
      <c r="CO30">
        <f t="shared" si="10"/>
        <v>2.5999999999999999E-2</v>
      </c>
      <c r="CP30">
        <f t="shared" si="10"/>
        <v>2.5999999999999999E-2</v>
      </c>
      <c r="CQ30">
        <f t="shared" si="10"/>
        <v>2.5999999999999999E-2</v>
      </c>
      <c r="CR30">
        <f t="shared" si="10"/>
        <v>2.5999999999999999E-2</v>
      </c>
      <c r="CS30">
        <f t="shared" si="10"/>
        <v>2.5999999999999999E-2</v>
      </c>
      <c r="CT30">
        <f t="shared" si="10"/>
        <v>2.5999999999999999E-2</v>
      </c>
      <c r="CU30">
        <f t="shared" si="10"/>
        <v>2.5999999999999999E-2</v>
      </c>
      <c r="CV30">
        <f t="shared" si="10"/>
        <v>2.5999999999999999E-2</v>
      </c>
      <c r="CW30">
        <f t="shared" si="10"/>
        <v>2.5999999999999999E-2</v>
      </c>
      <c r="CX30">
        <f t="shared" si="10"/>
        <v>2.5999999999999999E-2</v>
      </c>
      <c r="CY30">
        <f>CX30</f>
        <v>2.5999999999999999E-2</v>
      </c>
    </row>
    <row r="31" spans="1:103" x14ac:dyDescent="0.3">
      <c r="B31" s="18">
        <f>NPV(B29,C29:CL29)</f>
        <v>36.220408948510673</v>
      </c>
    </row>
    <row r="33" spans="1:24" x14ac:dyDescent="0.3">
      <c r="C33">
        <f>1/(B29-C30)</f>
        <v>41.666666666666657</v>
      </c>
      <c r="P33" s="16"/>
      <c r="Q33" s="588" t="s">
        <v>139</v>
      </c>
      <c r="R33" s="588"/>
      <c r="S33" s="588"/>
      <c r="T33" s="588"/>
      <c r="U33" s="588"/>
      <c r="V33" s="588"/>
      <c r="W33" s="588"/>
      <c r="X33" s="588"/>
    </row>
    <row r="34" spans="1:24" x14ac:dyDescent="0.3">
      <c r="Q34" s="15">
        <v>0.12</v>
      </c>
      <c r="R34" s="15">
        <v>0.11</v>
      </c>
      <c r="S34" s="15">
        <v>0.1</v>
      </c>
      <c r="T34" s="15">
        <v>0.09</v>
      </c>
      <c r="U34" s="15">
        <v>0.08</v>
      </c>
      <c r="V34" s="15">
        <v>7.0000000000000007E-2</v>
      </c>
      <c r="W34" s="15">
        <v>0.06</v>
      </c>
      <c r="X34" s="15">
        <v>0.05</v>
      </c>
    </row>
    <row r="35" spans="1:24" x14ac:dyDescent="0.3">
      <c r="B35" t="s">
        <v>140</v>
      </c>
      <c r="C35" t="s">
        <v>141</v>
      </c>
      <c r="D35" t="s">
        <v>142</v>
      </c>
      <c r="F35" t="s">
        <v>141</v>
      </c>
      <c r="G35" t="s">
        <v>142</v>
      </c>
      <c r="I35" t="s">
        <v>141</v>
      </c>
      <c r="J35" t="s">
        <v>142</v>
      </c>
      <c r="L35" t="s">
        <v>141</v>
      </c>
      <c r="M35" t="s">
        <v>142</v>
      </c>
      <c r="O35" s="589" t="s">
        <v>143</v>
      </c>
      <c r="P35" s="15">
        <v>0.15</v>
      </c>
      <c r="Q35" s="27">
        <v>6.2E-2</v>
      </c>
      <c r="R35" s="27">
        <f>Q35-($Q35-$T35)/3</f>
        <v>5.8999999999999997E-2</v>
      </c>
      <c r="S35" s="27">
        <f>R35-($Q35-$T35)/3</f>
        <v>5.5999999999999994E-2</v>
      </c>
      <c r="T35" s="27">
        <v>5.2999999999999999E-2</v>
      </c>
      <c r="U35" s="27">
        <f>T35-($T35-$X35)/4</f>
        <v>0.05</v>
      </c>
      <c r="V35" s="27">
        <f>U35-($T35-$X35)/4</f>
        <v>4.7E-2</v>
      </c>
      <c r="W35" s="27">
        <f>V35-($T35-$X35)/4</f>
        <v>4.3999999999999997E-2</v>
      </c>
      <c r="X35" s="27">
        <v>4.1000000000000002E-2</v>
      </c>
    </row>
    <row r="36" spans="1:24" x14ac:dyDescent="0.3">
      <c r="B36" s="15">
        <v>0.12</v>
      </c>
      <c r="C36" s="15">
        <v>0.15</v>
      </c>
      <c r="D36" s="22">
        <v>6.2E-2</v>
      </c>
      <c r="E36" s="15"/>
      <c r="F36" s="15">
        <v>0.1</v>
      </c>
      <c r="G36" s="22">
        <v>4.8000000000000001E-2</v>
      </c>
      <c r="H36" s="15"/>
      <c r="I36" s="15">
        <v>0.05</v>
      </c>
      <c r="J36" s="22">
        <v>3.2000000000000001E-2</v>
      </c>
      <c r="K36" s="15"/>
      <c r="L36" s="15">
        <v>0.02</v>
      </c>
      <c r="M36" s="22">
        <v>0.02</v>
      </c>
      <c r="O36" s="589"/>
      <c r="P36" s="16">
        <v>0.14000000000000001</v>
      </c>
      <c r="Q36" s="27">
        <f>Q35-(Q$35-Q$40)/5</f>
        <v>5.9200000000000003E-2</v>
      </c>
      <c r="R36" s="27">
        <f t="shared" ref="R36:X39" si="11">R35-(R$35-R$40)/5</f>
        <v>5.6399999999999999E-2</v>
      </c>
      <c r="S36" s="27">
        <f t="shared" si="11"/>
        <v>5.3599999999999995E-2</v>
      </c>
      <c r="T36" s="27">
        <f t="shared" si="11"/>
        <v>5.0799999999999998E-2</v>
      </c>
      <c r="U36" s="27">
        <f t="shared" si="11"/>
        <v>4.8000000000000001E-2</v>
      </c>
      <c r="V36" s="27">
        <f t="shared" si="11"/>
        <v>4.5199999999999997E-2</v>
      </c>
      <c r="W36" s="27">
        <f t="shared" si="11"/>
        <v>4.24E-2</v>
      </c>
      <c r="X36" s="27">
        <f t="shared" si="11"/>
        <v>3.9600000000000003E-2</v>
      </c>
    </row>
    <row r="37" spans="1:24" x14ac:dyDescent="0.3">
      <c r="B37" s="15">
        <v>0.11</v>
      </c>
      <c r="C37" s="15">
        <v>0.15</v>
      </c>
      <c r="D37" s="23">
        <f>D36-(D$36-D$39)/3</f>
        <v>5.8999999999999997E-2</v>
      </c>
      <c r="E37" s="15"/>
      <c r="F37" s="15">
        <f>F36</f>
        <v>0.1</v>
      </c>
      <c r="G37" s="23">
        <f>G36-(G$36-G$39)/3</f>
        <v>4.5999999999999999E-2</v>
      </c>
      <c r="H37" s="15"/>
      <c r="I37" s="15">
        <f>I36</f>
        <v>0.05</v>
      </c>
      <c r="J37" s="23">
        <f>J36-(J$36-J$39)/3</f>
        <v>3.1E-2</v>
      </c>
      <c r="K37" s="15"/>
      <c r="L37" s="15">
        <f>L36</f>
        <v>0.02</v>
      </c>
      <c r="M37" s="23">
        <v>0.02</v>
      </c>
      <c r="O37" s="589"/>
      <c r="P37" s="15">
        <v>0.13</v>
      </c>
      <c r="Q37" s="27">
        <f>Q36-(Q$35-Q$40)/5</f>
        <v>5.6400000000000006E-2</v>
      </c>
      <c r="R37" s="27">
        <f t="shared" si="11"/>
        <v>5.3800000000000001E-2</v>
      </c>
      <c r="S37" s="27">
        <f t="shared" si="11"/>
        <v>5.1199999999999996E-2</v>
      </c>
      <c r="T37" s="27">
        <f t="shared" si="11"/>
        <v>4.8599999999999997E-2</v>
      </c>
      <c r="U37" s="27">
        <f t="shared" si="11"/>
        <v>4.5999999999999999E-2</v>
      </c>
      <c r="V37" s="27">
        <f t="shared" si="11"/>
        <v>4.3399999999999994E-2</v>
      </c>
      <c r="W37" s="27">
        <f t="shared" si="11"/>
        <v>4.0800000000000003E-2</v>
      </c>
      <c r="X37" s="27">
        <f t="shared" si="11"/>
        <v>3.8200000000000005E-2</v>
      </c>
    </row>
    <row r="38" spans="1:24" x14ac:dyDescent="0.3">
      <c r="B38" s="15">
        <v>0.1</v>
      </c>
      <c r="C38" s="15">
        <v>0.15</v>
      </c>
      <c r="D38" s="23">
        <f>D37-(D$36-D$39)/3</f>
        <v>5.5999999999999994E-2</v>
      </c>
      <c r="E38" s="15"/>
      <c r="F38" s="15">
        <f t="shared" ref="F38:F43" si="12">F37</f>
        <v>0.1</v>
      </c>
      <c r="G38" s="23">
        <f>G37-(G$36-G$39)/3</f>
        <v>4.3999999999999997E-2</v>
      </c>
      <c r="H38" s="15"/>
      <c r="I38" s="15">
        <f t="shared" ref="I38:I43" si="13">I37</f>
        <v>0.05</v>
      </c>
      <c r="J38" s="23">
        <f>J37-(J$36-J$39)/3</f>
        <v>0.03</v>
      </c>
      <c r="K38" s="15"/>
      <c r="L38" s="15">
        <f t="shared" ref="L38:L43" si="14">L37</f>
        <v>0.02</v>
      </c>
      <c r="M38" s="23">
        <v>0.02</v>
      </c>
      <c r="O38" s="589"/>
      <c r="P38" s="16">
        <v>0.12</v>
      </c>
      <c r="Q38" s="27">
        <f>Q37-(Q$35-Q$40)/5</f>
        <v>5.3600000000000009E-2</v>
      </c>
      <c r="R38" s="27">
        <f t="shared" si="11"/>
        <v>5.1200000000000002E-2</v>
      </c>
      <c r="S38" s="27">
        <f t="shared" si="11"/>
        <v>4.8799999999999996E-2</v>
      </c>
      <c r="T38" s="27">
        <f t="shared" si="11"/>
        <v>4.6399999999999997E-2</v>
      </c>
      <c r="U38" s="27">
        <f t="shared" si="11"/>
        <v>4.3999999999999997E-2</v>
      </c>
      <c r="V38" s="27">
        <f t="shared" si="11"/>
        <v>4.1599999999999991E-2</v>
      </c>
      <c r="W38" s="27">
        <f t="shared" si="11"/>
        <v>3.9200000000000006E-2</v>
      </c>
      <c r="X38" s="27">
        <f t="shared" si="11"/>
        <v>3.6800000000000006E-2</v>
      </c>
    </row>
    <row r="39" spans="1:24" x14ac:dyDescent="0.3">
      <c r="B39" s="15">
        <v>0.09</v>
      </c>
      <c r="C39" s="15">
        <v>0.15</v>
      </c>
      <c r="D39" s="23">
        <v>5.2999999999999999E-2</v>
      </c>
      <c r="E39" s="15"/>
      <c r="F39" s="15">
        <f t="shared" si="12"/>
        <v>0.1</v>
      </c>
      <c r="G39" s="23">
        <v>4.2000000000000003E-2</v>
      </c>
      <c r="H39" s="15"/>
      <c r="I39" s="15">
        <f t="shared" si="13"/>
        <v>0.05</v>
      </c>
      <c r="J39" s="23">
        <v>2.9000000000000001E-2</v>
      </c>
      <c r="K39" s="15"/>
      <c r="L39" s="15">
        <f t="shared" si="14"/>
        <v>0.02</v>
      </c>
      <c r="M39" s="23">
        <v>0.02</v>
      </c>
      <c r="O39" s="589"/>
      <c r="P39" s="15">
        <v>0.11</v>
      </c>
      <c r="Q39" s="27">
        <f>Q38-(Q$35-Q$40)/5</f>
        <v>5.0800000000000012E-2</v>
      </c>
      <c r="R39" s="27">
        <f t="shared" si="11"/>
        <v>4.8600000000000004E-2</v>
      </c>
      <c r="S39" s="27">
        <f t="shared" si="11"/>
        <v>4.6399999999999997E-2</v>
      </c>
      <c r="T39" s="27">
        <f t="shared" si="11"/>
        <v>4.4199999999999996E-2</v>
      </c>
      <c r="U39" s="27">
        <f t="shared" si="11"/>
        <v>4.1999999999999996E-2</v>
      </c>
      <c r="V39" s="27">
        <f t="shared" si="11"/>
        <v>3.9799999999999988E-2</v>
      </c>
      <c r="W39" s="27">
        <f t="shared" si="11"/>
        <v>3.7600000000000008E-2</v>
      </c>
      <c r="X39" s="27">
        <f t="shared" si="11"/>
        <v>3.5400000000000008E-2</v>
      </c>
    </row>
    <row r="40" spans="1:24" x14ac:dyDescent="0.3">
      <c r="B40" s="15">
        <v>0.08</v>
      </c>
      <c r="C40" s="15">
        <v>0.15</v>
      </c>
      <c r="D40" s="23">
        <f>D39-(D$39-D$43)/4</f>
        <v>0.05</v>
      </c>
      <c r="E40" s="15"/>
      <c r="F40" s="15">
        <f t="shared" si="12"/>
        <v>0.1</v>
      </c>
      <c r="G40" s="23">
        <f>G39-(G$39-G$43)/4</f>
        <v>0.04</v>
      </c>
      <c r="H40" s="15"/>
      <c r="I40" s="15">
        <f t="shared" si="13"/>
        <v>0.05</v>
      </c>
      <c r="J40" s="23">
        <v>2.8000000000000001E-2</v>
      </c>
      <c r="K40" s="15"/>
      <c r="L40" s="15">
        <f t="shared" si="14"/>
        <v>0.02</v>
      </c>
      <c r="M40" s="23">
        <v>0.02</v>
      </c>
      <c r="O40" s="589"/>
      <c r="P40" s="16">
        <v>0.1</v>
      </c>
      <c r="Q40" s="27">
        <v>4.8000000000000001E-2</v>
      </c>
      <c r="R40" s="27">
        <f>Q40-($Q40-$T40)/3</f>
        <v>4.5999999999999999E-2</v>
      </c>
      <c r="S40" s="27">
        <f>R40-($Q40-$T40)/3</f>
        <v>4.3999999999999997E-2</v>
      </c>
      <c r="T40" s="27">
        <v>4.2000000000000003E-2</v>
      </c>
      <c r="U40" s="27">
        <f>T40-($T40-$X40)/4</f>
        <v>0.04</v>
      </c>
      <c r="V40" s="27">
        <f>U40-($T40-$X40)/4</f>
        <v>3.7999999999999999E-2</v>
      </c>
      <c r="W40" s="27">
        <f>V40-($T40-$X40)/4</f>
        <v>3.5999999999999997E-2</v>
      </c>
      <c r="X40" s="27">
        <v>3.4000000000000002E-2</v>
      </c>
    </row>
    <row r="41" spans="1:24" x14ac:dyDescent="0.3">
      <c r="B41" s="15">
        <v>7.0000000000000007E-2</v>
      </c>
      <c r="C41" s="15">
        <v>0.15</v>
      </c>
      <c r="D41" s="23">
        <f>D40-(D$39-D$43)/4</f>
        <v>4.7E-2</v>
      </c>
      <c r="E41" s="15"/>
      <c r="F41" s="15">
        <f t="shared" si="12"/>
        <v>0.1</v>
      </c>
      <c r="G41" s="23">
        <f>G40-(G$39-G$43)/4</f>
        <v>3.7999999999999999E-2</v>
      </c>
      <c r="H41" s="15"/>
      <c r="I41" s="15">
        <f t="shared" si="13"/>
        <v>0.05</v>
      </c>
      <c r="J41" s="23">
        <f>J40-(J$39-J$43)/4</f>
        <v>2.725E-2</v>
      </c>
      <c r="K41" s="15"/>
      <c r="L41" s="15">
        <f t="shared" si="14"/>
        <v>0.02</v>
      </c>
      <c r="M41" s="23">
        <v>0.02</v>
      </c>
      <c r="O41" s="589"/>
      <c r="P41" s="15">
        <v>9.0000000000000094E-2</v>
      </c>
      <c r="Q41" s="27">
        <f>Q40-(Q$40-Q$45)/5</f>
        <v>4.48E-2</v>
      </c>
      <c r="R41" s="27">
        <f t="shared" ref="R41:X44" si="15">R40-(R$40-R$45)/5</f>
        <v>4.2999999999999997E-2</v>
      </c>
      <c r="S41" s="27">
        <f t="shared" si="15"/>
        <v>4.1200000000000001E-2</v>
      </c>
      <c r="T41" s="27">
        <f t="shared" si="15"/>
        <v>3.9400000000000004E-2</v>
      </c>
      <c r="U41" s="27">
        <f t="shared" si="15"/>
        <v>3.7600000000000001E-2</v>
      </c>
      <c r="V41" s="27">
        <f t="shared" si="15"/>
        <v>3.585E-2</v>
      </c>
      <c r="W41" s="27">
        <f t="shared" si="15"/>
        <v>3.4099999999999998E-2</v>
      </c>
      <c r="X41" s="27">
        <f t="shared" si="15"/>
        <v>3.2399999999999998E-2</v>
      </c>
    </row>
    <row r="42" spans="1:24" x14ac:dyDescent="0.3">
      <c r="B42" s="15">
        <v>0.06</v>
      </c>
      <c r="C42" s="15">
        <v>0.15</v>
      </c>
      <c r="D42" s="23">
        <f>D41-(D$39-D$43)/4</f>
        <v>4.3999999999999997E-2</v>
      </c>
      <c r="E42" s="15"/>
      <c r="F42" s="15">
        <f t="shared" si="12"/>
        <v>0.1</v>
      </c>
      <c r="G42" s="23">
        <f>G41-(G$39-G$43)/4</f>
        <v>3.5999999999999997E-2</v>
      </c>
      <c r="H42" s="15"/>
      <c r="I42" s="15">
        <f t="shared" si="13"/>
        <v>0.05</v>
      </c>
      <c r="J42" s="23">
        <f>J41-(J$39-J$43)/4</f>
        <v>2.6499999999999999E-2</v>
      </c>
      <c r="K42" s="15"/>
      <c r="L42" s="15">
        <f t="shared" si="14"/>
        <v>0.02</v>
      </c>
      <c r="M42" s="23">
        <v>0.02</v>
      </c>
      <c r="O42" s="589"/>
      <c r="P42" s="16">
        <v>8.0000000000000099E-2</v>
      </c>
      <c r="Q42" s="27">
        <f>Q41-(Q$40-Q$45)/5</f>
        <v>4.1599999999999998E-2</v>
      </c>
      <c r="R42" s="27">
        <f t="shared" si="15"/>
        <v>3.9999999999999994E-2</v>
      </c>
      <c r="S42" s="27">
        <f t="shared" si="15"/>
        <v>3.8400000000000004E-2</v>
      </c>
      <c r="T42" s="27">
        <f t="shared" si="15"/>
        <v>3.6800000000000006E-2</v>
      </c>
      <c r="U42" s="27">
        <f t="shared" si="15"/>
        <v>3.5200000000000002E-2</v>
      </c>
      <c r="V42" s="27">
        <f t="shared" si="15"/>
        <v>3.3700000000000001E-2</v>
      </c>
      <c r="W42" s="27">
        <f t="shared" si="15"/>
        <v>3.2199999999999999E-2</v>
      </c>
      <c r="X42" s="27">
        <f t="shared" si="15"/>
        <v>3.0799999999999998E-2</v>
      </c>
    </row>
    <row r="43" spans="1:24" x14ac:dyDescent="0.3">
      <c r="B43" s="15">
        <v>0.05</v>
      </c>
      <c r="C43" s="15">
        <v>0.15</v>
      </c>
      <c r="D43" s="23">
        <v>4.1000000000000002E-2</v>
      </c>
      <c r="E43" s="15"/>
      <c r="F43" s="15">
        <f t="shared" si="12"/>
        <v>0.1</v>
      </c>
      <c r="G43" s="23">
        <v>3.4000000000000002E-2</v>
      </c>
      <c r="H43" s="15"/>
      <c r="I43" s="15">
        <f t="shared" si="13"/>
        <v>0.05</v>
      </c>
      <c r="J43" s="23">
        <v>2.5999999999999999E-2</v>
      </c>
      <c r="K43" s="15"/>
      <c r="L43" s="15">
        <f t="shared" si="14"/>
        <v>0.02</v>
      </c>
      <c r="M43" s="23">
        <v>0.02</v>
      </c>
      <c r="O43" s="589"/>
      <c r="P43" s="15">
        <v>7.0000000000000201E-2</v>
      </c>
      <c r="Q43" s="27">
        <f>Q42-(Q$40-Q$45)/5</f>
        <v>3.8399999999999997E-2</v>
      </c>
      <c r="R43" s="27">
        <f t="shared" si="15"/>
        <v>3.6999999999999991E-2</v>
      </c>
      <c r="S43" s="27">
        <f t="shared" si="15"/>
        <v>3.5600000000000007E-2</v>
      </c>
      <c r="T43" s="27">
        <f t="shared" si="15"/>
        <v>3.4200000000000008E-2</v>
      </c>
      <c r="U43" s="27">
        <f t="shared" si="15"/>
        <v>3.2800000000000003E-2</v>
      </c>
      <c r="V43" s="27">
        <f t="shared" si="15"/>
        <v>3.1550000000000002E-2</v>
      </c>
      <c r="W43" s="27">
        <f t="shared" si="15"/>
        <v>3.0300000000000001E-2</v>
      </c>
      <c r="X43" s="27">
        <f t="shared" si="15"/>
        <v>2.9199999999999997E-2</v>
      </c>
    </row>
    <row r="44" spans="1:24" x14ac:dyDescent="0.3">
      <c r="B44" s="15"/>
      <c r="C44" s="15"/>
      <c r="D44" s="19"/>
      <c r="E44" s="15"/>
      <c r="F44" s="15"/>
      <c r="G44" s="19"/>
      <c r="H44" s="15"/>
      <c r="I44" s="15"/>
      <c r="J44" s="19"/>
      <c r="K44" s="15"/>
      <c r="L44" s="15"/>
      <c r="M44" s="19"/>
      <c r="O44" s="589"/>
      <c r="P44" s="16">
        <v>6.0000000000000199E-2</v>
      </c>
      <c r="Q44" s="27">
        <f>Q43-(Q$40-Q$45)/5</f>
        <v>3.5199999999999995E-2</v>
      </c>
      <c r="R44" s="27">
        <f t="shared" si="15"/>
        <v>3.3999999999999989E-2</v>
      </c>
      <c r="S44" s="27">
        <f t="shared" si="15"/>
        <v>3.280000000000001E-2</v>
      </c>
      <c r="T44" s="27">
        <f t="shared" si="15"/>
        <v>3.160000000000001E-2</v>
      </c>
      <c r="U44" s="27">
        <f t="shared" si="15"/>
        <v>3.0400000000000003E-2</v>
      </c>
      <c r="V44" s="27">
        <f t="shared" si="15"/>
        <v>2.9400000000000003E-2</v>
      </c>
      <c r="W44" s="27">
        <f t="shared" si="15"/>
        <v>2.8400000000000002E-2</v>
      </c>
      <c r="X44" s="27">
        <f t="shared" si="15"/>
        <v>2.7599999999999996E-2</v>
      </c>
    </row>
    <row r="45" spans="1:24" x14ac:dyDescent="0.3">
      <c r="A45" t="s">
        <v>144</v>
      </c>
      <c r="B45" s="24">
        <f>MEDIAN(B36:B43)</f>
        <v>8.4999999999999992E-2</v>
      </c>
      <c r="C45" s="20">
        <f>MEDIAN(C36:C43)</f>
        <v>0.15</v>
      </c>
      <c r="D45" s="21">
        <f>ROUND(MEDIAN(D36:D43),2)</f>
        <v>0.05</v>
      </c>
      <c r="E45" s="20"/>
      <c r="F45" s="20">
        <f>MEDIAN(F36:F43)</f>
        <v>0.1</v>
      </c>
      <c r="G45" s="21">
        <f>ROUND(MEDIAN(G36:G43),2)</f>
        <v>0.04</v>
      </c>
      <c r="H45" s="20"/>
      <c r="I45" s="20">
        <f>MEDIAN(I36:I43)</f>
        <v>0.05</v>
      </c>
      <c r="J45" s="21">
        <f>ROUND(MEDIAN(J36:J43),2)</f>
        <v>0.03</v>
      </c>
      <c r="K45" s="20"/>
      <c r="L45" s="20">
        <f>MEDIAN(L36:L43)</f>
        <v>0.02</v>
      </c>
      <c r="M45" s="21">
        <f>ROUND(MEDIAN(M36:M43),2)</f>
        <v>0.02</v>
      </c>
      <c r="O45" s="589"/>
      <c r="P45" s="15">
        <v>5.0000000000000197E-2</v>
      </c>
      <c r="Q45" s="27">
        <v>3.2000000000000001E-2</v>
      </c>
      <c r="R45" s="27">
        <f>Q45-($Q45-$T45)/3</f>
        <v>3.1E-2</v>
      </c>
      <c r="S45" s="27">
        <f>R45-($Q45-$T45)/3</f>
        <v>0.03</v>
      </c>
      <c r="T45" s="27">
        <v>2.9000000000000001E-2</v>
      </c>
      <c r="U45" s="27">
        <v>2.8000000000000001E-2</v>
      </c>
      <c r="V45" s="27">
        <f>U45-($T45-$X45)/4</f>
        <v>2.725E-2</v>
      </c>
      <c r="W45" s="27">
        <f>V45-($T45-$X45)/4</f>
        <v>2.6499999999999999E-2</v>
      </c>
      <c r="X45" s="27">
        <v>2.5999999999999999E-2</v>
      </c>
    </row>
    <row r="46" spans="1:24" x14ac:dyDescent="0.3">
      <c r="O46" s="589"/>
      <c r="P46" s="16">
        <v>0.04</v>
      </c>
      <c r="Q46" s="14">
        <f>Q45-(Q$45-Q$48)/3</f>
        <v>2.8000000000000001E-2</v>
      </c>
      <c r="R46" s="14">
        <f t="shared" ref="R46:X47" si="16">R45-(R$45-R$48)/3</f>
        <v>2.7333333333333334E-2</v>
      </c>
      <c r="S46" s="14">
        <f t="shared" si="16"/>
        <v>2.6666666666666665E-2</v>
      </c>
      <c r="T46" s="14">
        <f t="shared" si="16"/>
        <v>2.6000000000000002E-2</v>
      </c>
      <c r="U46" s="14">
        <f t="shared" si="16"/>
        <v>2.5333333333333333E-2</v>
      </c>
      <c r="V46" s="14">
        <f t="shared" si="16"/>
        <v>2.4833333333333332E-2</v>
      </c>
      <c r="W46" s="14">
        <f t="shared" si="16"/>
        <v>2.4333333333333332E-2</v>
      </c>
      <c r="X46" s="14">
        <f t="shared" si="16"/>
        <v>2.4E-2</v>
      </c>
    </row>
    <row r="47" spans="1:24" x14ac:dyDescent="0.3">
      <c r="O47" s="589"/>
      <c r="P47" s="15">
        <v>0.03</v>
      </c>
      <c r="Q47" s="14">
        <f>Q46-(Q$45-Q$48)/3</f>
        <v>2.4E-2</v>
      </c>
      <c r="R47" s="14">
        <f t="shared" si="16"/>
        <v>2.3666666666666669E-2</v>
      </c>
      <c r="S47" s="14">
        <f t="shared" si="16"/>
        <v>2.3333333333333331E-2</v>
      </c>
      <c r="T47" s="14">
        <f t="shared" si="16"/>
        <v>2.3000000000000003E-2</v>
      </c>
      <c r="U47" s="14">
        <f t="shared" si="16"/>
        <v>2.2666666666666665E-2</v>
      </c>
      <c r="V47" s="14">
        <f t="shared" si="16"/>
        <v>2.2416666666666665E-2</v>
      </c>
      <c r="W47" s="14">
        <f t="shared" si="16"/>
        <v>2.2166666666666664E-2</v>
      </c>
      <c r="X47" s="14">
        <f t="shared" si="16"/>
        <v>2.2000000000000002E-2</v>
      </c>
    </row>
    <row r="48" spans="1:24" x14ac:dyDescent="0.3">
      <c r="C48" t="s">
        <v>145</v>
      </c>
      <c r="O48" s="589"/>
      <c r="P48" s="16">
        <v>0.02</v>
      </c>
      <c r="Q48" s="27">
        <v>0.02</v>
      </c>
      <c r="R48" s="27">
        <v>0.02</v>
      </c>
      <c r="S48" s="27">
        <v>0.02</v>
      </c>
      <c r="T48" s="27">
        <v>0.02</v>
      </c>
      <c r="U48" s="27">
        <v>0.02</v>
      </c>
      <c r="V48" s="27">
        <v>0.02</v>
      </c>
      <c r="W48" s="27">
        <v>0.02</v>
      </c>
      <c r="X48" s="27">
        <v>0.02</v>
      </c>
    </row>
    <row r="50" spans="4:9" x14ac:dyDescent="0.3">
      <c r="D50" t="s">
        <v>146</v>
      </c>
      <c r="E50" t="s">
        <v>147</v>
      </c>
    </row>
    <row r="51" spans="4:9" x14ac:dyDescent="0.3">
      <c r="D51" s="15">
        <v>0.15</v>
      </c>
      <c r="E51" s="25">
        <v>0.05</v>
      </c>
    </row>
    <row r="52" spans="4:9" x14ac:dyDescent="0.3">
      <c r="D52" s="16">
        <v>0.14000000000000001</v>
      </c>
      <c r="E52" s="14">
        <f>E51-($E$51-$E$56)/5</f>
        <v>4.8000000000000001E-2</v>
      </c>
      <c r="F52" s="26" t="s">
        <v>148</v>
      </c>
    </row>
    <row r="53" spans="4:9" x14ac:dyDescent="0.3">
      <c r="D53" s="15">
        <v>0.13</v>
      </c>
      <c r="E53" s="14">
        <f>E52-($E$51-$E$56)/5</f>
        <v>4.5999999999999999E-2</v>
      </c>
      <c r="H53" s="16"/>
      <c r="I53" s="15"/>
    </row>
    <row r="54" spans="4:9" x14ac:dyDescent="0.3">
      <c r="D54" s="16">
        <v>0.12</v>
      </c>
      <c r="E54" s="14">
        <f>E53-($E$51-$E$56)/5</f>
        <v>4.3999999999999997E-2</v>
      </c>
    </row>
    <row r="55" spans="4:9" x14ac:dyDescent="0.3">
      <c r="D55" s="15">
        <v>0.11</v>
      </c>
      <c r="E55" s="14">
        <f>E54-($E$51-$E$56)/5</f>
        <v>4.1999999999999996E-2</v>
      </c>
    </row>
    <row r="56" spans="4:9" x14ac:dyDescent="0.3">
      <c r="D56" s="16">
        <v>0.1</v>
      </c>
      <c r="E56" s="14">
        <v>0.04</v>
      </c>
    </row>
    <row r="57" spans="4:9" x14ac:dyDescent="0.3">
      <c r="D57" s="15">
        <v>9.0000000000000094E-2</v>
      </c>
      <c r="E57" s="25">
        <f>E56-($E$56-$E$61)/COUNT($D$57:$D$61)</f>
        <v>3.7999999999999999E-2</v>
      </c>
      <c r="F57" s="15"/>
    </row>
    <row r="58" spans="4:9" x14ac:dyDescent="0.3">
      <c r="D58" s="16">
        <v>8.0000000000000099E-2</v>
      </c>
      <c r="E58" s="25">
        <f>E57-($E$56-$E$61)/COUNT($D$57:$D$61)</f>
        <v>3.5999999999999997E-2</v>
      </c>
      <c r="F58" s="15"/>
    </row>
    <row r="59" spans="4:9" x14ac:dyDescent="0.3">
      <c r="D59" s="15">
        <v>7.0000000000000201E-2</v>
      </c>
      <c r="E59" s="25">
        <f>E58-($E$56-$E$61)/COUNT($D$57:$D$61)</f>
        <v>3.3999999999999996E-2</v>
      </c>
    </row>
    <row r="60" spans="4:9" x14ac:dyDescent="0.3">
      <c r="D60" s="16">
        <v>6.0000000000000199E-2</v>
      </c>
      <c r="E60" s="25">
        <f>E59-($E$56-$E$61)/COUNT($D$57:$D$61)</f>
        <v>3.1999999999999994E-2</v>
      </c>
    </row>
    <row r="61" spans="4:9" x14ac:dyDescent="0.3">
      <c r="D61" s="15">
        <v>5.0000000000000197E-2</v>
      </c>
      <c r="E61" s="14">
        <v>0.03</v>
      </c>
    </row>
    <row r="62" spans="4:9" x14ac:dyDescent="0.3">
      <c r="D62" s="16">
        <v>0.04</v>
      </c>
      <c r="E62" s="14">
        <f>E61-($E$61-$E$64)/COUNT($D$62:$D$64)</f>
        <v>2.6666666666666665E-2</v>
      </c>
    </row>
    <row r="63" spans="4:9" x14ac:dyDescent="0.3">
      <c r="D63" s="15">
        <v>0.03</v>
      </c>
      <c r="E63" s="14">
        <f>E62-($E$61-$E$64)/COUNT($D$62:$D$64)</f>
        <v>2.3333333333333331E-2</v>
      </c>
    </row>
    <row r="64" spans="4:9" x14ac:dyDescent="0.3">
      <c r="D64" s="16">
        <v>0.02</v>
      </c>
      <c r="E64" s="14">
        <v>0.02</v>
      </c>
    </row>
  </sheetData>
  <mergeCells count="2">
    <mergeCell ref="Q33:X33"/>
    <mergeCell ref="O35:O4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B1:Z180"/>
  <sheetViews>
    <sheetView showGridLines="0" showRowColHeaders="0" workbookViewId="0">
      <pane ySplit="5" topLeftCell="A6" activePane="bottomLeft" state="frozen"/>
      <selection pane="bottomLeft" activeCell="Q41" sqref="Q41"/>
    </sheetView>
  </sheetViews>
  <sheetFormatPr defaultColWidth="8.88671875" defaultRowHeight="14.4" x14ac:dyDescent="0.3"/>
  <cols>
    <col min="1" max="2" width="1.6640625" customWidth="1"/>
    <col min="5" max="5" width="9.88671875" customWidth="1"/>
    <col min="7" max="7" width="9.44140625" bestFit="1" customWidth="1"/>
    <col min="8" max="8" width="10.109375" bestFit="1" customWidth="1"/>
    <col min="12" max="12" width="9.109375" customWidth="1"/>
    <col min="13" max="13" width="1.6640625" customWidth="1"/>
    <col min="14" max="16" width="9.109375" customWidth="1"/>
    <col min="26" max="32" width="9.109375" customWidth="1"/>
  </cols>
  <sheetData>
    <row r="1" spans="2:13" ht="5.0999999999999996" customHeight="1" x14ac:dyDescent="0.3"/>
    <row r="2" spans="2:13" ht="15" customHeight="1" x14ac:dyDescent="0.3"/>
    <row r="3" spans="2:13" ht="15" customHeight="1" x14ac:dyDescent="0.3"/>
    <row r="4" spans="2:13" ht="15" customHeight="1" x14ac:dyDescent="0.3"/>
    <row r="5" spans="2:13" ht="5.0999999999999996" customHeight="1" x14ac:dyDescent="0.3"/>
    <row r="6" spans="2:13" ht="5.0999999999999996" customHeight="1" x14ac:dyDescent="0.3"/>
    <row r="7" spans="2:13" x14ac:dyDescent="0.3">
      <c r="B7" s="594" t="s">
        <v>149</v>
      </c>
      <c r="C7" s="595"/>
      <c r="D7" s="595"/>
      <c r="E7" s="595"/>
      <c r="F7" s="595"/>
      <c r="G7" s="595"/>
      <c r="H7" s="595"/>
      <c r="I7" s="595"/>
      <c r="J7" s="595"/>
      <c r="K7" s="595"/>
      <c r="L7" s="595"/>
      <c r="M7" s="596"/>
    </row>
    <row r="8" spans="2:13" ht="5.0999999999999996" customHeight="1" x14ac:dyDescent="0.3">
      <c r="B8" s="403"/>
      <c r="C8" s="491"/>
      <c r="D8" s="491"/>
      <c r="E8" s="491"/>
      <c r="F8" s="491"/>
      <c r="G8" s="491"/>
      <c r="H8" s="491"/>
      <c r="I8" s="491"/>
      <c r="J8" s="491"/>
      <c r="K8" s="491"/>
      <c r="L8" s="491"/>
      <c r="M8" s="404"/>
    </row>
    <row r="9" spans="2:13" x14ac:dyDescent="0.3">
      <c r="B9" s="400"/>
      <c r="C9" s="409" t="s">
        <v>150</v>
      </c>
      <c r="D9" s="405">
        <f ca="1">INDEX(E13:L26,MATCH($L$9,$D$13:$D$26,0),MATCH($H$9,$E$12:$L$12,0))</f>
        <v>4.1000000000000002E-2</v>
      </c>
      <c r="F9" s="597" t="str">
        <f>$E$11</f>
        <v>Discount rate</v>
      </c>
      <c r="G9" s="598"/>
      <c r="H9" s="406">
        <f ca="1">IF(DCF!P47&gt;E12,E12,IF(DCF!P47&lt;L12,L12,ROUND(DCF!P47,2)))</f>
        <v>0.05</v>
      </c>
      <c r="J9" s="597" t="str">
        <f>$C$13</f>
        <v>Year 5 FCF Growth</v>
      </c>
      <c r="K9" s="598"/>
      <c r="L9" s="407">
        <v>0.15</v>
      </c>
      <c r="M9" s="385"/>
    </row>
    <row r="10" spans="2:13" ht="5.0999999999999996" customHeight="1" x14ac:dyDescent="0.3">
      <c r="B10" s="400"/>
      <c r="M10" s="385"/>
    </row>
    <row r="11" spans="2:13" x14ac:dyDescent="0.3">
      <c r="B11" s="400"/>
      <c r="D11" s="16"/>
      <c r="E11" s="607" t="s">
        <v>139</v>
      </c>
      <c r="F11" s="608"/>
      <c r="G11" s="608"/>
      <c r="H11" s="608"/>
      <c r="I11" s="608"/>
      <c r="J11" s="608"/>
      <c r="K11" s="608"/>
      <c r="L11" s="609"/>
      <c r="M11" s="385"/>
    </row>
    <row r="12" spans="2:13" x14ac:dyDescent="0.3">
      <c r="B12" s="400"/>
      <c r="E12" s="368">
        <v>0.12</v>
      </c>
      <c r="F12" s="366">
        <v>0.11</v>
      </c>
      <c r="G12" s="366">
        <v>0.1</v>
      </c>
      <c r="H12" s="366">
        <v>0.09</v>
      </c>
      <c r="I12" s="366">
        <v>0.08</v>
      </c>
      <c r="J12" s="366">
        <v>7.0000000000000007E-2</v>
      </c>
      <c r="K12" s="366">
        <v>0.06</v>
      </c>
      <c r="L12" s="369">
        <v>0.05</v>
      </c>
      <c r="M12" s="385"/>
    </row>
    <row r="13" spans="2:13" ht="15" customHeight="1" x14ac:dyDescent="0.3">
      <c r="B13" s="400"/>
      <c r="C13" s="610" t="s">
        <v>151</v>
      </c>
      <c r="D13" s="492">
        <v>0.15</v>
      </c>
      <c r="E13" s="387">
        <v>6.2E-2</v>
      </c>
      <c r="F13" s="387">
        <v>5.8999999999999997E-2</v>
      </c>
      <c r="G13" s="387">
        <v>5.5999999999999994E-2</v>
      </c>
      <c r="H13" s="387">
        <v>5.2999999999999999E-2</v>
      </c>
      <c r="I13" s="387">
        <v>0.05</v>
      </c>
      <c r="J13" s="387">
        <v>4.7E-2</v>
      </c>
      <c r="K13" s="387">
        <v>4.3999999999999997E-2</v>
      </c>
      <c r="L13" s="388">
        <v>4.1000000000000002E-2</v>
      </c>
      <c r="M13" s="385"/>
    </row>
    <row r="14" spans="2:13" x14ac:dyDescent="0.3">
      <c r="B14" s="400"/>
      <c r="C14" s="611"/>
      <c r="D14" s="365">
        <v>0.14000000000000001</v>
      </c>
      <c r="E14" s="389">
        <v>5.9200000000000003E-2</v>
      </c>
      <c r="F14" s="389">
        <v>5.6399999999999999E-2</v>
      </c>
      <c r="G14" s="389">
        <v>5.3599999999999995E-2</v>
      </c>
      <c r="H14" s="389">
        <v>5.0799999999999998E-2</v>
      </c>
      <c r="I14" s="389">
        <v>4.8000000000000001E-2</v>
      </c>
      <c r="J14" s="389">
        <v>4.5199999999999997E-2</v>
      </c>
      <c r="K14" s="389">
        <v>4.24E-2</v>
      </c>
      <c r="L14" s="390">
        <v>3.9600000000000003E-2</v>
      </c>
      <c r="M14" s="385"/>
    </row>
    <row r="15" spans="2:13" x14ac:dyDescent="0.3">
      <c r="B15" s="400"/>
      <c r="C15" s="611"/>
      <c r="D15" s="366">
        <v>0.13</v>
      </c>
      <c r="E15" s="387">
        <v>5.6400000000000006E-2</v>
      </c>
      <c r="F15" s="387">
        <v>5.3800000000000001E-2</v>
      </c>
      <c r="G15" s="387">
        <v>5.1199999999999996E-2</v>
      </c>
      <c r="H15" s="387">
        <v>4.8599999999999997E-2</v>
      </c>
      <c r="I15" s="387">
        <v>4.5999999999999999E-2</v>
      </c>
      <c r="J15" s="387">
        <v>4.3399999999999994E-2</v>
      </c>
      <c r="K15" s="387">
        <v>4.0800000000000003E-2</v>
      </c>
      <c r="L15" s="388">
        <v>3.8200000000000005E-2</v>
      </c>
      <c r="M15" s="385"/>
    </row>
    <row r="16" spans="2:13" x14ac:dyDescent="0.3">
      <c r="B16" s="400"/>
      <c r="C16" s="611"/>
      <c r="D16" s="365">
        <v>0.12</v>
      </c>
      <c r="E16" s="389">
        <v>5.3600000000000009E-2</v>
      </c>
      <c r="F16" s="389">
        <v>5.1200000000000002E-2</v>
      </c>
      <c r="G16" s="389">
        <v>4.8799999999999996E-2</v>
      </c>
      <c r="H16" s="389">
        <v>4.6399999999999997E-2</v>
      </c>
      <c r="I16" s="389">
        <v>4.3999999999999997E-2</v>
      </c>
      <c r="J16" s="389">
        <v>4.1599999999999991E-2</v>
      </c>
      <c r="K16" s="389">
        <v>3.9200000000000006E-2</v>
      </c>
      <c r="L16" s="390">
        <v>3.6800000000000006E-2</v>
      </c>
      <c r="M16" s="385"/>
    </row>
    <row r="17" spans="2:13" x14ac:dyDescent="0.3">
      <c r="B17" s="400"/>
      <c r="C17" s="611"/>
      <c r="D17" s="366">
        <v>0.11</v>
      </c>
      <c r="E17" s="387">
        <v>5.0800000000000012E-2</v>
      </c>
      <c r="F17" s="387">
        <v>4.8600000000000004E-2</v>
      </c>
      <c r="G17" s="387">
        <v>4.6399999999999997E-2</v>
      </c>
      <c r="H17" s="387">
        <v>4.4199999999999996E-2</v>
      </c>
      <c r="I17" s="387">
        <v>4.1999999999999996E-2</v>
      </c>
      <c r="J17" s="387">
        <v>3.9799999999999988E-2</v>
      </c>
      <c r="K17" s="387">
        <v>3.7600000000000008E-2</v>
      </c>
      <c r="L17" s="388">
        <v>3.5400000000000008E-2</v>
      </c>
      <c r="M17" s="385"/>
    </row>
    <row r="18" spans="2:13" x14ac:dyDescent="0.3">
      <c r="B18" s="400"/>
      <c r="C18" s="611"/>
      <c r="D18" s="365">
        <v>0.1</v>
      </c>
      <c r="E18" s="389">
        <v>4.8000000000000001E-2</v>
      </c>
      <c r="F18" s="389">
        <v>4.5999999999999999E-2</v>
      </c>
      <c r="G18" s="389">
        <v>4.3999999999999997E-2</v>
      </c>
      <c r="H18" s="389">
        <v>4.2000000000000003E-2</v>
      </c>
      <c r="I18" s="389">
        <v>0.04</v>
      </c>
      <c r="J18" s="389">
        <v>3.7999999999999999E-2</v>
      </c>
      <c r="K18" s="389">
        <v>3.5999999999999997E-2</v>
      </c>
      <c r="L18" s="390">
        <v>3.4000000000000002E-2</v>
      </c>
      <c r="M18" s="385"/>
    </row>
    <row r="19" spans="2:13" x14ac:dyDescent="0.3">
      <c r="B19" s="400"/>
      <c r="C19" s="611"/>
      <c r="D19" s="366">
        <v>0.09</v>
      </c>
      <c r="E19" s="387">
        <v>4.48E-2</v>
      </c>
      <c r="F19" s="387">
        <v>4.2999999999999997E-2</v>
      </c>
      <c r="G19" s="387">
        <v>4.1200000000000001E-2</v>
      </c>
      <c r="H19" s="387">
        <v>3.9400000000000004E-2</v>
      </c>
      <c r="I19" s="387">
        <v>3.7650000000000003E-2</v>
      </c>
      <c r="J19" s="387">
        <v>3.5900000000000001E-2</v>
      </c>
      <c r="K19" s="387">
        <v>3.415E-2</v>
      </c>
      <c r="L19" s="388">
        <v>3.2399999999999998E-2</v>
      </c>
      <c r="M19" s="385"/>
    </row>
    <row r="20" spans="2:13" x14ac:dyDescent="0.3">
      <c r="B20" s="400"/>
      <c r="C20" s="611"/>
      <c r="D20" s="365">
        <v>0.08</v>
      </c>
      <c r="E20" s="389">
        <v>4.1599999999999998E-2</v>
      </c>
      <c r="F20" s="389">
        <v>3.9999999999999994E-2</v>
      </c>
      <c r="G20" s="389">
        <v>3.8400000000000004E-2</v>
      </c>
      <c r="H20" s="389">
        <v>3.6800000000000006E-2</v>
      </c>
      <c r="I20" s="389">
        <v>3.5300000000000005E-2</v>
      </c>
      <c r="J20" s="389">
        <v>3.3800000000000004E-2</v>
      </c>
      <c r="K20" s="389">
        <v>3.2300000000000002E-2</v>
      </c>
      <c r="L20" s="390">
        <v>3.0799999999999998E-2</v>
      </c>
      <c r="M20" s="385"/>
    </row>
    <row r="21" spans="2:13" x14ac:dyDescent="0.3">
      <c r="B21" s="400"/>
      <c r="C21" s="611"/>
      <c r="D21" s="366">
        <v>7.0000000000000007E-2</v>
      </c>
      <c r="E21" s="387">
        <v>3.8399999999999997E-2</v>
      </c>
      <c r="F21" s="387">
        <v>3.6999999999999991E-2</v>
      </c>
      <c r="G21" s="387">
        <v>3.5600000000000007E-2</v>
      </c>
      <c r="H21" s="387">
        <v>3.4200000000000008E-2</v>
      </c>
      <c r="I21" s="387">
        <v>3.2950000000000007E-2</v>
      </c>
      <c r="J21" s="387">
        <v>3.1700000000000006E-2</v>
      </c>
      <c r="K21" s="387">
        <v>3.0450000000000001E-2</v>
      </c>
      <c r="L21" s="388">
        <v>2.9199999999999997E-2</v>
      </c>
      <c r="M21" s="385"/>
    </row>
    <row r="22" spans="2:13" x14ac:dyDescent="0.3">
      <c r="B22" s="400"/>
      <c r="C22" s="611"/>
      <c r="D22" s="365">
        <v>0.06</v>
      </c>
      <c r="E22" s="389">
        <v>3.5199999999999995E-2</v>
      </c>
      <c r="F22" s="389">
        <v>3.3999999999999989E-2</v>
      </c>
      <c r="G22" s="389">
        <v>3.280000000000001E-2</v>
      </c>
      <c r="H22" s="389">
        <v>3.160000000000001E-2</v>
      </c>
      <c r="I22" s="389">
        <v>3.0600000000000006E-2</v>
      </c>
      <c r="J22" s="389">
        <v>2.9600000000000005E-2</v>
      </c>
      <c r="K22" s="389">
        <v>2.86E-2</v>
      </c>
      <c r="L22" s="390">
        <v>2.7599999999999996E-2</v>
      </c>
      <c r="M22" s="385"/>
    </row>
    <row r="23" spans="2:13" x14ac:dyDescent="0.3">
      <c r="B23" s="400"/>
      <c r="C23" s="611"/>
      <c r="D23" s="366">
        <v>0.05</v>
      </c>
      <c r="E23" s="387">
        <v>3.2000000000000001E-2</v>
      </c>
      <c r="F23" s="387">
        <v>3.1E-2</v>
      </c>
      <c r="G23" s="387">
        <v>0.03</v>
      </c>
      <c r="H23" s="387">
        <v>2.9000000000000001E-2</v>
      </c>
      <c r="I23" s="387">
        <v>2.8250000000000001E-2</v>
      </c>
      <c r="J23" s="387">
        <v>2.75E-2</v>
      </c>
      <c r="K23" s="387">
        <v>2.6749999999999999E-2</v>
      </c>
      <c r="L23" s="388">
        <v>2.5999999999999999E-2</v>
      </c>
      <c r="M23" s="385"/>
    </row>
    <row r="24" spans="2:13" x14ac:dyDescent="0.3">
      <c r="B24" s="400"/>
      <c r="C24" s="611"/>
      <c r="D24" s="365">
        <v>0.04</v>
      </c>
      <c r="E24" s="389">
        <v>2.8000000000000001E-2</v>
      </c>
      <c r="F24" s="389">
        <v>2.7333333333333334E-2</v>
      </c>
      <c r="G24" s="389">
        <v>2.6666666666666665E-2</v>
      </c>
      <c r="H24" s="389">
        <v>2.6000000000000002E-2</v>
      </c>
      <c r="I24" s="389">
        <v>2.5500000000000002E-2</v>
      </c>
      <c r="J24" s="389">
        <v>2.5000000000000001E-2</v>
      </c>
      <c r="K24" s="389">
        <v>2.4500000000000001E-2</v>
      </c>
      <c r="L24" s="390">
        <v>2.4E-2</v>
      </c>
      <c r="M24" s="385"/>
    </row>
    <row r="25" spans="2:13" x14ac:dyDescent="0.3">
      <c r="B25" s="400"/>
      <c r="C25" s="611"/>
      <c r="D25" s="366">
        <v>0.03</v>
      </c>
      <c r="E25" s="387">
        <v>2.4E-2</v>
      </c>
      <c r="F25" s="387">
        <v>2.3666666666666669E-2</v>
      </c>
      <c r="G25" s="387">
        <v>2.3333333333333331E-2</v>
      </c>
      <c r="H25" s="387">
        <v>2.3000000000000003E-2</v>
      </c>
      <c r="I25" s="387">
        <v>2.2750000000000003E-2</v>
      </c>
      <c r="J25" s="387">
        <v>2.2500000000000003E-2</v>
      </c>
      <c r="K25" s="387">
        <v>2.2250000000000002E-2</v>
      </c>
      <c r="L25" s="388">
        <v>2.2000000000000002E-2</v>
      </c>
      <c r="M25" s="385"/>
    </row>
    <row r="26" spans="2:13" x14ac:dyDescent="0.3">
      <c r="B26" s="400"/>
      <c r="C26" s="612"/>
      <c r="D26" s="367">
        <v>0.02</v>
      </c>
      <c r="E26" s="391">
        <v>0.02</v>
      </c>
      <c r="F26" s="391">
        <v>0.02</v>
      </c>
      <c r="G26" s="391">
        <v>0.02</v>
      </c>
      <c r="H26" s="391">
        <v>0.02</v>
      </c>
      <c r="I26" s="391">
        <v>0.02</v>
      </c>
      <c r="J26" s="391">
        <v>0.02</v>
      </c>
      <c r="K26" s="391">
        <v>0.02</v>
      </c>
      <c r="L26" s="392">
        <v>0.02</v>
      </c>
      <c r="M26" s="385"/>
    </row>
    <row r="27" spans="2:13" ht="5.0999999999999996" customHeight="1" x14ac:dyDescent="0.3">
      <c r="B27" s="401"/>
      <c r="C27" s="402"/>
      <c r="D27" s="402"/>
      <c r="E27" s="402"/>
      <c r="F27" s="402"/>
      <c r="G27" s="402"/>
      <c r="H27" s="402"/>
      <c r="I27" s="402"/>
      <c r="J27" s="402"/>
      <c r="K27" s="402"/>
      <c r="L27" s="402"/>
      <c r="M27" s="386"/>
    </row>
    <row r="28" spans="2:13" ht="5.0999999999999996" customHeight="1" x14ac:dyDescent="0.3"/>
    <row r="29" spans="2:13" x14ac:dyDescent="0.3">
      <c r="B29" s="594" t="s">
        <v>152</v>
      </c>
      <c r="C29" s="595"/>
      <c r="D29" s="595"/>
      <c r="E29" s="595"/>
      <c r="F29" s="595"/>
      <c r="G29" s="595"/>
      <c r="H29" s="595"/>
      <c r="I29" s="595"/>
      <c r="J29" s="595"/>
      <c r="K29" s="595"/>
      <c r="L29" s="595"/>
      <c r="M29" s="596"/>
    </row>
    <row r="30" spans="2:13" ht="5.0999999999999996" customHeight="1" x14ac:dyDescent="0.3">
      <c r="B30" s="400"/>
      <c r="L30" s="491"/>
      <c r="M30" s="385"/>
    </row>
    <row r="31" spans="2:13" x14ac:dyDescent="0.3">
      <c r="B31" s="400"/>
      <c r="C31" s="615" t="s">
        <v>153</v>
      </c>
      <c r="D31" s="603" t="s">
        <v>15</v>
      </c>
      <c r="E31" s="616" t="s">
        <v>154</v>
      </c>
      <c r="F31" s="617"/>
      <c r="J31" s="601" t="s">
        <v>0</v>
      </c>
      <c r="K31" s="603" t="s">
        <v>155</v>
      </c>
      <c r="L31" s="605" t="s">
        <v>116</v>
      </c>
      <c r="M31" s="385"/>
    </row>
    <row r="32" spans="2:13" x14ac:dyDescent="0.3">
      <c r="B32" s="400"/>
      <c r="C32" s="602"/>
      <c r="D32" s="604"/>
      <c r="E32" s="618"/>
      <c r="F32" s="619"/>
      <c r="J32" s="602"/>
      <c r="K32" s="604"/>
      <c r="L32" s="606"/>
      <c r="M32" s="385"/>
    </row>
    <row r="33" spans="2:26" x14ac:dyDescent="0.3">
      <c r="B33" s="400"/>
      <c r="C33" s="393"/>
      <c r="D33" s="376" t="s">
        <v>156</v>
      </c>
      <c r="E33" s="613" t="s">
        <v>157</v>
      </c>
      <c r="F33" s="614"/>
      <c r="J33" s="370" t="str">
        <f t="shared" ref="J33:J42" si="0">IF(C33="",IF(D33="",IF(E33="","",E33),D33),C33)</f>
        <v>MC FP</v>
      </c>
      <c r="K33" s="371" t="e">
        <f ca="1">IF(J33="","",IF(LEFT(_xll.BDP(J33&amp;" Equity","EV_TO_T12M_EBITDA","Fill=B"),1)="#",_xll.BDP(J33,"EV_TO_T12M_EBITDA","Fill=B"),_xll.BDP(J33&amp;" Equity","EV_TO_T12M_EBITDA","Fill=B")))</f>
        <v>#NAME?</v>
      </c>
      <c r="L33" s="372" t="str">
        <f ca="1">IFERROR(_xll.BDP(J33&amp;" Equity","WACC","Fill=B")/100,"")</f>
        <v/>
      </c>
      <c r="M33" s="385"/>
      <c r="Z33" s="76"/>
    </row>
    <row r="34" spans="2:26" x14ac:dyDescent="0.3">
      <c r="B34" s="400"/>
      <c r="C34" s="393"/>
      <c r="D34" s="377" t="s">
        <v>158</v>
      </c>
      <c r="E34" s="590" t="s">
        <v>159</v>
      </c>
      <c r="F34" s="591"/>
      <c r="J34" s="370" t="str">
        <f t="shared" si="0"/>
        <v>CDI FP</v>
      </c>
      <c r="K34" s="371" t="e">
        <f ca="1">IF(J34="","",IF(LEFT(_xll.BDP(J34&amp;" Equity","EV_TO_T12M_EBITDA","Fill=B"),1)="#",_xll.BDP(J34,"EV_TO_T12M_EBITDA","Fill=B"),_xll.BDP(J34&amp;" Equity","EV_TO_T12M_EBITDA","Fill=B")))</f>
        <v>#NAME?</v>
      </c>
      <c r="L34" s="372" t="str">
        <f ca="1">IFERROR(_xll.BDP(J34&amp;" Equity","WACC","Fill=B")/100,"")</f>
        <v/>
      </c>
      <c r="M34" s="385"/>
      <c r="Z34" s="76"/>
    </row>
    <row r="35" spans="2:26" x14ac:dyDescent="0.3">
      <c r="B35" s="400"/>
      <c r="C35" s="393"/>
      <c r="D35" s="376" t="s">
        <v>160</v>
      </c>
      <c r="E35" s="592" t="s">
        <v>161</v>
      </c>
      <c r="F35" s="593"/>
      <c r="J35" s="370" t="str">
        <f t="shared" si="0"/>
        <v>KER FP</v>
      </c>
      <c r="K35" s="371" t="e">
        <f ca="1">IF(J35="","",IF(LEFT(_xll.BDP(J35&amp;" Equity","EV_TO_T12M_EBITDA","Fill=B"),1)="#",_xll.BDP(J35,"EV_TO_T12M_EBITDA","Fill=B"),_xll.BDP(J35&amp;" Equity","EV_TO_T12M_EBITDA","Fill=B")))</f>
        <v>#NAME?</v>
      </c>
      <c r="L35" s="372" t="str">
        <f ca="1">IFERROR(_xll.BDP(J35&amp;" Equity","WACC","Fill=B")/100,"")</f>
        <v/>
      </c>
      <c r="M35" s="385"/>
    </row>
    <row r="36" spans="2:26" x14ac:dyDescent="0.3">
      <c r="B36" s="400"/>
      <c r="C36" s="393"/>
      <c r="D36" s="377" t="s">
        <v>162</v>
      </c>
      <c r="E36" s="590" t="s">
        <v>163</v>
      </c>
      <c r="F36" s="591"/>
      <c r="J36" s="370" t="str">
        <f t="shared" si="0"/>
        <v>1913 HK Equity</v>
      </c>
      <c r="K36" s="371" t="e">
        <f ca="1">IF(J36="","",IF(LEFT(_xll.BDP(J36&amp;" Equity","EV_TO_T12M_EBITDA","Fill=B"),1)="#",_xll.BDP(J36,"EV_TO_T12M_EBITDA","Fill=B"),_xll.BDP(J36&amp;" Equity","EV_TO_T12M_EBITDA","Fill=B")))</f>
        <v>#NAME?</v>
      </c>
      <c r="L36" s="372">
        <v>8.2000000000000003E-2</v>
      </c>
      <c r="M36" s="385"/>
    </row>
    <row r="37" spans="2:26" x14ac:dyDescent="0.3">
      <c r="B37" s="400"/>
      <c r="C37" s="393"/>
      <c r="D37" s="376" t="s">
        <v>164</v>
      </c>
      <c r="E37" s="592" t="s">
        <v>165</v>
      </c>
      <c r="F37" s="593"/>
      <c r="J37" s="370" t="str">
        <f t="shared" si="0"/>
        <v>RMS FP Equity</v>
      </c>
      <c r="K37" s="371" t="e">
        <f ca="1">IF(J37="","",IF(LEFT(_xll.BDP(J37&amp;" Equity","EV_TO_T12M_EBITDA","Fill=B"),1)="#",_xll.BDP(J37,"EV_TO_T12M_EBITDA","Fill=B"),_xll.BDP(J37&amp;" Equity","EV_TO_T12M_EBITDA","Fill=B")))</f>
        <v>#NAME?</v>
      </c>
      <c r="L37" s="372">
        <v>0.124</v>
      </c>
      <c r="M37" s="385"/>
    </row>
    <row r="38" spans="2:26" x14ac:dyDescent="0.3">
      <c r="B38" s="400"/>
      <c r="C38" s="393"/>
      <c r="D38" s="377" t="s">
        <v>166</v>
      </c>
      <c r="E38" s="590" t="s">
        <v>167</v>
      </c>
      <c r="F38" s="591"/>
      <c r="J38" s="370" t="str">
        <f t="shared" si="0"/>
        <v>PUM GR Equity</v>
      </c>
      <c r="K38" s="371">
        <v>7.8</v>
      </c>
      <c r="L38" s="372">
        <v>0.108</v>
      </c>
      <c r="M38" s="385"/>
    </row>
    <row r="39" spans="2:26" x14ac:dyDescent="0.3">
      <c r="B39" s="400"/>
      <c r="C39" s="393"/>
      <c r="D39" s="376" t="s">
        <v>168</v>
      </c>
      <c r="E39" s="592" t="s">
        <v>169</v>
      </c>
      <c r="F39" s="593"/>
      <c r="J39" s="370" t="str">
        <f t="shared" si="0"/>
        <v>ADS GR Equity</v>
      </c>
      <c r="K39" s="371" t="e">
        <f ca="1">IF(J39="","",IF(LEFT(_xll.BDP(J39&amp;" Equity","EV_TO_T12M_EBITDA","Fill=B"),1)="#",_xll.BDP(J39,"EV_TO_T12M_EBITDA","Fill=B"),_xll.BDP(J39&amp;" Equity","EV_TO_T12M_EBITDA","Fill=B")))</f>
        <v>#NAME?</v>
      </c>
      <c r="L39" s="372">
        <v>0.124</v>
      </c>
      <c r="M39" s="385"/>
    </row>
    <row r="40" spans="2:26" x14ac:dyDescent="0.3">
      <c r="B40" s="400"/>
      <c r="C40" s="393"/>
      <c r="D40" s="377" t="s">
        <v>170</v>
      </c>
      <c r="E40" s="590" t="s">
        <v>171</v>
      </c>
      <c r="F40" s="591"/>
      <c r="J40" s="370" t="str">
        <f t="shared" si="0"/>
        <v>CFR SW Equity</v>
      </c>
      <c r="K40" s="371" t="e">
        <f ca="1">IF(J40="","",IF(LEFT(_xll.BDP(J40&amp;" Equity","EV_TO_T12M_EBITDA","Fill=B"),1)="#",_xll.BDP(J40,"EV_TO_T12M_EBITDA","Fill=B"),_xll.BDP(J40&amp;" Equity","EV_TO_T12M_EBITDA","Fill=B")))</f>
        <v>#NAME?</v>
      </c>
      <c r="L40" s="372">
        <v>9.5000000000000001E-2</v>
      </c>
      <c r="M40" s="385"/>
    </row>
    <row r="41" spans="2:26" x14ac:dyDescent="0.3">
      <c r="B41" s="400"/>
      <c r="C41" s="393"/>
      <c r="D41" s="376" t="s">
        <v>172</v>
      </c>
      <c r="E41" s="592" t="s">
        <v>173</v>
      </c>
      <c r="F41" s="593"/>
      <c r="J41" s="370" t="str">
        <f t="shared" si="0"/>
        <v>UHR SW Equity</v>
      </c>
      <c r="K41" s="371" t="e">
        <f ca="1">IF(J41="","",IF(LEFT(_xll.BDP(J41&amp;" Equity","EV_TO_T12M_EBITDA","Fill=B"),1)="#",_xll.BDP(J41,"EV_TO_T12M_EBITDA","Fill=B"),_xll.BDP(J41&amp;" Equity","EV_TO_T12M_EBITDA","Fill=B")))</f>
        <v>#NAME?</v>
      </c>
      <c r="L41" s="372">
        <v>7.0000000000000007E-2</v>
      </c>
      <c r="M41" s="385"/>
      <c r="R41" t="s">
        <v>174</v>
      </c>
    </row>
    <row r="42" spans="2:26" x14ac:dyDescent="0.3">
      <c r="B42" s="400"/>
      <c r="C42" s="394"/>
      <c r="D42" s="378" t="s">
        <v>175</v>
      </c>
      <c r="E42" s="599" t="s">
        <v>176</v>
      </c>
      <c r="F42" s="600"/>
      <c r="H42" t="s">
        <v>177</v>
      </c>
      <c r="J42" s="373" t="str">
        <f t="shared" si="0"/>
        <v>MONC IM Equity</v>
      </c>
      <c r="K42" s="374" t="e">
        <f ca="1">IF(J42="","",IF(LEFT(_xll.BDP(J42&amp;" Equity","EV_TO_T12M_EBITDA","Fill=B"),1)="#",_xll.BDP(J42,"EV_TO_T12M_EBITDA","Fill=B"),_xll.BDP(J42&amp;" Equity","EV_TO_T12M_EBITDA","Fill=B")))</f>
        <v>#NAME?</v>
      </c>
      <c r="L42" s="375">
        <v>0.106</v>
      </c>
      <c r="M42" s="385"/>
    </row>
    <row r="43" spans="2:26" x14ac:dyDescent="0.3">
      <c r="B43" s="400"/>
      <c r="J43" s="493" t="s">
        <v>144</v>
      </c>
      <c r="K43" s="494" t="str">
        <f ca="1">IFERROR(MEDIAN(K33:K42),"NA")</f>
        <v>NA</v>
      </c>
      <c r="L43" s="495">
        <f ca="1">MEDIAN(L33:L42)</f>
        <v>0.106</v>
      </c>
      <c r="M43" s="385"/>
    </row>
    <row r="44" spans="2:26" x14ac:dyDescent="0.3">
      <c r="B44" s="400"/>
      <c r="J44" s="493" t="s">
        <v>178</v>
      </c>
      <c r="K44" s="494" t="e">
        <f ca="1">_xlfn.QUARTILE.EXC(K33:K42,3)-_xlfn.QUARTILE.EXC(K33:K42,1)</f>
        <v>#NAME?</v>
      </c>
      <c r="L44" s="495">
        <f ca="1">_xlfn.QUARTILE.EXC(L33:L42,3)-_xlfn.QUARTILE.EXC(L33:L42,1)</f>
        <v>4.1999999999999996E-2</v>
      </c>
      <c r="M44" s="385"/>
    </row>
    <row r="45" spans="2:26" x14ac:dyDescent="0.3">
      <c r="B45" s="400"/>
      <c r="J45" s="496" t="s">
        <v>179</v>
      </c>
      <c r="K45" s="497" t="str">
        <f ca="1">IFERROR(_xlfn.QUARTILE.EXC(K33:K42,3)+(1.5*K44),K43)</f>
        <v>NA</v>
      </c>
      <c r="L45" s="498">
        <f ca="1">_xlfn.QUARTILE.EXC(L33:L42,3)+(1.5*L44)</f>
        <v>0.187</v>
      </c>
      <c r="M45" s="385"/>
    </row>
    <row r="46" spans="2:26" ht="5.0999999999999996" customHeight="1" x14ac:dyDescent="0.3">
      <c r="B46" s="401"/>
      <c r="C46" s="402"/>
      <c r="D46" s="402"/>
      <c r="E46" s="402"/>
      <c r="F46" s="402"/>
      <c r="G46" s="402"/>
      <c r="H46" s="402"/>
      <c r="I46" s="402"/>
      <c r="J46" s="402"/>
      <c r="K46" s="402"/>
      <c r="L46" s="402"/>
      <c r="M46" s="386"/>
    </row>
    <row r="47" spans="2:26" ht="5.0999999999999996" customHeight="1" x14ac:dyDescent="0.3"/>
    <row r="48" spans="2:26" x14ac:dyDescent="0.3">
      <c r="B48" s="594" t="s">
        <v>180</v>
      </c>
      <c r="C48" s="595"/>
      <c r="D48" s="595"/>
      <c r="E48" s="595"/>
      <c r="F48" s="595"/>
      <c r="G48" s="595"/>
      <c r="H48" s="595"/>
      <c r="I48" s="595"/>
      <c r="J48" s="595"/>
      <c r="K48" s="595"/>
      <c r="L48" s="595"/>
      <c r="M48" s="596"/>
    </row>
    <row r="49" spans="2:20" ht="5.0999999999999996" customHeight="1" x14ac:dyDescent="0.3">
      <c r="B49" s="403"/>
      <c r="C49" s="491"/>
      <c r="D49" s="491"/>
      <c r="E49" s="491"/>
      <c r="F49" s="491"/>
      <c r="G49" s="491"/>
      <c r="H49" s="491"/>
      <c r="I49" s="491"/>
      <c r="J49" s="491"/>
      <c r="K49" s="491"/>
      <c r="L49" s="491"/>
      <c r="M49" s="404"/>
    </row>
    <row r="50" spans="2:20" x14ac:dyDescent="0.3">
      <c r="B50" s="400"/>
      <c r="D50" s="385"/>
      <c r="E50" s="499" t="s">
        <v>181</v>
      </c>
      <c r="F50" s="500" t="e">
        <f>DCF!#REF!</f>
        <v>#REF!</v>
      </c>
      <c r="G50" s="500" t="str">
        <f>DCF!I53</f>
        <v>-4FY</v>
      </c>
      <c r="H50" s="500" t="str">
        <f>DCF!J53</f>
        <v>-3FY</v>
      </c>
      <c r="I50" s="500" t="str">
        <f>DCF!K53</f>
        <v>-2FY</v>
      </c>
      <c r="J50" s="500" t="str">
        <f>DCF!L53</f>
        <v>-1FY</v>
      </c>
      <c r="K50" s="501" t="str">
        <f>DCF!M53</f>
        <v>-0FY</v>
      </c>
      <c r="M50" s="385"/>
    </row>
    <row r="51" spans="2:20" x14ac:dyDescent="0.3">
      <c r="B51" s="400"/>
      <c r="D51" s="408" t="s">
        <v>182</v>
      </c>
      <c r="E51" s="384"/>
      <c r="F51" s="379" t="e">
        <f>DCF!#REF!</f>
        <v>#REF!</v>
      </c>
      <c r="G51" s="379">
        <f>DCF!I52</f>
        <v>2019</v>
      </c>
      <c r="H51" s="379">
        <f>DCF!J52</f>
        <v>2020</v>
      </c>
      <c r="I51" s="379">
        <f>DCF!K52</f>
        <v>2021</v>
      </c>
      <c r="J51" s="379">
        <f>DCF!L52</f>
        <v>2022</v>
      </c>
      <c r="K51" s="383">
        <f>DCF!M52</f>
        <v>2023</v>
      </c>
      <c r="M51" s="385"/>
    </row>
    <row r="52" spans="2:20" x14ac:dyDescent="0.3">
      <c r="B52" s="400"/>
      <c r="D52" s="380" t="s">
        <v>183</v>
      </c>
      <c r="E52" s="381" t="e">
        <f ca="1">_xll.BQL(TKR,"BS_DEFERRED_TAX_LIABILITIES_LT/1000000","FPT=A","FPO=RANGE(-6,0)","showids=false","transpose=t","showheaders=false","showdates=false","excelfill=b","currency",CCY,"cols=7;rows=1")</f>
        <v>#NAME?</v>
      </c>
      <c r="F52" s="381">
        <v>5036</v>
      </c>
      <c r="G52" s="381">
        <v>5498</v>
      </c>
      <c r="H52" s="381">
        <v>5481</v>
      </c>
      <c r="I52" s="381">
        <v>6704</v>
      </c>
      <c r="J52" s="381">
        <v>6952</v>
      </c>
      <c r="K52" s="382">
        <v>7012</v>
      </c>
      <c r="M52" s="385"/>
    </row>
    <row r="53" spans="2:20" x14ac:dyDescent="0.3">
      <c r="B53" s="400"/>
      <c r="D53" s="502" t="s">
        <v>184</v>
      </c>
      <c r="E53" s="381" t="e">
        <f ca="1">_xll.BQL(TKR,"BS_DEFERRED_TAX_ASSETS_LT/1000000","FPT=A","FPO=RANGE(-6,0)","showids=false","transpose=t","showheaders=false","showdates=false","excelfill=b","currency",CCY,"cols=7;rows=1")</f>
        <v>#NAME?</v>
      </c>
      <c r="F53" s="503">
        <v>1932</v>
      </c>
      <c r="G53" s="503">
        <v>2274</v>
      </c>
      <c r="H53" s="503">
        <v>2325</v>
      </c>
      <c r="I53" s="503">
        <v>3156</v>
      </c>
      <c r="J53" s="503">
        <v>3661</v>
      </c>
      <c r="K53" s="504">
        <v>3992</v>
      </c>
      <c r="M53" s="385"/>
    </row>
    <row r="54" spans="2:20" x14ac:dyDescent="0.3">
      <c r="B54" s="400"/>
      <c r="D54" s="493" t="s">
        <v>185</v>
      </c>
      <c r="E54" s="505" t="str">
        <f ca="1">IFERROR(E52-E53,"")</f>
        <v/>
      </c>
      <c r="F54" s="506">
        <f t="shared" ref="F54:K54" si="1">F52-F53</f>
        <v>3104</v>
      </c>
      <c r="G54" s="506">
        <f t="shared" si="1"/>
        <v>3224</v>
      </c>
      <c r="H54" s="506">
        <f t="shared" si="1"/>
        <v>3156</v>
      </c>
      <c r="I54" s="506">
        <f t="shared" si="1"/>
        <v>3548</v>
      </c>
      <c r="J54" s="506">
        <f t="shared" si="1"/>
        <v>3291</v>
      </c>
      <c r="K54" s="507">
        <f t="shared" si="1"/>
        <v>3020</v>
      </c>
      <c r="M54" s="385"/>
    </row>
    <row r="55" spans="2:20" x14ac:dyDescent="0.3">
      <c r="B55" s="400"/>
      <c r="D55" s="496" t="s">
        <v>186</v>
      </c>
      <c r="E55" s="508"/>
      <c r="F55" s="509" t="str">
        <f ca="1">IFERROR(F54-E54,"")</f>
        <v/>
      </c>
      <c r="G55" s="509">
        <f>G54-F54</f>
        <v>120</v>
      </c>
      <c r="H55" s="509">
        <f>H54-G54</f>
        <v>-68</v>
      </c>
      <c r="I55" s="509">
        <f>I54-H54</f>
        <v>392</v>
      </c>
      <c r="J55" s="509">
        <f>J54-I54</f>
        <v>-257</v>
      </c>
      <c r="K55" s="510">
        <f>K54-J54</f>
        <v>-271</v>
      </c>
      <c r="M55" s="385"/>
    </row>
    <row r="56" spans="2:20" ht="5.0999999999999996" customHeight="1" x14ac:dyDescent="0.3">
      <c r="B56" s="401"/>
      <c r="C56" s="402"/>
      <c r="D56" s="402"/>
      <c r="E56" s="402"/>
      <c r="F56" s="402"/>
      <c r="G56" s="402"/>
      <c r="H56" s="402"/>
      <c r="I56" s="402"/>
      <c r="J56" s="402"/>
      <c r="K56" s="402"/>
      <c r="L56" s="402"/>
      <c r="M56" s="386"/>
    </row>
    <row r="59" spans="2:20" x14ac:dyDescent="0.3">
      <c r="O59">
        <f xml:space="preserve"> IF($O$61&lt;&gt;"",1, IF($O$62&lt;&gt;"",2,3 ))</f>
        <v>3</v>
      </c>
      <c r="P59">
        <f xml:space="preserve"> IF($P$61&lt;&gt;"",1, IF($P$62&lt;&gt;"",2,3 ))</f>
        <v>3</v>
      </c>
      <c r="Q59">
        <f xml:space="preserve"> IF($Q$61&lt;&gt;"",1, IF($Q$62&lt;&gt;"",2,3 ))</f>
        <v>3</v>
      </c>
      <c r="R59">
        <f xml:space="preserve"> IF($R$61&lt;&gt;"",1, IF($R$62&lt;&gt;"",2,3 ))</f>
        <v>3</v>
      </c>
      <c r="S59">
        <f xml:space="preserve"> IF($S$61&lt;&gt;"",1, IF($S$62&lt;&gt;"",2,3 ))</f>
        <v>3</v>
      </c>
      <c r="T59">
        <f xml:space="preserve"> IF($T$61&lt;&gt;"",1, IF($T$62&lt;&gt;"",2,3 ))</f>
        <v>3</v>
      </c>
    </row>
    <row r="80" spans="15:20" x14ac:dyDescent="0.3">
      <c r="O80">
        <f xml:space="preserve"> IF($O$82&lt;&gt;"", 1,2)</f>
        <v>2</v>
      </c>
      <c r="P80">
        <f xml:space="preserve"> IF($P$82&lt;&gt;"", 1,2)</f>
        <v>2</v>
      </c>
      <c r="Q80">
        <f xml:space="preserve"> IF($Q$82&lt;&gt;"", 1,2)</f>
        <v>2</v>
      </c>
      <c r="R80">
        <f xml:space="preserve"> IF($R$82&lt;&gt;"", 1,2)</f>
        <v>2</v>
      </c>
      <c r="S80">
        <f xml:space="preserve"> IF($S$82&lt;&gt;"", 1,2)</f>
        <v>2</v>
      </c>
      <c r="T80">
        <f xml:space="preserve"> IF($T$82&lt;&gt;"", 1,2)</f>
        <v>2</v>
      </c>
    </row>
    <row r="95" spans="15:20" x14ac:dyDescent="0.3">
      <c r="O95">
        <f xml:space="preserve"> IF($O$97&lt;&gt;"", 1,2)</f>
        <v>2</v>
      </c>
      <c r="P95">
        <f xml:space="preserve"> IF($P$97&lt;&gt;"", 1,2)</f>
        <v>2</v>
      </c>
      <c r="Q95">
        <f xml:space="preserve"> IF($Q$97&lt;&gt;"", 1,2)</f>
        <v>2</v>
      </c>
      <c r="R95">
        <f xml:space="preserve"> IF($R$97&lt;&gt;"", 1,2)</f>
        <v>2</v>
      </c>
      <c r="S95">
        <f xml:space="preserve"> IF($S$97&lt;&gt;"", 1,2)</f>
        <v>2</v>
      </c>
      <c r="T95">
        <f xml:space="preserve"> IF($T$97&lt;&gt;"", 1,2)</f>
        <v>2</v>
      </c>
    </row>
    <row r="115" spans="15:20" x14ac:dyDescent="0.3">
      <c r="O115">
        <f xml:space="preserve"> IF($O$117&lt;&gt;"", 1,2)</f>
        <v>2</v>
      </c>
      <c r="P115">
        <f xml:space="preserve"> IF($P$117&lt;&gt;"", 1,2)</f>
        <v>2</v>
      </c>
      <c r="Q115">
        <f xml:space="preserve"> IF($Q$117&lt;&gt;"", 1,2)</f>
        <v>2</v>
      </c>
      <c r="R115">
        <f xml:space="preserve"> IF($R$117&lt;&gt;"", 1,2)</f>
        <v>2</v>
      </c>
      <c r="S115">
        <f xml:space="preserve"> IF($S$117&lt;&gt;"", 1,2)</f>
        <v>2</v>
      </c>
      <c r="T115">
        <f xml:space="preserve"> IF($T$117&lt;&gt;"", 1,2)</f>
        <v>2</v>
      </c>
    </row>
    <row r="131" spans="15:20" x14ac:dyDescent="0.3">
      <c r="O131">
        <f xml:space="preserve"> IF($O$133&lt;&gt;"", 1,2)</f>
        <v>2</v>
      </c>
      <c r="P131">
        <f xml:space="preserve"> IF($P$133&lt;&gt;"", 1,2)</f>
        <v>2</v>
      </c>
      <c r="Q131">
        <f xml:space="preserve"> IF($Q$133&lt;&gt;"", 1,2)</f>
        <v>2</v>
      </c>
      <c r="R131">
        <f xml:space="preserve"> IF($R$133&lt;&gt;"", 1,2)</f>
        <v>2</v>
      </c>
      <c r="S131">
        <f xml:space="preserve"> IF($S$133&lt;&gt;"", 1,2)</f>
        <v>2</v>
      </c>
      <c r="T131">
        <f xml:space="preserve"> IF($T$133&lt;&gt;"", 1,2)</f>
        <v>2</v>
      </c>
    </row>
    <row r="149" spans="15:20" x14ac:dyDescent="0.3">
      <c r="O149">
        <f xml:space="preserve"> IF($O$151&lt;&gt;"",1, IF($O$152&lt;&gt;"",2,3 ))</f>
        <v>3</v>
      </c>
      <c r="P149">
        <f xml:space="preserve"> IF($P$151&lt;&gt;"",1, IF($P$152&lt;&gt;"",2,3 ))</f>
        <v>3</v>
      </c>
      <c r="Q149">
        <f xml:space="preserve"> IF($Q$151&lt;&gt;"",1, IF($Q$152&lt;&gt;"",2,3 ))</f>
        <v>3</v>
      </c>
      <c r="R149">
        <f xml:space="preserve"> IF($R$151&lt;&gt;"",1, IF($R$152&lt;&gt;"",2,3 ))</f>
        <v>3</v>
      </c>
      <c r="S149">
        <f xml:space="preserve"> IF($S$151&lt;&gt;"",1, IF($S$152&lt;&gt;"",2,3 ))</f>
        <v>3</v>
      </c>
      <c r="T149">
        <f xml:space="preserve"> IF($T$151&lt;&gt;"",1, IF($T$152&lt;&gt;"",2,3 ))</f>
        <v>3</v>
      </c>
    </row>
    <row r="167" spans="15:20" x14ac:dyDescent="0.3">
      <c r="O167">
        <v>1</v>
      </c>
      <c r="P167">
        <v>1</v>
      </c>
      <c r="Q167">
        <v>1</v>
      </c>
      <c r="R167">
        <v>1</v>
      </c>
      <c r="S167">
        <v>1</v>
      </c>
      <c r="T167">
        <v>1</v>
      </c>
    </row>
    <row r="180" spans="15:20" x14ac:dyDescent="0.3">
      <c r="O180">
        <v>1</v>
      </c>
      <c r="P180">
        <v>1</v>
      </c>
      <c r="Q180">
        <v>1</v>
      </c>
      <c r="R180">
        <v>1</v>
      </c>
      <c r="S180">
        <v>1</v>
      </c>
      <c r="T180">
        <v>1</v>
      </c>
    </row>
  </sheetData>
  <mergeCells count="23">
    <mergeCell ref="C13:C26"/>
    <mergeCell ref="E33:F33"/>
    <mergeCell ref="E34:F34"/>
    <mergeCell ref="E35:F35"/>
    <mergeCell ref="C31:C32"/>
    <mergeCell ref="D31:D32"/>
    <mergeCell ref="E31:F32"/>
    <mergeCell ref="E36:F36"/>
    <mergeCell ref="E37:F37"/>
    <mergeCell ref="E38:F38"/>
    <mergeCell ref="B7:M7"/>
    <mergeCell ref="B48:M48"/>
    <mergeCell ref="F9:G9"/>
    <mergeCell ref="J9:K9"/>
    <mergeCell ref="E41:F41"/>
    <mergeCell ref="B29:M29"/>
    <mergeCell ref="E42:F42"/>
    <mergeCell ref="J31:J32"/>
    <mergeCell ref="K31:K32"/>
    <mergeCell ref="L31:L32"/>
    <mergeCell ref="E39:F39"/>
    <mergeCell ref="E40:F40"/>
    <mergeCell ref="E11:L11"/>
  </mergeCells>
  <conditionalFormatting sqref="D13:D26">
    <cfRule type="cellIs" dxfId="2" priority="1494" operator="equal">
      <formula>$L$9</formula>
    </cfRule>
  </conditionalFormatting>
  <conditionalFormatting sqref="E12:L12">
    <cfRule type="cellIs" dxfId="1" priority="1500" operator="equal">
      <formula>$H$9</formula>
    </cfRule>
  </conditionalFormatting>
  <conditionalFormatting sqref="E13:L25">
    <cfRule type="cellIs" dxfId="0" priority="1498" operator="equal">
      <formula>$D$9</formula>
    </cfRule>
  </conditionalFormatting>
  <pageMargins left="0.7" right="0.7" top="0.75" bottom="0.75" header="0.3" footer="0.3"/>
  <pageSetup orientation="portrait"/>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tData"/>
  <dimension ref="A1:S58"/>
  <sheetViews>
    <sheetView showGridLines="0" showRowColHeaders="0" zoomScale="90" zoomScaleNormal="90" workbookViewId="0">
      <selection activeCell="E19" sqref="E19"/>
    </sheetView>
  </sheetViews>
  <sheetFormatPr defaultColWidth="8.88671875" defaultRowHeight="14.4" x14ac:dyDescent="0.3"/>
  <cols>
    <col min="1" max="1" width="3.6640625" customWidth="1"/>
    <col min="2" max="2" width="30" customWidth="1"/>
    <col min="3" max="3" width="11.33203125" customWidth="1"/>
    <col min="4" max="4" width="9.109375" customWidth="1"/>
    <col min="5" max="5" width="22.88671875" customWidth="1"/>
    <col min="7" max="9" width="9.109375" customWidth="1"/>
    <col min="12" max="12" width="9.109375" customWidth="1"/>
    <col min="13" max="13" width="32.109375" bestFit="1" customWidth="1"/>
    <col min="14" max="14" width="68" bestFit="1" customWidth="1"/>
    <col min="19" max="19" width="9.109375" style="29" customWidth="1"/>
    <col min="21" max="21" width="17" bestFit="1" customWidth="1"/>
    <col min="22" max="22" width="8.44140625" bestFit="1" customWidth="1"/>
    <col min="23" max="28" width="8.109375" bestFit="1" customWidth="1"/>
    <col min="29" max="29" width="18" bestFit="1" customWidth="1"/>
    <col min="30" max="35" width="8.109375" bestFit="1" customWidth="1"/>
    <col min="36" max="37" width="17.44140625" customWidth="1"/>
    <col min="38" max="38" width="17.88671875" bestFit="1" customWidth="1"/>
    <col min="39" max="39" width="18.6640625" bestFit="1" customWidth="1"/>
    <col min="40" max="40" width="8.109375" customWidth="1"/>
    <col min="41" max="42" width="9.88671875" customWidth="1"/>
    <col min="43" max="43" width="10.88671875" customWidth="1"/>
    <col min="44" max="44" width="4" customWidth="1"/>
    <col min="45" max="45" width="97" bestFit="1" customWidth="1"/>
  </cols>
  <sheetData>
    <row r="1" spans="2:19" ht="15" thickBot="1" x14ac:dyDescent="0.35">
      <c r="S1"/>
    </row>
    <row r="2" spans="2:19" ht="15" thickBot="1" x14ac:dyDescent="0.35">
      <c r="B2" s="620" t="s">
        <v>187</v>
      </c>
      <c r="C2" s="621"/>
      <c r="E2" s="622" t="s">
        <v>188</v>
      </c>
      <c r="F2" s="623"/>
      <c r="L2" s="1" t="s">
        <v>189</v>
      </c>
      <c r="S2"/>
    </row>
    <row r="3" spans="2:19" x14ac:dyDescent="0.3">
      <c r="B3" s="3" t="s">
        <v>190</v>
      </c>
      <c r="C3" s="4" t="str">
        <f>VLOOKUP(DCF!$K$6,Data!$B$4:$C$17,2,FALSE)</f>
        <v>EUR</v>
      </c>
      <c r="E3" s="441" t="s">
        <v>190</v>
      </c>
      <c r="F3" s="6" t="str">
        <f>VLOOKUP(DCF!K8,Data!E4:F5,2,FALSE)</f>
        <v>Y</v>
      </c>
      <c r="L3" s="47" t="s">
        <v>191</v>
      </c>
      <c r="M3" s="46" t="s">
        <v>192</v>
      </c>
      <c r="N3" s="48" t="s">
        <v>193</v>
      </c>
      <c r="S3"/>
    </row>
    <row r="4" spans="2:19" x14ac:dyDescent="0.3">
      <c r="B4" s="5" t="s">
        <v>194</v>
      </c>
      <c r="C4" s="6" t="e">
        <f ca="1">_xll.BDP(TKR,"EQY_FUND_CRNCY","Fill=B")</f>
        <v>#NAME?</v>
      </c>
      <c r="E4" s="439" t="s">
        <v>5</v>
      </c>
      <c r="F4" s="6" t="s">
        <v>195</v>
      </c>
      <c r="L4" s="28" t="s">
        <v>196</v>
      </c>
      <c r="M4" t="s">
        <v>197</v>
      </c>
      <c r="N4" s="41" t="str">
        <f>""</f>
        <v/>
      </c>
      <c r="S4"/>
    </row>
    <row r="5" spans="2:19" ht="15" thickBot="1" x14ac:dyDescent="0.35">
      <c r="B5" s="5" t="s">
        <v>198</v>
      </c>
      <c r="C5" s="6" t="e">
        <f ca="1">_xll.BDP(TKR,"CRNCY","Fill=B")</f>
        <v>#NAME?</v>
      </c>
      <c r="E5" s="440" t="s">
        <v>199</v>
      </c>
      <c r="F5" s="9" t="s">
        <v>200</v>
      </c>
      <c r="L5" s="28" t="s">
        <v>201</v>
      </c>
      <c r="M5" t="s">
        <v>202</v>
      </c>
      <c r="N5" s="41" t="str">
        <f>"WARNING: This ticker is"&amp;M5</f>
        <v>WARNING: This ticker is Delisted</v>
      </c>
      <c r="S5"/>
    </row>
    <row r="6" spans="2:19" ht="15" thickBot="1" x14ac:dyDescent="0.35">
      <c r="B6" s="7" t="s">
        <v>203</v>
      </c>
      <c r="C6" s="6" t="str">
        <f>B6</f>
        <v>AUD</v>
      </c>
      <c r="L6" s="28" t="s">
        <v>204</v>
      </c>
      <c r="M6" t="s">
        <v>205</v>
      </c>
      <c r="N6" s="41" t="str">
        <f>"WARNING: This company's market status is"&amp;M6</f>
        <v>WARNING: This company's market status is Acquired</v>
      </c>
      <c r="S6"/>
    </row>
    <row r="7" spans="2:19" ht="15" thickBot="1" x14ac:dyDescent="0.35">
      <c r="B7" s="7" t="s">
        <v>206</v>
      </c>
      <c r="C7" s="6" t="s">
        <v>206</v>
      </c>
      <c r="E7" s="445" t="s">
        <v>207</v>
      </c>
      <c r="F7" s="446" t="e">
        <f ca="1">_xll.BDP(TKR,"ADJUSTED_FINANCIALS_INDICATOR")</f>
        <v>#NAME?</v>
      </c>
      <c r="L7" s="28" t="s">
        <v>208</v>
      </c>
      <c r="M7" t="s">
        <v>209</v>
      </c>
      <c r="N7" s="41" t="str">
        <f>"WARNING: This ticker is"&amp;M7</f>
        <v>WARNING: This ticker is Unlisted</v>
      </c>
      <c r="S7"/>
    </row>
    <row r="8" spans="2:19" x14ac:dyDescent="0.3">
      <c r="B8" s="7" t="s">
        <v>210</v>
      </c>
      <c r="C8" s="6" t="str">
        <f t="shared" ref="C8:C17" si="0">B8</f>
        <v>CAD</v>
      </c>
      <c r="H8" s="31"/>
      <c r="I8" s="31"/>
      <c r="L8" s="28" t="s">
        <v>211</v>
      </c>
      <c r="M8" t="s">
        <v>212</v>
      </c>
      <c r="N8" s="41" t="str">
        <f>"WARNING: This ticker is"&amp;M8</f>
        <v>WARNING: This ticker is Suspended</v>
      </c>
      <c r="S8"/>
    </row>
    <row r="9" spans="2:19" x14ac:dyDescent="0.3">
      <c r="B9" s="7" t="s">
        <v>213</v>
      </c>
      <c r="C9" s="6" t="str">
        <f t="shared" si="0"/>
        <v>CHF</v>
      </c>
      <c r="L9" s="28" t="s">
        <v>214</v>
      </c>
      <c r="M9" t="s">
        <v>215</v>
      </c>
      <c r="N9" s="41" t="str">
        <f>"WARNING: This ticker is"&amp;M9</f>
        <v>WARNING: This ticker is Halted</v>
      </c>
      <c r="S9"/>
    </row>
    <row r="10" spans="2:19" x14ac:dyDescent="0.3">
      <c r="B10" s="7" t="s">
        <v>216</v>
      </c>
      <c r="C10" s="6" t="str">
        <f t="shared" si="0"/>
        <v>DKK</v>
      </c>
      <c r="L10" s="28" t="s">
        <v>217</v>
      </c>
      <c r="M10" t="s">
        <v>218</v>
      </c>
      <c r="N10" s="41" t="str">
        <f>"WARNING: This company's market status is"&amp;M10</f>
        <v>WARNING: This company's market status is Private Company</v>
      </c>
      <c r="S10"/>
    </row>
    <row r="11" spans="2:19" x14ac:dyDescent="0.3">
      <c r="B11" s="7" t="s">
        <v>2</v>
      </c>
      <c r="C11" s="6" t="str">
        <f t="shared" si="0"/>
        <v>EUR</v>
      </c>
      <c r="L11" s="28" t="s">
        <v>219</v>
      </c>
      <c r="M11" t="s">
        <v>220</v>
      </c>
      <c r="N11" s="41" t="str">
        <f>"WARNING: This ticker is"&amp;M11</f>
        <v>WARNING: This ticker is Expired</v>
      </c>
      <c r="S11"/>
    </row>
    <row r="12" spans="2:19" x14ac:dyDescent="0.3">
      <c r="B12" s="7" t="s">
        <v>221</v>
      </c>
      <c r="C12" s="6" t="str">
        <f t="shared" si="0"/>
        <v>GBP</v>
      </c>
      <c r="L12" s="28" t="s">
        <v>222</v>
      </c>
      <c r="M12" t="s">
        <v>223</v>
      </c>
      <c r="N12" s="41" t="str">
        <f>"WARNING: This ticker is"&amp;M12</f>
        <v>WARNING: This ticker is Postponed</v>
      </c>
      <c r="S12"/>
    </row>
    <row r="13" spans="2:19" x14ac:dyDescent="0.3">
      <c r="B13" s="7" t="s">
        <v>224</v>
      </c>
      <c r="C13" s="6" t="str">
        <f t="shared" si="0"/>
        <v>JPY</v>
      </c>
      <c r="L13" s="28" t="s">
        <v>225</v>
      </c>
      <c r="M13" t="s">
        <v>226</v>
      </c>
      <c r="N13" s="41" t="str">
        <f>"WARNING: This ticker is"&amp;M13</f>
        <v>WARNING: This ticker is Pending Listing</v>
      </c>
      <c r="S13"/>
    </row>
    <row r="14" spans="2:19" x14ac:dyDescent="0.3">
      <c r="B14" s="7" t="s">
        <v>227</v>
      </c>
      <c r="C14" s="6" t="str">
        <f t="shared" si="0"/>
        <v>NOK</v>
      </c>
      <c r="L14" s="28" t="s">
        <v>228</v>
      </c>
      <c r="M14" t="s">
        <v>229</v>
      </c>
      <c r="N14" s="41" t="str">
        <f>"WARNING: This ticker has changed. See DES&lt;GO&gt; or CACS&lt;GO&gt; for details."</f>
        <v>WARNING: This ticker has changed. See DES&lt;GO&gt; or CACS&lt;GO&gt; for details.</v>
      </c>
      <c r="S14"/>
    </row>
    <row r="15" spans="2:19" x14ac:dyDescent="0.3">
      <c r="B15" s="7" t="s">
        <v>230</v>
      </c>
      <c r="C15" s="6" t="str">
        <f t="shared" si="0"/>
        <v>NZD</v>
      </c>
      <c r="L15" s="28" t="s">
        <v>231</v>
      </c>
      <c r="M15" t="s">
        <v>232</v>
      </c>
      <c r="N15" s="41" t="str">
        <f>"WARNING: This company's market status is"&amp;M15</f>
        <v>WARNING: This company's market status is Liquidated</v>
      </c>
      <c r="S15"/>
    </row>
    <row r="16" spans="2:19" x14ac:dyDescent="0.3">
      <c r="B16" s="7" t="s">
        <v>233</v>
      </c>
      <c r="C16" s="6" t="str">
        <f t="shared" si="0"/>
        <v>SEK</v>
      </c>
      <c r="L16" s="28" t="s">
        <v>234</v>
      </c>
      <c r="M16" t="s">
        <v>235</v>
      </c>
      <c r="N16" s="41" t="str">
        <f>"WARNING: This ticker is"&amp;M16</f>
        <v>WARNING: This ticker is Inactive</v>
      </c>
      <c r="S16"/>
    </row>
    <row r="17" spans="2:19" ht="15" thickBot="1" x14ac:dyDescent="0.35">
      <c r="B17" s="8" t="s">
        <v>236</v>
      </c>
      <c r="C17" s="9" t="str">
        <f t="shared" si="0"/>
        <v>USD</v>
      </c>
      <c r="L17" s="28" t="s">
        <v>237</v>
      </c>
      <c r="M17" t="s">
        <v>238</v>
      </c>
      <c r="N17" s="41" t="str">
        <f t="shared" ref="N17:N35" si="1">"WARNING: This ticker's market status is"&amp;M17</f>
        <v>WARNING: This ticker's market status is When Issued</v>
      </c>
      <c r="S17"/>
    </row>
    <row r="18" spans="2:19" x14ac:dyDescent="0.3">
      <c r="B18" s="10"/>
      <c r="C18" s="2"/>
      <c r="L18" s="28" t="s">
        <v>239</v>
      </c>
      <c r="M18" t="s">
        <v>240</v>
      </c>
      <c r="N18" s="41" t="str">
        <f t="shared" si="1"/>
        <v>WARNING: This ticker's market status is Pending Symbol</v>
      </c>
      <c r="S18"/>
    </row>
    <row r="19" spans="2:19" x14ac:dyDescent="0.3">
      <c r="L19" s="28" t="s">
        <v>241</v>
      </c>
      <c r="M19" t="s">
        <v>242</v>
      </c>
      <c r="N19" s="41" t="str">
        <f t="shared" si="1"/>
        <v>WARNING: This ticker's market status is Opening Auction</v>
      </c>
      <c r="S19"/>
    </row>
    <row r="20" spans="2:19" x14ac:dyDescent="0.3">
      <c r="L20" s="28" t="s">
        <v>243</v>
      </c>
      <c r="M20" t="s">
        <v>244</v>
      </c>
      <c r="N20" s="41" t="str">
        <f t="shared" si="1"/>
        <v>WARNING: This ticker's market status is Closing Auction</v>
      </c>
      <c r="S20"/>
    </row>
    <row r="21" spans="2:19" x14ac:dyDescent="0.3">
      <c r="L21" s="28" t="s">
        <v>245</v>
      </c>
      <c r="M21" t="s">
        <v>246</v>
      </c>
      <c r="N21" s="41" t="str">
        <f t="shared" si="1"/>
        <v>WARNING: This ticker's market status is Auction</v>
      </c>
      <c r="S21"/>
    </row>
    <row r="22" spans="2:19" x14ac:dyDescent="0.3">
      <c r="L22" s="28" t="s">
        <v>247</v>
      </c>
      <c r="M22" t="s">
        <v>248</v>
      </c>
      <c r="N22" s="41" t="str">
        <f t="shared" si="1"/>
        <v>WARNING: This ticker's market status is Indicated Market</v>
      </c>
      <c r="S22"/>
    </row>
    <row r="23" spans="2:19" x14ac:dyDescent="0.3">
      <c r="L23" s="28" t="s">
        <v>249</v>
      </c>
      <c r="M23" t="s">
        <v>250</v>
      </c>
      <c r="N23" s="41" t="str">
        <f t="shared" si="1"/>
        <v>WARNING: This ticker's market status is Opening Delay</v>
      </c>
      <c r="S23"/>
    </row>
    <row r="24" spans="2:19" x14ac:dyDescent="0.3">
      <c r="L24" s="28" t="s">
        <v>251</v>
      </c>
      <c r="M24" t="s">
        <v>252</v>
      </c>
      <c r="N24" s="41" t="str">
        <f t="shared" si="1"/>
        <v>WARNING: This ticker's market status is No Open, No Resume</v>
      </c>
      <c r="S24"/>
    </row>
    <row r="25" spans="2:19" x14ac:dyDescent="0.3">
      <c r="L25" s="28" t="s">
        <v>253</v>
      </c>
      <c r="M25" t="s">
        <v>254</v>
      </c>
      <c r="N25" s="41" t="str">
        <f t="shared" si="1"/>
        <v>WARNING: This ticker's market status is Price Indication</v>
      </c>
      <c r="S25"/>
    </row>
    <row r="26" spans="2:19" x14ac:dyDescent="0.3">
      <c r="B26" s="10"/>
      <c r="C26" s="32"/>
      <c r="L26" s="28" t="s">
        <v>255</v>
      </c>
      <c r="M26" t="s">
        <v>256</v>
      </c>
      <c r="N26" s="41" t="str">
        <f t="shared" si="1"/>
        <v>WARNING: This ticker's market status is Trading Range Indication</v>
      </c>
      <c r="S26"/>
    </row>
    <row r="27" spans="2:19" ht="15" thickBot="1" x14ac:dyDescent="0.35">
      <c r="B27" s="1" t="s">
        <v>257</v>
      </c>
      <c r="L27" s="28" t="s">
        <v>258</v>
      </c>
      <c r="M27" t="s">
        <v>259</v>
      </c>
      <c r="N27" s="41" t="str">
        <f t="shared" si="1"/>
        <v>WARNING: This ticker's market status is Market Imbalance Buy</v>
      </c>
    </row>
    <row r="28" spans="2:19" ht="15" thickBot="1" x14ac:dyDescent="0.35">
      <c r="B28" s="37" t="e">
        <f ca="1">LEFT(_xll.BQL(TKR,"PRIMARY_PERIODICITY","EXCELFill=B"),1)</f>
        <v>#NAME?</v>
      </c>
      <c r="C28" s="38" t="e">
        <f ca="1">"-0F"&amp;B28</f>
        <v>#NAME?</v>
      </c>
      <c r="L28" s="28" t="s">
        <v>260</v>
      </c>
      <c r="M28" t="s">
        <v>261</v>
      </c>
      <c r="N28" s="41" t="str">
        <f t="shared" si="1"/>
        <v>WARNING: This ticker's market status is Market Imbalance Sell</v>
      </c>
    </row>
    <row r="29" spans="2:19" ht="15" thickBot="1" x14ac:dyDescent="0.35">
      <c r="L29" s="28" t="s">
        <v>262</v>
      </c>
      <c r="M29" t="s">
        <v>263</v>
      </c>
      <c r="N29" s="41" t="str">
        <f t="shared" si="1"/>
        <v>WARNING: This ticker's market status is No Market Imbalance</v>
      </c>
    </row>
    <row r="30" spans="2:19" x14ac:dyDescent="0.3">
      <c r="B30" s="34" t="s">
        <v>264</v>
      </c>
      <c r="L30" s="28" t="s">
        <v>265</v>
      </c>
      <c r="M30" t="s">
        <v>266</v>
      </c>
      <c r="N30" s="41" t="str">
        <f t="shared" si="1"/>
        <v>WARNING: This ticker's market status is No Market Makers</v>
      </c>
    </row>
    <row r="31" spans="2:19" x14ac:dyDescent="0.3">
      <c r="B31" s="33"/>
      <c r="C31" t="s">
        <v>267</v>
      </c>
      <c r="L31" s="28" t="s">
        <v>268</v>
      </c>
      <c r="M31" t="s">
        <v>269</v>
      </c>
      <c r="N31" s="41" t="str">
        <f t="shared" si="1"/>
        <v>WARNING: This ticker's market status is Halted Exceeds Limit</v>
      </c>
    </row>
    <row r="32" spans="2:19" x14ac:dyDescent="0.3">
      <c r="B32" s="36"/>
      <c r="C32" t="s">
        <v>270</v>
      </c>
      <c r="L32" s="28" t="s">
        <v>271</v>
      </c>
      <c r="M32" t="s">
        <v>272</v>
      </c>
      <c r="N32" s="41" t="str">
        <f t="shared" si="1"/>
        <v>WARNING: This ticker's market status is Security Deleted</v>
      </c>
    </row>
    <row r="33" spans="1:14" ht="15" thickBot="1" x14ac:dyDescent="0.35">
      <c r="A33" s="49"/>
      <c r="B33" s="35"/>
      <c r="C33" t="s">
        <v>273</v>
      </c>
      <c r="L33" s="28" t="s">
        <v>274</v>
      </c>
      <c r="M33" t="s">
        <v>238</v>
      </c>
      <c r="N33" s="41" t="str">
        <f t="shared" si="1"/>
        <v>WARNING: This ticker's market status is When Issued</v>
      </c>
    </row>
    <row r="34" spans="1:14" x14ac:dyDescent="0.3">
      <c r="A34" s="49"/>
      <c r="L34" s="28" t="s">
        <v>275</v>
      </c>
      <c r="M34" t="s">
        <v>202</v>
      </c>
      <c r="N34" s="41" t="str">
        <f t="shared" si="1"/>
        <v>WARNING: This ticker's market status is Delisted</v>
      </c>
    </row>
    <row r="35" spans="1:14" ht="15" thickBot="1" x14ac:dyDescent="0.35">
      <c r="B35" s="1" t="s">
        <v>276</v>
      </c>
      <c r="L35" s="28" t="s">
        <v>277</v>
      </c>
      <c r="M35" t="s">
        <v>278</v>
      </c>
      <c r="N35" s="41" t="str">
        <f t="shared" si="1"/>
        <v>WARNING: This ticker's market status is Script Conversion</v>
      </c>
    </row>
    <row r="36" spans="1:14" x14ac:dyDescent="0.3">
      <c r="B36" s="39" t="e">
        <f ca="1">_xll.BDS(TKR,"CIE_DES_BULK","Fill=B")</f>
        <v>#NAME?</v>
      </c>
      <c r="C36" s="43"/>
      <c r="D36" s="43"/>
      <c r="E36" s="43"/>
      <c r="F36" s="43"/>
      <c r="G36" s="43"/>
      <c r="H36" s="43"/>
      <c r="I36" s="40"/>
      <c r="L36" s="28" t="s">
        <v>279</v>
      </c>
      <c r="M36" t="s">
        <v>280</v>
      </c>
      <c r="N36" s="41" t="str">
        <f t="shared" ref="N36:N44" si="2">"WARNING: This ticker's market status is"&amp;M36</f>
        <v>WARNING: This ticker's market status is Any Combination of Cum Remarks</v>
      </c>
    </row>
    <row r="37" spans="1:14" x14ac:dyDescent="0.3">
      <c r="B37" s="28"/>
      <c r="I37" s="41"/>
      <c r="L37" s="28" t="s">
        <v>281</v>
      </c>
      <c r="M37" t="s">
        <v>282</v>
      </c>
      <c r="N37" s="41" t="str">
        <f t="shared" si="2"/>
        <v>WARNING: This ticker's market status is Cum Dividend</v>
      </c>
    </row>
    <row r="38" spans="1:14" x14ac:dyDescent="0.3">
      <c r="B38" s="28"/>
      <c r="I38" s="41"/>
      <c r="L38" s="28" t="s">
        <v>283</v>
      </c>
      <c r="M38" t="s">
        <v>284</v>
      </c>
      <c r="N38" s="41" t="str">
        <f t="shared" si="2"/>
        <v>WARNING: This ticker's market status is Cum Bonus</v>
      </c>
    </row>
    <row r="39" spans="1:14" x14ac:dyDescent="0.3">
      <c r="B39" s="28"/>
      <c r="I39" s="41"/>
      <c r="L39" s="28" t="s">
        <v>285</v>
      </c>
      <c r="M39" t="s">
        <v>286</v>
      </c>
      <c r="N39" s="41" t="str">
        <f t="shared" si="2"/>
        <v>WARNING: This ticker's market status is Cum Rights</v>
      </c>
    </row>
    <row r="40" spans="1:14" ht="15" thickBot="1" x14ac:dyDescent="0.35">
      <c r="B40" s="42"/>
      <c r="C40" s="11"/>
      <c r="D40" s="11"/>
      <c r="E40" s="11"/>
      <c r="F40" s="11"/>
      <c r="G40" s="11"/>
      <c r="H40" s="11"/>
      <c r="I40" s="12"/>
      <c r="L40" s="28" t="s">
        <v>287</v>
      </c>
      <c r="M40" t="s">
        <v>288</v>
      </c>
      <c r="N40" s="41" t="str">
        <f t="shared" si="2"/>
        <v>WARNING: This ticker's market status is Cum Offer</v>
      </c>
    </row>
    <row r="41" spans="1:14" x14ac:dyDescent="0.3">
      <c r="L41" s="28" t="s">
        <v>289</v>
      </c>
      <c r="M41" t="s">
        <v>290</v>
      </c>
      <c r="N41" s="41" t="str">
        <f t="shared" si="2"/>
        <v>WARNING: This ticker's market status is Cum Interest</v>
      </c>
    </row>
    <row r="42" spans="1:14" x14ac:dyDescent="0.3">
      <c r="L42" s="28" t="s">
        <v>291</v>
      </c>
      <c r="M42" t="s">
        <v>292</v>
      </c>
      <c r="N42" s="41" t="str">
        <f t="shared" si="2"/>
        <v>WARNING: This ticker's market status is Cum Entitlement</v>
      </c>
    </row>
    <row r="43" spans="1:14" x14ac:dyDescent="0.3">
      <c r="L43" s="28" t="s">
        <v>293</v>
      </c>
      <c r="M43" t="s">
        <v>294</v>
      </c>
      <c r="N43" s="41" t="str">
        <f t="shared" si="2"/>
        <v>WARNING: This ticker's market status is Any Combination of Ex Remarks</v>
      </c>
    </row>
    <row r="44" spans="1:14" x14ac:dyDescent="0.3">
      <c r="L44" s="28" t="s">
        <v>295</v>
      </c>
      <c r="M44" t="s">
        <v>296</v>
      </c>
      <c r="N44" s="41" t="str">
        <f t="shared" si="2"/>
        <v>WARNING: This ticker's market status is Ex Dividend</v>
      </c>
    </row>
    <row r="45" spans="1:14" x14ac:dyDescent="0.3">
      <c r="L45" s="28" t="s">
        <v>297</v>
      </c>
      <c r="M45" t="s">
        <v>298</v>
      </c>
      <c r="N45" s="41" t="str">
        <f>"WARNING: This ticker's market status is"&amp;M45</f>
        <v>WARNING: This ticker's market status is Ex Bonus</v>
      </c>
    </row>
    <row r="46" spans="1:14" x14ac:dyDescent="0.3">
      <c r="L46" s="28" t="s">
        <v>299</v>
      </c>
      <c r="M46" t="s">
        <v>300</v>
      </c>
      <c r="N46" s="41" t="str">
        <f>"WARNING: This ticker's market status is"&amp;M46</f>
        <v>WARNING: This ticker's market status is Ex Rights</v>
      </c>
    </row>
    <row r="47" spans="1:14" x14ac:dyDescent="0.3">
      <c r="L47" s="28" t="s">
        <v>301</v>
      </c>
      <c r="M47" t="s">
        <v>302</v>
      </c>
      <c r="N47" s="41" t="str">
        <f t="shared" ref="N47:N58" si="3">"WARNING: This ticker's market status is"&amp;M47</f>
        <v>WARNING: This ticker's market status is Ex Liquidation</v>
      </c>
    </row>
    <row r="48" spans="1:14" x14ac:dyDescent="0.3">
      <c r="L48" s="28" t="s">
        <v>303</v>
      </c>
      <c r="M48" t="s">
        <v>304</v>
      </c>
      <c r="N48" s="41" t="str">
        <f t="shared" si="3"/>
        <v>WARNING: This ticker's market status is Ex Stock Distribution</v>
      </c>
    </row>
    <row r="49" spans="12:14" x14ac:dyDescent="0.3">
      <c r="L49" s="28" t="s">
        <v>305</v>
      </c>
      <c r="M49" t="s">
        <v>306</v>
      </c>
      <c r="N49" s="41" t="str">
        <f t="shared" si="3"/>
        <v>WARNING: This ticker's market status is Ex Repayment of Capital</v>
      </c>
    </row>
    <row r="50" spans="12:14" x14ac:dyDescent="0.3">
      <c r="L50" s="28" t="s">
        <v>307</v>
      </c>
      <c r="M50" t="s">
        <v>308</v>
      </c>
      <c r="N50" s="41" t="str">
        <f t="shared" si="3"/>
        <v>WARNING: This ticker's market status is Stabilization Indicator</v>
      </c>
    </row>
    <row r="51" spans="12:14" x14ac:dyDescent="0.3">
      <c r="L51" s="28" t="s">
        <v>309</v>
      </c>
      <c r="M51" t="s">
        <v>310</v>
      </c>
      <c r="N51" s="41" t="str">
        <f t="shared" si="3"/>
        <v>WARNING: This ticker's market status is Stock Split</v>
      </c>
    </row>
    <row r="52" spans="12:14" x14ac:dyDescent="0.3">
      <c r="L52" s="28" t="s">
        <v>311</v>
      </c>
      <c r="M52" t="s">
        <v>312</v>
      </c>
      <c r="N52" s="41" t="str">
        <f t="shared" si="3"/>
        <v>WARNING: This ticker's market status is Ex Dividend/Ex Rights</v>
      </c>
    </row>
    <row r="53" spans="12:14" x14ac:dyDescent="0.3">
      <c r="L53" s="28" t="s">
        <v>313</v>
      </c>
      <c r="M53" t="s">
        <v>314</v>
      </c>
      <c r="N53" s="41" t="str">
        <f t="shared" si="3"/>
        <v>WARNING: This ticker's market status is Price Not Available</v>
      </c>
    </row>
    <row r="54" spans="12:14" x14ac:dyDescent="0.3">
      <c r="L54" s="28" t="s">
        <v>315</v>
      </c>
      <c r="M54" t="s">
        <v>316</v>
      </c>
      <c r="N54" s="41" t="str">
        <f t="shared" si="3"/>
        <v>WARNING: This ticker's market status is Additional Information on DES</v>
      </c>
    </row>
    <row r="55" spans="12:14" x14ac:dyDescent="0.3">
      <c r="L55" s="28" t="s">
        <v>317</v>
      </c>
      <c r="M55" t="s">
        <v>318</v>
      </c>
      <c r="N55" s="41" t="str">
        <f t="shared" si="3"/>
        <v>WARNING: This ticker's market status is PreNotice</v>
      </c>
    </row>
    <row r="56" spans="12:14" x14ac:dyDescent="0.3">
      <c r="L56" s="28" t="s">
        <v>319</v>
      </c>
      <c r="M56" t="s">
        <v>320</v>
      </c>
      <c r="N56" s="41" t="str">
        <f t="shared" si="3"/>
        <v>WARNING: This ticker's market status is Suspended by the Regulator</v>
      </c>
    </row>
    <row r="57" spans="12:14" x14ac:dyDescent="0.3">
      <c r="L57" s="28" t="s">
        <v>321</v>
      </c>
      <c r="M57" t="s">
        <v>322</v>
      </c>
      <c r="N57" s="41" t="str">
        <f t="shared" si="3"/>
        <v>WARNING: This ticker's market status is Short Term Suspension</v>
      </c>
    </row>
    <row r="58" spans="12:14" ht="15" thickBot="1" x14ac:dyDescent="0.35">
      <c r="L58" s="42" t="s">
        <v>323</v>
      </c>
      <c r="M58" s="11" t="s">
        <v>324</v>
      </c>
      <c r="N58" s="12" t="str">
        <f t="shared" si="3"/>
        <v>WARNING: This ticker's market status is Authorized Halt</v>
      </c>
    </row>
  </sheetData>
  <mergeCells count="2">
    <mergeCell ref="B2:C2"/>
    <mergeCell ref="E2:F2"/>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tDataTrigger"/>
  <dimension ref="A1:G35"/>
  <sheetViews>
    <sheetView workbookViewId="0">
      <selection activeCell="I24" sqref="I24"/>
    </sheetView>
  </sheetViews>
  <sheetFormatPr defaultColWidth="9.109375" defaultRowHeight="10.199999999999999" x14ac:dyDescent="0.2"/>
  <cols>
    <col min="1" max="1" width="27" style="44" bestFit="1" customWidth="1"/>
    <col min="2" max="16384" width="9.109375" style="44"/>
  </cols>
  <sheetData>
    <row r="1" spans="1:7" x14ac:dyDescent="0.2">
      <c r="A1" s="44">
        <f ca="1">COUNTIF(3:100,"#N/A Requesting Data...")</f>
        <v>0</v>
      </c>
    </row>
    <row r="2" spans="1:7" x14ac:dyDescent="0.2">
      <c r="B2" s="44">
        <v>1</v>
      </c>
      <c r="C2" s="44">
        <v>2</v>
      </c>
      <c r="D2" s="44">
        <v>3</v>
      </c>
      <c r="E2" s="44">
        <v>4</v>
      </c>
      <c r="F2" s="44">
        <v>5</v>
      </c>
      <c r="G2" s="44">
        <v>6</v>
      </c>
    </row>
    <row r="3" spans="1:7" x14ac:dyDescent="0.2">
      <c r="A3" s="44" t="s">
        <v>325</v>
      </c>
      <c r="B3" s="44" t="e">
        <f ca="1">_xll.BDP(TKR,"BEST_SALES","BEST_FPERIOD_OVERRIDE",B$2&amp;"FY","EQY_FUND_CRNCY",CCY)</f>
        <v>#NAME?</v>
      </c>
      <c r="C3" s="44" t="e">
        <f ca="1">_xll.BDP(TKR,"BEST_SALES","BEST_FPERIOD_OVERRIDE",C$2&amp;"FY","EQY_FUND_CRNCY",CCY)</f>
        <v>#NAME?</v>
      </c>
      <c r="D3" s="44" t="e">
        <f ca="1">_xll.BDP(TKR,"BEST_SALES","BEST_FPERIOD_OVERRIDE",D$2&amp;"FY","EQY_FUND_CRNCY",CCY)</f>
        <v>#NAME?</v>
      </c>
      <c r="E3" s="44" t="e">
        <f ca="1">_xll.BDP(TKR,"BEST_SALES","BEST_FPERIOD_OVERRIDE",E$2&amp;"FY","EQY_FUND_CRNCY",CCY)</f>
        <v>#NAME?</v>
      </c>
      <c r="F3" s="44" t="e">
        <f ca="1">_xll.BDP(TKR,"BEST_SALES","BEST_FPERIOD_OVERRIDE",F$2&amp;"FY","EQY_FUND_CRNCY",CCY)</f>
        <v>#NAME?</v>
      </c>
      <c r="G3" s="44" t="e">
        <f ca="1">_xll.BDP(TKR,"BEST_SALES","BEST_FPERIOD_OVERRIDE",G$2&amp;"FY","EQY_FUND_CRNCY",CCY)</f>
        <v>#NAME?</v>
      </c>
    </row>
    <row r="4" spans="1:7" x14ac:dyDescent="0.2">
      <c r="A4" s="44" t="s">
        <v>326</v>
      </c>
      <c r="B4" s="44" t="e">
        <f ca="1">_xll.BDP(TKR,"BEST_EST_LONG_TERM_GROWTH")</f>
        <v>#NAME?</v>
      </c>
    </row>
    <row r="5" spans="1:7" x14ac:dyDescent="0.2">
      <c r="A5" s="44" t="s">
        <v>327</v>
      </c>
      <c r="B5" s="44" t="e">
        <f ca="1">_xll.BDP(TKR,"BEST_GROSS_MARGIN","BEST_FPERIOD_OVERRIDE",B$2&amp;"FY","EQY_FUND_CRNCY",CCY)</f>
        <v>#NAME?</v>
      </c>
      <c r="C5" s="44" t="e">
        <f ca="1">_xll.BDP(TKR,"BEST_GROSS_MARGIN","BEST_FPERIOD_OVERRIDE",C$2&amp;"FY","EQY_FUND_CRNCY",CCY)</f>
        <v>#NAME?</v>
      </c>
      <c r="D5" s="44" t="e">
        <f ca="1">_xll.BDP(TKR,"BEST_GROSS_MARGIN","BEST_FPERIOD_OVERRIDE",D$2&amp;"FY","EQY_FUND_CRNCY",CCY)</f>
        <v>#NAME?</v>
      </c>
      <c r="E5" s="44" t="e">
        <f ca="1">_xll.BDP(TKR,"BEST_GROSS_MARGIN","BEST_FPERIOD_OVERRIDE",E$2&amp;"FY","EQY_FUND_CRNCY",CCY)</f>
        <v>#NAME?</v>
      </c>
      <c r="F5" s="44" t="e">
        <f ca="1">_xll.BDP(TKR,"BEST_GROSS_MARGIN","BEST_FPERIOD_OVERRIDE",F$2&amp;"FY","EQY_FUND_CRNCY",CCY)</f>
        <v>#NAME?</v>
      </c>
      <c r="G5" s="44" t="e">
        <f ca="1">_xll.BDP(TKR,"BEST_GROSS_MARGIN","BEST_FPERIOD_OVERRIDE",G$2&amp;"FY","EQY_FUND_CRNCY",CCY)</f>
        <v>#NAME?</v>
      </c>
    </row>
    <row r="6" spans="1:7" x14ac:dyDescent="0.2">
      <c r="A6" s="44" t="s">
        <v>328</v>
      </c>
      <c r="B6" s="44" t="e">
        <f ca="1">_xll.BDP(TKR,"BEST_OPP","BEST_FPERIOD_OVERRIDE",B$2&amp;"FY","EQY_FUND_CRNCY",CCY)</f>
        <v>#NAME?</v>
      </c>
      <c r="C6" s="44" t="e">
        <f ca="1">_xll.BDP(TKR,"BEST_OPP","BEST_FPERIOD_OVERRIDE",C$2&amp;"FY","EQY_FUND_CRNCY",CCY)</f>
        <v>#NAME?</v>
      </c>
      <c r="D6" s="44" t="e">
        <f ca="1">_xll.BDP(TKR,"BEST_OPP","BEST_FPERIOD_OVERRIDE",D$2&amp;"FY","EQY_FUND_CRNCY",CCY)</f>
        <v>#NAME?</v>
      </c>
      <c r="E6" s="44" t="e">
        <f ca="1">_xll.BDP(TKR,"BEST_OPP","BEST_FPERIOD_OVERRIDE",E$2&amp;"FY","EQY_FUND_CRNCY",CCY)</f>
        <v>#NAME?</v>
      </c>
      <c r="F6" s="44" t="e">
        <f ca="1">_xll.BDP(TKR,"BEST_OPP","BEST_FPERIOD_OVERRIDE",F$2&amp;"FY","EQY_FUND_CRNCY",CCY)</f>
        <v>#NAME?</v>
      </c>
      <c r="G6" s="44" t="e">
        <f ca="1">_xll.BDP(TKR,"BEST_OPP","BEST_FPERIOD_OVERRIDE",G$2&amp;"FY","EQY_FUND_CRNCY",CCY)</f>
        <v>#NAME?</v>
      </c>
    </row>
    <row r="7" spans="1:7" x14ac:dyDescent="0.2">
      <c r="A7" s="44" t="s">
        <v>329</v>
      </c>
      <c r="B7" s="44" t="e">
        <f ca="1">_xll.BDP(TKR,"BEST_EBITDA","BEST_FPERIOD_OVERRIDE",B$2&amp;"FY","EQY_FUND_CRNCY",CCY)</f>
        <v>#NAME?</v>
      </c>
      <c r="C7" s="44" t="e">
        <f ca="1">_xll.BDP(TKR,"BEST_EBITDA","BEST_FPERIOD_OVERRIDE",C$2&amp;"FY","EQY_FUND_CRNCY",CCY)</f>
        <v>#NAME?</v>
      </c>
      <c r="D7" s="44" t="e">
        <f ca="1">_xll.BDP(TKR,"BEST_EBITDA","BEST_FPERIOD_OVERRIDE",D$2&amp;"FY","EQY_FUND_CRNCY",CCY)</f>
        <v>#NAME?</v>
      </c>
      <c r="E7" s="44" t="e">
        <f ca="1">_xll.BDP(TKR,"BEST_EBITDA","BEST_FPERIOD_OVERRIDE",E$2&amp;"FY","EQY_FUND_CRNCY",CCY)</f>
        <v>#NAME?</v>
      </c>
      <c r="F7" s="44" t="e">
        <f ca="1">_xll.BDP(TKR,"BEST_EBITDA","BEST_FPERIOD_OVERRIDE",F$2&amp;"FY","EQY_FUND_CRNCY",CCY)</f>
        <v>#NAME?</v>
      </c>
      <c r="G7" s="44" t="e">
        <f ca="1">_xll.BDP(TKR,"BEST_EBITDA","BEST_FPERIOD_OVERRIDE",G$2&amp;"FY","EQY_FUND_CRNCY",CCY)</f>
        <v>#NAME?</v>
      </c>
    </row>
    <row r="8" spans="1:7" x14ac:dyDescent="0.2">
      <c r="A8" s="44" t="s">
        <v>330</v>
      </c>
      <c r="B8" s="44" t="e">
        <f ca="1">_xll.BDP(TKR,"BEST_CAPEX","BEST_FPERIOD_OVERRIDE",B$2&amp;"FY","EQY_FUND_CRNCY",CCY)</f>
        <v>#NAME?</v>
      </c>
      <c r="C8" s="44" t="e">
        <f ca="1">_xll.BDP(TKR,"BEST_CAPEX","BEST_FPERIOD_OVERRIDE",C$2&amp;"FY","EQY_FUND_CRNCY",CCY)</f>
        <v>#NAME?</v>
      </c>
      <c r="D8" s="44" t="e">
        <f ca="1">_xll.BDP(TKR,"BEST_CAPEX","BEST_FPERIOD_OVERRIDE",D$2&amp;"FY","EQY_FUND_CRNCY",CCY)</f>
        <v>#NAME?</v>
      </c>
      <c r="E8" s="44" t="e">
        <f ca="1">_xll.BDP(TKR,"BEST_CAPEX","BEST_FPERIOD_OVERRIDE",E$2&amp;"FY","EQY_FUND_CRNCY",CCY)</f>
        <v>#NAME?</v>
      </c>
      <c r="F8" s="44" t="e">
        <f ca="1">_xll.BDP(TKR,"BEST_CAPEX","BEST_FPERIOD_OVERRIDE",F$2&amp;"FY","EQY_FUND_CRNCY",CCY)</f>
        <v>#NAME?</v>
      </c>
      <c r="G8" s="44" t="e">
        <f ca="1">_xll.BDP(TKR,"BEST_CAPEX","BEST_FPERIOD_OVERRIDE",G$2&amp;"FY","EQY_FUND_CRNCY",CCY)</f>
        <v>#NAME?</v>
      </c>
    </row>
    <row r="10" spans="1:7" x14ac:dyDescent="0.2">
      <c r="B10" s="44">
        <f>C10-1</f>
        <v>-5</v>
      </c>
      <c r="C10" s="44">
        <f>D10-1</f>
        <v>-4</v>
      </c>
      <c r="D10" s="44">
        <f>E10-1</f>
        <v>-3</v>
      </c>
      <c r="E10" s="44">
        <f>F10-1</f>
        <v>-2</v>
      </c>
      <c r="F10" s="44">
        <f>G10-1</f>
        <v>-1</v>
      </c>
      <c r="G10" s="45" t="s">
        <v>331</v>
      </c>
    </row>
    <row r="11" spans="1:7" x14ac:dyDescent="0.2">
      <c r="A11" s="44" t="s">
        <v>39</v>
      </c>
      <c r="B11" s="44" t="e">
        <f ca="1">_xll.BDP(TKR,$A11,"EQY_FUND_RELATIVE_PERIOD",B$10&amp;"FY","EQY_FUND_CRNCY",CCY)</f>
        <v>#NAME?</v>
      </c>
      <c r="C11" s="44" t="e">
        <f ca="1">_xll.BDP(TKR,$A11,"EQY_FUND_RELATIVE_PERIOD",C$10&amp;"FY","EQY_FUND_CRNCY",CCY)</f>
        <v>#NAME?</v>
      </c>
      <c r="D11" s="44" t="e">
        <f ca="1">_xll.BDP(TKR,$A11,"EQY_FUND_RELATIVE_PERIOD",D$10&amp;"FY","EQY_FUND_CRNCY",CCY)</f>
        <v>#NAME?</v>
      </c>
      <c r="E11" s="44" t="e">
        <f ca="1">_xll.BDP(TKR,$A11,"EQY_FUND_RELATIVE_PERIOD",E$10&amp;"FY","EQY_FUND_CRNCY",CCY)</f>
        <v>#NAME?</v>
      </c>
      <c r="F11" s="44" t="e">
        <f ca="1">_xll.BDP(TKR,$A11,"EQY_FUND_RELATIVE_PERIOD",F$10&amp;"FY","EQY_FUND_CRNCY",CCY)</f>
        <v>#NAME?</v>
      </c>
      <c r="G11" s="44" t="e">
        <f ca="1">_xll.BDP(TKR,$A11,"EQY_FUND_RELATIVE_PERIOD",G$10&amp;"FY","EQY_FUND_CRNCY",CCY)</f>
        <v>#NAME?</v>
      </c>
    </row>
    <row r="12" spans="1:7" x14ac:dyDescent="0.2">
      <c r="A12" s="44" t="s">
        <v>40</v>
      </c>
      <c r="B12" s="44" t="e">
        <f ca="1">_xll.BDP(TKR,$A12,"EQY_FUND_RELATIVE_PERIOD",B$10&amp;"FY","EQY_FUND_CRNCY",CCY)</f>
        <v>#NAME?</v>
      </c>
      <c r="C12" s="44" t="e">
        <f ca="1">_xll.BDP(TKR,$A12,"EQY_FUND_RELATIVE_PERIOD",C$10&amp;"FY","EQY_FUND_CRNCY",CCY)</f>
        <v>#NAME?</v>
      </c>
      <c r="D12" s="44" t="e">
        <f ca="1">_xll.BDP(TKR,$A12,"EQY_FUND_RELATIVE_PERIOD",D$10&amp;"FY","EQY_FUND_CRNCY",CCY)</f>
        <v>#NAME?</v>
      </c>
      <c r="E12" s="44" t="e">
        <f ca="1">_xll.BDP(TKR,$A12,"EQY_FUND_RELATIVE_PERIOD",E$10&amp;"FY","EQY_FUND_CRNCY",CCY)</f>
        <v>#NAME?</v>
      </c>
      <c r="F12" s="44" t="e">
        <f ca="1">_xll.BDP(TKR,$A12,"EQY_FUND_RELATIVE_PERIOD",F$10&amp;"FY","EQY_FUND_CRNCY",CCY)</f>
        <v>#NAME?</v>
      </c>
      <c r="G12" s="44" t="e">
        <f ca="1">_xll.BDP(TKR,$A12,"EQY_FUND_RELATIVE_PERIOD",G$10&amp;"FY","EQY_FUND_CRNCY",CCY)</f>
        <v>#NAME?</v>
      </c>
    </row>
    <row r="13" spans="1:7" x14ac:dyDescent="0.2">
      <c r="A13" s="44" t="s">
        <v>332</v>
      </c>
      <c r="B13" s="44" t="e">
        <f ca="1">_xll.BDP(TKR,$A13,"EQY_FUND_RELATIVE_PERIOD",B$10&amp;"FY","EQY_FUND_CRNCY",CCY)</f>
        <v>#NAME?</v>
      </c>
      <c r="C13" s="44" t="e">
        <f ca="1">_xll.BDP(TKR,$A13,"EQY_FUND_RELATIVE_PERIOD",C$10&amp;"FY","EQY_FUND_CRNCY",CCY)</f>
        <v>#NAME?</v>
      </c>
      <c r="D13" s="44" t="e">
        <f ca="1">_xll.BDP(TKR,$A13,"EQY_FUND_RELATIVE_PERIOD",D$10&amp;"FY","EQY_FUND_CRNCY",CCY)</f>
        <v>#NAME?</v>
      </c>
      <c r="E13" s="44" t="e">
        <f ca="1">_xll.BDP(TKR,$A13,"EQY_FUND_RELATIVE_PERIOD",E$10&amp;"FY","EQY_FUND_CRNCY",CCY)</f>
        <v>#NAME?</v>
      </c>
      <c r="F13" s="44" t="e">
        <f ca="1">_xll.BDP(TKR,$A13,"EQY_FUND_RELATIVE_PERIOD",F$10&amp;"FY","EQY_FUND_CRNCY",CCY)</f>
        <v>#NAME?</v>
      </c>
      <c r="G13" s="44" t="e">
        <f ca="1">_xll.BDP(TKR,$A13,"EQY_FUND_RELATIVE_PERIOD",G$10&amp;"FY","EQY_FUND_CRNCY",CCY)</f>
        <v>#NAME?</v>
      </c>
    </row>
    <row r="14" spans="1:7" x14ac:dyDescent="0.2">
      <c r="A14" s="44" t="s">
        <v>333</v>
      </c>
      <c r="B14" s="44" t="e">
        <f ca="1">_xll.BDP(TKR,$A14,"EQY_FUND_RELATIVE_PERIOD",B$10&amp;"FY","EQY_FUND_CRNCY",CCY)</f>
        <v>#NAME?</v>
      </c>
      <c r="C14" s="44" t="e">
        <f ca="1">_xll.BDP(TKR,$A14,"EQY_FUND_RELATIVE_PERIOD",C$10&amp;"FY","EQY_FUND_CRNCY",CCY)</f>
        <v>#NAME?</v>
      </c>
      <c r="D14" s="44" t="e">
        <f ca="1">_xll.BDP(TKR,$A14,"EQY_FUND_RELATIVE_PERIOD",D$10&amp;"FY","EQY_FUND_CRNCY",CCY)</f>
        <v>#NAME?</v>
      </c>
      <c r="E14" s="44" t="e">
        <f ca="1">_xll.BDP(TKR,$A14,"EQY_FUND_RELATIVE_PERIOD",E$10&amp;"FY","EQY_FUND_CRNCY",CCY)</f>
        <v>#NAME?</v>
      </c>
      <c r="F14" s="44" t="e">
        <f ca="1">_xll.BDP(TKR,$A14,"EQY_FUND_RELATIVE_PERIOD",F$10&amp;"FY","EQY_FUND_CRNCY",CCY)</f>
        <v>#NAME?</v>
      </c>
      <c r="G14" s="44" t="e">
        <f ca="1">_xll.BDP(TKR,$A14,"EQY_FUND_RELATIVE_PERIOD",G$10&amp;"FY","EQY_FUND_CRNCY",CCY)</f>
        <v>#NAME?</v>
      </c>
    </row>
    <row r="15" spans="1:7" x14ac:dyDescent="0.2">
      <c r="A15" s="44" t="s">
        <v>334</v>
      </c>
      <c r="B15" s="44" t="e">
        <f ca="1">_xll.BDP(TKR,$A15,"EQY_FUND_RELATIVE_PERIOD",B$10&amp;"FY","EQY_FUND_CRNCY",CCY)</f>
        <v>#NAME?</v>
      </c>
      <c r="C15" s="44" t="e">
        <f ca="1">_xll.BDP(TKR,$A15,"EQY_FUND_RELATIVE_PERIOD",C$10&amp;"FY","EQY_FUND_CRNCY",CCY)</f>
        <v>#NAME?</v>
      </c>
      <c r="D15" s="44" t="e">
        <f ca="1">_xll.BDP(TKR,$A15,"EQY_FUND_RELATIVE_PERIOD",D$10&amp;"FY","EQY_FUND_CRNCY",CCY)</f>
        <v>#NAME?</v>
      </c>
      <c r="E15" s="44" t="e">
        <f ca="1">_xll.BDP(TKR,$A15,"EQY_FUND_RELATIVE_PERIOD",E$10&amp;"FY","EQY_FUND_CRNCY",CCY)</f>
        <v>#NAME?</v>
      </c>
      <c r="F15" s="44" t="e">
        <f ca="1">_xll.BDP(TKR,$A15,"EQY_FUND_RELATIVE_PERIOD",F$10&amp;"FY","EQY_FUND_CRNCY",CCY)</f>
        <v>#NAME?</v>
      </c>
      <c r="G15" s="44" t="e">
        <f ca="1">_xll.BDP(TKR,$A15,"EQY_FUND_RELATIVE_PERIOD",G$10&amp;"FY","EQY_FUND_CRNCY",CCY)</f>
        <v>#NAME?</v>
      </c>
    </row>
    <row r="16" spans="1:7" x14ac:dyDescent="0.2">
      <c r="A16" s="44" t="s">
        <v>85</v>
      </c>
      <c r="B16" s="44" t="e">
        <f ca="1">_xll.BDP(TKR,$A16,"EQY_FUND_RELATIVE_PERIOD",B$10&amp;"FY","EQY_FUND_CRNCY",CCY)</f>
        <v>#NAME?</v>
      </c>
      <c r="C16" s="44" t="e">
        <f ca="1">_xll.BDP(TKR,$A16,"EQY_FUND_RELATIVE_PERIOD",C$10&amp;"FY","EQY_FUND_CRNCY",CCY)</f>
        <v>#NAME?</v>
      </c>
      <c r="D16" s="44" t="e">
        <f ca="1">_xll.BDP(TKR,$A16,"EQY_FUND_RELATIVE_PERIOD",D$10&amp;"FY","EQY_FUND_CRNCY",CCY)</f>
        <v>#NAME?</v>
      </c>
      <c r="E16" s="44" t="e">
        <f ca="1">_xll.BDP(TKR,$A16,"EQY_FUND_RELATIVE_PERIOD",E$10&amp;"FY","EQY_FUND_CRNCY",CCY)</f>
        <v>#NAME?</v>
      </c>
      <c r="F16" s="44" t="e">
        <f ca="1">_xll.BDP(TKR,$A16,"EQY_FUND_RELATIVE_PERIOD",F$10&amp;"FY","EQY_FUND_CRNCY",CCY)</f>
        <v>#NAME?</v>
      </c>
      <c r="G16" s="44" t="e">
        <f ca="1">_xll.BDP(TKR,$A16,"EQY_FUND_RELATIVE_PERIOD",G$10&amp;"FY","EQY_FUND_CRNCY",CCY)</f>
        <v>#NAME?</v>
      </c>
    </row>
    <row r="17" spans="1:7" x14ac:dyDescent="0.2">
      <c r="A17" s="44" t="s">
        <v>92</v>
      </c>
      <c r="B17" s="44" t="e">
        <f ca="1">_xll.BDP(TKR,$A17,"EQY_FUND_RELATIVE_PERIOD",B$10&amp;"FY","EQY_FUND_CRNCY",CCY)</f>
        <v>#NAME?</v>
      </c>
      <c r="C17" s="44" t="e">
        <f ca="1">_xll.BDP(TKR,$A17,"EQY_FUND_RELATIVE_PERIOD",C$10&amp;"FY","EQY_FUND_CRNCY",CCY)</f>
        <v>#NAME?</v>
      </c>
      <c r="D17" s="44" t="e">
        <f ca="1">_xll.BDP(TKR,$A17,"EQY_FUND_RELATIVE_PERIOD",D$10&amp;"FY","EQY_FUND_CRNCY",CCY)</f>
        <v>#NAME?</v>
      </c>
      <c r="E17" s="44" t="e">
        <f ca="1">_xll.BDP(TKR,$A17,"EQY_FUND_RELATIVE_PERIOD",E$10&amp;"FY","EQY_FUND_CRNCY",CCY)</f>
        <v>#NAME?</v>
      </c>
      <c r="F17" s="44" t="e">
        <f ca="1">_xll.BDP(TKR,$A17,"EQY_FUND_RELATIVE_PERIOD",F$10&amp;"FY","EQY_FUND_CRNCY",CCY)</f>
        <v>#NAME?</v>
      </c>
      <c r="G17" s="44" t="e">
        <f ca="1">_xll.BDP(TKR,$A17,"EQY_FUND_RELATIVE_PERIOD",G$10&amp;"FY","EQY_FUND_CRNCY",CCY)</f>
        <v>#NAME?</v>
      </c>
    </row>
    <row r="18" spans="1:7" x14ac:dyDescent="0.2">
      <c r="A18" s="44" t="s">
        <v>335</v>
      </c>
      <c r="B18" s="44" t="e">
        <f ca="1">_xll.BDP(TKR,$A18,"EQY_FUND_RELATIVE_PERIOD",B$10&amp;"FY","EQY_FUND_CRNCY",CCY)</f>
        <v>#NAME?</v>
      </c>
      <c r="C18" s="44" t="e">
        <f ca="1">_xll.BDP(TKR,$A18,"EQY_FUND_RELATIVE_PERIOD",C$10&amp;"FY","EQY_FUND_CRNCY",CCY)</f>
        <v>#NAME?</v>
      </c>
      <c r="D18" s="44" t="e">
        <f ca="1">_xll.BDP(TKR,$A18,"EQY_FUND_RELATIVE_PERIOD",D$10&amp;"FY","EQY_FUND_CRNCY",CCY)</f>
        <v>#NAME?</v>
      </c>
      <c r="E18" s="44" t="e">
        <f ca="1">_xll.BDP(TKR,$A18,"EQY_FUND_RELATIVE_PERIOD",E$10&amp;"FY","EQY_FUND_CRNCY",CCY)</f>
        <v>#NAME?</v>
      </c>
      <c r="F18" s="44" t="e">
        <f ca="1">_xll.BDP(TKR,$A18,"EQY_FUND_RELATIVE_PERIOD",F$10&amp;"FY","EQY_FUND_CRNCY",CCY)</f>
        <v>#NAME?</v>
      </c>
      <c r="G18" s="44" t="e">
        <f ca="1">_xll.BDP(TKR,$A18,"EQY_FUND_RELATIVE_PERIOD",G$10&amp;"FY","EQY_FUND_CRNCY",CCY)</f>
        <v>#NAME?</v>
      </c>
    </row>
    <row r="19" spans="1:7" x14ac:dyDescent="0.2">
      <c r="A19" s="44" t="s">
        <v>42</v>
      </c>
      <c r="B19" s="44" t="e">
        <f ca="1">_xll.BDP(TKR,$A19,"EQY_FUND_RELATIVE_PERIOD",B$10&amp;"FY","EQY_FUND_CRNCY",CCY)</f>
        <v>#NAME?</v>
      </c>
      <c r="C19" s="44" t="e">
        <f ca="1">_xll.BDP(TKR,$A19,"EQY_FUND_RELATIVE_PERIOD",C$10&amp;"FY","EQY_FUND_CRNCY",CCY)</f>
        <v>#NAME?</v>
      </c>
      <c r="D19" s="44" t="e">
        <f ca="1">_xll.BDP(TKR,$A19,"EQY_FUND_RELATIVE_PERIOD",D$10&amp;"FY","EQY_FUND_CRNCY",CCY)</f>
        <v>#NAME?</v>
      </c>
      <c r="E19" s="44" t="e">
        <f ca="1">_xll.BDP(TKR,$A19,"EQY_FUND_RELATIVE_PERIOD",E$10&amp;"FY","EQY_FUND_CRNCY",CCY)</f>
        <v>#NAME?</v>
      </c>
      <c r="F19" s="44" t="e">
        <f ca="1">_xll.BDP(TKR,$A19,"EQY_FUND_RELATIVE_PERIOD",F$10&amp;"FY","EQY_FUND_CRNCY",CCY)</f>
        <v>#NAME?</v>
      </c>
      <c r="G19" s="44" t="e">
        <f ca="1">_xll.BDP(TKR,$A19,"EQY_FUND_RELATIVE_PERIOD",G$10&amp;"FY","EQY_FUND_CRNCY",CCY)</f>
        <v>#NAME?</v>
      </c>
    </row>
    <row r="21" spans="1:7" x14ac:dyDescent="0.2">
      <c r="A21" s="44" t="s">
        <v>336</v>
      </c>
      <c r="B21" s="44" t="e">
        <f ca="1">_xll.BDP(TKR,$A21,"EQY_FUND_RELATIVE_PERIOD",B$10,"EQY_FUND_CRNCY",CCY,"Fill=0")</f>
        <v>#NAME?</v>
      </c>
      <c r="C21" s="44" t="e">
        <f ca="1">_xll.BDP(TKR,$A21,"EQY_FUND_RELATIVE_PERIOD",C$10,"EQY_FUND_CRNCY",CCY,"Fill=0")</f>
        <v>#NAME?</v>
      </c>
      <c r="D21" s="44" t="e">
        <f ca="1">_xll.BDP(TKR,$A21,"EQY_FUND_RELATIVE_PERIOD",D$10,"EQY_FUND_CRNCY",CCY,"Fill=0")</f>
        <v>#NAME?</v>
      </c>
      <c r="E21" s="44" t="e">
        <f ca="1">_xll.BDP(TKR,$A21,"EQY_FUND_RELATIVE_PERIOD",E$10,"EQY_FUND_CRNCY",CCY,"Fill=0")</f>
        <v>#NAME?</v>
      </c>
      <c r="F21" s="44" t="e">
        <f ca="1">_xll.BDP(TKR,$A21,"EQY_FUND_RELATIVE_PERIOD",F$10,"EQY_FUND_CRNCY",CCY,"Fill=0")</f>
        <v>#NAME?</v>
      </c>
      <c r="G21" s="44" t="e">
        <f ca="1">_xll.BDP(TKR,$A21,"EQY_FUND_RELATIVE_PERIOD",G$10,"EQY_FUND_CRNCY",CCY,"Fill=0")</f>
        <v>#NAME?</v>
      </c>
    </row>
    <row r="22" spans="1:7" x14ac:dyDescent="0.2">
      <c r="A22" s="44" t="s">
        <v>337</v>
      </c>
      <c r="B22" s="44" t="e">
        <f ca="1">_xll.BDP(TKR,$A22,"EQY_FUND_RELATIVE_PERIOD",B$10,"EQY_FUND_CRNCY",CCY,"Fill=0")</f>
        <v>#NAME?</v>
      </c>
      <c r="C22" s="44" t="e">
        <f ca="1">_xll.BDP(TKR,$A22,"EQY_FUND_RELATIVE_PERIOD",C$10,"EQY_FUND_CRNCY",CCY,"Fill=0")</f>
        <v>#NAME?</v>
      </c>
      <c r="D22" s="44" t="e">
        <f ca="1">_xll.BDP(TKR,$A22,"EQY_FUND_RELATIVE_PERIOD",D$10,"EQY_FUND_CRNCY",CCY,"Fill=0")</f>
        <v>#NAME?</v>
      </c>
      <c r="E22" s="44" t="e">
        <f ca="1">_xll.BDP(TKR,$A22,"EQY_FUND_RELATIVE_PERIOD",E$10,"EQY_FUND_CRNCY",CCY,"Fill=0")</f>
        <v>#NAME?</v>
      </c>
      <c r="F22" s="44" t="e">
        <f ca="1">_xll.BDP(TKR,$A22,"EQY_FUND_RELATIVE_PERIOD",F$10,"EQY_FUND_CRNCY",CCY,"Fill=0")</f>
        <v>#NAME?</v>
      </c>
      <c r="G22" s="44" t="e">
        <f ca="1">_xll.BDP(TKR,$A22,"EQY_FUND_RELATIVE_PERIOD",G$10,"EQY_FUND_CRNCY",CCY,"Fill=0")</f>
        <v>#NAME?</v>
      </c>
    </row>
    <row r="24" spans="1:7" x14ac:dyDescent="0.2">
      <c r="A24" s="44" t="s">
        <v>338</v>
      </c>
      <c r="B24" s="44" t="e">
        <f ca="1">_xll.BDP(TKR,$A$24)</f>
        <v>#NAME?</v>
      </c>
    </row>
    <row r="26" spans="1:7" x14ac:dyDescent="0.2">
      <c r="A26" s="44" t="e">
        <f ca="1">_xll.BDS(TKR,"BLOOMBERG_PEERS","EndRow=10","Fill=B")</f>
        <v>#NAME?</v>
      </c>
      <c r="B26" s="44" t="e">
        <f ca="1">IF(ISBLANK(A26),"",_xll.BDP(A26&amp;" Equity","EV_TO_T12M_EBITDA","Fill=B"))</f>
        <v>#NAME?</v>
      </c>
      <c r="C26" s="44" t="str">
        <f ca="1">IFERROR(_xll.BDP(A26&amp;" Equity","WACC","Fill=B")/100,"")</f>
        <v/>
      </c>
    </row>
    <row r="27" spans="1:7" x14ac:dyDescent="0.2">
      <c r="B27" s="44" t="str">
        <f>IF(ISBLANK(A27),"",_xll.BDP(A27&amp;" Equity","EV_TO_T12M_EBITDA","Fill=B"))</f>
        <v/>
      </c>
      <c r="C27" s="44" t="str">
        <f ca="1">IFERROR(_xll.BDP(A27&amp;" Equity","WACC","Fill=B")/100,"")</f>
        <v/>
      </c>
    </row>
    <row r="28" spans="1:7" x14ac:dyDescent="0.2">
      <c r="B28" s="44" t="str">
        <f>IF(ISBLANK(A28),"",_xll.BDP(A28&amp;" Equity","EV_TO_T12M_EBITDA","Fill=B"))</f>
        <v/>
      </c>
      <c r="C28" s="44" t="str">
        <f ca="1">IFERROR(_xll.BDP(A28&amp;" Equity","WACC","Fill=B")/100,"")</f>
        <v/>
      </c>
    </row>
    <row r="29" spans="1:7" x14ac:dyDescent="0.2">
      <c r="B29" s="44" t="str">
        <f>IF(ISBLANK(A29),"",_xll.BDP(A29&amp;" Equity","EV_TO_T12M_EBITDA","Fill=B"))</f>
        <v/>
      </c>
      <c r="C29" s="44" t="str">
        <f ca="1">IFERROR(_xll.BDP(A29&amp;" Equity","WACC","Fill=B")/100,"")</f>
        <v/>
      </c>
    </row>
    <row r="30" spans="1:7" x14ac:dyDescent="0.2">
      <c r="B30" s="44" t="str">
        <f>IF(ISBLANK(A30),"",_xll.BDP(A30&amp;" Equity","EV_TO_T12M_EBITDA","Fill=B"))</f>
        <v/>
      </c>
      <c r="C30" s="44" t="str">
        <f ca="1">IFERROR(_xll.BDP(A30&amp;" Equity","WACC","Fill=B")/100,"")</f>
        <v/>
      </c>
    </row>
    <row r="31" spans="1:7" x14ac:dyDescent="0.2">
      <c r="B31" s="44" t="str">
        <f>IF(ISBLANK(A31),"",_xll.BDP(A31&amp;" Equity","EV_TO_T12M_EBITDA","Fill=B"))</f>
        <v/>
      </c>
      <c r="C31" s="44" t="str">
        <f ca="1">IFERROR(_xll.BDP(A31&amp;" Equity","WACC","Fill=B")/100,"")</f>
        <v/>
      </c>
    </row>
    <row r="32" spans="1:7" x14ac:dyDescent="0.2">
      <c r="B32" s="44" t="str">
        <f>IF(ISBLANK(A32),"",_xll.BDP(A32&amp;" Equity","EV_TO_T12M_EBITDA","Fill=B"))</f>
        <v/>
      </c>
      <c r="C32" s="44" t="str">
        <f ca="1">IFERROR(_xll.BDP(A32&amp;" Equity","WACC","Fill=B")/100,"")</f>
        <v/>
      </c>
    </row>
    <row r="33" spans="2:3" x14ac:dyDescent="0.2">
      <c r="B33" s="44" t="str">
        <f>IF(ISBLANK(A33),"",_xll.BDP(A33&amp;" Equity","EV_TO_T12M_EBITDA","Fill=B"))</f>
        <v/>
      </c>
      <c r="C33" s="44" t="str">
        <f ca="1">IFERROR(_xll.BDP(A33&amp;" Equity","WACC","Fill=B")/100,"")</f>
        <v/>
      </c>
    </row>
    <row r="34" spans="2:3" x14ac:dyDescent="0.2">
      <c r="B34" s="44" t="str">
        <f>IF(ISBLANK(A34),"",_xll.BDP(A34&amp;" Equity","EV_TO_T12M_EBITDA","Fill=B"))</f>
        <v/>
      </c>
      <c r="C34" s="44" t="str">
        <f ca="1">IFERROR(_xll.BDP(A34&amp;" Equity","WACC","Fill=B")/100,"")</f>
        <v/>
      </c>
    </row>
    <row r="35" spans="2:3" x14ac:dyDescent="0.2">
      <c r="B35" s="44" t="str">
        <f>IF(ISBLANK(A35),"",_xll.BDP(A35&amp;" Equity","EV_TO_T12M_EBITDA","Fill=B"))</f>
        <v/>
      </c>
      <c r="C35" s="44" t="str">
        <f ca="1">IFERROR(_xll.BDP(A35&amp;" Equity","WACC","Fill=B")/100,"")</f>
        <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tHelp">
    <tabColor rgb="FF00B050"/>
  </sheetPr>
  <dimension ref="B1:X229"/>
  <sheetViews>
    <sheetView showGridLines="0" showRowColHeaders="0" workbookViewId="0">
      <pane ySplit="5" topLeftCell="A77" activePane="bottomLeft" state="frozenSplit"/>
      <selection pane="bottomLeft" activeCell="D90" sqref="D90"/>
    </sheetView>
  </sheetViews>
  <sheetFormatPr defaultColWidth="8.88671875" defaultRowHeight="14.4" x14ac:dyDescent="0.3"/>
  <cols>
    <col min="1" max="1" width="1.6640625" customWidth="1"/>
  </cols>
  <sheetData>
    <row r="1" spans="2:24" ht="5.0999999999999996" customHeight="1" x14ac:dyDescent="0.3"/>
    <row r="2" spans="2:24" ht="15" customHeight="1" x14ac:dyDescent="0.3"/>
    <row r="3" spans="2:24" ht="15" customHeight="1" x14ac:dyDescent="0.3"/>
    <row r="4" spans="2:24" ht="15" customHeight="1" x14ac:dyDescent="0.3"/>
    <row r="5" spans="2:24" ht="5.0999999999999996" customHeight="1" x14ac:dyDescent="0.3"/>
    <row r="6" spans="2:24" x14ac:dyDescent="0.3">
      <c r="B6" s="632"/>
      <c r="C6" s="625"/>
      <c r="D6" s="629"/>
      <c r="E6" s="625"/>
      <c r="F6" s="625"/>
      <c r="G6" s="625"/>
      <c r="H6" s="625"/>
      <c r="I6" s="625"/>
      <c r="J6" s="625"/>
      <c r="K6" s="625"/>
      <c r="L6" s="625"/>
      <c r="M6" s="625"/>
      <c r="N6" s="625"/>
      <c r="O6" s="625"/>
      <c r="P6" s="625"/>
      <c r="Q6" s="625"/>
      <c r="R6" s="625"/>
      <c r="S6" s="633"/>
      <c r="T6" s="625"/>
      <c r="U6" s="628"/>
      <c r="V6" s="625"/>
      <c r="W6" s="625"/>
      <c r="X6" s="625"/>
    </row>
    <row r="7" spans="2:24" x14ac:dyDescent="0.3">
      <c r="B7" s="625"/>
      <c r="C7" s="625"/>
      <c r="D7" s="625"/>
      <c r="E7" s="625"/>
      <c r="F7" s="625"/>
      <c r="G7" s="625"/>
      <c r="H7" s="625"/>
      <c r="I7" s="625"/>
      <c r="J7" s="625"/>
      <c r="K7" s="625"/>
      <c r="L7" s="625"/>
      <c r="M7" s="625"/>
      <c r="N7" s="625"/>
      <c r="O7" s="625"/>
      <c r="P7" s="625"/>
      <c r="Q7" s="625"/>
      <c r="R7" s="625"/>
      <c r="S7" s="625"/>
      <c r="T7" s="625"/>
      <c r="U7" s="625"/>
      <c r="V7" s="625"/>
      <c r="W7" s="625"/>
      <c r="X7" s="625"/>
    </row>
    <row r="8" spans="2:24" x14ac:dyDescent="0.3">
      <c r="B8" s="625"/>
      <c r="C8" s="625"/>
      <c r="D8" s="625"/>
      <c r="E8" s="625"/>
      <c r="F8" s="625"/>
      <c r="G8" s="625"/>
      <c r="H8" s="625"/>
      <c r="I8" s="625"/>
      <c r="J8" s="625"/>
      <c r="K8" s="625"/>
      <c r="L8" s="625"/>
      <c r="M8" s="625"/>
      <c r="N8" s="625"/>
      <c r="O8" s="625"/>
      <c r="P8" s="625"/>
      <c r="Q8" s="625"/>
      <c r="R8" s="625"/>
      <c r="S8" s="625"/>
      <c r="T8" s="625"/>
      <c r="U8" s="625"/>
      <c r="V8" s="625"/>
      <c r="W8" s="625"/>
      <c r="X8" s="625"/>
    </row>
    <row r="9" spans="2:24" x14ac:dyDescent="0.3">
      <c r="B9" s="625"/>
      <c r="C9" s="625"/>
      <c r="D9" s="625"/>
      <c r="E9" s="625"/>
      <c r="F9" s="625"/>
      <c r="G9" s="625"/>
      <c r="H9" s="625"/>
      <c r="I9" s="625"/>
      <c r="J9" s="625"/>
      <c r="K9" s="625"/>
      <c r="L9" s="625"/>
      <c r="M9" s="625"/>
      <c r="N9" s="625"/>
      <c r="O9" s="625"/>
      <c r="P9" s="625"/>
      <c r="Q9" s="625"/>
      <c r="R9" s="625"/>
      <c r="S9" s="625"/>
      <c r="T9" s="625"/>
      <c r="U9" s="625"/>
      <c r="V9" s="625"/>
      <c r="W9" s="625"/>
      <c r="X9" s="625"/>
    </row>
    <row r="10" spans="2:24" x14ac:dyDescent="0.3">
      <c r="B10" s="628"/>
      <c r="C10" s="625"/>
      <c r="D10" s="631" t="s">
        <v>339</v>
      </c>
      <c r="E10" s="631"/>
      <c r="F10" s="631"/>
      <c r="G10" s="631"/>
      <c r="H10" s="631"/>
      <c r="I10" s="631"/>
      <c r="J10" s="631"/>
      <c r="K10" s="631"/>
      <c r="L10" s="631"/>
      <c r="M10" s="631"/>
      <c r="N10" s="631"/>
      <c r="O10" s="631"/>
      <c r="P10" s="631"/>
      <c r="Q10" s="631"/>
      <c r="R10" s="631"/>
      <c r="S10" s="630"/>
      <c r="T10" s="625"/>
      <c r="U10" s="625"/>
      <c r="V10" s="625"/>
      <c r="W10" s="625"/>
      <c r="X10" s="625"/>
    </row>
    <row r="11" spans="2:24" x14ac:dyDescent="0.3">
      <c r="B11" s="625"/>
      <c r="C11" s="625"/>
      <c r="D11" s="631"/>
      <c r="E11" s="631"/>
      <c r="F11" s="631"/>
      <c r="G11" s="631"/>
      <c r="H11" s="631"/>
      <c r="I11" s="631"/>
      <c r="J11" s="631"/>
      <c r="K11" s="631"/>
      <c r="L11" s="631"/>
      <c r="M11" s="631"/>
      <c r="N11" s="631"/>
      <c r="O11" s="631"/>
      <c r="P11" s="631"/>
      <c r="Q11" s="631"/>
      <c r="R11" s="631"/>
      <c r="S11" s="625"/>
      <c r="T11" s="625"/>
      <c r="U11" s="625"/>
      <c r="V11" s="625"/>
      <c r="W11" s="625"/>
      <c r="X11" s="625"/>
    </row>
    <row r="12" spans="2:24" x14ac:dyDescent="0.3">
      <c r="B12" s="625"/>
      <c r="C12" s="625"/>
      <c r="S12" s="625"/>
      <c r="T12" s="625"/>
      <c r="U12" s="625"/>
      <c r="V12" s="625"/>
      <c r="W12" s="625"/>
      <c r="X12" s="625"/>
    </row>
    <row r="13" spans="2:24" ht="15" thickBot="1" x14ac:dyDescent="0.35">
      <c r="B13" s="625"/>
      <c r="C13" s="625"/>
      <c r="D13" s="414" t="s">
        <v>340</v>
      </c>
      <c r="E13" s="412"/>
      <c r="F13" s="412"/>
      <c r="G13" s="412"/>
      <c r="H13" s="412"/>
      <c r="I13" s="412"/>
      <c r="J13" s="412"/>
      <c r="K13" s="412"/>
      <c r="L13" s="412"/>
      <c r="M13" s="412"/>
      <c r="N13" s="412"/>
      <c r="O13" s="412"/>
      <c r="P13" s="412"/>
      <c r="Q13" s="412"/>
      <c r="R13" s="413"/>
      <c r="S13" s="625"/>
      <c r="T13" s="625"/>
      <c r="U13" s="625"/>
      <c r="V13" s="625"/>
      <c r="W13" s="625"/>
      <c r="X13" s="625"/>
    </row>
    <row r="14" spans="2:24" ht="5.0999999999999996" customHeight="1" x14ac:dyDescent="0.3">
      <c r="B14" s="625"/>
      <c r="C14" s="625"/>
      <c r="S14" s="625"/>
      <c r="T14" s="625"/>
      <c r="U14" s="625"/>
      <c r="V14" s="625"/>
      <c r="W14" s="625"/>
      <c r="X14" s="625"/>
    </row>
    <row r="15" spans="2:24" x14ac:dyDescent="0.3">
      <c r="B15" s="625"/>
      <c r="C15" s="625"/>
      <c r="D15" s="1" t="s">
        <v>341</v>
      </c>
      <c r="G15" s="511"/>
      <c r="H15" s="415" t="s">
        <v>342</v>
      </c>
      <c r="S15" s="625"/>
      <c r="T15" s="625"/>
      <c r="U15" s="625"/>
      <c r="V15" s="625"/>
      <c r="W15" s="625"/>
      <c r="X15" s="625"/>
    </row>
    <row r="16" spans="2:24" x14ac:dyDescent="0.3">
      <c r="B16" s="625"/>
      <c r="C16" s="625"/>
      <c r="G16" s="416"/>
      <c r="H16" s="415" t="s">
        <v>343</v>
      </c>
      <c r="S16" s="625"/>
      <c r="T16" s="625"/>
      <c r="U16" s="625"/>
      <c r="V16" s="625"/>
      <c r="W16" s="625"/>
      <c r="X16" s="625"/>
    </row>
    <row r="17" spans="2:24" x14ac:dyDescent="0.3">
      <c r="B17" s="625"/>
      <c r="C17" s="625"/>
      <c r="G17" s="512"/>
      <c r="H17" s="415" t="s">
        <v>344</v>
      </c>
      <c r="S17" s="625"/>
      <c r="T17" s="625"/>
      <c r="U17" s="625"/>
      <c r="V17" s="625"/>
      <c r="W17" s="625"/>
      <c r="X17" s="625"/>
    </row>
    <row r="18" spans="2:24" x14ac:dyDescent="0.3">
      <c r="B18" s="625"/>
      <c r="C18" s="625"/>
      <c r="S18" s="625"/>
      <c r="T18" s="625"/>
      <c r="U18" s="625"/>
      <c r="V18" s="625"/>
      <c r="W18" s="625"/>
      <c r="X18" s="625"/>
    </row>
    <row r="19" spans="2:24" x14ac:dyDescent="0.3">
      <c r="B19" s="625"/>
      <c r="C19" s="625"/>
      <c r="D19" s="1" t="s">
        <v>345</v>
      </c>
      <c r="S19" s="625"/>
      <c r="T19" s="625"/>
      <c r="U19" s="625"/>
      <c r="V19" s="625"/>
      <c r="W19" s="625"/>
      <c r="X19" s="625"/>
    </row>
    <row r="20" spans="2:24" ht="15" customHeight="1" x14ac:dyDescent="0.3">
      <c r="B20" s="625"/>
      <c r="C20" s="625"/>
      <c r="D20" s="411"/>
      <c r="E20" s="411"/>
      <c r="F20" s="411"/>
      <c r="G20" s="411"/>
      <c r="H20" s="411"/>
      <c r="I20" s="411"/>
      <c r="J20" s="411"/>
      <c r="K20" s="411"/>
      <c r="L20" s="411"/>
      <c r="M20" s="411"/>
      <c r="N20" s="411"/>
      <c r="O20" s="411"/>
      <c r="P20" s="411"/>
      <c r="Q20" s="411"/>
      <c r="R20" s="411"/>
      <c r="S20" s="625"/>
      <c r="T20" s="625"/>
      <c r="U20" s="625"/>
      <c r="V20" s="625"/>
      <c r="W20" s="625"/>
      <c r="X20" s="625"/>
    </row>
    <row r="21" spans="2:24" x14ac:dyDescent="0.3">
      <c r="B21" s="625"/>
      <c r="C21" s="625"/>
      <c r="D21" s="411"/>
      <c r="E21" s="411"/>
      <c r="F21" s="411"/>
      <c r="G21" s="411"/>
      <c r="H21" s="411"/>
      <c r="I21" s="411"/>
      <c r="J21" s="411"/>
      <c r="K21" s="411"/>
      <c r="L21" s="411"/>
      <c r="M21" s="411"/>
      <c r="N21" s="411"/>
      <c r="O21" s="411"/>
      <c r="P21" s="411"/>
      <c r="Q21" s="411"/>
      <c r="R21" s="411"/>
      <c r="S21" s="625"/>
      <c r="T21" s="625"/>
      <c r="U21" s="625"/>
      <c r="V21" s="625"/>
      <c r="W21" s="625"/>
      <c r="X21" s="625"/>
    </row>
    <row r="22" spans="2:24" x14ac:dyDescent="0.3">
      <c r="B22" s="625"/>
      <c r="C22" s="625"/>
      <c r="S22" s="625"/>
      <c r="T22" s="625"/>
      <c r="U22" s="625"/>
      <c r="V22" s="625"/>
      <c r="W22" s="625"/>
      <c r="X22" s="625"/>
    </row>
    <row r="23" spans="2:24" x14ac:dyDescent="0.3">
      <c r="B23" s="625"/>
      <c r="C23" s="625"/>
      <c r="S23" s="625"/>
      <c r="T23" s="625"/>
      <c r="U23" s="625"/>
      <c r="V23" s="625"/>
      <c r="W23" s="625"/>
      <c r="X23" s="625"/>
    </row>
    <row r="24" spans="2:24" x14ac:dyDescent="0.3">
      <c r="B24" s="625"/>
      <c r="C24" s="625"/>
      <c r="S24" s="625"/>
      <c r="T24" s="625"/>
      <c r="U24" s="625"/>
      <c r="V24" s="625"/>
      <c r="W24" s="625"/>
      <c r="X24" s="625"/>
    </row>
    <row r="25" spans="2:24" x14ac:dyDescent="0.3">
      <c r="B25" s="625"/>
      <c r="C25" s="625"/>
      <c r="S25" s="625"/>
      <c r="T25" s="625"/>
      <c r="U25" s="625"/>
      <c r="V25" s="625"/>
      <c r="W25" s="625"/>
      <c r="X25" s="625"/>
    </row>
    <row r="26" spans="2:24" x14ac:dyDescent="0.3">
      <c r="B26" s="625"/>
      <c r="C26" s="625"/>
      <c r="S26" s="625"/>
      <c r="T26" s="625"/>
      <c r="U26" s="625"/>
      <c r="V26" s="625"/>
      <c r="W26" s="625"/>
      <c r="X26" s="625"/>
    </row>
    <row r="27" spans="2:24" x14ac:dyDescent="0.3">
      <c r="B27" s="625"/>
      <c r="C27" s="625"/>
      <c r="S27" s="625"/>
      <c r="T27" s="625"/>
      <c r="U27" s="625"/>
      <c r="V27" s="625"/>
      <c r="W27" s="625"/>
      <c r="X27" s="625"/>
    </row>
    <row r="28" spans="2:24" x14ac:dyDescent="0.3">
      <c r="B28" s="625"/>
      <c r="C28" s="625"/>
      <c r="S28" s="625"/>
      <c r="T28" s="625"/>
      <c r="U28" s="625"/>
      <c r="V28" s="625"/>
      <c r="W28" s="625"/>
      <c r="X28" s="625"/>
    </row>
    <row r="29" spans="2:24" x14ac:dyDescent="0.3">
      <c r="B29" s="625"/>
      <c r="C29" s="625"/>
      <c r="S29" s="625"/>
      <c r="T29" s="625"/>
      <c r="U29" s="625"/>
      <c r="V29" s="625"/>
      <c r="W29" s="625"/>
      <c r="X29" s="625"/>
    </row>
    <row r="30" spans="2:24" x14ac:dyDescent="0.3">
      <c r="B30" s="625"/>
      <c r="C30" s="625"/>
      <c r="S30" s="625"/>
      <c r="T30" s="625"/>
      <c r="U30" s="625"/>
      <c r="V30" s="625"/>
      <c r="W30" s="625"/>
      <c r="X30" s="625"/>
    </row>
    <row r="31" spans="2:24" x14ac:dyDescent="0.3">
      <c r="B31" s="625"/>
      <c r="C31" s="625"/>
      <c r="S31" s="625"/>
      <c r="T31" s="625"/>
      <c r="U31" s="625"/>
      <c r="V31" s="625"/>
      <c r="W31" s="625"/>
      <c r="X31" s="625"/>
    </row>
    <row r="32" spans="2:24" x14ac:dyDescent="0.3">
      <c r="B32" s="625"/>
      <c r="C32" s="625"/>
      <c r="S32" s="625"/>
      <c r="T32" s="625"/>
      <c r="U32" s="625"/>
      <c r="V32" s="625"/>
      <c r="W32" s="625"/>
      <c r="X32" s="625"/>
    </row>
    <row r="33" spans="2:24" x14ac:dyDescent="0.3">
      <c r="B33" s="625"/>
      <c r="C33" s="625"/>
      <c r="S33" s="625"/>
      <c r="T33" s="625"/>
      <c r="U33" s="625"/>
      <c r="V33" s="625"/>
      <c r="W33" s="625"/>
      <c r="X33" s="625"/>
    </row>
    <row r="34" spans="2:24" x14ac:dyDescent="0.3">
      <c r="B34" s="625"/>
      <c r="C34" s="625"/>
      <c r="S34" s="625"/>
      <c r="T34" s="625"/>
      <c r="U34" s="625"/>
      <c r="V34" s="625"/>
      <c r="W34" s="625"/>
      <c r="X34" s="625"/>
    </row>
    <row r="35" spans="2:24" x14ac:dyDescent="0.3">
      <c r="B35" s="625"/>
      <c r="C35" s="625"/>
      <c r="S35" s="625"/>
      <c r="T35" s="625"/>
      <c r="U35" s="625"/>
      <c r="V35" s="625"/>
      <c r="W35" s="625"/>
      <c r="X35" s="625"/>
    </row>
    <row r="36" spans="2:24" x14ac:dyDescent="0.3">
      <c r="B36" s="625"/>
      <c r="C36" s="625"/>
      <c r="D36" s="411"/>
      <c r="E36" s="411"/>
      <c r="F36" s="411"/>
      <c r="G36" s="411"/>
      <c r="H36" s="411"/>
      <c r="I36" s="411"/>
      <c r="J36" s="411"/>
      <c r="K36" s="411"/>
      <c r="L36" s="411"/>
      <c r="M36" s="411"/>
      <c r="N36" s="411"/>
      <c r="O36" s="411"/>
      <c r="P36" s="411"/>
      <c r="Q36" s="411"/>
      <c r="R36" s="411"/>
      <c r="S36" s="625"/>
      <c r="T36" s="625"/>
      <c r="U36" s="625"/>
      <c r="V36" s="625"/>
      <c r="W36" s="625"/>
      <c r="X36" s="625"/>
    </row>
    <row r="37" spans="2:24" x14ac:dyDescent="0.3">
      <c r="B37" s="625"/>
      <c r="C37" s="625"/>
      <c r="D37" s="411"/>
      <c r="E37" s="411"/>
      <c r="F37" s="411"/>
      <c r="G37" s="411"/>
      <c r="H37" s="411"/>
      <c r="I37" s="411"/>
      <c r="J37" s="411"/>
      <c r="K37" s="411"/>
      <c r="L37" s="411"/>
      <c r="M37" s="411"/>
      <c r="N37" s="411"/>
      <c r="O37" s="411"/>
      <c r="P37" s="411"/>
      <c r="Q37" s="411"/>
      <c r="R37" s="411"/>
      <c r="S37" s="625"/>
      <c r="T37" s="625"/>
      <c r="U37" s="625"/>
      <c r="V37" s="625"/>
      <c r="W37" s="625"/>
      <c r="X37" s="625"/>
    </row>
    <row r="38" spans="2:24" x14ac:dyDescent="0.3">
      <c r="B38" s="625"/>
      <c r="C38" s="625"/>
      <c r="D38" s="411"/>
      <c r="E38" s="411"/>
      <c r="F38" s="411"/>
      <c r="G38" s="411"/>
      <c r="H38" s="411"/>
      <c r="I38" s="411"/>
      <c r="J38" s="411"/>
      <c r="K38" s="411"/>
      <c r="L38" s="411"/>
      <c r="M38" s="411"/>
      <c r="N38" s="411"/>
      <c r="O38" s="411"/>
      <c r="P38" s="411"/>
      <c r="Q38" s="411"/>
      <c r="R38" s="411"/>
      <c r="S38" s="625"/>
      <c r="T38" s="625"/>
      <c r="U38" s="625"/>
      <c r="V38" s="625"/>
      <c r="W38" s="625"/>
      <c r="X38" s="625"/>
    </row>
    <row r="39" spans="2:24" x14ac:dyDescent="0.3">
      <c r="B39" s="625"/>
      <c r="C39" s="625"/>
      <c r="E39" s="411"/>
      <c r="F39" s="411"/>
      <c r="G39" s="411"/>
      <c r="H39" s="411"/>
      <c r="I39" s="411"/>
      <c r="J39" s="411"/>
      <c r="K39" s="411"/>
      <c r="L39" s="411"/>
      <c r="M39" s="411"/>
      <c r="N39" s="411"/>
      <c r="O39" s="411"/>
      <c r="P39" s="411"/>
      <c r="Q39" s="411"/>
      <c r="R39" s="411"/>
      <c r="S39" s="625"/>
      <c r="T39" s="625"/>
      <c r="U39" s="625"/>
      <c r="V39" s="625"/>
      <c r="W39" s="625"/>
      <c r="X39" s="625"/>
    </row>
    <row r="40" spans="2:24" x14ac:dyDescent="0.3">
      <c r="B40" s="625"/>
      <c r="C40" s="625"/>
      <c r="S40" s="625"/>
      <c r="T40" s="625"/>
      <c r="U40" s="625"/>
      <c r="V40" s="625"/>
      <c r="W40" s="625"/>
      <c r="X40" s="625"/>
    </row>
    <row r="41" spans="2:24" x14ac:dyDescent="0.3">
      <c r="B41" s="625"/>
      <c r="C41" s="625"/>
      <c r="S41" s="625"/>
      <c r="T41" s="625"/>
      <c r="U41" s="625"/>
      <c r="V41" s="625"/>
      <c r="W41" s="625"/>
      <c r="X41" s="625"/>
    </row>
    <row r="42" spans="2:24" x14ac:dyDescent="0.3">
      <c r="B42" s="625"/>
      <c r="C42" s="625"/>
      <c r="D42" s="1" t="s">
        <v>346</v>
      </c>
      <c r="S42" s="625"/>
      <c r="T42" s="625"/>
      <c r="U42" s="625"/>
      <c r="V42" s="625"/>
      <c r="W42" s="625"/>
      <c r="X42" s="625"/>
    </row>
    <row r="43" spans="2:24" x14ac:dyDescent="0.3">
      <c r="B43" s="625"/>
      <c r="C43" s="625"/>
      <c r="S43" s="625"/>
      <c r="T43" s="625"/>
      <c r="U43" s="625"/>
      <c r="V43" s="625"/>
      <c r="W43" s="625"/>
      <c r="X43" s="625"/>
    </row>
    <row r="44" spans="2:24" x14ac:dyDescent="0.3">
      <c r="B44" s="625"/>
      <c r="C44" s="625"/>
      <c r="S44" s="625"/>
      <c r="T44" s="625"/>
      <c r="U44" s="625"/>
      <c r="V44" s="625"/>
      <c r="W44" s="625"/>
      <c r="X44" s="625"/>
    </row>
    <row r="45" spans="2:24" x14ac:dyDescent="0.3">
      <c r="B45" s="625"/>
      <c r="C45" s="625"/>
      <c r="S45" s="625"/>
      <c r="T45" s="625"/>
      <c r="U45" s="625"/>
      <c r="V45" s="625"/>
      <c r="W45" s="625"/>
      <c r="X45" s="625"/>
    </row>
    <row r="46" spans="2:24" x14ac:dyDescent="0.3">
      <c r="B46" s="625"/>
      <c r="C46" s="625"/>
      <c r="S46" s="625"/>
      <c r="T46" s="625"/>
      <c r="U46" s="625"/>
      <c r="V46" s="625"/>
      <c r="W46" s="625"/>
      <c r="X46" s="625"/>
    </row>
    <row r="47" spans="2:24" x14ac:dyDescent="0.3">
      <c r="B47" s="625"/>
      <c r="C47" s="625"/>
      <c r="S47" s="625"/>
      <c r="T47" s="625"/>
      <c r="U47" s="625"/>
      <c r="V47" s="625"/>
      <c r="W47" s="625"/>
      <c r="X47" s="625"/>
    </row>
    <row r="48" spans="2:24" x14ac:dyDescent="0.3">
      <c r="B48" s="625"/>
      <c r="C48" s="625"/>
      <c r="S48" s="625"/>
      <c r="T48" s="625"/>
      <c r="U48" s="625"/>
      <c r="V48" s="625"/>
      <c r="W48" s="625"/>
      <c r="X48" s="625"/>
    </row>
    <row r="49" spans="2:24" x14ac:dyDescent="0.3">
      <c r="B49" s="625"/>
      <c r="C49" s="625"/>
      <c r="S49" s="625"/>
      <c r="T49" s="625"/>
      <c r="U49" s="625"/>
      <c r="V49" s="625"/>
      <c r="W49" s="625"/>
      <c r="X49" s="625"/>
    </row>
    <row r="50" spans="2:24" x14ac:dyDescent="0.3">
      <c r="B50" s="625"/>
      <c r="C50" s="625"/>
      <c r="S50" s="625"/>
      <c r="T50" s="625"/>
      <c r="U50" s="625"/>
      <c r="V50" s="625"/>
      <c r="W50" s="625"/>
      <c r="X50" s="625"/>
    </row>
    <row r="51" spans="2:24" x14ac:dyDescent="0.3">
      <c r="B51" s="625"/>
      <c r="C51" s="625"/>
      <c r="S51" s="625"/>
      <c r="T51" s="625"/>
      <c r="U51" s="625"/>
      <c r="V51" s="625"/>
      <c r="W51" s="625"/>
      <c r="X51" s="625"/>
    </row>
    <row r="52" spans="2:24" x14ac:dyDescent="0.3">
      <c r="B52" s="625"/>
      <c r="C52" s="625"/>
      <c r="S52" s="625"/>
      <c r="T52" s="625"/>
      <c r="U52" s="625"/>
      <c r="V52" s="625"/>
      <c r="W52" s="625"/>
      <c r="X52" s="625"/>
    </row>
    <row r="53" spans="2:24" x14ac:dyDescent="0.3">
      <c r="B53" s="625"/>
      <c r="C53" s="625"/>
      <c r="S53" s="625"/>
      <c r="T53" s="625"/>
      <c r="U53" s="625"/>
      <c r="V53" s="625"/>
      <c r="W53" s="625"/>
      <c r="X53" s="625"/>
    </row>
    <row r="54" spans="2:24" x14ac:dyDescent="0.3">
      <c r="B54" s="625"/>
      <c r="C54" s="625"/>
      <c r="S54" s="625"/>
      <c r="T54" s="625"/>
      <c r="U54" s="625"/>
      <c r="V54" s="625"/>
      <c r="W54" s="625"/>
      <c r="X54" s="625"/>
    </row>
    <row r="55" spans="2:24" x14ac:dyDescent="0.3">
      <c r="B55" s="625"/>
      <c r="C55" s="625"/>
      <c r="S55" s="625"/>
      <c r="T55" s="625"/>
      <c r="U55" s="625"/>
      <c r="V55" s="625"/>
      <c r="W55" s="625"/>
      <c r="X55" s="625"/>
    </row>
    <row r="56" spans="2:24" x14ac:dyDescent="0.3">
      <c r="B56" s="625"/>
      <c r="C56" s="625"/>
      <c r="S56" s="625"/>
      <c r="T56" s="625"/>
      <c r="U56" s="625"/>
      <c r="V56" s="625"/>
      <c r="W56" s="625"/>
      <c r="X56" s="625"/>
    </row>
    <row r="57" spans="2:24" x14ac:dyDescent="0.3">
      <c r="B57" s="625"/>
      <c r="C57" s="625"/>
      <c r="S57" s="625"/>
      <c r="T57" s="625"/>
      <c r="U57" s="625"/>
      <c r="V57" s="625"/>
      <c r="W57" s="625"/>
      <c r="X57" s="625"/>
    </row>
    <row r="58" spans="2:24" x14ac:dyDescent="0.3">
      <c r="B58" s="625"/>
      <c r="C58" s="625"/>
      <c r="S58" s="625"/>
      <c r="T58" s="625"/>
      <c r="U58" s="625"/>
      <c r="V58" s="625"/>
      <c r="W58" s="625"/>
      <c r="X58" s="625"/>
    </row>
    <row r="59" spans="2:24" x14ac:dyDescent="0.3">
      <c r="B59" s="625"/>
      <c r="C59" s="625"/>
      <c r="S59" s="625"/>
      <c r="T59" s="625"/>
      <c r="U59" s="625"/>
      <c r="V59" s="625"/>
      <c r="W59" s="625"/>
      <c r="X59" s="625"/>
    </row>
    <row r="60" spans="2:24" x14ac:dyDescent="0.3">
      <c r="B60" s="625"/>
      <c r="C60" s="625"/>
      <c r="S60" s="625"/>
      <c r="T60" s="625"/>
      <c r="U60" s="625"/>
      <c r="V60" s="625"/>
      <c r="W60" s="625"/>
      <c r="X60" s="625"/>
    </row>
    <row r="61" spans="2:24" x14ac:dyDescent="0.3">
      <c r="B61" s="625"/>
      <c r="C61" s="625"/>
      <c r="S61" s="625"/>
      <c r="T61" s="625"/>
      <c r="U61" s="625"/>
      <c r="V61" s="625"/>
      <c r="W61" s="625"/>
      <c r="X61" s="625"/>
    </row>
    <row r="62" spans="2:24" x14ac:dyDescent="0.3">
      <c r="B62" s="625"/>
      <c r="C62" s="625"/>
      <c r="S62" s="625"/>
      <c r="T62" s="625"/>
      <c r="U62" s="625"/>
      <c r="V62" s="625"/>
      <c r="W62" s="625"/>
      <c r="X62" s="625"/>
    </row>
    <row r="63" spans="2:24" x14ac:dyDescent="0.3">
      <c r="B63" s="625"/>
      <c r="C63" s="625"/>
      <c r="S63" s="625"/>
      <c r="T63" s="625"/>
      <c r="U63" s="625"/>
      <c r="V63" s="625"/>
      <c r="W63" s="625"/>
      <c r="X63" s="625"/>
    </row>
    <row r="64" spans="2:24" x14ac:dyDescent="0.3">
      <c r="B64" s="625"/>
      <c r="C64" s="625"/>
      <c r="S64" s="625"/>
      <c r="T64" s="625"/>
      <c r="U64" s="625"/>
      <c r="V64" s="625"/>
      <c r="W64" s="625"/>
      <c r="X64" s="625"/>
    </row>
    <row r="65" spans="2:24" x14ac:dyDescent="0.3">
      <c r="B65" s="625"/>
      <c r="C65" s="625"/>
      <c r="S65" s="625"/>
      <c r="T65" s="625"/>
      <c r="U65" s="625"/>
      <c r="V65" s="625"/>
      <c r="W65" s="625"/>
      <c r="X65" s="625"/>
    </row>
    <row r="66" spans="2:24" x14ac:dyDescent="0.3">
      <c r="B66" s="625"/>
      <c r="C66" s="625"/>
      <c r="D66" s="1" t="s">
        <v>347</v>
      </c>
      <c r="S66" s="625"/>
      <c r="T66" s="625"/>
      <c r="U66" s="625"/>
      <c r="V66" s="625"/>
      <c r="W66" s="625"/>
      <c r="X66" s="625"/>
    </row>
    <row r="67" spans="2:24" x14ac:dyDescent="0.3">
      <c r="B67" s="625"/>
      <c r="C67" s="625"/>
      <c r="S67" s="625"/>
      <c r="T67" s="625"/>
      <c r="U67" s="625"/>
      <c r="V67" s="625"/>
      <c r="W67" s="625"/>
      <c r="X67" s="625"/>
    </row>
    <row r="68" spans="2:24" x14ac:dyDescent="0.3">
      <c r="B68" s="625"/>
      <c r="C68" s="625"/>
      <c r="S68" s="625"/>
      <c r="T68" s="625"/>
      <c r="U68" s="625"/>
      <c r="V68" s="625"/>
      <c r="W68" s="625"/>
      <c r="X68" s="625"/>
    </row>
    <row r="69" spans="2:24" x14ac:dyDescent="0.3">
      <c r="B69" s="625"/>
      <c r="C69" s="625"/>
      <c r="S69" s="625"/>
      <c r="T69" s="625"/>
      <c r="U69" s="625"/>
      <c r="V69" s="625"/>
      <c r="W69" s="625"/>
      <c r="X69" s="625"/>
    </row>
    <row r="70" spans="2:24" x14ac:dyDescent="0.3">
      <c r="B70" s="625"/>
      <c r="C70" s="625"/>
      <c r="S70" s="625"/>
      <c r="T70" s="625"/>
      <c r="U70" s="625"/>
      <c r="V70" s="625"/>
      <c r="W70" s="625"/>
      <c r="X70" s="625"/>
    </row>
    <row r="71" spans="2:24" x14ac:dyDescent="0.3">
      <c r="B71" s="625"/>
      <c r="C71" s="625"/>
      <c r="S71" s="625"/>
      <c r="T71" s="625"/>
      <c r="U71" s="625"/>
      <c r="V71" s="625"/>
      <c r="W71" s="625"/>
      <c r="X71" s="625"/>
    </row>
    <row r="72" spans="2:24" x14ac:dyDescent="0.3">
      <c r="B72" s="625"/>
      <c r="C72" s="625"/>
      <c r="S72" s="625"/>
      <c r="T72" s="625"/>
      <c r="U72" s="625"/>
      <c r="V72" s="625"/>
      <c r="W72" s="625"/>
      <c r="X72" s="625"/>
    </row>
    <row r="73" spans="2:24" x14ac:dyDescent="0.3">
      <c r="B73" s="625"/>
      <c r="C73" s="625"/>
      <c r="S73" s="625"/>
      <c r="T73" s="625"/>
      <c r="U73" s="625"/>
      <c r="V73" s="625"/>
      <c r="W73" s="625"/>
      <c r="X73" s="625"/>
    </row>
    <row r="74" spans="2:24" x14ac:dyDescent="0.3">
      <c r="B74" s="625"/>
      <c r="C74" s="625"/>
      <c r="S74" s="625"/>
      <c r="T74" s="625"/>
      <c r="U74" s="625"/>
      <c r="V74" s="625"/>
      <c r="W74" s="625"/>
      <c r="X74" s="625"/>
    </row>
    <row r="75" spans="2:24" x14ac:dyDescent="0.3">
      <c r="B75" s="625"/>
      <c r="C75" s="625"/>
      <c r="S75" s="625"/>
      <c r="T75" s="625"/>
      <c r="U75" s="625"/>
      <c r="V75" s="625"/>
      <c r="W75" s="625"/>
      <c r="X75" s="625"/>
    </row>
    <row r="76" spans="2:24" x14ac:dyDescent="0.3">
      <c r="B76" s="625"/>
      <c r="C76" s="625"/>
      <c r="S76" s="625"/>
      <c r="T76" s="625"/>
      <c r="U76" s="625"/>
      <c r="V76" s="625"/>
      <c r="W76" s="625"/>
      <c r="X76" s="625"/>
    </row>
    <row r="77" spans="2:24" x14ac:dyDescent="0.3">
      <c r="B77" s="625"/>
      <c r="C77" s="625"/>
      <c r="S77" s="625"/>
      <c r="T77" s="625"/>
      <c r="U77" s="625"/>
      <c r="V77" s="625"/>
      <c r="W77" s="625"/>
      <c r="X77" s="625"/>
    </row>
    <row r="78" spans="2:24" x14ac:dyDescent="0.3">
      <c r="B78" s="625"/>
      <c r="C78" s="625"/>
      <c r="S78" s="625"/>
      <c r="T78" s="625"/>
      <c r="U78" s="625"/>
      <c r="V78" s="625"/>
      <c r="W78" s="625"/>
      <c r="X78" s="625"/>
    </row>
    <row r="79" spans="2:24" x14ac:dyDescent="0.3">
      <c r="B79" s="625"/>
      <c r="C79" s="625"/>
      <c r="S79" s="625"/>
      <c r="T79" s="625"/>
      <c r="U79" s="625"/>
      <c r="V79" s="625"/>
      <c r="W79" s="625"/>
      <c r="X79" s="625"/>
    </row>
    <row r="80" spans="2:24" x14ac:dyDescent="0.3">
      <c r="B80" s="625"/>
      <c r="C80" s="625"/>
      <c r="S80" s="625"/>
      <c r="T80" s="625"/>
      <c r="U80" s="625"/>
      <c r="V80" s="625"/>
      <c r="W80" s="625"/>
      <c r="X80" s="625"/>
    </row>
    <row r="81" spans="2:24" x14ac:dyDescent="0.3">
      <c r="B81" s="625"/>
      <c r="C81" s="625"/>
      <c r="S81" s="625"/>
      <c r="T81" s="625"/>
      <c r="U81" s="625"/>
      <c r="V81" s="625"/>
      <c r="W81" s="625"/>
      <c r="X81" s="625"/>
    </row>
    <row r="82" spans="2:24" x14ac:dyDescent="0.3">
      <c r="B82" s="625"/>
      <c r="C82" s="625"/>
      <c r="S82" s="625"/>
      <c r="T82" s="625"/>
      <c r="U82" s="625"/>
      <c r="V82" s="625"/>
      <c r="W82" s="625"/>
      <c r="X82" s="625"/>
    </row>
    <row r="83" spans="2:24" x14ac:dyDescent="0.3">
      <c r="B83" s="625"/>
      <c r="C83" s="625"/>
      <c r="S83" s="625"/>
      <c r="T83" s="625"/>
      <c r="U83" s="625"/>
      <c r="V83" s="625"/>
      <c r="W83" s="625"/>
      <c r="X83" s="625"/>
    </row>
    <row r="84" spans="2:24" x14ac:dyDescent="0.3">
      <c r="B84" s="625"/>
      <c r="C84" s="625"/>
      <c r="S84" s="625"/>
      <c r="T84" s="625"/>
      <c r="U84" s="625"/>
      <c r="V84" s="625"/>
      <c r="W84" s="625"/>
      <c r="X84" s="625"/>
    </row>
    <row r="85" spans="2:24" x14ac:dyDescent="0.3">
      <c r="B85" s="625"/>
      <c r="C85" s="625"/>
      <c r="S85" s="625"/>
      <c r="T85" s="625"/>
      <c r="U85" s="625"/>
      <c r="V85" s="625"/>
      <c r="W85" s="625"/>
      <c r="X85" s="625"/>
    </row>
    <row r="86" spans="2:24" x14ac:dyDescent="0.3">
      <c r="B86" s="625"/>
      <c r="C86" s="625"/>
      <c r="S86" s="625"/>
      <c r="T86" s="625"/>
      <c r="U86" s="625"/>
      <c r="V86" s="625"/>
      <c r="W86" s="625"/>
      <c r="X86" s="625"/>
    </row>
    <row r="87" spans="2:24" x14ac:dyDescent="0.3">
      <c r="B87" s="625"/>
      <c r="C87" s="625"/>
      <c r="S87" s="625"/>
      <c r="T87" s="625"/>
      <c r="U87" s="625"/>
      <c r="V87" s="625"/>
      <c r="W87" s="625"/>
      <c r="X87" s="625"/>
    </row>
    <row r="88" spans="2:24" x14ac:dyDescent="0.3">
      <c r="B88" s="625"/>
      <c r="C88" s="625"/>
      <c r="S88" s="625"/>
      <c r="T88" s="625"/>
      <c r="U88" s="625"/>
      <c r="V88" s="625"/>
      <c r="W88" s="625"/>
      <c r="X88" s="625"/>
    </row>
    <row r="89" spans="2:24" x14ac:dyDescent="0.3">
      <c r="B89" s="625"/>
      <c r="C89" s="625"/>
      <c r="S89" s="625"/>
      <c r="T89" s="625"/>
      <c r="U89" s="625"/>
      <c r="V89" s="625"/>
      <c r="W89" s="625"/>
      <c r="X89" s="625"/>
    </row>
    <row r="90" spans="2:24" x14ac:dyDescent="0.3">
      <c r="B90" s="625"/>
      <c r="C90" s="625"/>
      <c r="S90" s="625"/>
      <c r="T90" s="625"/>
      <c r="U90" s="625"/>
      <c r="V90" s="625"/>
      <c r="W90" s="625"/>
      <c r="X90" s="625"/>
    </row>
    <row r="91" spans="2:24" x14ac:dyDescent="0.3">
      <c r="B91" s="625"/>
      <c r="C91" s="625"/>
      <c r="S91" s="625"/>
      <c r="T91" s="625"/>
      <c r="U91" s="625"/>
      <c r="V91" s="625"/>
      <c r="W91" s="625"/>
      <c r="X91" s="625"/>
    </row>
    <row r="92" spans="2:24" x14ac:dyDescent="0.3">
      <c r="B92" s="625"/>
      <c r="C92" s="625"/>
      <c r="S92" s="625"/>
      <c r="T92" s="625"/>
      <c r="U92" s="625"/>
      <c r="V92" s="625"/>
      <c r="W92" s="625"/>
      <c r="X92" s="625"/>
    </row>
    <row r="93" spans="2:24" x14ac:dyDescent="0.3">
      <c r="B93" s="625"/>
      <c r="C93" s="625"/>
      <c r="S93" s="625"/>
      <c r="T93" s="625"/>
      <c r="U93" s="625"/>
      <c r="V93" s="625"/>
      <c r="W93" s="625"/>
      <c r="X93" s="625"/>
    </row>
    <row r="94" spans="2:24" x14ac:dyDescent="0.3">
      <c r="B94" s="625"/>
      <c r="C94" s="625"/>
      <c r="S94" s="625"/>
      <c r="T94" s="625"/>
      <c r="U94" s="625"/>
      <c r="V94" s="625"/>
      <c r="W94" s="625"/>
      <c r="X94" s="625"/>
    </row>
    <row r="95" spans="2:24" x14ac:dyDescent="0.3">
      <c r="B95" s="625"/>
      <c r="C95" s="625"/>
      <c r="S95" s="625"/>
      <c r="T95" s="625"/>
      <c r="U95" s="625"/>
      <c r="V95" s="625"/>
      <c r="W95" s="625"/>
      <c r="X95" s="625"/>
    </row>
    <row r="96" spans="2:24" x14ac:dyDescent="0.3">
      <c r="B96" s="625"/>
      <c r="C96" s="625"/>
      <c r="S96" s="625"/>
      <c r="T96" s="625"/>
      <c r="U96" s="625"/>
      <c r="V96" s="625"/>
      <c r="W96" s="625"/>
      <c r="X96" s="625"/>
    </row>
    <row r="97" spans="2:24" x14ac:dyDescent="0.3">
      <c r="B97" s="625"/>
      <c r="C97" s="625"/>
      <c r="S97" s="625"/>
      <c r="T97" s="625"/>
      <c r="U97" s="625"/>
      <c r="V97" s="625"/>
      <c r="W97" s="625"/>
      <c r="X97" s="625"/>
    </row>
    <row r="98" spans="2:24" x14ac:dyDescent="0.3">
      <c r="B98" s="625"/>
      <c r="C98" s="625"/>
      <c r="S98" s="625"/>
      <c r="T98" s="625"/>
      <c r="U98" s="625"/>
      <c r="V98" s="625"/>
      <c r="W98" s="625"/>
      <c r="X98" s="625"/>
    </row>
    <row r="99" spans="2:24" x14ac:dyDescent="0.3">
      <c r="B99" s="625"/>
      <c r="C99" s="625"/>
      <c r="S99" s="625"/>
      <c r="T99" s="625"/>
      <c r="U99" s="625"/>
      <c r="V99" s="625"/>
      <c r="W99" s="625"/>
      <c r="X99" s="625"/>
    </row>
    <row r="100" spans="2:24" x14ac:dyDescent="0.3">
      <c r="B100" s="625"/>
      <c r="C100" s="625"/>
      <c r="S100" s="625"/>
      <c r="T100" s="625"/>
      <c r="U100" s="625"/>
      <c r="V100" s="625"/>
      <c r="W100" s="625"/>
      <c r="X100" s="625"/>
    </row>
    <row r="101" spans="2:24" x14ac:dyDescent="0.3">
      <c r="B101" s="625"/>
      <c r="C101" s="625"/>
      <c r="S101" s="625"/>
      <c r="T101" s="625"/>
      <c r="U101" s="625"/>
      <c r="V101" s="625"/>
      <c r="W101" s="625"/>
      <c r="X101" s="625"/>
    </row>
    <row r="102" spans="2:24" x14ac:dyDescent="0.3">
      <c r="B102" s="625"/>
      <c r="C102" s="625"/>
      <c r="S102" s="625"/>
      <c r="T102" s="625"/>
      <c r="U102" s="625"/>
      <c r="V102" s="625"/>
      <c r="W102" s="625"/>
      <c r="X102" s="625"/>
    </row>
    <row r="103" spans="2:24" x14ac:dyDescent="0.3">
      <c r="B103" s="625"/>
      <c r="C103" s="625"/>
      <c r="S103" s="625"/>
      <c r="T103" s="625"/>
      <c r="U103" s="625"/>
      <c r="V103" s="625"/>
      <c r="W103" s="625"/>
      <c r="X103" s="625"/>
    </row>
    <row r="104" spans="2:24" x14ac:dyDescent="0.3">
      <c r="B104" s="625"/>
      <c r="C104" s="625"/>
      <c r="S104" s="625"/>
      <c r="T104" s="625"/>
      <c r="U104" s="625"/>
      <c r="V104" s="625"/>
      <c r="W104" s="625"/>
      <c r="X104" s="625"/>
    </row>
    <row r="105" spans="2:24" x14ac:dyDescent="0.3">
      <c r="B105" s="625"/>
      <c r="C105" s="625"/>
      <c r="S105" s="625"/>
      <c r="T105" s="625"/>
      <c r="U105" s="625"/>
      <c r="V105" s="625"/>
      <c r="W105" s="625"/>
      <c r="X105" s="625"/>
    </row>
    <row r="106" spans="2:24" x14ac:dyDescent="0.3">
      <c r="B106" s="625"/>
      <c r="C106" s="625"/>
      <c r="S106" s="625"/>
      <c r="T106" s="625"/>
      <c r="U106" s="625"/>
      <c r="V106" s="625"/>
      <c r="W106" s="625"/>
      <c r="X106" s="625"/>
    </row>
    <row r="107" spans="2:24" x14ac:dyDescent="0.3">
      <c r="B107" s="625"/>
      <c r="C107" s="625"/>
      <c r="S107" s="625"/>
      <c r="T107" s="625"/>
      <c r="U107" s="625"/>
      <c r="V107" s="625"/>
      <c r="W107" s="625"/>
      <c r="X107" s="625"/>
    </row>
    <row r="108" spans="2:24" x14ac:dyDescent="0.3">
      <c r="B108" s="625"/>
      <c r="C108" s="625"/>
      <c r="S108" s="625"/>
      <c r="T108" s="625"/>
      <c r="U108" s="625"/>
      <c r="V108" s="625"/>
      <c r="W108" s="625"/>
      <c r="X108" s="625"/>
    </row>
    <row r="109" spans="2:24" x14ac:dyDescent="0.3">
      <c r="B109" s="625"/>
      <c r="C109" s="625"/>
      <c r="D109" s="26"/>
      <c r="S109" s="625"/>
      <c r="T109" s="625"/>
      <c r="U109" s="625"/>
      <c r="V109" s="625"/>
      <c r="W109" s="625"/>
      <c r="X109" s="625"/>
    </row>
    <row r="110" spans="2:24" x14ac:dyDescent="0.3">
      <c r="B110" s="625"/>
      <c r="C110" s="625"/>
      <c r="S110" s="625"/>
      <c r="T110" s="625"/>
      <c r="U110" s="625"/>
      <c r="V110" s="625"/>
      <c r="W110" s="625"/>
      <c r="X110" s="625"/>
    </row>
    <row r="111" spans="2:24" x14ac:dyDescent="0.3">
      <c r="B111" s="625"/>
      <c r="C111" s="625"/>
      <c r="S111" s="625"/>
      <c r="T111" s="625"/>
      <c r="U111" s="625"/>
      <c r="V111" s="625"/>
      <c r="W111" s="625"/>
      <c r="X111" s="625"/>
    </row>
    <row r="112" spans="2:24" x14ac:dyDescent="0.3">
      <c r="B112" s="625"/>
      <c r="C112" s="625"/>
      <c r="S112" s="625"/>
      <c r="T112" s="625"/>
      <c r="U112" s="625"/>
      <c r="V112" s="625"/>
      <c r="W112" s="625"/>
      <c r="X112" s="625"/>
    </row>
    <row r="113" spans="2:24" x14ac:dyDescent="0.3">
      <c r="B113" s="625"/>
      <c r="C113" s="625"/>
      <c r="S113" s="625"/>
      <c r="T113" s="625"/>
      <c r="U113" s="625"/>
      <c r="V113" s="625"/>
      <c r="W113" s="625"/>
      <c r="X113" s="625"/>
    </row>
    <row r="114" spans="2:24" ht="15" thickBot="1" x14ac:dyDescent="0.35">
      <c r="B114" s="625"/>
      <c r="C114" s="625"/>
      <c r="D114" s="414" t="s">
        <v>348</v>
      </c>
      <c r="E114" s="412"/>
      <c r="F114" s="412"/>
      <c r="G114" s="412"/>
      <c r="H114" s="412"/>
      <c r="I114" s="412"/>
      <c r="J114" s="412"/>
      <c r="K114" s="412"/>
      <c r="L114" s="412"/>
      <c r="M114" s="412"/>
      <c r="N114" s="412"/>
      <c r="O114" s="412"/>
      <c r="P114" s="412"/>
      <c r="Q114" s="412"/>
      <c r="R114" s="413"/>
      <c r="S114" s="625"/>
      <c r="T114" s="625"/>
      <c r="U114" s="625"/>
      <c r="V114" s="625"/>
      <c r="W114" s="625"/>
      <c r="X114" s="625"/>
    </row>
    <row r="115" spans="2:24" ht="5.0999999999999996" customHeight="1" x14ac:dyDescent="0.3">
      <c r="B115" s="625"/>
      <c r="C115" s="625"/>
      <c r="S115" s="625"/>
      <c r="T115" s="625"/>
      <c r="U115" s="625"/>
      <c r="V115" s="625"/>
      <c r="W115" s="625"/>
      <c r="X115" s="625"/>
    </row>
    <row r="116" spans="2:24" x14ac:dyDescent="0.3">
      <c r="B116" s="625"/>
      <c r="C116" s="625"/>
      <c r="D116" s="1" t="s">
        <v>349</v>
      </c>
      <c r="S116" s="625"/>
      <c r="T116" s="625"/>
      <c r="U116" s="625"/>
      <c r="V116" s="625"/>
      <c r="W116" s="625"/>
      <c r="X116" s="625"/>
    </row>
    <row r="117" spans="2:24" x14ac:dyDescent="0.3">
      <c r="B117" s="625"/>
      <c r="C117" s="625"/>
      <c r="S117" s="625"/>
      <c r="T117" s="625"/>
      <c r="U117" s="625"/>
      <c r="V117" s="625"/>
      <c r="W117" s="625"/>
      <c r="X117" s="625"/>
    </row>
    <row r="118" spans="2:24" x14ac:dyDescent="0.3">
      <c r="B118" s="625"/>
      <c r="C118" s="625"/>
      <c r="S118" s="625"/>
      <c r="T118" s="625"/>
      <c r="U118" s="625"/>
      <c r="V118" s="625"/>
      <c r="W118" s="625"/>
      <c r="X118" s="625"/>
    </row>
    <row r="119" spans="2:24" x14ac:dyDescent="0.3">
      <c r="B119" s="625"/>
      <c r="C119" s="625"/>
      <c r="S119" s="625"/>
      <c r="T119" s="625"/>
      <c r="U119" s="625"/>
      <c r="V119" s="625"/>
      <c r="W119" s="625"/>
      <c r="X119" s="625"/>
    </row>
    <row r="120" spans="2:24" x14ac:dyDescent="0.3">
      <c r="B120" s="625"/>
      <c r="C120" s="625"/>
      <c r="S120" s="625"/>
      <c r="T120" s="625"/>
      <c r="U120" s="625"/>
      <c r="V120" s="625"/>
      <c r="W120" s="625"/>
      <c r="X120" s="625"/>
    </row>
    <row r="121" spans="2:24" x14ac:dyDescent="0.3">
      <c r="B121" s="625"/>
      <c r="C121" s="625"/>
      <c r="S121" s="625"/>
      <c r="T121" s="625"/>
      <c r="U121" s="625"/>
      <c r="V121" s="625"/>
      <c r="W121" s="625"/>
      <c r="X121" s="625"/>
    </row>
    <row r="122" spans="2:24" x14ac:dyDescent="0.3">
      <c r="B122" s="625"/>
      <c r="C122" s="625"/>
      <c r="S122" s="625"/>
      <c r="T122" s="625"/>
      <c r="U122" s="625"/>
      <c r="V122" s="625"/>
      <c r="W122" s="625"/>
      <c r="X122" s="625"/>
    </row>
    <row r="123" spans="2:24" x14ac:dyDescent="0.3">
      <c r="B123" s="625"/>
      <c r="C123" s="625"/>
      <c r="S123" s="625"/>
      <c r="T123" s="625"/>
      <c r="U123" s="625"/>
      <c r="V123" s="625"/>
      <c r="W123" s="625"/>
      <c r="X123" s="625"/>
    </row>
    <row r="124" spans="2:24" x14ac:dyDescent="0.3">
      <c r="B124" s="625"/>
      <c r="C124" s="625"/>
      <c r="S124" s="625"/>
      <c r="T124" s="625"/>
      <c r="U124" s="625"/>
      <c r="V124" s="625"/>
      <c r="W124" s="625"/>
      <c r="X124" s="625"/>
    </row>
    <row r="125" spans="2:24" x14ac:dyDescent="0.3">
      <c r="B125" s="625"/>
      <c r="C125" s="625"/>
      <c r="S125" s="625"/>
      <c r="T125" s="625"/>
      <c r="U125" s="625"/>
      <c r="V125" s="625"/>
      <c r="W125" s="625"/>
      <c r="X125" s="625"/>
    </row>
    <row r="126" spans="2:24" x14ac:dyDescent="0.3">
      <c r="B126" s="625"/>
      <c r="C126" s="625"/>
      <c r="D126" s="1" t="s">
        <v>350</v>
      </c>
      <c r="S126" s="625"/>
      <c r="T126" s="625"/>
      <c r="U126" s="625"/>
      <c r="V126" s="625"/>
      <c r="W126" s="625"/>
      <c r="X126" s="625"/>
    </row>
    <row r="127" spans="2:24" x14ac:dyDescent="0.3">
      <c r="B127" s="625"/>
      <c r="C127" s="625"/>
      <c r="S127" s="625"/>
      <c r="T127" s="625"/>
      <c r="U127" s="625"/>
      <c r="V127" s="625"/>
      <c r="W127" s="625"/>
      <c r="X127" s="625"/>
    </row>
    <row r="128" spans="2:24" x14ac:dyDescent="0.3">
      <c r="B128" s="625"/>
      <c r="C128" s="625"/>
      <c r="S128" s="625"/>
      <c r="T128" s="625"/>
      <c r="U128" s="625"/>
      <c r="V128" s="625"/>
      <c r="W128" s="625"/>
      <c r="X128" s="625"/>
    </row>
    <row r="129" spans="2:24" x14ac:dyDescent="0.3">
      <c r="B129" s="625"/>
      <c r="C129" s="625"/>
      <c r="S129" s="625"/>
      <c r="T129" s="625"/>
      <c r="U129" s="625"/>
      <c r="V129" s="625"/>
      <c r="W129" s="625"/>
      <c r="X129" s="625"/>
    </row>
    <row r="130" spans="2:24" x14ac:dyDescent="0.3">
      <c r="B130" s="625"/>
      <c r="C130" s="625"/>
      <c r="S130" s="625"/>
      <c r="T130" s="625"/>
      <c r="U130" s="625"/>
      <c r="V130" s="625"/>
      <c r="W130" s="625"/>
      <c r="X130" s="625"/>
    </row>
    <row r="131" spans="2:24" x14ac:dyDescent="0.3">
      <c r="B131" s="625"/>
      <c r="C131" s="625"/>
      <c r="S131" s="625"/>
      <c r="T131" s="625"/>
      <c r="U131" s="625"/>
      <c r="V131" s="625"/>
      <c r="W131" s="625"/>
      <c r="X131" s="625"/>
    </row>
    <row r="132" spans="2:24" x14ac:dyDescent="0.3">
      <c r="B132" s="625"/>
      <c r="C132" s="625"/>
      <c r="S132" s="625"/>
      <c r="T132" s="625"/>
      <c r="U132" s="625"/>
      <c r="V132" s="625"/>
      <c r="W132" s="625"/>
      <c r="X132" s="625"/>
    </row>
    <row r="133" spans="2:24" x14ac:dyDescent="0.3">
      <c r="B133" s="625"/>
      <c r="C133" s="625"/>
      <c r="S133" s="625"/>
      <c r="T133" s="625"/>
      <c r="U133" s="625"/>
      <c r="V133" s="625"/>
      <c r="W133" s="625"/>
      <c r="X133" s="625"/>
    </row>
    <row r="134" spans="2:24" x14ac:dyDescent="0.3">
      <c r="B134" s="625"/>
      <c r="C134" s="625"/>
      <c r="S134" s="625"/>
      <c r="T134" s="625"/>
      <c r="U134" s="625"/>
      <c r="V134" s="625"/>
      <c r="W134" s="625"/>
      <c r="X134" s="625"/>
    </row>
    <row r="135" spans="2:24" x14ac:dyDescent="0.3">
      <c r="B135" s="625"/>
      <c r="C135" s="625"/>
      <c r="S135" s="625"/>
      <c r="T135" s="625"/>
      <c r="U135" s="625"/>
      <c r="V135" s="625"/>
      <c r="W135" s="625"/>
      <c r="X135" s="625"/>
    </row>
    <row r="136" spans="2:24" x14ac:dyDescent="0.3">
      <c r="B136" s="625"/>
      <c r="C136" s="625"/>
      <c r="S136" s="625"/>
      <c r="T136" s="625"/>
      <c r="U136" s="625"/>
      <c r="V136" s="625"/>
      <c r="W136" s="625"/>
      <c r="X136" s="625"/>
    </row>
    <row r="137" spans="2:24" x14ac:dyDescent="0.3">
      <c r="B137" s="625"/>
      <c r="C137" s="625"/>
      <c r="S137" s="625"/>
      <c r="T137" s="625"/>
      <c r="U137" s="625"/>
      <c r="V137" s="625"/>
      <c r="W137" s="625"/>
      <c r="X137" s="625"/>
    </row>
    <row r="138" spans="2:24" x14ac:dyDescent="0.3">
      <c r="B138" s="625"/>
      <c r="C138" s="625"/>
      <c r="S138" s="625"/>
      <c r="T138" s="625"/>
      <c r="U138" s="625"/>
      <c r="V138" s="625"/>
      <c r="W138" s="625"/>
      <c r="X138" s="625"/>
    </row>
    <row r="139" spans="2:24" x14ac:dyDescent="0.3">
      <c r="B139" s="625"/>
      <c r="C139" s="625"/>
      <c r="S139" s="625"/>
      <c r="T139" s="625"/>
      <c r="U139" s="625"/>
      <c r="V139" s="625"/>
      <c r="W139" s="625"/>
      <c r="X139" s="625"/>
    </row>
    <row r="140" spans="2:24" x14ac:dyDescent="0.3">
      <c r="B140" s="625"/>
      <c r="C140" s="625"/>
      <c r="S140" s="625"/>
      <c r="T140" s="625"/>
      <c r="U140" s="625"/>
      <c r="V140" s="625"/>
      <c r="W140" s="625"/>
      <c r="X140" s="625"/>
    </row>
    <row r="141" spans="2:24" x14ac:dyDescent="0.3">
      <c r="B141" s="625"/>
      <c r="C141" s="625"/>
      <c r="S141" s="625"/>
      <c r="T141" s="625"/>
      <c r="U141" s="625"/>
      <c r="V141" s="625"/>
      <c r="W141" s="625"/>
      <c r="X141" s="625"/>
    </row>
    <row r="142" spans="2:24" x14ac:dyDescent="0.3">
      <c r="B142" s="625"/>
      <c r="C142" s="625"/>
      <c r="S142" s="625"/>
      <c r="T142" s="625"/>
      <c r="U142" s="625"/>
      <c r="V142" s="625"/>
      <c r="W142" s="625"/>
      <c r="X142" s="625"/>
    </row>
    <row r="143" spans="2:24" x14ac:dyDescent="0.3">
      <c r="B143" s="625"/>
      <c r="C143" s="625"/>
      <c r="S143" s="625"/>
      <c r="T143" s="625"/>
      <c r="U143" s="625"/>
      <c r="V143" s="625"/>
      <c r="W143" s="625"/>
      <c r="X143" s="625"/>
    </row>
    <row r="144" spans="2:24" x14ac:dyDescent="0.3">
      <c r="B144" s="625"/>
      <c r="C144" s="625"/>
      <c r="S144" s="625"/>
      <c r="T144" s="625"/>
      <c r="U144" s="625"/>
      <c r="V144" s="625"/>
      <c r="W144" s="625"/>
      <c r="X144" s="625"/>
    </row>
    <row r="145" spans="2:24" x14ac:dyDescent="0.3">
      <c r="B145" s="625"/>
      <c r="C145" s="625"/>
      <c r="S145" s="625"/>
      <c r="T145" s="625"/>
      <c r="U145" s="625"/>
      <c r="V145" s="625"/>
      <c r="W145" s="625"/>
      <c r="X145" s="625"/>
    </row>
    <row r="146" spans="2:24" x14ac:dyDescent="0.3">
      <c r="B146" s="625"/>
      <c r="C146" s="625"/>
      <c r="S146" s="625"/>
      <c r="T146" s="625"/>
      <c r="U146" s="625"/>
      <c r="V146" s="625"/>
      <c r="W146" s="625"/>
      <c r="X146" s="625"/>
    </row>
    <row r="147" spans="2:24" x14ac:dyDescent="0.3">
      <c r="B147" s="625"/>
      <c r="C147" s="625"/>
      <c r="S147" s="625"/>
      <c r="T147" s="625"/>
      <c r="U147" s="625"/>
      <c r="V147" s="625"/>
      <c r="W147" s="625"/>
      <c r="X147" s="625"/>
    </row>
    <row r="148" spans="2:24" x14ac:dyDescent="0.3">
      <c r="B148" s="625"/>
      <c r="C148" s="625"/>
      <c r="S148" s="625"/>
      <c r="T148" s="625"/>
      <c r="U148" s="625"/>
      <c r="V148" s="625"/>
      <c r="W148" s="625"/>
      <c r="X148" s="625"/>
    </row>
    <row r="149" spans="2:24" x14ac:dyDescent="0.3">
      <c r="B149" s="625"/>
      <c r="C149" s="625"/>
      <c r="S149" s="625"/>
      <c r="T149" s="625"/>
      <c r="U149" s="625"/>
      <c r="V149" s="625"/>
      <c r="W149" s="625"/>
      <c r="X149" s="625"/>
    </row>
    <row r="150" spans="2:24" x14ac:dyDescent="0.3">
      <c r="B150" s="625"/>
      <c r="C150" s="625"/>
      <c r="S150" s="625"/>
      <c r="T150" s="625"/>
      <c r="U150" s="625"/>
      <c r="V150" s="625"/>
      <c r="W150" s="625"/>
      <c r="X150" s="625"/>
    </row>
    <row r="151" spans="2:24" x14ac:dyDescent="0.3">
      <c r="B151" s="625"/>
      <c r="C151" s="625"/>
      <c r="D151" s="1" t="s">
        <v>351</v>
      </c>
      <c r="S151" s="625"/>
      <c r="T151" s="625"/>
      <c r="U151" s="625"/>
      <c r="V151" s="625"/>
      <c r="W151" s="625"/>
      <c r="X151" s="625"/>
    </row>
    <row r="152" spans="2:24" x14ac:dyDescent="0.3">
      <c r="B152" s="625"/>
      <c r="C152" s="625"/>
      <c r="S152" s="625"/>
      <c r="T152" s="625"/>
      <c r="U152" s="625"/>
      <c r="V152" s="625"/>
      <c r="W152" s="625"/>
      <c r="X152" s="625"/>
    </row>
    <row r="153" spans="2:24" x14ac:dyDescent="0.3">
      <c r="B153" s="625"/>
      <c r="C153" s="625"/>
      <c r="S153" s="625"/>
      <c r="T153" s="625"/>
      <c r="U153" s="625"/>
      <c r="V153" s="625"/>
      <c r="W153" s="625"/>
      <c r="X153" s="625"/>
    </row>
    <row r="154" spans="2:24" x14ac:dyDescent="0.3">
      <c r="B154" s="625"/>
      <c r="C154" s="625"/>
      <c r="S154" s="625"/>
      <c r="T154" s="625"/>
      <c r="U154" s="625"/>
      <c r="V154" s="625"/>
      <c r="W154" s="625"/>
      <c r="X154" s="625"/>
    </row>
    <row r="155" spans="2:24" x14ac:dyDescent="0.3">
      <c r="B155" s="625"/>
      <c r="C155" s="625"/>
      <c r="S155" s="625"/>
      <c r="T155" s="625"/>
      <c r="U155" s="625"/>
      <c r="V155" s="625"/>
      <c r="W155" s="625"/>
      <c r="X155" s="625"/>
    </row>
    <row r="156" spans="2:24" x14ac:dyDescent="0.3">
      <c r="B156" s="625"/>
      <c r="C156" s="625"/>
      <c r="S156" s="625"/>
      <c r="T156" s="625"/>
      <c r="U156" s="625"/>
      <c r="V156" s="625"/>
      <c r="W156" s="625"/>
      <c r="X156" s="625"/>
    </row>
    <row r="157" spans="2:24" x14ac:dyDescent="0.3">
      <c r="B157" s="625"/>
      <c r="C157" s="625"/>
      <c r="S157" s="625"/>
      <c r="T157" s="625"/>
      <c r="U157" s="625"/>
      <c r="V157" s="625"/>
      <c r="W157" s="625"/>
      <c r="X157" s="625"/>
    </row>
    <row r="158" spans="2:24" x14ac:dyDescent="0.3">
      <c r="B158" s="625"/>
      <c r="C158" s="625"/>
      <c r="S158" s="625"/>
      <c r="T158" s="625"/>
      <c r="U158" s="625"/>
      <c r="V158" s="625"/>
      <c r="W158" s="625"/>
      <c r="X158" s="625"/>
    </row>
    <row r="159" spans="2:24" x14ac:dyDescent="0.3">
      <c r="B159" s="625"/>
      <c r="C159" s="625"/>
      <c r="S159" s="625"/>
      <c r="T159" s="625"/>
      <c r="U159" s="625"/>
      <c r="V159" s="625"/>
      <c r="W159" s="625"/>
      <c r="X159" s="625"/>
    </row>
    <row r="160" spans="2:24" x14ac:dyDescent="0.3">
      <c r="B160" s="625"/>
      <c r="C160" s="625"/>
      <c r="D160" s="1" t="s">
        <v>352</v>
      </c>
      <c r="S160" s="625"/>
      <c r="T160" s="625"/>
      <c r="U160" s="625"/>
      <c r="V160" s="625"/>
      <c r="W160" s="625"/>
      <c r="X160" s="625"/>
    </row>
    <row r="161" spans="2:24" x14ac:dyDescent="0.3">
      <c r="B161" s="625"/>
      <c r="C161" s="625"/>
      <c r="S161" s="625"/>
      <c r="T161" s="625"/>
      <c r="U161" s="625"/>
      <c r="V161" s="625"/>
      <c r="W161" s="625"/>
      <c r="X161" s="625"/>
    </row>
    <row r="162" spans="2:24" x14ac:dyDescent="0.3">
      <c r="B162" s="625"/>
      <c r="C162" s="625"/>
      <c r="S162" s="625"/>
      <c r="T162" s="625"/>
      <c r="U162" s="625"/>
      <c r="V162" s="625"/>
      <c r="W162" s="625"/>
      <c r="X162" s="625"/>
    </row>
    <row r="163" spans="2:24" x14ac:dyDescent="0.3">
      <c r="B163" s="625"/>
      <c r="C163" s="625"/>
      <c r="S163" s="625"/>
      <c r="T163" s="625"/>
      <c r="U163" s="625"/>
      <c r="V163" s="625"/>
      <c r="W163" s="625"/>
      <c r="X163" s="625"/>
    </row>
    <row r="164" spans="2:24" x14ac:dyDescent="0.3">
      <c r="B164" s="625"/>
      <c r="C164" s="625"/>
      <c r="S164" s="625"/>
      <c r="T164" s="625"/>
      <c r="U164" s="625"/>
      <c r="V164" s="625"/>
      <c r="W164" s="625"/>
      <c r="X164" s="625"/>
    </row>
    <row r="165" spans="2:24" x14ac:dyDescent="0.3">
      <c r="B165" s="625"/>
      <c r="C165" s="625"/>
      <c r="S165" s="625"/>
      <c r="T165" s="625"/>
      <c r="U165" s="625"/>
      <c r="V165" s="625"/>
      <c r="W165" s="625"/>
      <c r="X165" s="625"/>
    </row>
    <row r="166" spans="2:24" x14ac:dyDescent="0.3">
      <c r="B166" s="625"/>
      <c r="C166" s="625"/>
      <c r="S166" s="625"/>
      <c r="T166" s="625"/>
      <c r="U166" s="625"/>
      <c r="V166" s="625"/>
      <c r="W166" s="625"/>
      <c r="X166" s="625"/>
    </row>
    <row r="167" spans="2:24" x14ac:dyDescent="0.3">
      <c r="B167" s="625"/>
      <c r="C167" s="625"/>
      <c r="S167" s="625"/>
      <c r="T167" s="625"/>
      <c r="U167" s="625"/>
      <c r="V167" s="625"/>
      <c r="W167" s="625"/>
      <c r="X167" s="625"/>
    </row>
    <row r="168" spans="2:24" x14ac:dyDescent="0.3">
      <c r="B168" s="625"/>
      <c r="C168" s="625"/>
      <c r="S168" s="625"/>
      <c r="T168" s="625"/>
      <c r="U168" s="625"/>
      <c r="V168" s="625"/>
      <c r="W168" s="625"/>
      <c r="X168" s="625"/>
    </row>
    <row r="169" spans="2:24" x14ac:dyDescent="0.3">
      <c r="B169" s="625"/>
      <c r="C169" s="625"/>
      <c r="S169" s="625"/>
      <c r="T169" s="625"/>
      <c r="U169" s="625"/>
      <c r="V169" s="625"/>
      <c r="W169" s="625"/>
      <c r="X169" s="625"/>
    </row>
    <row r="170" spans="2:24" x14ac:dyDescent="0.3">
      <c r="B170" s="625"/>
      <c r="C170" s="625"/>
      <c r="S170" s="625"/>
      <c r="T170" s="625"/>
      <c r="U170" s="625"/>
      <c r="V170" s="625"/>
      <c r="W170" s="625"/>
      <c r="X170" s="625"/>
    </row>
    <row r="171" spans="2:24" x14ac:dyDescent="0.3">
      <c r="B171" s="625"/>
      <c r="C171" s="625"/>
      <c r="S171" s="625"/>
      <c r="T171" s="625"/>
      <c r="U171" s="625"/>
      <c r="V171" s="625"/>
      <c r="W171" s="625"/>
      <c r="X171" s="625"/>
    </row>
    <row r="172" spans="2:24" x14ac:dyDescent="0.3">
      <c r="B172" s="625"/>
      <c r="C172" s="625"/>
      <c r="S172" s="625"/>
      <c r="T172" s="625"/>
      <c r="U172" s="625"/>
      <c r="V172" s="625"/>
      <c r="W172" s="625"/>
      <c r="X172" s="625"/>
    </row>
    <row r="173" spans="2:24" x14ac:dyDescent="0.3">
      <c r="B173" s="625"/>
      <c r="C173" s="625"/>
      <c r="S173" s="625"/>
      <c r="T173" s="625"/>
      <c r="U173" s="625"/>
      <c r="V173" s="625"/>
      <c r="W173" s="625"/>
      <c r="X173" s="625"/>
    </row>
    <row r="174" spans="2:24" x14ac:dyDescent="0.3">
      <c r="B174" s="625"/>
      <c r="C174" s="625"/>
      <c r="S174" s="625"/>
      <c r="T174" s="625"/>
      <c r="U174" s="625"/>
      <c r="V174" s="625"/>
      <c r="W174" s="625"/>
      <c r="X174" s="625"/>
    </row>
    <row r="175" spans="2:24" x14ac:dyDescent="0.3">
      <c r="B175" s="625"/>
      <c r="C175" s="625"/>
      <c r="S175" s="625"/>
      <c r="T175" s="625"/>
      <c r="U175" s="625"/>
      <c r="V175" s="625"/>
      <c r="W175" s="625"/>
      <c r="X175" s="625"/>
    </row>
    <row r="176" spans="2:24" x14ac:dyDescent="0.3">
      <c r="B176" s="625"/>
      <c r="C176" s="625"/>
      <c r="S176" s="625"/>
      <c r="T176" s="625"/>
      <c r="U176" s="625"/>
      <c r="V176" s="625"/>
      <c r="W176" s="625"/>
      <c r="X176" s="625"/>
    </row>
    <row r="177" spans="2:24" x14ac:dyDescent="0.3">
      <c r="B177" s="625"/>
      <c r="C177" s="625"/>
      <c r="S177" s="625"/>
      <c r="T177" s="625"/>
      <c r="U177" s="625"/>
      <c r="V177" s="625"/>
      <c r="W177" s="625"/>
      <c r="X177" s="625"/>
    </row>
    <row r="178" spans="2:24" ht="15" thickBot="1" x14ac:dyDescent="0.35">
      <c r="B178" s="625"/>
      <c r="C178" s="625"/>
      <c r="D178" s="414" t="s">
        <v>353</v>
      </c>
      <c r="E178" s="412"/>
      <c r="F178" s="412"/>
      <c r="G178" s="412"/>
      <c r="H178" s="412"/>
      <c r="I178" s="412"/>
      <c r="J178" s="412"/>
      <c r="K178" s="412"/>
      <c r="L178" s="412"/>
      <c r="M178" s="412"/>
      <c r="N178" s="412"/>
      <c r="O178" s="412"/>
      <c r="P178" s="412"/>
      <c r="Q178" s="412"/>
      <c r="R178" s="413"/>
      <c r="S178" s="625"/>
      <c r="T178" s="625"/>
      <c r="U178" s="625"/>
      <c r="V178" s="625"/>
      <c r="W178" s="625"/>
      <c r="X178" s="625"/>
    </row>
    <row r="179" spans="2:24" x14ac:dyDescent="0.3">
      <c r="B179" s="625"/>
      <c r="C179" s="625"/>
      <c r="S179" s="625"/>
      <c r="T179" s="625"/>
      <c r="U179" s="625"/>
      <c r="V179" s="625"/>
      <c r="W179" s="625"/>
      <c r="X179" s="625"/>
    </row>
    <row r="180" spans="2:24" x14ac:dyDescent="0.3">
      <c r="B180" s="625"/>
      <c r="C180" s="625"/>
      <c r="S180" s="625"/>
      <c r="T180" s="625"/>
      <c r="U180" s="625"/>
      <c r="V180" s="625"/>
      <c r="W180" s="625"/>
      <c r="X180" s="625"/>
    </row>
    <row r="181" spans="2:24" x14ac:dyDescent="0.3">
      <c r="B181" s="625"/>
      <c r="C181" s="625"/>
      <c r="S181" s="625"/>
      <c r="T181" s="625"/>
      <c r="U181" s="625"/>
      <c r="V181" s="625"/>
      <c r="W181" s="625"/>
      <c r="X181" s="625"/>
    </row>
    <row r="182" spans="2:24" x14ac:dyDescent="0.3">
      <c r="B182" s="625"/>
      <c r="C182" s="625"/>
      <c r="S182" s="625"/>
      <c r="T182" s="625"/>
      <c r="U182" s="625"/>
      <c r="V182" s="625"/>
      <c r="W182" s="625"/>
      <c r="X182" s="625"/>
    </row>
    <row r="183" spans="2:24" x14ac:dyDescent="0.3">
      <c r="B183" s="625"/>
      <c r="C183" s="625"/>
      <c r="S183" s="625"/>
      <c r="T183" s="625"/>
      <c r="U183" s="625"/>
      <c r="V183" s="625"/>
      <c r="W183" s="625"/>
      <c r="X183" s="625"/>
    </row>
    <row r="184" spans="2:24" x14ac:dyDescent="0.3">
      <c r="B184" s="625"/>
      <c r="C184" s="625"/>
      <c r="S184" s="625"/>
      <c r="T184" s="625"/>
      <c r="U184" s="625"/>
      <c r="V184" s="625"/>
      <c r="W184" s="625"/>
      <c r="X184" s="625"/>
    </row>
    <row r="185" spans="2:24" x14ac:dyDescent="0.3">
      <c r="B185" s="625"/>
      <c r="C185" s="625"/>
      <c r="S185" s="625"/>
      <c r="T185" s="625"/>
      <c r="U185" s="625"/>
      <c r="V185" s="625"/>
      <c r="W185" s="625"/>
      <c r="X185" s="625"/>
    </row>
    <row r="186" spans="2:24" x14ac:dyDescent="0.3">
      <c r="B186" s="625"/>
      <c r="C186" s="625"/>
      <c r="S186" s="625"/>
      <c r="T186" s="625"/>
      <c r="U186" s="625"/>
      <c r="V186" s="625"/>
      <c r="W186" s="625"/>
      <c r="X186" s="625"/>
    </row>
    <row r="187" spans="2:24" x14ac:dyDescent="0.3">
      <c r="B187" s="625"/>
      <c r="C187" s="625"/>
      <c r="S187" s="625"/>
      <c r="T187" s="625"/>
      <c r="U187" s="625"/>
      <c r="V187" s="625"/>
      <c r="W187" s="625"/>
      <c r="X187" s="625"/>
    </row>
    <row r="188" spans="2:24" x14ac:dyDescent="0.3">
      <c r="B188" s="625"/>
      <c r="C188" s="625"/>
      <c r="S188" s="625"/>
      <c r="T188" s="625"/>
      <c r="U188" s="625"/>
      <c r="V188" s="625"/>
      <c r="W188" s="625"/>
      <c r="X188" s="625"/>
    </row>
    <row r="189" spans="2:24" x14ac:dyDescent="0.3">
      <c r="B189" s="625"/>
      <c r="C189" s="625"/>
      <c r="S189" s="625"/>
      <c r="T189" s="625"/>
      <c r="U189" s="625"/>
      <c r="V189" s="625"/>
      <c r="W189" s="625"/>
      <c r="X189" s="625"/>
    </row>
    <row r="190" spans="2:24" x14ac:dyDescent="0.3">
      <c r="B190" s="625"/>
      <c r="C190" s="625"/>
      <c r="S190" s="625"/>
      <c r="T190" s="625"/>
      <c r="U190" s="625"/>
      <c r="V190" s="625"/>
      <c r="W190" s="625"/>
      <c r="X190" s="625"/>
    </row>
    <row r="191" spans="2:24" x14ac:dyDescent="0.3">
      <c r="B191" s="625"/>
      <c r="C191" s="625"/>
      <c r="S191" s="625"/>
      <c r="T191" s="625"/>
      <c r="U191" s="625"/>
      <c r="V191" s="625"/>
      <c r="W191" s="625"/>
      <c r="X191" s="625"/>
    </row>
    <row r="192" spans="2:24" x14ac:dyDescent="0.3">
      <c r="B192" s="625"/>
      <c r="C192" s="625"/>
      <c r="S192" s="625"/>
      <c r="T192" s="625"/>
      <c r="U192" s="625"/>
      <c r="V192" s="625"/>
      <c r="W192" s="625"/>
      <c r="X192" s="625"/>
    </row>
    <row r="193" spans="2:24" x14ac:dyDescent="0.3">
      <c r="B193" s="625"/>
      <c r="C193" s="625"/>
      <c r="S193" s="625"/>
      <c r="T193" s="625"/>
      <c r="U193" s="625"/>
      <c r="V193" s="625"/>
      <c r="W193" s="625"/>
      <c r="X193" s="625"/>
    </row>
    <row r="194" spans="2:24" x14ac:dyDescent="0.3">
      <c r="B194" s="625"/>
      <c r="C194" s="625"/>
      <c r="S194" s="625"/>
      <c r="T194" s="625"/>
      <c r="U194" s="625"/>
      <c r="V194" s="625"/>
      <c r="W194" s="625"/>
      <c r="X194" s="625"/>
    </row>
    <row r="195" spans="2:24" x14ac:dyDescent="0.3">
      <c r="B195" s="625"/>
      <c r="C195" s="625"/>
      <c r="S195" s="625"/>
      <c r="T195" s="625"/>
      <c r="U195" s="625"/>
      <c r="V195" s="625"/>
      <c r="W195" s="625"/>
      <c r="X195" s="625"/>
    </row>
    <row r="196" spans="2:24" x14ac:dyDescent="0.3">
      <c r="B196" s="625"/>
      <c r="C196" s="625"/>
      <c r="S196" s="625"/>
      <c r="T196" s="625"/>
      <c r="U196" s="625"/>
      <c r="V196" s="625"/>
      <c r="W196" s="625"/>
      <c r="X196" s="625"/>
    </row>
    <row r="197" spans="2:24" x14ac:dyDescent="0.3">
      <c r="B197" s="625"/>
      <c r="C197" s="625"/>
      <c r="S197" s="625"/>
      <c r="T197" s="625"/>
      <c r="U197" s="625"/>
      <c r="V197" s="625"/>
      <c r="W197" s="625"/>
      <c r="X197" s="625"/>
    </row>
    <row r="198" spans="2:24" x14ac:dyDescent="0.3">
      <c r="B198" s="625"/>
      <c r="C198" s="625"/>
      <c r="S198" s="625"/>
      <c r="T198" s="625"/>
      <c r="U198" s="625"/>
      <c r="V198" s="625"/>
      <c r="W198" s="625"/>
      <c r="X198" s="625"/>
    </row>
    <row r="199" spans="2:24" x14ac:dyDescent="0.3">
      <c r="B199" s="625"/>
      <c r="C199" s="625"/>
      <c r="S199" s="625"/>
      <c r="T199" s="625"/>
      <c r="U199" s="625"/>
      <c r="V199" s="625"/>
      <c r="W199" s="625"/>
      <c r="X199" s="625"/>
    </row>
    <row r="200" spans="2:24" x14ac:dyDescent="0.3">
      <c r="B200" s="625"/>
      <c r="C200" s="625"/>
      <c r="S200" s="625"/>
      <c r="T200" s="625"/>
      <c r="U200" s="625"/>
      <c r="V200" s="625"/>
      <c r="W200" s="625"/>
      <c r="X200" s="625"/>
    </row>
    <row r="201" spans="2:24" x14ac:dyDescent="0.3">
      <c r="B201" s="625"/>
      <c r="C201" s="625"/>
      <c r="S201" s="625"/>
      <c r="T201" s="625"/>
      <c r="U201" s="625"/>
      <c r="V201" s="625"/>
      <c r="W201" s="625"/>
      <c r="X201" s="625"/>
    </row>
    <row r="202" spans="2:24" x14ac:dyDescent="0.3">
      <c r="B202" s="625"/>
      <c r="C202" s="625"/>
      <c r="S202" s="625"/>
      <c r="T202" s="625"/>
      <c r="U202" s="625"/>
      <c r="V202" s="625"/>
      <c r="W202" s="625"/>
      <c r="X202" s="625"/>
    </row>
    <row r="203" spans="2:24" x14ac:dyDescent="0.3">
      <c r="B203" s="625"/>
      <c r="C203" s="625"/>
      <c r="S203" s="625"/>
      <c r="T203" s="625"/>
      <c r="U203" s="625"/>
      <c r="V203" s="625"/>
      <c r="W203" s="625"/>
      <c r="X203" s="625"/>
    </row>
    <row r="204" spans="2:24" x14ac:dyDescent="0.3">
      <c r="B204" s="625"/>
      <c r="C204" s="625"/>
      <c r="S204" s="625"/>
      <c r="T204" s="625"/>
      <c r="U204" s="625"/>
      <c r="V204" s="625"/>
      <c r="W204" s="625"/>
      <c r="X204" s="625"/>
    </row>
    <row r="205" spans="2:24" x14ac:dyDescent="0.3">
      <c r="B205" s="625"/>
      <c r="C205" s="625"/>
      <c r="S205" s="625"/>
      <c r="T205" s="625"/>
      <c r="U205" s="625"/>
      <c r="V205" s="625"/>
      <c r="W205" s="625"/>
      <c r="X205" s="625"/>
    </row>
    <row r="206" spans="2:24" x14ac:dyDescent="0.3">
      <c r="B206" s="625"/>
      <c r="C206" s="625"/>
      <c r="S206" s="625"/>
      <c r="T206" s="625"/>
      <c r="U206" s="625"/>
      <c r="V206" s="625"/>
      <c r="W206" s="625"/>
      <c r="X206" s="625"/>
    </row>
    <row r="207" spans="2:24" x14ac:dyDescent="0.3">
      <c r="B207" s="625"/>
      <c r="C207" s="625"/>
      <c r="S207" s="625"/>
      <c r="T207" s="625"/>
      <c r="U207" s="625"/>
      <c r="V207" s="625"/>
      <c r="W207" s="625"/>
      <c r="X207" s="625"/>
    </row>
    <row r="208" spans="2:24" x14ac:dyDescent="0.3">
      <c r="B208" s="625"/>
      <c r="C208" s="625"/>
      <c r="S208" s="625"/>
      <c r="T208" s="625"/>
      <c r="U208" s="625"/>
      <c r="V208" s="625"/>
      <c r="W208" s="625"/>
      <c r="X208" s="625"/>
    </row>
    <row r="209" spans="2:24" x14ac:dyDescent="0.3">
      <c r="B209" s="625"/>
      <c r="C209" s="625"/>
      <c r="S209" s="625"/>
      <c r="T209" s="625"/>
      <c r="U209" s="625"/>
      <c r="V209" s="625"/>
      <c r="W209" s="625"/>
      <c r="X209" s="625"/>
    </row>
    <row r="210" spans="2:24" x14ac:dyDescent="0.3">
      <c r="B210" s="625"/>
      <c r="C210" s="625"/>
      <c r="S210" s="625"/>
      <c r="T210" s="625"/>
      <c r="U210" s="625"/>
      <c r="V210" s="625"/>
      <c r="W210" s="625"/>
      <c r="X210" s="625"/>
    </row>
    <row r="211" spans="2:24" x14ac:dyDescent="0.3">
      <c r="B211" s="625"/>
      <c r="C211" s="625"/>
      <c r="S211" s="625"/>
      <c r="T211" s="625"/>
      <c r="U211" s="625"/>
      <c r="V211" s="625"/>
      <c r="W211" s="625"/>
      <c r="X211" s="625"/>
    </row>
    <row r="212" spans="2:24" x14ac:dyDescent="0.3">
      <c r="B212" s="625"/>
      <c r="C212" s="625"/>
      <c r="S212" s="625"/>
      <c r="T212" s="625"/>
      <c r="U212" s="625"/>
      <c r="V212" s="625"/>
      <c r="W212" s="625"/>
      <c r="X212" s="625"/>
    </row>
    <row r="213" spans="2:24" x14ac:dyDescent="0.3">
      <c r="B213" s="625"/>
      <c r="C213" s="625"/>
      <c r="S213" s="625"/>
      <c r="T213" s="625"/>
      <c r="U213" s="625"/>
      <c r="V213" s="625"/>
      <c r="W213" s="625"/>
      <c r="X213" s="625"/>
    </row>
    <row r="214" spans="2:24" x14ac:dyDescent="0.3">
      <c r="B214" s="625"/>
      <c r="C214" s="625"/>
      <c r="S214" s="625"/>
      <c r="T214" s="625"/>
      <c r="U214" s="625"/>
      <c r="V214" s="625"/>
      <c r="W214" s="625"/>
      <c r="X214" s="625"/>
    </row>
    <row r="215" spans="2:24" x14ac:dyDescent="0.3">
      <c r="B215" s="625"/>
      <c r="C215" s="625"/>
      <c r="S215" s="625"/>
      <c r="T215" s="625"/>
      <c r="U215" s="625"/>
      <c r="V215" s="625"/>
      <c r="W215" s="625"/>
      <c r="X215" s="625"/>
    </row>
    <row r="216" spans="2:24" x14ac:dyDescent="0.3">
      <c r="B216" s="625"/>
      <c r="C216" s="625"/>
      <c r="S216" s="625"/>
      <c r="T216" s="625"/>
      <c r="U216" s="625"/>
      <c r="V216" s="625"/>
      <c r="W216" s="625"/>
      <c r="X216" s="625"/>
    </row>
    <row r="217" spans="2:24" x14ac:dyDescent="0.3">
      <c r="B217" s="624"/>
      <c r="C217" s="625"/>
      <c r="D217" s="634"/>
      <c r="E217" s="625"/>
      <c r="F217" s="625"/>
      <c r="G217" s="625"/>
      <c r="H217" s="625"/>
      <c r="I217" s="625"/>
      <c r="J217" s="625"/>
      <c r="K217" s="625"/>
      <c r="L217" s="625"/>
      <c r="M217" s="625"/>
      <c r="N217" s="625"/>
      <c r="O217" s="625"/>
      <c r="P217" s="625"/>
      <c r="Q217" s="625"/>
      <c r="R217" s="625"/>
      <c r="S217" s="626"/>
      <c r="T217" s="625"/>
      <c r="U217" s="625"/>
      <c r="V217" s="625"/>
      <c r="W217" s="625"/>
      <c r="X217" s="625"/>
    </row>
    <row r="218" spans="2:24" x14ac:dyDescent="0.3">
      <c r="B218" s="625"/>
      <c r="C218" s="625"/>
      <c r="D218" s="625"/>
      <c r="E218" s="625"/>
      <c r="F218" s="625"/>
      <c r="G218" s="625"/>
      <c r="H218" s="625"/>
      <c r="I218" s="625"/>
      <c r="J218" s="625"/>
      <c r="K218" s="625"/>
      <c r="L218" s="625"/>
      <c r="M218" s="625"/>
      <c r="N218" s="625"/>
      <c r="O218" s="625"/>
      <c r="P218" s="625"/>
      <c r="Q218" s="625"/>
      <c r="R218" s="625"/>
      <c r="S218" s="625"/>
      <c r="T218" s="625"/>
      <c r="U218" s="625"/>
      <c r="V218" s="625"/>
      <c r="W218" s="625"/>
      <c r="X218" s="625"/>
    </row>
    <row r="219" spans="2:24" x14ac:dyDescent="0.3">
      <c r="B219" s="625"/>
      <c r="C219" s="625"/>
      <c r="D219" s="625"/>
      <c r="E219" s="625"/>
      <c r="F219" s="625"/>
      <c r="G219" s="625"/>
      <c r="H219" s="625"/>
      <c r="I219" s="625"/>
      <c r="J219" s="625"/>
      <c r="K219" s="625"/>
      <c r="L219" s="625"/>
      <c r="M219" s="625"/>
      <c r="N219" s="625"/>
      <c r="O219" s="625"/>
      <c r="P219" s="625"/>
      <c r="Q219" s="625"/>
      <c r="R219" s="625"/>
      <c r="S219" s="625"/>
      <c r="T219" s="625"/>
      <c r="U219" s="625"/>
      <c r="V219" s="625"/>
      <c r="W219" s="625"/>
      <c r="X219" s="625"/>
    </row>
    <row r="220" spans="2:24" x14ac:dyDescent="0.3">
      <c r="B220" s="625"/>
      <c r="C220" s="625"/>
      <c r="D220" s="625"/>
      <c r="E220" s="625"/>
      <c r="F220" s="625"/>
      <c r="G220" s="625"/>
      <c r="H220" s="625"/>
      <c r="I220" s="625"/>
      <c r="J220" s="625"/>
      <c r="K220" s="625"/>
      <c r="L220" s="625"/>
      <c r="M220" s="625"/>
      <c r="N220" s="625"/>
      <c r="O220" s="625"/>
      <c r="P220" s="625"/>
      <c r="Q220" s="625"/>
      <c r="R220" s="625"/>
      <c r="S220" s="625"/>
      <c r="T220" s="625"/>
      <c r="U220" s="625"/>
      <c r="V220" s="625"/>
      <c r="W220" s="625"/>
      <c r="X220" s="625"/>
    </row>
    <row r="221" spans="2:24" x14ac:dyDescent="0.3">
      <c r="B221" s="629"/>
      <c r="C221" s="625"/>
      <c r="D221" s="625"/>
      <c r="E221" s="625"/>
      <c r="F221" s="625"/>
      <c r="G221" s="625"/>
      <c r="H221" s="625"/>
      <c r="I221" s="625"/>
      <c r="J221" s="625"/>
      <c r="K221" s="625"/>
      <c r="L221" s="625"/>
      <c r="M221" s="625"/>
      <c r="N221" s="625"/>
      <c r="O221" s="625"/>
      <c r="P221" s="625"/>
      <c r="Q221" s="625"/>
      <c r="R221" s="625"/>
      <c r="S221" s="625"/>
      <c r="T221" s="625"/>
      <c r="U221" s="627"/>
      <c r="V221" s="625"/>
      <c r="W221" s="625"/>
      <c r="X221" s="625"/>
    </row>
    <row r="222" spans="2:24" x14ac:dyDescent="0.3">
      <c r="B222" s="625"/>
      <c r="C222" s="625"/>
      <c r="D222" s="625"/>
      <c r="E222" s="625"/>
      <c r="F222" s="625"/>
      <c r="G222" s="625"/>
      <c r="H222" s="625"/>
      <c r="I222" s="625"/>
      <c r="J222" s="625"/>
      <c r="K222" s="625"/>
      <c r="L222" s="625"/>
      <c r="M222" s="625"/>
      <c r="N222" s="625"/>
      <c r="O222" s="625"/>
      <c r="P222" s="625"/>
      <c r="Q222" s="625"/>
      <c r="R222" s="625"/>
      <c r="S222" s="625"/>
      <c r="T222" s="625"/>
      <c r="U222" s="625"/>
      <c r="V222" s="625"/>
      <c r="W222" s="625"/>
      <c r="X222" s="625"/>
    </row>
    <row r="223" spans="2:24" x14ac:dyDescent="0.3">
      <c r="B223" s="625"/>
      <c r="C223" s="625"/>
      <c r="D223" s="625"/>
      <c r="E223" s="625"/>
      <c r="F223" s="625"/>
      <c r="G223" s="625"/>
      <c r="H223" s="625"/>
      <c r="I223" s="625"/>
      <c r="J223" s="625"/>
      <c r="K223" s="625"/>
      <c r="L223" s="625"/>
      <c r="M223" s="625"/>
      <c r="N223" s="625"/>
      <c r="O223" s="625"/>
      <c r="P223" s="625"/>
      <c r="Q223" s="625"/>
      <c r="R223" s="625"/>
      <c r="S223" s="625"/>
      <c r="T223" s="625"/>
      <c r="U223" s="625"/>
      <c r="V223" s="625"/>
      <c r="W223" s="625"/>
      <c r="X223" s="625"/>
    </row>
    <row r="224" spans="2:24" x14ac:dyDescent="0.3">
      <c r="B224" s="625"/>
      <c r="C224" s="625"/>
      <c r="D224" s="625"/>
      <c r="E224" s="625"/>
      <c r="F224" s="625"/>
      <c r="G224" s="625"/>
      <c r="H224" s="625"/>
      <c r="I224" s="625"/>
      <c r="J224" s="625"/>
      <c r="K224" s="625"/>
      <c r="L224" s="625"/>
      <c r="M224" s="625"/>
      <c r="N224" s="625"/>
      <c r="O224" s="625"/>
      <c r="P224" s="625"/>
      <c r="Q224" s="625"/>
      <c r="R224" s="625"/>
      <c r="S224" s="625"/>
      <c r="T224" s="625"/>
      <c r="U224" s="625"/>
      <c r="V224" s="625"/>
      <c r="W224" s="625"/>
      <c r="X224" s="625"/>
    </row>
    <row r="225" spans="2:24" x14ac:dyDescent="0.3">
      <c r="B225" s="625"/>
      <c r="C225" s="625"/>
      <c r="D225" s="625"/>
      <c r="E225" s="625"/>
      <c r="F225" s="625"/>
      <c r="G225" s="625"/>
      <c r="H225" s="625"/>
      <c r="I225" s="625"/>
      <c r="J225" s="625"/>
      <c r="K225" s="625"/>
      <c r="L225" s="625"/>
      <c r="M225" s="625"/>
      <c r="N225" s="625"/>
      <c r="O225" s="625"/>
      <c r="P225" s="625"/>
      <c r="Q225" s="625"/>
      <c r="R225" s="625"/>
      <c r="S225" s="625"/>
      <c r="T225" s="625"/>
      <c r="U225" s="625"/>
      <c r="V225" s="625"/>
      <c r="W225" s="625"/>
      <c r="X225" s="625"/>
    </row>
    <row r="226" spans="2:24" x14ac:dyDescent="0.3">
      <c r="B226" s="625"/>
      <c r="C226" s="625"/>
      <c r="D226" s="625"/>
      <c r="E226" s="625"/>
      <c r="F226" s="625"/>
      <c r="G226" s="625"/>
      <c r="H226" s="625"/>
      <c r="I226" s="625"/>
      <c r="J226" s="625"/>
      <c r="K226" s="625"/>
      <c r="L226" s="625"/>
      <c r="M226" s="625"/>
      <c r="N226" s="625"/>
      <c r="O226" s="625"/>
      <c r="P226" s="625"/>
      <c r="Q226" s="625"/>
      <c r="R226" s="625"/>
      <c r="S226" s="625"/>
      <c r="T226" s="625"/>
      <c r="U226" s="625"/>
      <c r="V226" s="625"/>
      <c r="W226" s="625"/>
      <c r="X226" s="625"/>
    </row>
    <row r="227" spans="2:24" x14ac:dyDescent="0.3">
      <c r="B227" s="625"/>
      <c r="C227" s="625"/>
      <c r="D227" s="625"/>
      <c r="E227" s="625"/>
      <c r="F227" s="625"/>
      <c r="G227" s="625"/>
      <c r="H227" s="625"/>
      <c r="I227" s="625"/>
      <c r="J227" s="625"/>
      <c r="K227" s="625"/>
      <c r="L227" s="625"/>
      <c r="M227" s="625"/>
      <c r="N227" s="625"/>
      <c r="O227" s="625"/>
      <c r="P227" s="625"/>
      <c r="Q227" s="625"/>
      <c r="R227" s="625"/>
      <c r="S227" s="625"/>
      <c r="T227" s="625"/>
      <c r="U227" s="625"/>
      <c r="V227" s="625"/>
      <c r="W227" s="625"/>
      <c r="X227" s="625"/>
    </row>
    <row r="228" spans="2:24" x14ac:dyDescent="0.3">
      <c r="B228" s="625"/>
      <c r="C228" s="625"/>
      <c r="D228" s="625"/>
      <c r="E228" s="625"/>
      <c r="F228" s="625"/>
      <c r="G228" s="625"/>
      <c r="H228" s="625"/>
      <c r="I228" s="625"/>
      <c r="J228" s="625"/>
      <c r="K228" s="625"/>
      <c r="L228" s="625"/>
      <c r="M228" s="625"/>
      <c r="N228" s="625"/>
      <c r="O228" s="625"/>
      <c r="P228" s="625"/>
      <c r="Q228" s="625"/>
      <c r="R228" s="625"/>
      <c r="S228" s="625"/>
      <c r="T228" s="625"/>
      <c r="U228" s="625"/>
      <c r="V228" s="625"/>
      <c r="W228" s="625"/>
      <c r="X228" s="625"/>
    </row>
    <row r="229" spans="2:24" x14ac:dyDescent="0.3">
      <c r="B229" s="625"/>
      <c r="C229" s="625"/>
      <c r="D229" s="625"/>
      <c r="E229" s="625"/>
      <c r="F229" s="625"/>
      <c r="G229" s="625"/>
      <c r="H229" s="625"/>
      <c r="I229" s="625"/>
      <c r="J229" s="625"/>
      <c r="K229" s="625"/>
      <c r="L229" s="625"/>
      <c r="M229" s="625"/>
      <c r="N229" s="625"/>
      <c r="O229" s="625"/>
      <c r="P229" s="625"/>
      <c r="Q229" s="625"/>
      <c r="R229" s="625"/>
      <c r="S229" s="625"/>
      <c r="T229" s="625"/>
      <c r="U229" s="625"/>
      <c r="V229" s="625"/>
      <c r="W229" s="625"/>
      <c r="X229" s="625"/>
    </row>
  </sheetData>
  <sheetProtection sheet="1" objects="1" scenarios="1" selectLockedCells="1" selectUnlockedCells="1"/>
  <mergeCells count="12">
    <mergeCell ref="B217:C220"/>
    <mergeCell ref="S217:T220"/>
    <mergeCell ref="U221:X229"/>
    <mergeCell ref="U6:X220"/>
    <mergeCell ref="B221:T229"/>
    <mergeCell ref="B10:C216"/>
    <mergeCell ref="S10:T216"/>
    <mergeCell ref="D10:R11"/>
    <mergeCell ref="D6:R9"/>
    <mergeCell ref="B6:C9"/>
    <mergeCell ref="S6:T9"/>
    <mergeCell ref="D217:R220"/>
  </mergeCells>
  <pageMargins left="0.7" right="0.7" top="0.75" bottom="0.75" header="0.3" footer="0.3"/>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180</vt:i4>
      </vt:variant>
    </vt:vector>
  </HeadingPairs>
  <TitlesOfParts>
    <vt:vector size="185" baseType="lpstr">
      <vt:lpstr>Sheet1 (2)</vt:lpstr>
      <vt:lpstr>DCF</vt:lpstr>
      <vt:lpstr>Additional Data</vt:lpstr>
      <vt:lpstr>Data</vt:lpstr>
      <vt:lpstr>Help</vt:lpstr>
      <vt:lpstr>ADJ</vt:lpstr>
      <vt:lpstr>ADJ_AVA</vt:lpstr>
      <vt:lpstr>BB_CAL_DNA</vt:lpstr>
      <vt:lpstr>BB_CAL_GRP</vt:lpstr>
      <vt:lpstr>BB_CAL_NWC</vt:lpstr>
      <vt:lpstr>BB_CAL_OPEX</vt:lpstr>
      <vt:lpstr>BB_CAL_REV</vt:lpstr>
      <vt:lpstr>BB_CAL_REV_PCT</vt:lpstr>
      <vt:lpstr>BB_CAL_REV2</vt:lpstr>
      <vt:lpstr>BB_CAL_TAX</vt:lpstr>
      <vt:lpstr>BB_CAL_TAXLIB</vt:lpstr>
      <vt:lpstr>BB_CAPEX_CAL</vt:lpstr>
      <vt:lpstr>BB_CAPEX_DATA_ASSUM</vt:lpstr>
      <vt:lpstr>BB_CAPEX_DNA_ERR</vt:lpstr>
      <vt:lpstr>BB_CAPEX_DNA_ERR_MAX</vt:lpstr>
      <vt:lpstr>BB_CAPEX_DNA_ERR_MIN</vt:lpstr>
      <vt:lpstr>BB_CAPEX_ERR_LABELS</vt:lpstr>
      <vt:lpstr>BB_CAPEX_GRTH_ERR</vt:lpstr>
      <vt:lpstr>BB_CAPEX_GRTH_ERR_MAX</vt:lpstr>
      <vt:lpstr>BB_CAPEX_GRTH_ERR_MIN</vt:lpstr>
      <vt:lpstr>BB_CAPEX_NUM_EST_CAPEX</vt:lpstr>
      <vt:lpstr>BB_CAPEX_NUM_EST_ERR_MIN_CAPEX</vt:lpstr>
      <vt:lpstr>BB_CAPEX_SEL_ROW</vt:lpstr>
      <vt:lpstr>BB_CAPEX_USER_DATA</vt:lpstr>
      <vt:lpstr>BB_DATA_TRIG</vt:lpstr>
      <vt:lpstr>BB_DNA_DATA_ASSUM</vt:lpstr>
      <vt:lpstr>BB_DNA_ERR_LABELS</vt:lpstr>
      <vt:lpstr>BB_DNA_GRTH_ERR</vt:lpstr>
      <vt:lpstr>BB_DNA_GRTH_ERR_MAX</vt:lpstr>
      <vt:lpstr>BB_DNA_GRTH_ERR_MIN</vt:lpstr>
      <vt:lpstr>BB_DNA_NUM_EST_EBITDA</vt:lpstr>
      <vt:lpstr>BB_DNA_NUM_EST_ERR_MIN_EBITDA</vt:lpstr>
      <vt:lpstr>BB_DNA_NUM_EST_ERR_MIN_OP</vt:lpstr>
      <vt:lpstr>BB_DNA_NUM_EST_ERR_MIN_REV</vt:lpstr>
      <vt:lpstr>BB_DNA_NUM_EST_OP</vt:lpstr>
      <vt:lpstr>BB_DNA_NUM_EST_REV</vt:lpstr>
      <vt:lpstr>BB_DNA_PCT</vt:lpstr>
      <vt:lpstr>BB_DNA_SEL_ROW</vt:lpstr>
      <vt:lpstr>BB_DNA_USER_DATA</vt:lpstr>
      <vt:lpstr>BB_EBA_ERR_LABELS</vt:lpstr>
      <vt:lpstr>BB_EBA_ERR_MAX</vt:lpstr>
      <vt:lpstr>BB_EBA_ERR_MIN</vt:lpstr>
      <vt:lpstr>BB_FCF_ERR_LABELS</vt:lpstr>
      <vt:lpstr>BB_FCF_ERR_MAX</vt:lpstr>
      <vt:lpstr>BB_FCF_ERR_MIN</vt:lpstr>
      <vt:lpstr>BB_GRP_DATA_ASSUM</vt:lpstr>
      <vt:lpstr>BB_GRP_ERR_LABELS</vt:lpstr>
      <vt:lpstr>BB_GRP_GRTH_ERR</vt:lpstr>
      <vt:lpstr>BB_GRP_GRTH_ERR_MAX</vt:lpstr>
      <vt:lpstr>BB_GRP_GRTH_ERR_MIN</vt:lpstr>
      <vt:lpstr>BB_GRP_NUM_EST_ERR_GRP</vt:lpstr>
      <vt:lpstr>BB_GRP_NUM_EST_ERR_MIN_GRP</vt:lpstr>
      <vt:lpstr>BB_GRP_PCT</vt:lpstr>
      <vt:lpstr>BB_GRP_SEL_ROW</vt:lpstr>
      <vt:lpstr>BB_GRP_USER_DATA</vt:lpstr>
      <vt:lpstr>BB_NWC_DATA_ASSUM</vt:lpstr>
      <vt:lpstr>BB_NWC_ERR_LABELS</vt:lpstr>
      <vt:lpstr>BB_NWC_GRTH_ERR</vt:lpstr>
      <vt:lpstr>BB_NWC_GRTH_ERR_MAX</vt:lpstr>
      <vt:lpstr>BB_NWC_GRTH_ERR_MIN</vt:lpstr>
      <vt:lpstr>BB_NWC_PCT</vt:lpstr>
      <vt:lpstr>BB_NWC_SEL_ROW</vt:lpstr>
      <vt:lpstr>BB_NWC_USER_DATA</vt:lpstr>
      <vt:lpstr>BB_OPEX_DATA_ASSUM</vt:lpstr>
      <vt:lpstr>BB_OPEX_ERR_LABELS</vt:lpstr>
      <vt:lpstr>BB_OPEX_GRTH_ERR</vt:lpstr>
      <vt:lpstr>BB_OPEX_GRTH_ERR_MAX</vt:lpstr>
      <vt:lpstr>BB_OPEX_GRTH_ERR_MIN</vt:lpstr>
      <vt:lpstr>BB_OPEX_NUM_EST_ERR_MIN_GM</vt:lpstr>
      <vt:lpstr>BB_OPEX_NUM_EST_ERR_MIN_OP</vt:lpstr>
      <vt:lpstr>BB_OPEX_NUM_EST_ERR_MIN_REV</vt:lpstr>
      <vt:lpstr>BB_OPEX_NUM_EST_GM</vt:lpstr>
      <vt:lpstr>BB_OPEX_NUM_EST_OP</vt:lpstr>
      <vt:lpstr>BB_OPEX_NUM_EST_REV</vt:lpstr>
      <vt:lpstr>BB_OPEX_PCT</vt:lpstr>
      <vt:lpstr>BB_OPEX_SEL_ROW</vt:lpstr>
      <vt:lpstr>BB_OPEX_USER_DATA</vt:lpstr>
      <vt:lpstr>BB_REV_ASSUM_SEL</vt:lpstr>
      <vt:lpstr>BB_REV_DATA_ASSUM</vt:lpstr>
      <vt:lpstr>BB_REV_ERR_LABELS</vt:lpstr>
      <vt:lpstr>BB_REV_EST_MIN_MAX_RNG</vt:lpstr>
      <vt:lpstr>BB_REV_GRTH_ERR</vt:lpstr>
      <vt:lpstr>BB_REV_GRTH_ERR_MAX</vt:lpstr>
      <vt:lpstr>BB_REV_GRTH_ERR_MIN</vt:lpstr>
      <vt:lpstr>BB_REV_NUM_EST_ERR_EPS</vt:lpstr>
      <vt:lpstr>BB_REV_NUM_EST_ERR_MIN_EPS</vt:lpstr>
      <vt:lpstr>BB_REV_NUM_EST_ERR_MIN_REV</vt:lpstr>
      <vt:lpstr>BB_REV_NUM_EST_ERR_REV</vt:lpstr>
      <vt:lpstr>BB_REV_SEL_ROW</vt:lpstr>
      <vt:lpstr>BB_REV_USER_DATA</vt:lpstr>
      <vt:lpstr>BB_TAX_DATA_ASSUM</vt:lpstr>
      <vt:lpstr>BB_TAX_ERR_LABELS</vt:lpstr>
      <vt:lpstr>BB_TAX_EST_ERR</vt:lpstr>
      <vt:lpstr>BB_TAX_EST_ERR_MAX</vt:lpstr>
      <vt:lpstr>BB_TAX_EST_ERR_MIN</vt:lpstr>
      <vt:lpstr>BB_TAX_PCT</vt:lpstr>
      <vt:lpstr>BB_TAX_SEL_ROW</vt:lpstr>
      <vt:lpstr>BB_TAX_USER_DATA</vt:lpstr>
      <vt:lpstr>BB_TAXLIB_DATA_ASSUM</vt:lpstr>
      <vt:lpstr>BB_TAXLIB_GRTH_ERR</vt:lpstr>
      <vt:lpstr>BB_TAXLIB_GRTH_ERR_MAX</vt:lpstr>
      <vt:lpstr>BB_TAXLIB_GRTH_ERR_MIN</vt:lpstr>
      <vt:lpstr>BB_TAXLIB_PCT</vt:lpstr>
      <vt:lpstr>BB_TAXLIB_SEL_ROW</vt:lpstr>
      <vt:lpstr>BB_TAXLIB_USER_DATA</vt:lpstr>
      <vt:lpstr>CALL_PEND</vt:lpstr>
      <vt:lpstr>CCY</vt:lpstr>
      <vt:lpstr>CPX_ERR</vt:lpstr>
      <vt:lpstr>CPX_IND</vt:lpstr>
      <vt:lpstr>CPX_INP</vt:lpstr>
      <vt:lpstr>CPX_SEL</vt:lpstr>
      <vt:lpstr>CPX_VAL</vt:lpstr>
      <vt:lpstr>DNA_ERR</vt:lpstr>
      <vt:lpstr>DNA_IND</vt:lpstr>
      <vt:lpstr>DNA_INP</vt:lpstr>
      <vt:lpstr>DNA_SEL</vt:lpstr>
      <vt:lpstr>DNA_VAL</vt:lpstr>
      <vt:lpstr>DNA_VAL2</vt:lpstr>
      <vt:lpstr>EBA_ERR</vt:lpstr>
      <vt:lpstr>EBA_INP</vt:lpstr>
      <vt:lpstr>EBA_VAL</vt:lpstr>
      <vt:lpstr>EBA_VAL3</vt:lpstr>
      <vt:lpstr>EDIT_COL</vt:lpstr>
      <vt:lpstr>FCF_ERR</vt:lpstr>
      <vt:lpstr>FCF_INP</vt:lpstr>
      <vt:lpstr>FCF_VAL</vt:lpstr>
      <vt:lpstr>FCF_VAL3</vt:lpstr>
      <vt:lpstr>FMT_ERR</vt:lpstr>
      <vt:lpstr>FMT_INP</vt:lpstr>
      <vt:lpstr>FMT_SEL</vt:lpstr>
      <vt:lpstr>FULL_MDL</vt:lpstr>
      <vt:lpstr>FULL_MDL_BTN</vt:lpstr>
      <vt:lpstr>FundHeaderRow</vt:lpstr>
      <vt:lpstr>GRP_ERR</vt:lpstr>
      <vt:lpstr>GRP_INP</vt:lpstr>
      <vt:lpstr>GRP_SEL</vt:lpstr>
      <vt:lpstr>GRP_VAL</vt:lpstr>
      <vt:lpstr>GRP_VAL2</vt:lpstr>
      <vt:lpstr>GRP_VAL3</vt:lpstr>
      <vt:lpstr>HLPBRD_IB</vt:lpstr>
      <vt:lpstr>HLPBRD_IR</vt:lpstr>
      <vt:lpstr>HLPBRD_OBR</vt:lpstr>
      <vt:lpstr>InputSelection</vt:lpstr>
      <vt:lpstr>LTT_ERR</vt:lpstr>
      <vt:lpstr>LTT_IND</vt:lpstr>
      <vt:lpstr>LTT_INP</vt:lpstr>
      <vt:lpstr>LTT_SEL</vt:lpstr>
      <vt:lpstr>LTT_VAL</vt:lpstr>
      <vt:lpstr>LTT_VAL2</vt:lpstr>
      <vt:lpstr>NWC_ERR</vt:lpstr>
      <vt:lpstr>NWC_IND</vt:lpstr>
      <vt:lpstr>NWC_INP</vt:lpstr>
      <vt:lpstr>NWC_SEL</vt:lpstr>
      <vt:lpstr>NWC_VAL</vt:lpstr>
      <vt:lpstr>NWC_VAL2</vt:lpstr>
      <vt:lpstr>OPX_ERR</vt:lpstr>
      <vt:lpstr>OPX_IND</vt:lpstr>
      <vt:lpstr>OPX_INP</vt:lpstr>
      <vt:lpstr>OPX_SEL</vt:lpstr>
      <vt:lpstr>OPX_VAL</vt:lpstr>
      <vt:lpstr>OPX_VAL2</vt:lpstr>
      <vt:lpstr>OUT_ANA</vt:lpstr>
      <vt:lpstr>OUTPUT</vt:lpstr>
      <vt:lpstr>PER</vt:lpstr>
      <vt:lpstr>PERIOD</vt:lpstr>
      <vt:lpstr>DCF!Print_Area</vt:lpstr>
      <vt:lpstr>REV_ERR</vt:lpstr>
      <vt:lpstr>REV_INP</vt:lpstr>
      <vt:lpstr>REV_SEL</vt:lpstr>
      <vt:lpstr>REV_VAL</vt:lpstr>
      <vt:lpstr>REV_VAL2</vt:lpstr>
      <vt:lpstr>REV_VAL3</vt:lpstr>
      <vt:lpstr>SUM_ANA</vt:lpstr>
      <vt:lpstr>TAX_ERR</vt:lpstr>
      <vt:lpstr>TAX_IND</vt:lpstr>
      <vt:lpstr>TAX_INP</vt:lpstr>
      <vt:lpstr>TAX_SEL</vt:lpstr>
      <vt:lpstr>TAX_VAL</vt:lpstr>
      <vt:lpstr>TAX_VAL2</vt:lpstr>
      <vt:lpstr>TICKER</vt:lpstr>
    </vt:vector>
  </TitlesOfParts>
  <Manager/>
  <Company>Bloomberg LP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epeterssen</dc:creator>
  <cp:keywords/>
  <dc:description/>
  <cp:lastModifiedBy>Βασίλης Τοψίδης</cp:lastModifiedBy>
  <cp:revision/>
  <dcterms:created xsi:type="dcterms:W3CDTF">2013-08-08T17:38:39Z</dcterms:created>
  <dcterms:modified xsi:type="dcterms:W3CDTF">2024-06-28T15:45:24Z</dcterms:modified>
  <cp:category/>
  <cp:contentStatus/>
</cp:coreProperties>
</file>