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Βασίλης\OneDrive\Υπολογιστής\MSc Corporate Finance\Dissertation\"/>
    </mc:Choice>
  </mc:AlternateContent>
  <xr:revisionPtr revIDLastSave="0" documentId="13_ncr:1_{667F4320-4ED9-4863-B855-0E37629DFB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F" sheetId="9" r:id="rId1"/>
    <sheet name="Scenario Analysis" sheetId="24" r:id="rId2"/>
    <sheet name="Equity Share Price Sensitivity " sheetId="23" r:id="rId3"/>
    <sheet name="Sheet2" sheetId="10" r:id="rId4"/>
    <sheet name="Peers" sheetId="11" r:id="rId5"/>
    <sheet name="2023" sheetId="12" r:id="rId6"/>
    <sheet name="SALES" sheetId="13" r:id="rId7"/>
    <sheet name="CapEx-Depreciation" sheetId="15" r:id="rId8"/>
    <sheet name="Employees" sheetId="17" r:id="rId9"/>
    <sheet name="TAX" sheetId="18" r:id="rId10"/>
    <sheet name="WORKING CAPITAL" sheetId="14" r:id="rId11"/>
    <sheet name="Capital Structure" sheetId="20" r:id="rId12"/>
    <sheet name="Enterprise Sensitivity Analysis" sheetId="21" r:id="rId13"/>
  </sheets>
  <externalReferences>
    <externalReference r:id="rId14"/>
    <externalReference r:id="rId15"/>
    <externalReference r:id="rId16"/>
    <externalReference r:id="rId17"/>
  </externalReferences>
  <definedNames>
    <definedName name="__AGM">#REF!</definedName>
    <definedName name="__CYM">#REF!</definedName>
    <definedName name="__DRA">#REF!</definedName>
    <definedName name="__EGL">#REF!</definedName>
    <definedName name="__FCS">#REF!</definedName>
    <definedName name="__HHU">#REF!</definedName>
    <definedName name="__MTZ">#REF!</definedName>
    <definedName name="__OCI">#REF!</definedName>
    <definedName name="__SZD">#REF!</definedName>
    <definedName name="__SZQ">#REF!</definedName>
    <definedName name="__TF6">#REF!</definedName>
    <definedName name="__ULD">#REF!</definedName>
    <definedName name="__YOB">#REF!</definedName>
    <definedName name="_EXPDATA">#REF!</definedName>
    <definedName name="anscount" hidden="1">2</definedName>
    <definedName name="_xlnm.Auto_Open_Abertura">[1]DADMACRO!$A$1</definedName>
    <definedName name="BLOCO">#REF!</definedName>
    <definedName name="BS_I">#REF!</definedName>
    <definedName name="BS_II">#REF!</definedName>
    <definedName name="CashFlow">#REF!</definedName>
    <definedName name="CF_I">#REF!</definedName>
    <definedName name="CF_II">#REF!</definedName>
    <definedName name="CF0CPS">#REF!</definedName>
    <definedName name="CF1EST">#REF!</definedName>
    <definedName name="CF1MN">#REF!</definedName>
    <definedName name="CF2EST">#REF!</definedName>
    <definedName name="CF2MN">#REF!</definedName>
    <definedName name="CF3EST">#REF!</definedName>
    <definedName name="CF3MN">#REF!</definedName>
    <definedName name="Contas">#REF!</definedName>
    <definedName name="COP_Shares">'[2]Cop - Estimates'!$O$321</definedName>
    <definedName name="COUNTRYNM">#REF!</definedName>
    <definedName name="data_area">#REF!</definedName>
    <definedName name="_xlnm.Database">#REF!</definedName>
    <definedName name="Detailed_BS">#REF!</definedName>
    <definedName name="Detailed_IS">#REF!</definedName>
    <definedName name="DF0DPS">#REF!</definedName>
    <definedName name="DF1EST">#REF!</definedName>
    <definedName name="DF1MN">#REF!</definedName>
    <definedName name="DF2EST">#REF!</definedName>
    <definedName name="DF2MN">#REF!</definedName>
    <definedName name="DF3EST">#REF!</definedName>
    <definedName name="DF3MN">#REF!</definedName>
    <definedName name="Dividends">#REF!</definedName>
    <definedName name="DPS">#REF!</definedName>
    <definedName name="e">200.482</definedName>
    <definedName name="edp_shares">'[3]EDP - Estimates'!$I$183</definedName>
    <definedName name="EMKTRT">#REF!</definedName>
    <definedName name="F0EPS">#REF!</definedName>
    <definedName name="F1EST">#REF!</definedName>
    <definedName name="F1MN">#REF!</definedName>
    <definedName name="F1PEG">#REF!</definedName>
    <definedName name="F2EST">#REF!</definedName>
    <definedName name="F2MN">#REF!</definedName>
    <definedName name="F2PEG">#REF!</definedName>
    <definedName name="F3EST">#REF!</definedName>
    <definedName name="F3MN">#REF!</definedName>
    <definedName name="F3PEG">#REF!</definedName>
    <definedName name="hlookup_area">#REF!</definedName>
    <definedName name="IS_I">#REF!</definedName>
    <definedName name="IS_II">#REF!</definedName>
    <definedName name="Key_ratios">#REF!</definedName>
    <definedName name="limcount" hidden="1">1</definedName>
    <definedName name="LTGEST">#REF!</definedName>
    <definedName name="LTGMN">#REF!</definedName>
    <definedName name="MWDEBTEQUIT">#REF!</definedName>
    <definedName name="MWRETURN">#REF!</definedName>
    <definedName name="MWSHAREVALU">#REF!</definedName>
    <definedName name="NAME">#REF!</definedName>
    <definedName name="PF0PBT">#REF!</definedName>
    <definedName name="PF1EST">#REF!</definedName>
    <definedName name="PF1MN">#REF!</definedName>
    <definedName name="PF2EST">#REF!</definedName>
    <definedName name="PF2MN">#REF!</definedName>
    <definedName name="PF3EST">#REF!</definedName>
    <definedName name="PF3MN">#REF!</definedName>
    <definedName name="PressEmpPT">[4]DADPREMP!$A$1:$IV$6,[4]DADPREMP!$B$1:$B$65536</definedName>
    <definedName name="PRICE">#REF!</definedName>
    <definedName name="PRICEDATE">#REF!</definedName>
    <definedName name="Ratios">#REF!</definedName>
    <definedName name="RDBETA">#REF!</definedName>
    <definedName name="RECORD">#REF!</definedName>
    <definedName name="RF1EST">#REF!</definedName>
    <definedName name="RTTEXT">#REF!</definedName>
    <definedName name="sencount" hidden="1">1</definedName>
    <definedName name="Shares">#REF!</definedName>
    <definedName name="Summarized_BS">#REF!</definedName>
    <definedName name="Summarized_IS">#REF!</definedName>
    <definedName name="vlookup_area">#REF!</definedName>
    <definedName name="YIELD">#REF!</definedName>
  </definedNames>
  <calcPr calcId="191029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4" l="1"/>
  <c r="F23" i="24"/>
  <c r="F17" i="24"/>
  <c r="F11" i="24"/>
  <c r="F16" i="24"/>
  <c r="F15" i="24"/>
  <c r="F13" i="24"/>
  <c r="B2" i="24"/>
  <c r="B7" i="24" s="1"/>
  <c r="B12" i="24"/>
  <c r="F12" i="24" s="1"/>
  <c r="B14" i="24"/>
  <c r="F14" i="24" s="1"/>
  <c r="B15" i="24"/>
  <c r="B16" i="24"/>
  <c r="B22" i="24"/>
  <c r="F22" i="24" s="1"/>
  <c r="B21" i="24"/>
  <c r="F21" i="24" s="1"/>
  <c r="G4" i="23"/>
  <c r="G2" i="23"/>
  <c r="A5" i="23"/>
  <c r="A6" i="23" s="1"/>
  <c r="A3" i="23"/>
  <c r="A2" i="23" s="1"/>
  <c r="G2" i="21"/>
  <c r="G4" i="21"/>
  <c r="G5" i="21" s="1"/>
  <c r="A2" i="21"/>
  <c r="A5" i="21"/>
  <c r="A6" i="21" s="1"/>
  <c r="A3" i="21"/>
  <c r="B21" i="20"/>
  <c r="B18" i="20"/>
  <c r="K4" i="20"/>
  <c r="K9" i="20"/>
  <c r="C15" i="20"/>
  <c r="F5" i="20"/>
  <c r="F13" i="20"/>
  <c r="C16" i="20"/>
  <c r="C17" i="20"/>
  <c r="F20" i="24" l="1"/>
  <c r="F2" i="24"/>
  <c r="F7" i="24" s="1"/>
  <c r="B5" i="24"/>
  <c r="B8" i="24" s="1"/>
  <c r="B9" i="24" s="1"/>
  <c r="B11" i="24" s="1"/>
  <c r="B17" i="24" s="1"/>
  <c r="B20" i="24" s="1"/>
  <c r="F5" i="24"/>
  <c r="C12" i="20"/>
  <c r="D12" i="20"/>
  <c r="E12" i="20"/>
  <c r="F12" i="20"/>
  <c r="B12" i="20"/>
  <c r="C4" i="20"/>
  <c r="D4" i="20"/>
  <c r="E4" i="20"/>
  <c r="F4" i="20"/>
  <c r="B4" i="20"/>
  <c r="M4" i="15"/>
  <c r="M3" i="15"/>
  <c r="L16" i="14"/>
  <c r="L17" i="14"/>
  <c r="L18" i="14"/>
  <c r="L6" i="14"/>
  <c r="L7" i="14"/>
  <c r="L5" i="14"/>
  <c r="B5" i="12"/>
  <c r="I5" i="12"/>
  <c r="H5" i="12"/>
  <c r="C3" i="10"/>
  <c r="D3" i="10"/>
  <c r="D6" i="10" s="1"/>
  <c r="C4" i="10"/>
  <c r="C5" i="10" s="1"/>
  <c r="C9" i="10" s="1"/>
  <c r="C17" i="10" s="1"/>
  <c r="C6" i="10"/>
  <c r="C7" i="10"/>
  <c r="C8" i="10"/>
  <c r="D8" i="10"/>
  <c r="B16" i="10"/>
  <c r="C16" i="10"/>
  <c r="D16" i="10"/>
  <c r="E16" i="10"/>
  <c r="F16" i="10"/>
  <c r="G16" i="10"/>
  <c r="B17" i="10"/>
  <c r="C32" i="10"/>
  <c r="D33" i="10"/>
  <c r="E33" i="10"/>
  <c r="F33" i="10" s="1"/>
  <c r="G33" i="10" s="1"/>
  <c r="C20" i="9"/>
  <c r="F18" i="9"/>
  <c r="C4" i="9"/>
  <c r="D4" i="9" s="1"/>
  <c r="E4" i="9" s="1"/>
  <c r="F4" i="9" s="1"/>
  <c r="G4" i="9" s="1"/>
  <c r="J10" i="9"/>
  <c r="C16" i="9"/>
  <c r="A20" i="9"/>
  <c r="A19" i="9"/>
  <c r="A18" i="9"/>
  <c r="D30" i="9"/>
  <c r="E30" i="9"/>
  <c r="F30" i="9"/>
  <c r="G30" i="9"/>
  <c r="D31" i="9"/>
  <c r="E31" i="9"/>
  <c r="F31" i="9"/>
  <c r="G31" i="9"/>
  <c r="J9" i="9"/>
  <c r="D14" i="9"/>
  <c r="E14" i="9"/>
  <c r="F14" i="9"/>
  <c r="G14" i="9"/>
  <c r="H14" i="9"/>
  <c r="D32" i="9"/>
  <c r="E32" i="9"/>
  <c r="F32" i="9" s="1"/>
  <c r="B10" i="9"/>
  <c r="F8" i="24" l="1"/>
  <c r="F9" i="24" s="1"/>
  <c r="B15" i="20"/>
  <c r="B17" i="20" s="1"/>
  <c r="E3" i="10"/>
  <c r="D4" i="10"/>
  <c r="D7" i="10"/>
  <c r="D5" i="10"/>
  <c r="D9" i="10" s="1"/>
  <c r="D17" i="10" s="1"/>
  <c r="E4" i="10"/>
  <c r="D9" i="9"/>
  <c r="D5" i="9"/>
  <c r="D7" i="9"/>
  <c r="D8" i="9"/>
  <c r="C8" i="9"/>
  <c r="C5" i="9"/>
  <c r="C7" i="9"/>
  <c r="C9" i="9"/>
  <c r="E7" i="9"/>
  <c r="E15" i="9"/>
  <c r="H15" i="9"/>
  <c r="C15" i="9"/>
  <c r="D15" i="9"/>
  <c r="F15" i="9"/>
  <c r="G15" i="9"/>
  <c r="B16" i="20" l="1"/>
  <c r="E6" i="10"/>
  <c r="E7" i="10"/>
  <c r="F3" i="10"/>
  <c r="E8" i="10"/>
  <c r="E5" i="10"/>
  <c r="E9" i="10" s="1"/>
  <c r="E17" i="10" s="1"/>
  <c r="C6" i="9"/>
  <c r="C10" i="9" s="1"/>
  <c r="D6" i="9"/>
  <c r="D10" i="9" s="1"/>
  <c r="E5" i="9"/>
  <c r="E6" i="9" s="1"/>
  <c r="E8" i="9"/>
  <c r="E9" i="9"/>
  <c r="F4" i="10" l="1"/>
  <c r="F5" i="10" s="1"/>
  <c r="F7" i="10"/>
  <c r="G3" i="10"/>
  <c r="F8" i="10"/>
  <c r="F6" i="10"/>
  <c r="F9" i="10" s="1"/>
  <c r="F17" i="10" s="1"/>
  <c r="D16" i="9"/>
  <c r="E10" i="9"/>
  <c r="F5" i="9"/>
  <c r="F6" i="9" s="1"/>
  <c r="F9" i="9"/>
  <c r="F8" i="9"/>
  <c r="F7" i="9"/>
  <c r="G6" i="10" l="1"/>
  <c r="G7" i="10" s="1"/>
  <c r="G8" i="10"/>
  <c r="G4" i="10"/>
  <c r="G5" i="10" s="1"/>
  <c r="G9" i="10" s="1"/>
  <c r="F10" i="9"/>
  <c r="G7" i="9"/>
  <c r="G8" i="9" s="1"/>
  <c r="G9" i="9"/>
  <c r="G5" i="9"/>
  <c r="E16" i="9"/>
  <c r="H9" i="10" l="1"/>
  <c r="G17" i="10"/>
  <c r="B18" i="10" s="1"/>
  <c r="B22" i="10" s="1"/>
  <c r="B24" i="10" s="1"/>
  <c r="B26" i="10" s="1"/>
  <c r="G18" i="10"/>
  <c r="G6" i="9"/>
  <c r="G10" i="9" s="1"/>
  <c r="F16" i="9"/>
  <c r="G16" i="9" l="1"/>
  <c r="H10" i="9"/>
  <c r="H16" i="9" l="1"/>
  <c r="C17" i="9" s="1"/>
  <c r="C21" i="9" l="1"/>
  <c r="C23" i="9" s="1"/>
  <c r="H17" i="9"/>
  <c r="C25" i="9" l="1"/>
  <c r="C2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tc={D3DDA610-2A0D-4C1A-837E-26C1DF58CB59}</author>
    <author>tc={6748CA04-D576-4503-BD83-8172F6820CB4}</author>
    <author>tc={CE79AC87-9719-438B-83CC-84901FB6D95D}</author>
    <author>tc={9EDC46D3-5559-4ECC-8F11-4E7B82C707EB}</author>
    <author>tc={7A72DA32-1CE3-4ADF-8D21-3C18CFAE8EF9}</author>
    <author>MLC</author>
    <author>tc={9929EDFC-C57F-4271-A51D-F74DA17620A1}</author>
    <author>tc={3A232F2A-9632-4EAB-9CE5-C86EE1845673}</author>
    <author>tc={55F65C48-50F6-4674-AA12-7E8C7E775A9F}</author>
    <author>tc={2B9B12D4-98F4-48C8-BF1A-D8103C7451AC}</author>
    <author>tc={EDCBDB22-56CD-448A-98E3-B70BD90A804D}</author>
  </authors>
  <commentList>
    <comment ref="H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Terminal Value</t>
      </text>
    </comment>
    <comment ref="I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also called levered beta</t>
      </text>
    </comment>
    <comment ref="A10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*Note FCF calculation is identical from Week 4 Support Class</t>
      </text>
    </comment>
    <comment ref="G1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Rate (g) = Long Term Inflation + Expected real growth of FCF in perpetuity = 2% + 0% = 2%</t>
      </text>
    </comment>
    <comment ref="I12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also called unlevered Beta</t>
      </text>
    </comment>
    <comment ref="C14" authorId="5" shapeId="0" xr:uid="{00000000-0006-0000-0000-000006000000}">
      <text>
        <r>
          <rPr>
            <sz val="9"/>
            <color indexed="81"/>
            <rFont val="Tahoma"/>
            <family val="2"/>
          </rPr>
          <t xml:space="preserve">We are valuing the company at year end 2023. That is why the 2023 cash flow is not taken into account.
</t>
        </r>
      </text>
    </comment>
    <comment ref="H17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Terminal Value Discounted Cash Flow / Enterprise Value</t>
      </text>
    </comment>
    <comment ref="E18" authorId="7" shapeId="0" xr:uid="{3A232F2A-9632-4EAB-9CE5-C86EE1845673}">
      <text>
        <t>[Threaded comment]
Your version of Excel allows you to read this threaded comment; however, any edits to it will get removed if the file is opened in a newer version of Excel. Learn more: https://go.microsoft.com/fwlink/?linkid=870924
Comment:
    Δίνονται όσα είναι με κόκκινο</t>
      </text>
    </comment>
    <comment ref="A20" authorId="8" shapeId="0" xr:uid="{55F65C48-50F6-4674-AA12-7E8C7E775A9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term investing+ long term +investing activities from Cash Flow</t>
      </text>
    </comment>
    <comment ref="D23" authorId="9" shapeId="0" xr:uid="{2B9B12D4-98F4-48C8-BF1A-D8103C7451AC}">
      <text>
        <t>[Threaded comment]
Your version of Excel allows you to read this threaded comment; however, any edits to it will get removed if the file is opened in a newer version of Excel. Learn more: https://go.microsoft.com/fwlink/?linkid=870924
Comment:
    Or intristic value</t>
      </text>
    </comment>
    <comment ref="A25" authorId="10" shapeId="0" xr:uid="{EDCBDB22-56CD-448A-98E3-B70BD90A80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precentage difference between price 1 and price 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tc={D12A62BA-B3E6-4DC8-BBFE-835308271D89}</author>
    <author>tc={CF1ADB7C-FFCF-4178-9B3B-9747F80AA793}</author>
    <author>tc={424BEE74-15C6-42DB-947F-1D74EAE91E13}</author>
    <author>tc={E18845A1-05E5-42EE-A250-2B9534515F32}</author>
    <author>tc={4077742C-9C34-47FF-A610-7F3725BAACE2}</author>
  </authors>
  <commentList>
    <comment ref="J9" authorId="0" shapeId="0" xr:uid="{D12A62BA-B3E6-4DC8-BBFE-835308271D89}">
      <text>
        <t>[Threaded comment]
Your version of Excel allows you to read this threaded comment; however, any edits to it will get removed if the file is opened in a newer version of Excel. Learn more: https://go.microsoft.com/fwlink/?linkid=870924
Comment:
    EBIT/Interest Expenses</t>
      </text>
    </comment>
    <comment ref="A18" authorId="1" shapeId="0" xr:uid="{CF1ADB7C-FFCF-4178-9B3B-9747F80AA79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debt= total debt-cash &amp; equivalents</t>
      </text>
    </comment>
    <comment ref="B18" authorId="2" shapeId="0" xr:uid="{424BEE74-15C6-42DB-947F-1D74EAE91E13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 &lt; 3 this means that Puma it is able to repay its debt obligations</t>
      </text>
    </comment>
    <comment ref="A19" authorId="3" shapeId="0" xr:uid="{E18845A1-05E5-42EE-A250-2B9534515F32}">
      <text>
        <t>[Threaded comment]
Your version of Excel allows you to read this threaded comment; however, any edits to it will get removed if the file is opened in a newer version of Excel. Learn more: https://go.microsoft.com/fwlink/?linkid=870924
Comment:
    Puma Investors</t>
      </text>
    </comment>
    <comment ref="A20" authorId="4" shapeId="0" xr:uid="{4077742C-9C34-47FF-A610-7F3725BAACE2}">
      <text>
        <t>[Threaded comment]
Your version of Excel allows you to read this threaded comment; however, any edits to it will get removed if the file is opened in a newer version of Excel. Learn more: https://go.microsoft.com/fwlink/?linkid=870924
Comment:
    Puma Investors</t>
      </text>
    </comment>
  </commentList>
</comments>
</file>

<file path=xl/sharedStrings.xml><?xml version="1.0" encoding="utf-8"?>
<sst xmlns="http://schemas.openxmlformats.org/spreadsheetml/2006/main" count="364" uniqueCount="180">
  <si>
    <t>Sales</t>
  </si>
  <si>
    <t>EBIT</t>
  </si>
  <si>
    <t xml:space="preserve"> - Taxes</t>
  </si>
  <si>
    <t xml:space="preserve"> + Depreciations&amp;Provisions</t>
  </si>
  <si>
    <t xml:space="preserve"> - Capex</t>
  </si>
  <si>
    <t xml:space="preserve"> - Changes Working Capital</t>
  </si>
  <si>
    <t>Discount Factor</t>
  </si>
  <si>
    <t>Discounted Cash Flows</t>
  </si>
  <si>
    <t>Enterprise Value</t>
  </si>
  <si>
    <t>Effective Tax rate</t>
  </si>
  <si>
    <t>EBIT Margin</t>
  </si>
  <si>
    <t>Depreciations&amp;Provisions/Sales</t>
  </si>
  <si>
    <t>Net Capex / Sales</t>
  </si>
  <si>
    <t>Chg. W.Capital: % Chg. Sales</t>
  </si>
  <si>
    <t>Sales annual growth</t>
  </si>
  <si>
    <t>TV</t>
  </si>
  <si>
    <t>Years</t>
  </si>
  <si>
    <t>ASSUMPTIONS</t>
  </si>
  <si>
    <t>Q3</t>
  </si>
  <si>
    <t>Discount Years</t>
  </si>
  <si>
    <t xml:space="preserve"> = Free Cash Flow (FCF) to the Firm (Q1)</t>
  </si>
  <si>
    <t>Trend Change</t>
  </si>
  <si>
    <t>WACC Calculation</t>
  </si>
  <si>
    <t>Debt/(Debt+Equity)</t>
  </si>
  <si>
    <t>Note units are in thousands</t>
  </si>
  <si>
    <t>WACC (Q2)</t>
  </si>
  <si>
    <t>Value</t>
  </si>
  <si>
    <t>Cost of Equity (re)</t>
  </si>
  <si>
    <t>Cost of Debt (rd)</t>
  </si>
  <si>
    <t>Market Price</t>
  </si>
  <si>
    <t>Growth Rate (g)</t>
  </si>
  <si>
    <t>Inflation</t>
  </si>
  <si>
    <t>Real Growth Rate of FCF in Perpetuity</t>
  </si>
  <si>
    <t>Effective Tax rate (T)</t>
  </si>
  <si>
    <t>Debt spread (spreadi)</t>
  </si>
  <si>
    <t>Equity risk premium (RP)</t>
  </si>
  <si>
    <t>Equity Beta (Bi)</t>
  </si>
  <si>
    <t>Risk-free (10-year Treasury) (rf)</t>
  </si>
  <si>
    <t>Beta Company (BAssets)</t>
  </si>
  <si>
    <t>Enterprise Value (EV)</t>
  </si>
  <si>
    <t>Number of Outstanding Shares</t>
  </si>
  <si>
    <t>% P/L</t>
  </si>
  <si>
    <t>(-)Net debt = interest bearing debt -cash&amp;equivalents</t>
  </si>
  <si>
    <t>(-)Minority interests</t>
  </si>
  <si>
    <t>(+)Non-core assets (financial non-current items)</t>
  </si>
  <si>
    <t>(=)Equity Value</t>
  </si>
  <si>
    <t>Banking Loans</t>
  </si>
  <si>
    <t>Issued Bonds</t>
  </si>
  <si>
    <t>Cash</t>
  </si>
  <si>
    <t>Value per Share = Equity Value / No. of Outstanding Shares</t>
  </si>
  <si>
    <t>% P/L =(VpS/ Market Price) - 1</t>
  </si>
  <si>
    <t>Investment Decision</t>
  </si>
  <si>
    <t>%P/L</t>
  </si>
  <si>
    <r>
      <t xml:space="preserve">Market Price </t>
    </r>
    <r>
      <rPr>
        <sz val="11"/>
        <color theme="1"/>
        <rFont val="Aptos Narrow"/>
        <family val="2"/>
      </rPr>
      <t>€</t>
    </r>
  </si>
  <si>
    <r>
      <t xml:space="preserve">Value Per Share </t>
    </r>
    <r>
      <rPr>
        <sz val="11"/>
        <color theme="1"/>
        <rFont val="Aptos Narrow"/>
        <family val="2"/>
      </rPr>
      <t>€</t>
    </r>
  </si>
  <si>
    <t>No of outstanding shares</t>
  </si>
  <si>
    <t>Equity Value</t>
  </si>
  <si>
    <t>(+)Financial Investments</t>
  </si>
  <si>
    <t>(-) Minority Interests</t>
  </si>
  <si>
    <t>(-)Net Debt</t>
  </si>
  <si>
    <t>NIKE</t>
  </si>
  <si>
    <t>PBV</t>
  </si>
  <si>
    <t>P/E</t>
  </si>
  <si>
    <t>EV/EBITDA</t>
  </si>
  <si>
    <t>EV/REV</t>
  </si>
  <si>
    <t>ADIDAS</t>
  </si>
  <si>
    <t>UNDER ARMOUR</t>
  </si>
  <si>
    <t>SKECHERS</t>
  </si>
  <si>
    <t>COLUMBIA</t>
  </si>
  <si>
    <t>PUMA</t>
  </si>
  <si>
    <t>ASICS</t>
  </si>
  <si>
    <t>Grand Total</t>
  </si>
  <si>
    <t xml:space="preserve"> EV/REV</t>
  </si>
  <si>
    <t xml:space="preserve">P/E </t>
  </si>
  <si>
    <t xml:space="preserve">PBV </t>
  </si>
  <si>
    <t xml:space="preserve">EV/EBITDA </t>
  </si>
  <si>
    <t>Compnay</t>
  </si>
  <si>
    <t>31/12/2023</t>
  </si>
  <si>
    <t xml:space="preserve">P/E  </t>
  </si>
  <si>
    <t>P/E Average</t>
  </si>
  <si>
    <t>PBV Average</t>
  </si>
  <si>
    <t>EV/REV Average</t>
  </si>
  <si>
    <t>EV/EBITDA Average</t>
  </si>
  <si>
    <t xml:space="preserve"> EV/EBITDA</t>
  </si>
  <si>
    <t xml:space="preserve">EV/REV    </t>
  </si>
  <si>
    <t xml:space="preserve">PBV   </t>
  </si>
  <si>
    <t>Company</t>
  </si>
  <si>
    <t xml:space="preserve">Equity Value </t>
  </si>
  <si>
    <t>Value per share (VpS)</t>
  </si>
  <si>
    <t>Asia/Pacific</t>
  </si>
  <si>
    <t>Accessories</t>
  </si>
  <si>
    <t>Americas</t>
  </si>
  <si>
    <t>Apparel</t>
  </si>
  <si>
    <t>EMEA</t>
  </si>
  <si>
    <t>Footwear</t>
  </si>
  <si>
    <t>g</t>
  </si>
  <si>
    <t>Percentage of total sales</t>
  </si>
  <si>
    <t>No of Sales</t>
  </si>
  <si>
    <t>Sales by Regions 2023</t>
  </si>
  <si>
    <t>Sales by Product Division 2023</t>
  </si>
  <si>
    <t>Total Sales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</si>
  <si>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</si>
  <si>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</si>
  <si>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</si>
  <si>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</si>
  <si>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</si>
  <si>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</si>
  <si>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</si>
  <si>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</si>
  <si>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FY 2015</t>
  </si>
  <si>
    <t>FY 2014</t>
  </si>
  <si>
    <t>Column1</t>
  </si>
  <si>
    <t>Current Ratio</t>
  </si>
  <si>
    <t>Quick Ratio</t>
  </si>
  <si>
    <t>Days Sales Outstanding</t>
  </si>
  <si>
    <t>Days Inventory Outstanding</t>
  </si>
  <si>
    <t>Days payable Outstanding</t>
  </si>
  <si>
    <t>W.C</t>
  </si>
  <si>
    <t>AVERAGE</t>
  </si>
  <si>
    <t>W.C RATIOS</t>
  </si>
  <si>
    <t>C.F from Operating Activities</t>
  </si>
  <si>
    <t>CapEx</t>
  </si>
  <si>
    <t>FY2020</t>
  </si>
  <si>
    <t>FY2021</t>
  </si>
  <si>
    <t>FY2022</t>
  </si>
  <si>
    <t>FY2023</t>
  </si>
  <si>
    <t>Depreciations</t>
  </si>
  <si>
    <t>FY2014</t>
  </si>
  <si>
    <t>FY2015</t>
  </si>
  <si>
    <t>FY2016</t>
  </si>
  <si>
    <t>FY2017</t>
  </si>
  <si>
    <t>FY2018</t>
  </si>
  <si>
    <t>FY20192</t>
  </si>
  <si>
    <t>PERCENTAGE</t>
  </si>
  <si>
    <t>ASIA-PACIFIC</t>
  </si>
  <si>
    <t>LATIN AMERICA</t>
  </si>
  <si>
    <t xml:space="preserve"> NORTH AMERICA</t>
  </si>
  <si>
    <t>BASE OF EMPLOYEES</t>
  </si>
  <si>
    <t>Cash Paid For Taxes</t>
  </si>
  <si>
    <t>FY</t>
  </si>
  <si>
    <t>FY2019</t>
  </si>
  <si>
    <t>Inventories</t>
  </si>
  <si>
    <t>YEAR</t>
  </si>
  <si>
    <t>Total Liabilities</t>
  </si>
  <si>
    <t>Total Liabilities and Shareholders Equity</t>
  </si>
  <si>
    <t>Total Equity</t>
  </si>
  <si>
    <t>Short-Term Borrowings</t>
  </si>
  <si>
    <t>Long Term Debt</t>
  </si>
  <si>
    <t>Total Debt</t>
  </si>
  <si>
    <t>Total Noncurrent Liabilities</t>
  </si>
  <si>
    <t>Deferred Tax Liabilities (Long-Term)</t>
  </si>
  <si>
    <t>Other Provisions For Liabilities And Charges</t>
  </si>
  <si>
    <t>Total Capital</t>
  </si>
  <si>
    <t>Porportion ot total equity</t>
  </si>
  <si>
    <t>Porportion ot total debt</t>
  </si>
  <si>
    <t>Share Price</t>
  </si>
  <si>
    <t>Shares Outstanding</t>
  </si>
  <si>
    <t>Current Equity Value</t>
  </si>
  <si>
    <t>Interest Coverage Ratio</t>
  </si>
  <si>
    <t>debt/equity</t>
  </si>
  <si>
    <t>EBIT/INTEREST EXPENSES</t>
  </si>
  <si>
    <t>Net Debt/EBITDA</t>
  </si>
  <si>
    <t>ROE</t>
  </si>
  <si>
    <t xml:space="preserve">ROCE </t>
  </si>
  <si>
    <t>total debt/equity</t>
  </si>
  <si>
    <t>WACC</t>
  </si>
  <si>
    <t>E.V.</t>
  </si>
  <si>
    <t>Equity Share Price</t>
  </si>
  <si>
    <t>Final Cash Flow</t>
  </si>
  <si>
    <t>Growth Rate</t>
  </si>
  <si>
    <t>Terminal Value</t>
  </si>
  <si>
    <t>NPV of Cash Flow</t>
  </si>
  <si>
    <t>Discounted Terminal Value</t>
  </si>
  <si>
    <t>Minority Interests</t>
  </si>
  <si>
    <t>Financial Investments</t>
  </si>
  <si>
    <t>Net Debt</t>
  </si>
  <si>
    <t>Equity Value per share</t>
  </si>
  <si>
    <t>No of shares</t>
  </si>
  <si>
    <t>BULLISH</t>
  </si>
  <si>
    <t>BEARISH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</si>
</sst>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43" formatCode="_-* #,##0.00_-;\-* #,##0.00_-;_-* &quot;-&quot;??_-;_-@_-"/>
    <numFmt numFmtId="164" formatCode="0.0%"/>
    <numFmt numFmtId="165" formatCode="#,##0.000;[Red]\(#,##0.000\)"/>
    <numFmt numFmtId="166" formatCode="#,##0;[Red]\(#,##0\)"/>
    <numFmt numFmtId="167" formatCode="_-[$€-2]\ * #,##0.00_-;\-[$€-2]\ * #,##0.00_-;_-[$€-2]\ * &quot;-&quot;??_-;_-@_-"/>
    <numFmt numFmtId="168" formatCode="#,##0.00\ &quot;€&quot;"/>
    <numFmt numFmtId="169" formatCode="_-* #,##0.00\ [$€-408]_-;\-* #,##0.00\ [$€-408]_-;_-* &quot;-&quot;??\ [$€-408]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9"/>
      <name val="Helv"/>
    </font>
    <font>
      <sz val="9"/>
      <name val="GS TheSans"/>
    </font>
    <font>
      <b/>
      <sz val="9"/>
      <name val="Arial Narrow"/>
      <family val="2"/>
    </font>
    <font>
      <sz val="10"/>
      <name val="MS Sans Serif"/>
      <family val="2"/>
    </font>
    <font>
      <sz val="10"/>
      <color indexed="0"/>
      <name val="MS Sans Serif"/>
      <family val="2"/>
    </font>
    <font>
      <sz val="10"/>
      <color indexed="17"/>
      <name val="Times New Roman"/>
      <family val="1"/>
    </font>
    <font>
      <sz val="10"/>
      <color indexed="20"/>
      <name val="Times New Roman"/>
      <family val="1"/>
    </font>
    <font>
      <sz val="9"/>
      <name val="Times New Roman"/>
      <family val="1"/>
    </font>
    <font>
      <b/>
      <sz val="9"/>
      <name val="Helv"/>
    </font>
    <font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Calibri"/>
      <family val="2"/>
      <charset val="161"/>
      <scheme val="minor"/>
    </font>
    <font>
      <b/>
      <sz val="10"/>
      <color rgb="FFFFFFFF"/>
      <name val="Arial"/>
      <family val="2"/>
      <charset val="161"/>
    </font>
    <font>
      <b/>
      <sz val="11"/>
      <color rgb="FF000000"/>
      <name val="Calibri"/>
      <family val="2"/>
      <charset val="161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4F81BD"/>
        <bgColor rgb="FF4F81BD"/>
      </patternFill>
    </fill>
    <fill>
      <patternFill patternType="solid">
        <fgColor theme="4" tint="0.59999389629810485"/>
        <bgColor theme="4" tint="0.59999389629810485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0">
    <xf numFmtId="0" fontId="0" fillId="0" borderId="0"/>
    <xf numFmtId="9" fontId="5" fillId="0" borderId="0" applyFont="0" applyFill="0" applyBorder="0" applyAlignment="0" applyProtection="0"/>
    <xf numFmtId="0" fontId="8" fillId="0" borderId="0"/>
    <xf numFmtId="0" fontId="9" fillId="0" borderId="0"/>
    <xf numFmtId="1" fontId="11" fillId="0" borderId="0" applyFill="0" applyBorder="0" applyAlignment="0" applyProtection="0"/>
    <xf numFmtId="165" fontId="12" fillId="0" borderId="0" applyFill="0" applyProtection="0">
      <alignment horizontal="right"/>
    </xf>
    <xf numFmtId="4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" fontId="14" fillId="0" borderId="0" applyNumberFormat="0" applyFill="0" applyBorder="0" applyAlignment="0" applyProtection="0">
      <alignment horizontal="center"/>
    </xf>
    <xf numFmtId="1" fontId="15" fillId="0" borderId="0">
      <alignment horizontal="center"/>
    </xf>
    <xf numFmtId="0" fontId="12" fillId="0" borderId="0"/>
    <xf numFmtId="0" fontId="16" fillId="0" borderId="0">
      <alignment horizontal="center"/>
    </xf>
    <xf numFmtId="9" fontId="12" fillId="0" borderId="0" applyFont="0" applyFill="0" applyBorder="0" applyAlignment="0" applyProtection="0"/>
    <xf numFmtId="166" fontId="17" fillId="0" borderId="2"/>
    <xf numFmtId="43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9" fillId="9" borderId="22" applyNumberFormat="0" applyProtection="0">
      <alignment horizontal="right"/>
    </xf>
  </cellStyleXfs>
  <cellXfs count="156">
    <xf numFmtId="0" fontId="0" fillId="0" borderId="0" xfId="0"/>
    <xf numFmtId="164" fontId="7" fillId="0" borderId="0" xfId="1" applyNumberFormat="1" applyFont="1" applyBorder="1"/>
    <xf numFmtId="9" fontId="6" fillId="0" borderId="14" xfId="0" applyNumberFormat="1" applyFont="1" applyBorder="1"/>
    <xf numFmtId="9" fontId="6" fillId="0" borderId="0" xfId="0" applyNumberFormat="1" applyFont="1"/>
    <xf numFmtId="9" fontId="6" fillId="0" borderId="15" xfId="0" applyNumberFormat="1" applyFont="1" applyBorder="1"/>
    <xf numFmtId="164" fontId="7" fillId="0" borderId="9" xfId="1" applyNumberFormat="1" applyFont="1" applyBorder="1"/>
    <xf numFmtId="10" fontId="7" fillId="0" borderId="18" xfId="1" applyNumberFormat="1" applyFont="1" applyFill="1" applyBorder="1" applyAlignment="1">
      <alignment horizontal="center"/>
    </xf>
    <xf numFmtId="10" fontId="7" fillId="0" borderId="0" xfId="1" applyNumberFormat="1" applyFont="1" applyBorder="1" applyAlignment="1">
      <alignment horizontal="center"/>
    </xf>
    <xf numFmtId="10" fontId="7" fillId="0" borderId="15" xfId="1" applyNumberFormat="1" applyFont="1" applyBorder="1" applyAlignment="1">
      <alignment horizontal="center"/>
    </xf>
    <xf numFmtId="10" fontId="7" fillId="3" borderId="12" xfId="0" applyNumberFormat="1" applyFont="1" applyFill="1" applyBorder="1" applyAlignment="1">
      <alignment horizontal="center"/>
    </xf>
    <xf numFmtId="10" fontId="7" fillId="0" borderId="9" xfId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0" fontId="0" fillId="0" borderId="18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14" xfId="0" applyBorder="1"/>
    <xf numFmtId="10" fontId="0" fillId="0" borderId="12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8" xfId="0" applyBorder="1"/>
    <xf numFmtId="10" fontId="0" fillId="0" borderId="1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1" fillId="0" borderId="4" xfId="2" applyFont="1" applyBorder="1"/>
    <xf numFmtId="0" fontId="23" fillId="2" borderId="1" xfId="2" applyFont="1" applyFill="1" applyBorder="1" applyAlignment="1">
      <alignment horizontal="center"/>
    </xf>
    <xf numFmtId="0" fontId="23" fillId="2" borderId="4" xfId="2" applyFont="1" applyFill="1" applyBorder="1" applyAlignment="1">
      <alignment horizontal="center"/>
    </xf>
    <xf numFmtId="0" fontId="21" fillId="0" borderId="11" xfId="2" applyFont="1" applyBorder="1"/>
    <xf numFmtId="3" fontId="21" fillId="0" borderId="17" xfId="2" applyNumberFormat="1" applyFont="1" applyBorder="1" applyAlignment="1">
      <alignment horizontal="center"/>
    </xf>
    <xf numFmtId="3" fontId="21" fillId="0" borderId="11" xfId="2" applyNumberFormat="1" applyFont="1" applyBorder="1" applyAlignment="1">
      <alignment horizontal="center"/>
    </xf>
    <xf numFmtId="3" fontId="21" fillId="0" borderId="0" xfId="2" applyNumberFormat="1" applyFont="1" applyAlignment="1">
      <alignment horizontal="center"/>
    </xf>
    <xf numFmtId="0" fontId="20" fillId="0" borderId="12" xfId="2" applyFont="1" applyBorder="1"/>
    <xf numFmtId="3" fontId="21" fillId="0" borderId="14" xfId="2" applyNumberFormat="1" applyFont="1" applyBorder="1" applyAlignment="1">
      <alignment horizontal="center"/>
    </xf>
    <xf numFmtId="3" fontId="21" fillId="0" borderId="12" xfId="2" applyNumberFormat="1" applyFont="1" applyBorder="1" applyAlignment="1">
      <alignment horizontal="center"/>
    </xf>
    <xf numFmtId="0" fontId="21" fillId="0" borderId="12" xfId="2" applyFont="1" applyBorder="1"/>
    <xf numFmtId="3" fontId="21" fillId="3" borderId="12" xfId="2" applyNumberFormat="1" applyFont="1" applyFill="1" applyBorder="1" applyAlignment="1">
      <alignment horizontal="center"/>
    </xf>
    <xf numFmtId="3" fontId="20" fillId="4" borderId="4" xfId="2" applyNumberFormat="1" applyFont="1" applyFill="1" applyBorder="1" applyAlignment="1">
      <alignment horizontal="center"/>
    </xf>
    <xf numFmtId="0" fontId="20" fillId="4" borderId="4" xfId="2" applyFont="1" applyFill="1" applyBorder="1"/>
    <xf numFmtId="3" fontId="20" fillId="4" borderId="3" xfId="2" applyNumberFormat="1" applyFont="1" applyFill="1" applyBorder="1" applyAlignment="1">
      <alignment horizontal="center"/>
    </xf>
    <xf numFmtId="3" fontId="21" fillId="0" borderId="0" xfId="2" applyNumberFormat="1" applyFont="1"/>
    <xf numFmtId="9" fontId="21" fillId="0" borderId="0" xfId="1" applyFont="1"/>
    <xf numFmtId="9" fontId="20" fillId="0" borderId="0" xfId="1" applyFont="1" applyBorder="1"/>
    <xf numFmtId="0" fontId="21" fillId="0" borderId="0" xfId="3" applyFont="1"/>
    <xf numFmtId="0" fontId="21" fillId="0" borderId="0" xfId="2" applyFont="1"/>
    <xf numFmtId="0" fontId="20" fillId="0" borderId="0" xfId="2" applyFont="1"/>
    <xf numFmtId="10" fontId="20" fillId="0" borderId="0" xfId="2" applyNumberFormat="1" applyFont="1"/>
    <xf numFmtId="0" fontId="21" fillId="0" borderId="1" xfId="2" applyFont="1" applyBorder="1"/>
    <xf numFmtId="3" fontId="21" fillId="0" borderId="16" xfId="2" applyNumberFormat="1" applyFont="1" applyBorder="1" applyAlignment="1">
      <alignment horizontal="center"/>
    </xf>
    <xf numFmtId="3" fontId="21" fillId="3" borderId="16" xfId="2" applyNumberFormat="1" applyFont="1" applyFill="1" applyBorder="1" applyAlignment="1">
      <alignment horizontal="center"/>
    </xf>
    <xf numFmtId="3" fontId="21" fillId="0" borderId="3" xfId="2" applyNumberFormat="1" applyFont="1" applyBorder="1" applyAlignment="1">
      <alignment horizontal="center"/>
    </xf>
    <xf numFmtId="0" fontId="21" fillId="0" borderId="14" xfId="2" applyFont="1" applyBorder="1"/>
    <xf numFmtId="3" fontId="21" fillId="0" borderId="15" xfId="2" applyNumberFormat="1" applyFont="1" applyBorder="1" applyAlignment="1">
      <alignment horizontal="center"/>
    </xf>
    <xf numFmtId="0" fontId="21" fillId="0" borderId="8" xfId="2" applyFont="1" applyBorder="1" applyAlignment="1">
      <alignment horizontal="left"/>
    </xf>
    <xf numFmtId="3" fontId="21" fillId="0" borderId="9" xfId="2" applyNumberFormat="1" applyFont="1" applyBorder="1" applyAlignment="1">
      <alignment horizontal="center"/>
    </xf>
    <xf numFmtId="9" fontId="20" fillId="0" borderId="10" xfId="1" applyFont="1" applyBorder="1" applyAlignment="1">
      <alignment horizontal="center"/>
    </xf>
    <xf numFmtId="0" fontId="19" fillId="0" borderId="11" xfId="2" applyFont="1" applyBorder="1"/>
    <xf numFmtId="0" fontId="21" fillId="0" borderId="18" xfId="2" applyFont="1" applyBorder="1"/>
    <xf numFmtId="0" fontId="21" fillId="0" borderId="17" xfId="2" applyFont="1" applyBorder="1"/>
    <xf numFmtId="4" fontId="21" fillId="0" borderId="18" xfId="2" applyNumberFormat="1" applyFont="1" applyBorder="1" applyAlignment="1">
      <alignment horizontal="center"/>
    </xf>
    <xf numFmtId="4" fontId="21" fillId="0" borderId="19" xfId="2" applyNumberFormat="1" applyFont="1" applyBorder="1" applyAlignment="1">
      <alignment horizontal="center"/>
    </xf>
    <xf numFmtId="0" fontId="0" fillId="0" borderId="11" xfId="0" applyBorder="1"/>
    <xf numFmtId="10" fontId="4" fillId="0" borderId="11" xfId="0" applyNumberFormat="1" applyFont="1" applyBorder="1" applyAlignment="1">
      <alignment horizontal="center"/>
    </xf>
    <xf numFmtId="0" fontId="6" fillId="0" borderId="0" xfId="0" applyFont="1"/>
    <xf numFmtId="3" fontId="20" fillId="4" borderId="16" xfId="2" applyNumberFormat="1" applyFont="1" applyFill="1" applyBorder="1" applyAlignment="1">
      <alignment horizontal="center"/>
    </xf>
    <xf numFmtId="0" fontId="21" fillId="0" borderId="14" xfId="3" applyFont="1" applyBorder="1"/>
    <xf numFmtId="9" fontId="21" fillId="0" borderId="14" xfId="1" applyFont="1" applyBorder="1"/>
    <xf numFmtId="0" fontId="21" fillId="0" borderId="8" xfId="2" applyFont="1" applyBorder="1"/>
    <xf numFmtId="0" fontId="20" fillId="4" borderId="1" xfId="3" applyFont="1" applyFill="1" applyBorder="1"/>
    <xf numFmtId="0" fontId="6" fillId="0" borderId="0" xfId="2" applyFont="1"/>
    <xf numFmtId="10" fontId="20" fillId="4" borderId="3" xfId="1" applyNumberFormat="1" applyFont="1" applyFill="1" applyBorder="1" applyAlignment="1">
      <alignment horizontal="center"/>
    </xf>
    <xf numFmtId="10" fontId="6" fillId="0" borderId="0" xfId="2" applyNumberFormat="1" applyFont="1" applyAlignment="1">
      <alignment horizontal="center"/>
    </xf>
    <xf numFmtId="164" fontId="6" fillId="0" borderId="15" xfId="1" applyNumberFormat="1" applyFont="1" applyBorder="1" applyAlignment="1">
      <alignment horizontal="center"/>
    </xf>
    <xf numFmtId="164" fontId="6" fillId="0" borderId="15" xfId="1" applyNumberFormat="1" applyFont="1" applyFill="1" applyBorder="1" applyAlignment="1">
      <alignment horizontal="center"/>
    </xf>
    <xf numFmtId="2" fontId="6" fillId="0" borderId="10" xfId="2" applyNumberFormat="1" applyFont="1" applyBorder="1" applyAlignment="1">
      <alignment horizontal="center"/>
    </xf>
    <xf numFmtId="0" fontId="23" fillId="6" borderId="17" xfId="3" applyFont="1" applyFill="1" applyBorder="1"/>
    <xf numFmtId="0" fontId="23" fillId="6" borderId="19" xfId="3" applyFont="1" applyFill="1" applyBorder="1" applyAlignment="1">
      <alignment horizontal="center"/>
    </xf>
    <xf numFmtId="0" fontId="22" fillId="0" borderId="0" xfId="0" applyFont="1"/>
    <xf numFmtId="9" fontId="6" fillId="5" borderId="15" xfId="1" applyFont="1" applyFill="1" applyBorder="1" applyAlignment="1">
      <alignment horizontal="center"/>
    </xf>
    <xf numFmtId="9" fontId="20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1" fillId="0" borderId="11" xfId="2" applyFont="1" applyBorder="1" applyAlignment="1">
      <alignment horizontal="left"/>
    </xf>
    <xf numFmtId="0" fontId="21" fillId="0" borderId="12" xfId="2" applyFont="1" applyBorder="1" applyAlignment="1">
      <alignment horizontal="left"/>
    </xf>
    <xf numFmtId="0" fontId="24" fillId="0" borderId="12" xfId="2" applyFont="1" applyBorder="1" applyAlignment="1">
      <alignment horizontal="left"/>
    </xf>
    <xf numFmtId="0" fontId="24" fillId="0" borderId="13" xfId="2" applyFont="1" applyBorder="1" applyAlignment="1">
      <alignment horizontal="left"/>
    </xf>
    <xf numFmtId="3" fontId="7" fillId="0" borderId="12" xfId="2" applyNumberFormat="1" applyFont="1" applyBorder="1" applyAlignment="1">
      <alignment horizontal="center"/>
    </xf>
    <xf numFmtId="167" fontId="20" fillId="4" borderId="12" xfId="2" applyNumberFormat="1" applyFont="1" applyFill="1" applyBorder="1" applyAlignment="1">
      <alignment horizontal="center"/>
    </xf>
    <xf numFmtId="10" fontId="21" fillId="0" borderId="0" xfId="1" applyNumberFormat="1" applyFont="1" applyBorder="1"/>
    <xf numFmtId="3" fontId="24" fillId="0" borderId="0" xfId="2" applyNumberFormat="1" applyFont="1"/>
    <xf numFmtId="10" fontId="21" fillId="0" borderId="4" xfId="1" applyNumberFormat="1" applyFont="1" applyBorder="1"/>
    <xf numFmtId="0" fontId="25" fillId="4" borderId="4" xfId="2" applyFont="1" applyFill="1" applyBorder="1" applyAlignment="1">
      <alignment horizontal="left"/>
    </xf>
    <xf numFmtId="10" fontId="26" fillId="4" borderId="4" xfId="1" applyNumberFormat="1" applyFont="1" applyFill="1" applyBorder="1" applyAlignment="1">
      <alignment horizontal="center"/>
    </xf>
    <xf numFmtId="0" fontId="25" fillId="4" borderId="4" xfId="2" applyFont="1" applyFill="1" applyBorder="1"/>
    <xf numFmtId="167" fontId="7" fillId="0" borderId="13" xfId="2" applyNumberFormat="1" applyFont="1" applyBorder="1" applyAlignment="1">
      <alignment horizontal="center"/>
    </xf>
    <xf numFmtId="0" fontId="6" fillId="0" borderId="12" xfId="0" applyFont="1" applyBorder="1"/>
    <xf numFmtId="0" fontId="6" fillId="0" borderId="11" xfId="0" applyFont="1" applyBorder="1"/>
    <xf numFmtId="0" fontId="21" fillId="0" borderId="12" xfId="0" applyFont="1" applyBorder="1"/>
    <xf numFmtId="0" fontId="6" fillId="0" borderId="13" xfId="0" applyFont="1" applyBorder="1"/>
    <xf numFmtId="0" fontId="23" fillId="2" borderId="12" xfId="2" applyFont="1" applyFill="1" applyBorder="1" applyAlignment="1">
      <alignment horizontal="center"/>
    </xf>
    <xf numFmtId="10" fontId="20" fillId="4" borderId="15" xfId="1" applyNumberFormat="1" applyFont="1" applyFill="1" applyBorder="1" applyAlignment="1">
      <alignment horizontal="center"/>
    </xf>
    <xf numFmtId="3" fontId="20" fillId="3" borderId="11" xfId="2" applyNumberFormat="1" applyFont="1" applyFill="1" applyBorder="1" applyAlignment="1">
      <alignment horizontal="center"/>
    </xf>
    <xf numFmtId="3" fontId="6" fillId="0" borderId="0" xfId="2" applyNumberFormat="1" applyFont="1" applyAlignment="1">
      <alignment horizontal="center"/>
    </xf>
    <xf numFmtId="9" fontId="6" fillId="0" borderId="0" xfId="1" applyFont="1" applyBorder="1"/>
    <xf numFmtId="10" fontId="6" fillId="0" borderId="0" xfId="2" applyNumberFormat="1" applyFont="1"/>
    <xf numFmtId="2" fontId="20" fillId="4" borderId="15" xfId="15" applyNumberFormat="1" applyFont="1" applyFill="1" applyBorder="1" applyAlignment="1">
      <alignment horizontal="center"/>
    </xf>
    <xf numFmtId="0" fontId="3" fillId="0" borderId="0" xfId="16"/>
    <xf numFmtId="9" fontId="3" fillId="0" borderId="0" xfId="16" applyNumberFormat="1"/>
    <xf numFmtId="10" fontId="3" fillId="0" borderId="0" xfId="16" applyNumberFormat="1"/>
    <xf numFmtId="9" fontId="0" fillId="0" borderId="0" xfId="17" applyFont="1"/>
    <xf numFmtId="8" fontId="3" fillId="0" borderId="0" xfId="16" applyNumberFormat="1"/>
    <xf numFmtId="4" fontId="3" fillId="0" borderId="0" xfId="16" applyNumberFormat="1"/>
    <xf numFmtId="3" fontId="3" fillId="0" borderId="0" xfId="16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7" borderId="20" xfId="0" applyFont="1" applyFill="1" applyBorder="1"/>
    <xf numFmtId="4" fontId="0" fillId="0" borderId="0" xfId="0" applyNumberFormat="1"/>
    <xf numFmtId="0" fontId="28" fillId="0" borderId="0" xfId="0" applyFont="1" applyAlignment="1">
      <alignment horizontal="left"/>
    </xf>
    <xf numFmtId="0" fontId="28" fillId="0" borderId="0" xfId="0" applyFont="1"/>
    <xf numFmtId="4" fontId="4" fillId="7" borderId="21" xfId="0" applyNumberFormat="1" applyFont="1" applyFill="1" applyBorder="1"/>
    <xf numFmtId="14" fontId="0" fillId="0" borderId="0" xfId="0" applyNumberFormat="1"/>
    <xf numFmtId="0" fontId="2" fillId="0" borderId="0" xfId="18"/>
    <xf numFmtId="4" fontId="2" fillId="0" borderId="0" xfId="18" applyNumberFormat="1"/>
    <xf numFmtId="10" fontId="2" fillId="0" borderId="0" xfId="18" applyNumberFormat="1"/>
    <xf numFmtId="9" fontId="2" fillId="0" borderId="0" xfId="18" applyNumberFormat="1"/>
    <xf numFmtId="0" fontId="31" fillId="8" borderId="23" xfId="0" applyFont="1" applyFill="1" applyBorder="1"/>
    <xf numFmtId="0" fontId="30" fillId="0" borderId="0" xfId="0" applyFont="1" applyAlignment="1">
      <alignment horizontal="left"/>
    </xf>
    <xf numFmtId="4" fontId="29" fillId="9" borderId="22" xfId="19" applyNumberFormat="1" applyAlignment="1">
      <alignment horizontal="left"/>
    </xf>
    <xf numFmtId="4" fontId="0" fillId="0" borderId="0" xfId="0" applyNumberFormat="1" applyAlignment="1">
      <alignment horizontal="left"/>
    </xf>
    <xf numFmtId="4" fontId="28" fillId="0" borderId="0" xfId="0" applyNumberFormat="1" applyFont="1" applyAlignment="1">
      <alignment horizontal="left"/>
    </xf>
    <xf numFmtId="0" fontId="30" fillId="10" borderId="25" xfId="0" applyFont="1" applyFill="1" applyBorder="1" applyAlignment="1">
      <alignment horizontal="left"/>
    </xf>
    <xf numFmtId="4" fontId="0" fillId="10" borderId="26" xfId="0" applyNumberFormat="1" applyFill="1" applyBorder="1" applyAlignment="1">
      <alignment horizontal="left"/>
    </xf>
    <xf numFmtId="4" fontId="28" fillId="10" borderId="27" xfId="0" applyNumberFormat="1" applyFont="1" applyFill="1" applyBorder="1" applyAlignment="1">
      <alignment horizontal="left"/>
    </xf>
    <xf numFmtId="0" fontId="30" fillId="7" borderId="25" xfId="0" applyFont="1" applyFill="1" applyBorder="1" applyAlignment="1">
      <alignment horizontal="left"/>
    </xf>
    <xf numFmtId="4" fontId="0" fillId="7" borderId="26" xfId="0" applyNumberFormat="1" applyFill="1" applyBorder="1" applyAlignment="1">
      <alignment horizontal="left"/>
    </xf>
    <xf numFmtId="4" fontId="28" fillId="7" borderId="27" xfId="0" applyNumberFormat="1" applyFont="1" applyFill="1" applyBorder="1" applyAlignment="1">
      <alignment horizontal="left"/>
    </xf>
    <xf numFmtId="0" fontId="30" fillId="10" borderId="28" xfId="0" applyFont="1" applyFill="1" applyBorder="1" applyAlignment="1">
      <alignment horizontal="left"/>
    </xf>
    <xf numFmtId="4" fontId="0" fillId="10" borderId="29" xfId="0" applyNumberFormat="1" applyFill="1" applyBorder="1" applyAlignment="1">
      <alignment horizontal="left"/>
    </xf>
    <xf numFmtId="4" fontId="28" fillId="10" borderId="30" xfId="0" applyNumberFormat="1" applyFont="1" applyFill="1" applyBorder="1" applyAlignment="1">
      <alignment horizontal="left"/>
    </xf>
    <xf numFmtId="4" fontId="29" fillId="9" borderId="24" xfId="19" applyNumberFormat="1" applyBorder="1" applyAlignment="1">
      <alignment horizontal="left"/>
    </xf>
    <xf numFmtId="9" fontId="0" fillId="0" borderId="0" xfId="1" applyFont="1"/>
    <xf numFmtId="168" fontId="0" fillId="0" borderId="0" xfId="0" applyNumberFormat="1"/>
    <xf numFmtId="169" fontId="0" fillId="0" borderId="0" xfId="0" applyNumberFormat="1"/>
    <xf numFmtId="169" fontId="28" fillId="0" borderId="0" xfId="0" applyNumberFormat="1" applyFont="1"/>
    <xf numFmtId="168" fontId="28" fillId="0" borderId="0" xfId="0" applyNumberFormat="1" applyFont="1"/>
    <xf numFmtId="9" fontId="28" fillId="0" borderId="0" xfId="1" applyFont="1"/>
    <xf numFmtId="2" fontId="28" fillId="0" borderId="0" xfId="0" applyNumberFormat="1" applyFont="1"/>
    <xf numFmtId="10" fontId="28" fillId="0" borderId="0" xfId="0" applyNumberFormat="1" applyFont="1"/>
    <xf numFmtId="2" fontId="0" fillId="0" borderId="0" xfId="0" applyNumberFormat="1"/>
    <xf numFmtId="10" fontId="0" fillId="0" borderId="0" xfId="0" applyNumberFormat="1"/>
    <xf numFmtId="2" fontId="0" fillId="0" borderId="0" xfId="1" applyNumberFormat="1" applyFont="1"/>
    <xf numFmtId="3" fontId="0" fillId="0" borderId="0" xfId="0" applyNumberFormat="1"/>
    <xf numFmtId="4" fontId="29" fillId="9" borderId="22" xfId="19" applyNumberFormat="1">
      <alignment horizontal="right"/>
    </xf>
    <xf numFmtId="0" fontId="1" fillId="0" borderId="0" xfId="0" applyFont="1"/>
    <xf numFmtId="9" fontId="0" fillId="0" borderId="0" xfId="0" applyNumberForma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3" fontId="21" fillId="0" borderId="1" xfId="2" applyNumberFormat="1" applyFont="1" applyBorder="1" applyAlignment="1">
      <alignment horizontal="left"/>
    </xf>
    <xf numFmtId="3" fontId="21" fillId="0" borderId="16" xfId="2" applyNumberFormat="1" applyFont="1" applyBorder="1" applyAlignment="1">
      <alignment horizontal="left"/>
    </xf>
    <xf numFmtId="3" fontId="21" fillId="0" borderId="3" xfId="2" applyNumberFormat="1" applyFont="1" applyBorder="1" applyAlignment="1">
      <alignment horizontal="left"/>
    </xf>
  </cellXfs>
  <cellStyles count="20">
    <cellStyle name="Año" xfId="4" xr:uid="{00000000-0005-0000-0000-000000000000}"/>
    <cellStyle name="Años" xfId="5" xr:uid="{00000000-0005-0000-0000-000001000000}"/>
    <cellStyle name="Comma 2" xfId="6" xr:uid="{00000000-0005-0000-0000-000002000000}"/>
    <cellStyle name="Comma_ACN_DCF Analysis 2" xfId="15" xr:uid="{00000000-0005-0000-0000-000003000000}"/>
    <cellStyle name="Comma0" xfId="7" xr:uid="{00000000-0005-0000-0000-000004000000}"/>
    <cellStyle name="Currency0" xfId="8" xr:uid="{00000000-0005-0000-0000-000005000000}"/>
    <cellStyle name="fa_column_header_top" xfId="19" xr:uid="{74210173-04EF-47A7-860A-828BC4885E46}"/>
    <cellStyle name="Formula" xfId="9" xr:uid="{00000000-0005-0000-0000-000006000000}"/>
    <cellStyle name="Link" xfId="10" xr:uid="{00000000-0005-0000-0000-000007000000}"/>
    <cellStyle name="Norm੎੎" xfId="2" xr:uid="{00000000-0005-0000-0000-000008000000}"/>
    <cellStyle name="Normal" xfId="0" builtinId="0"/>
    <cellStyle name="Normal 2" xfId="11" xr:uid="{00000000-0005-0000-0000-00000A000000}"/>
    <cellStyle name="Normal 3" xfId="16" xr:uid="{89773F54-B718-42A3-9BB6-BE93E6DF7412}"/>
    <cellStyle name="Normal 4" xfId="18" xr:uid="{7A7A3EC8-646D-40D5-847A-DCB3A7A268C4}"/>
    <cellStyle name="Normal Title" xfId="12" xr:uid="{00000000-0005-0000-0000-00000B000000}"/>
    <cellStyle name="Normal_TSS copy of" xfId="3" xr:uid="{00000000-0005-0000-0000-00000C000000}"/>
    <cellStyle name="Percent" xfId="1" builtinId="5"/>
    <cellStyle name="Percent 2" xfId="13" xr:uid="{00000000-0005-0000-0000-00000E000000}"/>
    <cellStyle name="Percent 3" xfId="17" xr:uid="{733DEF5C-5F71-492E-BB80-24FF8851FCFB}"/>
    <cellStyle name="Totales" xfId="14" xr:uid="{00000000-0005-0000-0000-00000F000000}"/>
  </cellStyles>
  <dxfs count="74">
    <dxf>
      <font>
        <color rgb="FF9C0006"/>
      </font>
      <fill>
        <patternFill>
          <bgColor rgb="FFFFC7CE"/>
        </patternFill>
      </fill>
    </dxf>
    <dxf>
      <numFmt numFmtId="168" formatCode="#,##0.00\ &quot;€&quot;"/>
    </dxf>
    <dxf>
      <numFmt numFmtId="2" formatCode="0.00"/>
    </dxf>
    <dxf>
      <numFmt numFmtId="14" formatCode="0.00%"/>
    </dxf>
    <dxf>
      <numFmt numFmtId="168" formatCode="#,##0.00\ &quot;€&quot;"/>
    </dxf>
    <dxf>
      <numFmt numFmtId="2" formatCode="0.00"/>
    </dxf>
    <dxf>
      <numFmt numFmtId="2" formatCode="0.00"/>
    </dxf>
    <dxf>
      <numFmt numFmtId="4" formatCode="#,##0.0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161"/>
        <scheme val="none"/>
      </font>
      <numFmt numFmtId="4" formatCode="#,##0.00"/>
      <fill>
        <patternFill patternType="solid">
          <fgColor rgb="FF4F81BD"/>
          <bgColor rgb="FF4F81BD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61"/>
        <scheme val="none"/>
      </font>
      <alignment horizontal="left" vertical="bottom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charset val="161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68" formatCode="#,##0.00\ &quot;€&quot;"/>
    </dxf>
    <dxf>
      <numFmt numFmtId="14" formatCode="0.00%"/>
    </dxf>
    <dxf>
      <numFmt numFmtId="14" formatCode="0.00%"/>
    </dxf>
    <dxf>
      <numFmt numFmtId="168" formatCode="#,##0.00\ &quot;€&quot;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Division 2023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48131021194605011"/>
          <c:w val="0.66138832936580605"/>
          <c:h val="0.51868978805394994"/>
        </c:manualLayout>
      </c:layout>
      <c:pie3DChart>
        <c:varyColors val="1"/>
        <c:ser>
          <c:idx val="0"/>
          <c:order val="0"/>
          <c:tx>
            <c:strRef>
              <c:f>'2023'!$B$1</c:f>
              <c:strCache>
                <c:ptCount val="1"/>
                <c:pt idx="0">
                  <c:v>No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B3-4B81-83D1-201CE3EC1C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B3-4B81-83D1-201CE3EC1C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B3-4B81-83D1-201CE3EC1C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'2023'!$A$2:$A$4</c:f>
              <c:strCache>
                <c:ptCount val="3"/>
                <c:pt idx="0">
                  <c:v>Footwear</c:v>
                </c:pt>
                <c:pt idx="1">
                  <c:v>Apparel</c:v>
                </c:pt>
                <c:pt idx="2">
                  <c:v>Accessories</c:v>
                </c:pt>
              </c:strCache>
            </c:strRef>
          </c:cat>
          <c:val>
            <c:numRef>
              <c:f>'2023'!$B$2:$B$4</c:f>
              <c:numCache>
                <c:formatCode>#,##0.00</c:formatCode>
                <c:ptCount val="3"/>
                <c:pt idx="0">
                  <c:v>4583.3999999999996</c:v>
                </c:pt>
                <c:pt idx="1">
                  <c:v>2763</c:v>
                </c:pt>
                <c:pt idx="2">
                  <c:v>1255.3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3-4B81-83D1-201CE3EC1C1F}"/>
            </c:ext>
          </c:extLst>
        </c:ser>
        <c:ser>
          <c:idx val="1"/>
          <c:order val="1"/>
          <c:tx>
            <c:strRef>
              <c:f>'2023'!$C$1</c:f>
              <c:strCache>
                <c:ptCount val="1"/>
                <c:pt idx="0">
                  <c:v>Percentage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2DB3-4B81-83D1-201CE3EC1C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2DB3-4B81-83D1-201CE3EC1C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2DB3-4B81-83D1-201CE3EC1C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'2023'!$A$2:$A$4</c:f>
              <c:strCache>
                <c:ptCount val="3"/>
                <c:pt idx="0">
                  <c:v>Footwear</c:v>
                </c:pt>
                <c:pt idx="1">
                  <c:v>Apparel</c:v>
                </c:pt>
                <c:pt idx="2">
                  <c:v>Accessories</c:v>
                </c:pt>
              </c:strCache>
            </c:strRef>
          </c:cat>
          <c:val>
            <c:numRef>
              <c:f>'2023'!$C$2:$C$4</c:f>
              <c:numCache>
                <c:formatCode>0%</c:formatCode>
                <c:ptCount val="3"/>
                <c:pt idx="0">
                  <c:v>0.53</c:v>
                </c:pt>
                <c:pt idx="1">
                  <c:v>0.32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B3-4B81-83D1-201CE3EC1C1F}"/>
            </c:ext>
          </c:extLst>
        </c:ser>
        <c:ser>
          <c:idx val="2"/>
          <c:order val="2"/>
          <c:tx>
            <c:strRef>
              <c:f>'2023'!$D$1</c:f>
              <c:strCache>
                <c:ptCount val="1"/>
                <c:pt idx="0">
                  <c:v>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DB3-4B81-83D1-201CE3EC1C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DB3-4B81-83D1-201CE3EC1C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DB3-4B81-83D1-201CE3EC1C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'2023'!$A$2:$A$4</c:f>
              <c:strCache>
                <c:ptCount val="3"/>
                <c:pt idx="0">
                  <c:v>Footwear</c:v>
                </c:pt>
                <c:pt idx="1">
                  <c:v>Apparel</c:v>
                </c:pt>
                <c:pt idx="2">
                  <c:v>Accessories</c:v>
                </c:pt>
              </c:strCache>
            </c:strRef>
          </c:cat>
          <c:val>
            <c:numRef>
              <c:f>'2023'!$D$2:$D$4</c:f>
              <c:numCache>
                <c:formatCode>0.00%</c:formatCode>
                <c:ptCount val="3"/>
                <c:pt idx="0">
                  <c:v>0.124</c:v>
                </c:pt>
                <c:pt idx="1">
                  <c:v>-3.0000000000000001E-3</c:v>
                </c:pt>
                <c:pt idx="2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B3-4B81-83D1-201CE3EC1C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'2023'!$H$1</c:f>
              <c:strCache>
                <c:ptCount val="1"/>
                <c:pt idx="0">
                  <c:v>No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DB-445C-A8B9-A44B347938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DB-445C-A8B9-A44B347938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DB-445C-A8B9-A44B347938F4}"/>
              </c:ext>
            </c:extLst>
          </c:dPt>
          <c:dLbls>
            <c:dLbl>
              <c:idx val="2"/>
              <c:layout>
                <c:manualLayout>
                  <c:x val="7.4769286374664137E-2"/>
                  <c:y val="0.14304312264695079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42694663167104"/>
                      <c:h val="0.224095251421520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CDB-445C-A8B9-A44B347938F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'2023'!$G$2:$G$4</c:f>
              <c:strCache>
                <c:ptCount val="3"/>
                <c:pt idx="0">
                  <c:v>EMEA</c:v>
                </c:pt>
                <c:pt idx="1">
                  <c:v>Americas</c:v>
                </c:pt>
                <c:pt idx="2">
                  <c:v>Asia/Pacific</c:v>
                </c:pt>
              </c:strCache>
            </c:strRef>
          </c:cat>
          <c:val>
            <c:numRef>
              <c:f>'2023'!$H$2:$H$4</c:f>
              <c:numCache>
                <c:formatCode>#,##0.00</c:formatCode>
                <c:ptCount val="3"/>
                <c:pt idx="0">
                  <c:v>3418.4</c:v>
                </c:pt>
                <c:pt idx="1">
                  <c:v>3389.9</c:v>
                </c:pt>
                <c:pt idx="2">
                  <c:v>1793.4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B-445C-A8B9-A44B347938F4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'2023'!$I$1</c15:sqref>
                        </c15:formulaRef>
                      </c:ext>
                    </c:extLst>
                    <c:strCache>
                      <c:ptCount val="1"/>
                      <c:pt idx="0">
                        <c:v>Percentage of total 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8-CCDB-445C-A8B9-A44B347938F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A-CCDB-445C-A8B9-A44B347938F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C-CCDB-445C-A8B9-A44B347938F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ctr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'2023'!$G$2:$G$4</c15:sqref>
                        </c15:formulaRef>
                      </c:ext>
                    </c:extLst>
                    <c:strCache>
                      <c:ptCount val="3"/>
                      <c:pt idx="0">
                        <c:v>EMEA</c:v>
                      </c:pt>
                      <c:pt idx="1">
                        <c:v>Americas</c:v>
                      </c:pt>
                      <c:pt idx="2">
                        <c:v>Asia/Pacific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'2023'!$I$2:$I$4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</c:v>
                      </c:pt>
                      <c:pt idx="1">
                        <c:v>0.39</c:v>
                      </c:pt>
                      <c:pt idx="2">
                        <c:v>0.21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CDB-445C-A8B9-A44B347938F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'2023'!$J$1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CCDB-445C-A8B9-A44B347938F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DB-445C-A8B9-A44B347938F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CDB-445C-A8B9-A44B347938F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ctr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'2023'!$G$2:$G$4</c15:sqref>
                        </c15:formulaRef>
                      </c:ext>
                    </c:extLst>
                    <c:strCache>
                      <c:ptCount val="3"/>
                      <c:pt idx="0">
                        <c:v>EMEA</c:v>
                      </c:pt>
                      <c:pt idx="1">
                        <c:v>Americas</c:v>
                      </c:pt>
                      <c:pt idx="2">
                        <c:v>Asia/Pacific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'2023'!$J$2:$J$4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0.13400000000000001</c:v>
                      </c:pt>
                      <c:pt idx="1">
                        <c:v>-2.4E-2</c:v>
                      </c:pt>
                      <c:pt idx="2">
                        <c:v>0.13600000000000001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DB-445C-A8B9-A44B347938F4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Footwear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SALES!$A$3</c:f>
              <c:strCache>
                <c:ptCount val="1"/>
                <c:pt idx="0">
                  <c:v>Footwear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SALES!$B$1:$K$1</c:f>
              <c:strCache>
                <c:ptCount val="10"/>
                <c:pt idx="0">
                  <c:v>FY 2014</c:v>
                </c:pt>
                <c:pt idx="1">
                  <c:v>FY 2015</c:v>
                </c:pt>
                <c:pt idx="2">
                  <c:v>FY 2016</c:v>
                </c:pt>
                <c:pt idx="3">
                  <c:v>FY 2017</c:v>
                </c:pt>
                <c:pt idx="4">
                  <c:v>FY 2018</c:v>
                </c:pt>
                <c:pt idx="5">
                  <c:v>FY 2019</c:v>
                </c:pt>
                <c:pt idx="6">
                  <c:v>FY 2020</c:v>
                </c:pt>
                <c:pt idx="7">
                  <c:v>FY 2021</c:v>
                </c:pt>
                <c:pt idx="8">
                  <c:v>FY 2022</c:v>
                </c:pt>
                <c:pt idx="9">
                  <c:v>FY 2023</c:v>
                </c:pt>
              </c:strCache>
            </c:strRef>
          </c:cat>
          <c:val>
            <c:numRef>
              <c:f>SALES!$B$3:$K$3</c:f>
              <c:numCache>
                <c:formatCode>#,##0.00</c:formatCode>
                <c:ptCount val="10"/>
                <c:pt idx="0">
                  <c:v>1282.7</c:v>
                </c:pt>
                <c:pt idx="1">
                  <c:v>1506.1</c:v>
                </c:pt>
                <c:pt idx="2">
                  <c:v>1627</c:v>
                </c:pt>
                <c:pt idx="3">
                  <c:v>1974.5</c:v>
                </c:pt>
                <c:pt idx="4">
                  <c:v>2184.6999999999998</c:v>
                </c:pt>
                <c:pt idx="5">
                  <c:v>2552.5</c:v>
                </c:pt>
                <c:pt idx="6">
                  <c:v>2367.6</c:v>
                </c:pt>
                <c:pt idx="7">
                  <c:v>3163.6</c:v>
                </c:pt>
                <c:pt idx="8">
                  <c:v>4317.8999999999996</c:v>
                </c:pt>
                <c:pt idx="9">
                  <c:v>4583.3999999999996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A-416A-9A72-3EEAAF9BBB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3794656"/>
        <c:axId val="653796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SALES!$A$2</c15:sqref>
                        </c15:formulaRef>
                      </c:ext>
                    </c:extLst>
                    <c:strCache>
                      <c:ptCount val="1"/>
                      <c:pt idx="0">
                        <c:v>Total Sales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SALES!$B$1:$K$1</c15:sqref>
                        </c15:formulaRef>
                      </c:ext>
                    </c:extLst>
                    <c:strCache>
                      <c:ptCount val="10"/>
                      <c:pt idx="0">
                        <c:v>FY 2014</c:v>
                      </c:pt>
                      <c:pt idx="1">
                        <c:v>FY 2015</c:v>
                      </c:pt>
                      <c:pt idx="2">
                        <c:v>FY 2016</c:v>
                      </c:pt>
                      <c:pt idx="3">
                        <c:v>FY 2017</c:v>
                      </c:pt>
                      <c:pt idx="4">
                        <c:v>FY 2018</c:v>
                      </c:pt>
                      <c:pt idx="5">
                        <c:v>FY 2019</c:v>
                      </c:pt>
                      <c:pt idx="6">
                        <c:v>FY 2020</c:v>
                      </c:pt>
                      <c:pt idx="7">
                        <c:v>FY 2021</c:v>
                      </c:pt>
                      <c:pt idx="8">
                        <c:v>FY 2022</c:v>
                      </c:pt>
                      <c:pt idx="9">
                        <c:v>FY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SALES!$B$2:$K$2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2972</c:v>
                      </c:pt>
                      <c:pt idx="1">
                        <c:v>3387.4</c:v>
                      </c:pt>
                      <c:pt idx="2">
                        <c:v>3626.7</c:v>
                      </c:pt>
                      <c:pt idx="3">
                        <c:v>4135.8999999999996</c:v>
                      </c:pt>
                      <c:pt idx="4">
                        <c:v>4648.3</c:v>
                      </c:pt>
                      <c:pt idx="5">
                        <c:v>5502.2</c:v>
                      </c:pt>
                      <c:pt idx="6">
                        <c:v>5234.3999999999996</c:v>
                      </c:pt>
                      <c:pt idx="7">
                        <c:v>6805.4</c:v>
                      </c:pt>
                      <c:pt idx="8">
                        <c:v>8465.1</c:v>
                      </c:pt>
                      <c:pt idx="9">
                        <c:v>8601.7000000000007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D4A-416A-9A72-3EEAAF9BBB6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Apparel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SALES!$B$1:$K$1</c15:sqref>
                        </c15:formulaRef>
                      </c:ext>
                    </c:extLst>
                    <c:strCache>
                      <c:ptCount val="10"/>
                      <c:pt idx="0">
                        <c:v>FY 2014</c:v>
                      </c:pt>
                      <c:pt idx="1">
                        <c:v>FY 2015</c:v>
                      </c:pt>
                      <c:pt idx="2">
                        <c:v>FY 2016</c:v>
                      </c:pt>
                      <c:pt idx="3">
                        <c:v>FY 2017</c:v>
                      </c:pt>
                      <c:pt idx="4">
                        <c:v>FY 2018</c:v>
                      </c:pt>
                      <c:pt idx="5">
                        <c:v>FY 2019</c:v>
                      </c:pt>
                      <c:pt idx="6">
                        <c:v>FY 2020</c:v>
                      </c:pt>
                      <c:pt idx="7">
                        <c:v>FY 2021</c:v>
                      </c:pt>
                      <c:pt idx="8">
                        <c:v>FY 2022</c:v>
                      </c:pt>
                      <c:pt idx="9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SALES!$B$4:$K$4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1103.0999999999999</c:v>
                      </c:pt>
                      <c:pt idx="1">
                        <c:v>1244.8</c:v>
                      </c:pt>
                      <c:pt idx="2">
                        <c:v>1333.2</c:v>
                      </c:pt>
                      <c:pt idx="3">
                        <c:v>1441.4</c:v>
                      </c:pt>
                      <c:pt idx="4">
                        <c:v>1687.5</c:v>
                      </c:pt>
                      <c:pt idx="5">
                        <c:v>2068.6999999999998</c:v>
                      </c:pt>
                      <c:pt idx="6">
                        <c:v>1974.1</c:v>
                      </c:pt>
                      <c:pt idx="7">
                        <c:v>2517.3000000000002</c:v>
                      </c:pt>
                      <c:pt idx="8">
                        <c:v>2896.3</c:v>
                      </c:pt>
                      <c:pt idx="9">
                        <c:v>2763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4A-416A-9A72-3EEAAF9BBB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Accessories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SALES!$B$1:$K$1</c15:sqref>
                        </c15:formulaRef>
                      </c:ext>
                    </c:extLst>
                    <c:strCache>
                      <c:ptCount val="10"/>
                      <c:pt idx="0">
                        <c:v>FY 2014</c:v>
                      </c:pt>
                      <c:pt idx="1">
                        <c:v>FY 2015</c:v>
                      </c:pt>
                      <c:pt idx="2">
                        <c:v>FY 2016</c:v>
                      </c:pt>
                      <c:pt idx="3">
                        <c:v>FY 2017</c:v>
                      </c:pt>
                      <c:pt idx="4">
                        <c:v>FY 2018</c:v>
                      </c:pt>
                      <c:pt idx="5">
                        <c:v>FY 2019</c:v>
                      </c:pt>
                      <c:pt idx="6">
                        <c:v>FY 2020</c:v>
                      </c:pt>
                      <c:pt idx="7">
                        <c:v>FY 2021</c:v>
                      </c:pt>
                      <c:pt idx="8">
                        <c:v>FY 2022</c:v>
                      </c:pt>
                      <c:pt idx="9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SALES!$B$5:$K$5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586.29999999999995</c:v>
                      </c:pt>
                      <c:pt idx="1">
                        <c:v>636.4</c:v>
                      </c:pt>
                      <c:pt idx="2">
                        <c:v>665.5</c:v>
                      </c:pt>
                      <c:pt idx="3">
                        <c:v>719.9</c:v>
                      </c:pt>
                      <c:pt idx="4">
                        <c:v>776.1</c:v>
                      </c:pt>
                      <c:pt idx="5">
                        <c:v>881.1</c:v>
                      </c:pt>
                      <c:pt idx="6">
                        <c:v>892.7</c:v>
                      </c:pt>
                      <c:pt idx="7">
                        <c:v>1124.5</c:v>
                      </c:pt>
                      <c:pt idx="8">
                        <c:v>1251</c:v>
                      </c:pt>
                      <c:pt idx="9">
                        <c:v>1255.3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4A-416A-9A72-3EEAAF9BBB6C}"/>
                  </c:ext>
                </c:extLst>
              </c15:ser>
            </c15:filteredLineSeries>
          </c:ext>
        </c:extLst>
      </c:lineChart>
      <c:catAx>
        <c:axId val="6537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796456"/>
        <c:crosses val="autoZero"/>
        <c:auto val="1"/>
        <c:lblAlgn val="ctr"/>
        <c:lblOffset val="100"/>
        <c:noMultiLvlLbl val="0"/>
      </c:catAx>
      <c:valAx>
        <c:axId val="65379645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794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Apparel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SALES!$A$4</c:f>
              <c:strCache>
                <c:ptCount val="1"/>
                <c:pt idx="0">
                  <c:v>Apparel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SALES!$B$1:$K$1</c:f>
              <c:strCache>
                <c:ptCount val="10"/>
                <c:pt idx="0">
                  <c:v>FY 2014</c:v>
                </c:pt>
                <c:pt idx="1">
                  <c:v>FY 2015</c:v>
                </c:pt>
                <c:pt idx="2">
                  <c:v>FY 2016</c:v>
                </c:pt>
                <c:pt idx="3">
                  <c:v>FY 2017</c:v>
                </c:pt>
                <c:pt idx="4">
                  <c:v>FY 2018</c:v>
                </c:pt>
                <c:pt idx="5">
                  <c:v>FY 2019</c:v>
                </c:pt>
                <c:pt idx="6">
                  <c:v>FY 2020</c:v>
                </c:pt>
                <c:pt idx="7">
                  <c:v>FY 2021</c:v>
                </c:pt>
                <c:pt idx="8">
                  <c:v>FY 2022</c:v>
                </c:pt>
                <c:pt idx="9">
                  <c:v>FY 2023</c:v>
                </c:pt>
              </c:strCache>
            </c:strRef>
          </c:cat>
          <c:val>
            <c:numRef>
              <c:f>SALES!$B$4:$K$4</c:f>
              <c:numCache>
                <c:formatCode>#,##0.00</c:formatCode>
                <c:ptCount val="10"/>
                <c:pt idx="0">
                  <c:v>1103.0999999999999</c:v>
                </c:pt>
                <c:pt idx="1">
                  <c:v>1244.8</c:v>
                </c:pt>
                <c:pt idx="2">
                  <c:v>1333.2</c:v>
                </c:pt>
                <c:pt idx="3">
                  <c:v>1441.4</c:v>
                </c:pt>
                <c:pt idx="4">
                  <c:v>1687.5</c:v>
                </c:pt>
                <c:pt idx="5">
                  <c:v>2068.6999999999998</c:v>
                </c:pt>
                <c:pt idx="6">
                  <c:v>1974.1</c:v>
                </c:pt>
                <c:pt idx="7">
                  <c:v>2517.3000000000002</c:v>
                </c:pt>
                <c:pt idx="8">
                  <c:v>2896.3</c:v>
                </c:pt>
                <c:pt idx="9">
                  <c:v>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0-48C0-9138-F0AF99FD1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3794656"/>
        <c:axId val="653796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SALES!$A$2</c15:sqref>
                        </c15:formulaRef>
                      </c:ext>
                    </c:extLst>
                    <c:strCache>
                      <c:ptCount val="1"/>
                      <c:pt idx="0">
                        <c:v>Total Sales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SALES!$B$1:$K$1</c15:sqref>
                        </c15:formulaRef>
                      </c:ext>
                    </c:extLst>
                    <c:strCache>
                      <c:ptCount val="10"/>
                      <c:pt idx="0">
                        <c:v>FY 2014</c:v>
                      </c:pt>
                      <c:pt idx="1">
                        <c:v>FY 2015</c:v>
                      </c:pt>
                      <c:pt idx="2">
                        <c:v>FY 2016</c:v>
                      </c:pt>
                      <c:pt idx="3">
                        <c:v>FY 2017</c:v>
                      </c:pt>
                      <c:pt idx="4">
                        <c:v>FY 2018</c:v>
                      </c:pt>
                      <c:pt idx="5">
                        <c:v>FY 2019</c:v>
                      </c:pt>
                      <c:pt idx="6">
                        <c:v>FY 2020</c:v>
                      </c:pt>
                      <c:pt idx="7">
                        <c:v>FY 2021</c:v>
                      </c:pt>
                      <c:pt idx="8">
                        <c:v>FY 2022</c:v>
                      </c:pt>
                      <c:pt idx="9">
                        <c:v>FY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SALES!$B$2:$K$2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2972</c:v>
                      </c:pt>
                      <c:pt idx="1">
                        <c:v>3387.4</c:v>
                      </c:pt>
                      <c:pt idx="2">
                        <c:v>3626.7</c:v>
                      </c:pt>
                      <c:pt idx="3">
                        <c:v>4135.8999999999996</c:v>
                      </c:pt>
                      <c:pt idx="4">
                        <c:v>4648.3</c:v>
                      </c:pt>
                      <c:pt idx="5">
                        <c:v>5502.2</c:v>
                      </c:pt>
                      <c:pt idx="6">
                        <c:v>5234.3999999999996</c:v>
                      </c:pt>
                      <c:pt idx="7">
                        <c:v>6805.4</c:v>
                      </c:pt>
                      <c:pt idx="8">
                        <c:v>8465.1</c:v>
                      </c:pt>
                      <c:pt idx="9">
                        <c:v>8601.7000000000007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90-48C0-9138-F0AF99FD186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Footwear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SALES!$B$1:$K$1</c15:sqref>
                        </c15:formulaRef>
                      </c:ext>
                    </c:extLst>
                    <c:strCache>
                      <c:ptCount val="10"/>
                      <c:pt idx="0">
                        <c:v>FY 2014</c:v>
                      </c:pt>
                      <c:pt idx="1">
                        <c:v>FY 2015</c:v>
                      </c:pt>
                      <c:pt idx="2">
                        <c:v>FY 2016</c:v>
                      </c:pt>
                      <c:pt idx="3">
                        <c:v>FY 2017</c:v>
                      </c:pt>
                      <c:pt idx="4">
                        <c:v>FY 2018</c:v>
                      </c:pt>
                      <c:pt idx="5">
                        <c:v>FY 2019</c:v>
                      </c:pt>
                      <c:pt idx="6">
                        <c:v>FY 2020</c:v>
                      </c:pt>
                      <c:pt idx="7">
                        <c:v>FY 2021</c:v>
                      </c:pt>
                      <c:pt idx="8">
                        <c:v>FY 2022</c:v>
                      </c:pt>
                      <c:pt idx="9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SALES!$B$3:$K$3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1282.7</c:v>
                      </c:pt>
                      <c:pt idx="1">
                        <c:v>1506.1</c:v>
                      </c:pt>
                      <c:pt idx="2">
                        <c:v>1627</c:v>
                      </c:pt>
                      <c:pt idx="3">
                        <c:v>1974.5</c:v>
                      </c:pt>
                      <c:pt idx="4">
                        <c:v>2184.6999999999998</c:v>
                      </c:pt>
                      <c:pt idx="5">
                        <c:v>2552.5</c:v>
                      </c:pt>
                      <c:pt idx="6">
                        <c:v>2367.6</c:v>
                      </c:pt>
                      <c:pt idx="7">
                        <c:v>3163.6</c:v>
                      </c:pt>
                      <c:pt idx="8">
                        <c:v>4317.8999999999996</c:v>
                      </c:pt>
                      <c:pt idx="9">
                        <c:v>4583.3999999999996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90-48C0-9138-F0AF99FD18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Accessories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SALES!$B$1:$K$1</c15:sqref>
                        </c15:formulaRef>
                      </c:ext>
                    </c:extLst>
                    <c:strCache>
                      <c:ptCount val="10"/>
                      <c:pt idx="0">
                        <c:v>FY 2014</c:v>
                      </c:pt>
                      <c:pt idx="1">
                        <c:v>FY 2015</c:v>
                      </c:pt>
                      <c:pt idx="2">
                        <c:v>FY 2016</c:v>
                      </c:pt>
                      <c:pt idx="3">
                        <c:v>FY 2017</c:v>
                      </c:pt>
                      <c:pt idx="4">
                        <c:v>FY 2018</c:v>
                      </c:pt>
                      <c:pt idx="5">
                        <c:v>FY 2019</c:v>
                      </c:pt>
                      <c:pt idx="6">
                        <c:v>FY 2020</c:v>
                      </c:pt>
                      <c:pt idx="7">
                        <c:v>FY 2021</c:v>
                      </c:pt>
                      <c:pt idx="8">
                        <c:v>FY 2022</c:v>
                      </c:pt>
                      <c:pt idx="9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SALES!$B$5:$K$5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586.29999999999995</c:v>
                      </c:pt>
                      <c:pt idx="1">
                        <c:v>636.4</c:v>
                      </c:pt>
                      <c:pt idx="2">
                        <c:v>665.5</c:v>
                      </c:pt>
                      <c:pt idx="3">
                        <c:v>719.9</c:v>
                      </c:pt>
                      <c:pt idx="4">
                        <c:v>776.1</c:v>
                      </c:pt>
                      <c:pt idx="5">
                        <c:v>881.1</c:v>
                      </c:pt>
                      <c:pt idx="6">
                        <c:v>892.7</c:v>
                      </c:pt>
                      <c:pt idx="7">
                        <c:v>1124.5</c:v>
                      </c:pt>
                      <c:pt idx="8">
                        <c:v>1251</c:v>
                      </c:pt>
                      <c:pt idx="9">
                        <c:v>1255.3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90-48C0-9138-F0AF99FD1864}"/>
                  </c:ext>
                </c:extLst>
              </c15:ser>
            </c15:filteredLineSeries>
          </c:ext>
        </c:extLst>
      </c:lineChart>
      <c:catAx>
        <c:axId val="6537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796456"/>
        <c:crosses val="autoZero"/>
        <c:auto val="1"/>
        <c:lblAlgn val="ctr"/>
        <c:lblOffset val="100"/>
        <c:noMultiLvlLbl val="0"/>
      </c:catAx>
      <c:valAx>
        <c:axId val="65379645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794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Accessories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SALES!$A$5</c:f>
              <c:strCache>
                <c:ptCount val="1"/>
                <c:pt idx="0">
                  <c:v>Accessories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SALES!$B$1:$K$1</c:f>
              <c:strCache>
                <c:ptCount val="10"/>
                <c:pt idx="0">
                  <c:v>FY 2014</c:v>
                </c:pt>
                <c:pt idx="1">
                  <c:v>FY 2015</c:v>
                </c:pt>
                <c:pt idx="2">
                  <c:v>FY 2016</c:v>
                </c:pt>
                <c:pt idx="3">
                  <c:v>FY 2017</c:v>
                </c:pt>
                <c:pt idx="4">
                  <c:v>FY 2018</c:v>
                </c:pt>
                <c:pt idx="5">
                  <c:v>FY 2019</c:v>
                </c:pt>
                <c:pt idx="6">
                  <c:v>FY 2020</c:v>
                </c:pt>
                <c:pt idx="7">
                  <c:v>FY 2021</c:v>
                </c:pt>
                <c:pt idx="8">
                  <c:v>FY 2022</c:v>
                </c:pt>
                <c:pt idx="9">
                  <c:v>FY 2023</c:v>
                </c:pt>
              </c:strCache>
            </c:strRef>
          </c:cat>
          <c:val>
            <c:numRef>
              <c:f>SALES!$B$5:$K$5</c:f>
              <c:numCache>
                <c:formatCode>#,##0.00</c:formatCode>
                <c:ptCount val="10"/>
                <c:pt idx="0">
                  <c:v>586.29999999999995</c:v>
                </c:pt>
                <c:pt idx="1">
                  <c:v>636.4</c:v>
                </c:pt>
                <c:pt idx="2">
                  <c:v>665.5</c:v>
                </c:pt>
                <c:pt idx="3">
                  <c:v>719.9</c:v>
                </c:pt>
                <c:pt idx="4">
                  <c:v>776.1</c:v>
                </c:pt>
                <c:pt idx="5">
                  <c:v>881.1</c:v>
                </c:pt>
                <c:pt idx="6">
                  <c:v>892.7</c:v>
                </c:pt>
                <c:pt idx="7">
                  <c:v>1124.5</c:v>
                </c:pt>
                <c:pt idx="8">
                  <c:v>1251</c:v>
                </c:pt>
                <c:pt idx="9">
                  <c:v>1255.3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C-4C4F-9B16-F2845A1DAD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3794656"/>
        <c:axId val="653796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SALES!$A$2</c15:sqref>
                        </c15:formulaRef>
                      </c:ext>
                    </c:extLst>
                    <c:strCache>
                      <c:ptCount val="1"/>
                      <c:pt idx="0">
                        <c:v>Total Sales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SALES!$B$1:$K$1</c15:sqref>
                        </c15:formulaRef>
                      </c:ext>
                    </c:extLst>
                    <c:strCache>
                      <c:ptCount val="10"/>
                      <c:pt idx="0">
                        <c:v>FY 2014</c:v>
                      </c:pt>
                      <c:pt idx="1">
                        <c:v>FY 2015</c:v>
                      </c:pt>
                      <c:pt idx="2">
                        <c:v>FY 2016</c:v>
                      </c:pt>
                      <c:pt idx="3">
                        <c:v>FY 2017</c:v>
                      </c:pt>
                      <c:pt idx="4">
                        <c:v>FY 2018</c:v>
                      </c:pt>
                      <c:pt idx="5">
                        <c:v>FY 2019</c:v>
                      </c:pt>
                      <c:pt idx="6">
                        <c:v>FY 2020</c:v>
                      </c:pt>
                      <c:pt idx="7">
                        <c:v>FY 2021</c:v>
                      </c:pt>
                      <c:pt idx="8">
                        <c:v>FY 2022</c:v>
                      </c:pt>
                      <c:pt idx="9">
                        <c:v>FY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SALES!$B$2:$K$2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2972</c:v>
                      </c:pt>
                      <c:pt idx="1">
                        <c:v>3387.4</c:v>
                      </c:pt>
                      <c:pt idx="2">
                        <c:v>3626.7</c:v>
                      </c:pt>
                      <c:pt idx="3">
                        <c:v>4135.8999999999996</c:v>
                      </c:pt>
                      <c:pt idx="4">
                        <c:v>4648.3</c:v>
                      </c:pt>
                      <c:pt idx="5">
                        <c:v>5502.2</c:v>
                      </c:pt>
                      <c:pt idx="6">
                        <c:v>5234.3999999999996</c:v>
                      </c:pt>
                      <c:pt idx="7">
                        <c:v>6805.4</c:v>
                      </c:pt>
                      <c:pt idx="8">
                        <c:v>8465.1</c:v>
                      </c:pt>
                      <c:pt idx="9">
                        <c:v>8601.7000000000007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6C-4C4F-9B16-F2845A1DADD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Footwear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SALES!$B$1:$K$1</c15:sqref>
                        </c15:formulaRef>
                      </c:ext>
                    </c:extLst>
                    <c:strCache>
                      <c:ptCount val="10"/>
                      <c:pt idx="0">
                        <c:v>FY 2014</c:v>
                      </c:pt>
                      <c:pt idx="1">
                        <c:v>FY 2015</c:v>
                      </c:pt>
                      <c:pt idx="2">
                        <c:v>FY 2016</c:v>
                      </c:pt>
                      <c:pt idx="3">
                        <c:v>FY 2017</c:v>
                      </c:pt>
                      <c:pt idx="4">
                        <c:v>FY 2018</c:v>
                      </c:pt>
                      <c:pt idx="5">
                        <c:v>FY 2019</c:v>
                      </c:pt>
                      <c:pt idx="6">
                        <c:v>FY 2020</c:v>
                      </c:pt>
                      <c:pt idx="7">
                        <c:v>FY 2021</c:v>
                      </c:pt>
                      <c:pt idx="8">
                        <c:v>FY 2022</c:v>
                      </c:pt>
                      <c:pt idx="9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SALES!$B$3:$K$3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1282.7</c:v>
                      </c:pt>
                      <c:pt idx="1">
                        <c:v>1506.1</c:v>
                      </c:pt>
                      <c:pt idx="2">
                        <c:v>1627</c:v>
                      </c:pt>
                      <c:pt idx="3">
                        <c:v>1974.5</c:v>
                      </c:pt>
                      <c:pt idx="4">
                        <c:v>2184.6999999999998</c:v>
                      </c:pt>
                      <c:pt idx="5">
                        <c:v>2552.5</c:v>
                      </c:pt>
                      <c:pt idx="6">
                        <c:v>2367.6</c:v>
                      </c:pt>
                      <c:pt idx="7">
                        <c:v>3163.6</c:v>
                      </c:pt>
                      <c:pt idx="8">
                        <c:v>4317.8999999999996</c:v>
                      </c:pt>
                      <c:pt idx="9">
                        <c:v>4583.3999999999996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6C-4C4F-9B16-F2845A1DADD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Apparel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SALES!$B$1:$K$1</c15:sqref>
                        </c15:formulaRef>
                      </c:ext>
                    </c:extLst>
                    <c:strCache>
                      <c:ptCount val="10"/>
                      <c:pt idx="0">
                        <c:v>FY 2014</c:v>
                      </c:pt>
                      <c:pt idx="1">
                        <c:v>FY 2015</c:v>
                      </c:pt>
                      <c:pt idx="2">
                        <c:v>FY 2016</c:v>
                      </c:pt>
                      <c:pt idx="3">
                        <c:v>FY 2017</c:v>
                      </c:pt>
                      <c:pt idx="4">
                        <c:v>FY 2018</c:v>
                      </c:pt>
                      <c:pt idx="5">
                        <c:v>FY 2019</c:v>
                      </c:pt>
                      <c:pt idx="6">
                        <c:v>FY 2020</c:v>
                      </c:pt>
                      <c:pt idx="7">
                        <c:v>FY 2021</c:v>
                      </c:pt>
                      <c:pt idx="8">
                        <c:v>FY 2022</c:v>
                      </c:pt>
                      <c:pt idx="9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SALES!$B$4:$K$4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1103.0999999999999</c:v>
                      </c:pt>
                      <c:pt idx="1">
                        <c:v>1244.8</c:v>
                      </c:pt>
                      <c:pt idx="2">
                        <c:v>1333.2</c:v>
                      </c:pt>
                      <c:pt idx="3">
                        <c:v>1441.4</c:v>
                      </c:pt>
                      <c:pt idx="4">
                        <c:v>1687.5</c:v>
                      </c:pt>
                      <c:pt idx="5">
                        <c:v>2068.6999999999998</c:v>
                      </c:pt>
                      <c:pt idx="6">
                        <c:v>1974.1</c:v>
                      </c:pt>
                      <c:pt idx="7">
                        <c:v>2517.3000000000002</c:v>
                      </c:pt>
                      <c:pt idx="8">
                        <c:v>2896.3</c:v>
                      </c:pt>
                      <c:pt idx="9">
                        <c:v>2763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6C-4C4F-9B16-F2845A1DADD8}"/>
                  </c:ext>
                </c:extLst>
              </c15:ser>
            </c15:filteredLineSeries>
          </c:ext>
        </c:extLst>
      </c:lineChart>
      <c:catAx>
        <c:axId val="6537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796456"/>
        <c:crosses val="autoZero"/>
        <c:auto val="1"/>
        <c:lblAlgn val="ctr"/>
        <c:lblOffset val="100"/>
        <c:noMultiLvlLbl val="0"/>
      </c:catAx>
      <c:valAx>
        <c:axId val="65379645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794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</a:t>
            </a:r>
            <a:r>
              <a:rPr lang="en-US" baseline="0"/>
              <a:t> and CapEx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'CapEx-Depreciation'!$A$2</c:f>
              <c:strCache>
                <c:ptCount val="1"/>
                <c:pt idx="0">
                  <c:v>C.F from Operating Activities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'CapEx-Depreciation'!$B$1:$K$1</c:f>
              <c:strCache>
                <c:ptCount val="10"/>
                <c:pt idx="0">
                  <c:v>FY2014</c:v>
                </c:pt>
                <c:pt idx="1">
                  <c:v>FY2015</c:v>
                </c:pt>
                <c:pt idx="2">
                  <c:v>FY2016</c:v>
                </c:pt>
                <c:pt idx="3">
                  <c:v>FY2017</c:v>
                </c:pt>
                <c:pt idx="4">
                  <c:v>FY2018</c:v>
                </c:pt>
                <c:pt idx="5">
                  <c:v>FY20192</c:v>
                </c:pt>
                <c:pt idx="6">
                  <c:v>FY2020</c:v>
                </c:pt>
                <c:pt idx="7">
                  <c:v>FY2021</c:v>
                </c:pt>
                <c:pt idx="8">
                  <c:v>FY2022</c:v>
                </c:pt>
                <c:pt idx="9">
                  <c:v>FY2023</c:v>
                </c:pt>
              </c:strCache>
            </c:strRef>
          </c:cat>
          <c:val>
            <c:numRef>
              <c:f>'CapEx-Depreciation'!$B$2:$K$2</c:f>
              <c:numCache>
                <c:formatCode>#,##0.00</c:formatCode>
                <c:ptCount val="10"/>
                <c:pt idx="0">
                  <c:v>126.4</c:v>
                </c:pt>
                <c:pt idx="1">
                  <c:v>-37.1</c:v>
                </c:pt>
                <c:pt idx="2">
                  <c:v>131.1</c:v>
                </c:pt>
                <c:pt idx="3">
                  <c:v>238.8</c:v>
                </c:pt>
                <c:pt idx="4">
                  <c:v>278.10000000000002</c:v>
                </c:pt>
                <c:pt idx="5">
                  <c:v>548.79999999999995</c:v>
                </c:pt>
                <c:pt idx="6">
                  <c:v>421.5</c:v>
                </c:pt>
                <c:pt idx="7">
                  <c:v>460.1</c:v>
                </c:pt>
                <c:pt idx="8">
                  <c:v>418.3</c:v>
                </c:pt>
                <c:pt idx="9">
                  <c:v>653.6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0-4DEE-8CDE-B515DB64D9A8}"/>
            </c:ext>
          </c:extLst>
        </c:ser>
        <c:ser>
          <c:idx val="1"/>
          <c:order val="1"/>
          <c:tx>
            <c:strRef>
              <c:f>'CapEx-Depreciation'!$A$3</c:f>
              <c:strCache>
                <c:ptCount val="1"/>
                <c:pt idx="0">
                  <c:v>CapEx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'CapEx-Depreciation'!$B$1:$K$1</c:f>
              <c:strCache>
                <c:ptCount val="10"/>
                <c:pt idx="0">
                  <c:v>FY2014</c:v>
                </c:pt>
                <c:pt idx="1">
                  <c:v>FY2015</c:v>
                </c:pt>
                <c:pt idx="2">
                  <c:v>FY2016</c:v>
                </c:pt>
                <c:pt idx="3">
                  <c:v>FY2017</c:v>
                </c:pt>
                <c:pt idx="4">
                  <c:v>FY2018</c:v>
                </c:pt>
                <c:pt idx="5">
                  <c:v>FY20192</c:v>
                </c:pt>
                <c:pt idx="6">
                  <c:v>FY2020</c:v>
                </c:pt>
                <c:pt idx="7">
                  <c:v>FY2021</c:v>
                </c:pt>
                <c:pt idx="8">
                  <c:v>FY2022</c:v>
                </c:pt>
                <c:pt idx="9">
                  <c:v>FY2023</c:v>
                </c:pt>
              </c:strCache>
            </c:strRef>
          </c:cat>
          <c:val>
            <c:numRef>
              <c:f>'CapEx-Depreciation'!$B$3:$K$3</c:f>
              <c:numCache>
                <c:formatCode>#,##0.00</c:formatCode>
                <c:ptCount val="10"/>
                <c:pt idx="0">
                  <c:v>72.599999999999994</c:v>
                </c:pt>
                <c:pt idx="1">
                  <c:v>79</c:v>
                </c:pt>
                <c:pt idx="2">
                  <c:v>84.3</c:v>
                </c:pt>
                <c:pt idx="3">
                  <c:v>122.9</c:v>
                </c:pt>
                <c:pt idx="4">
                  <c:v>130.19999999999999</c:v>
                </c:pt>
                <c:pt idx="5">
                  <c:v>218.4</c:v>
                </c:pt>
                <c:pt idx="6">
                  <c:v>151</c:v>
                </c:pt>
                <c:pt idx="7">
                  <c:v>202.4</c:v>
                </c:pt>
                <c:pt idx="8">
                  <c:v>263.60000000000002</c:v>
                </c:pt>
                <c:pt idx="9">
                  <c:v>300.39999999999998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0-4DEE-8CDE-B515DB64D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996224"/>
        <c:axId val="765999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'CapEx-Depreciation'!$A$4</c15:sqref>
                        </c15:formulaRef>
                      </c:ext>
                    </c:extLst>
                    <c:strCache>
                      <c:ptCount val="1"/>
                      <c:pt idx="0">
                        <c:v>Depreciations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'CapEx-Depreciation'!$B$1:$K$1</c15:sqref>
                        </c15:formulaRef>
                      </c:ext>
                    </c:extLst>
                    <c:strCache>
                      <c:ptCount val="10"/>
                      <c:pt idx="0">
                        <c:v>FY2014</c:v>
                      </c:pt>
                      <c:pt idx="1">
                        <c:v>FY2015</c:v>
                      </c:pt>
                      <c:pt idx="2">
                        <c:v>FY2016</c:v>
                      </c:pt>
                      <c:pt idx="3">
                        <c:v>FY2017</c:v>
                      </c:pt>
                      <c:pt idx="4">
                        <c:v>FY2018</c:v>
                      </c:pt>
                      <c:pt idx="5">
                        <c:v>FY20192</c:v>
                      </c:pt>
                      <c:pt idx="6">
                        <c:v>FY2020</c:v>
                      </c:pt>
                      <c:pt idx="7">
                        <c:v>FY2021</c:v>
                      </c:pt>
                      <c:pt idx="8">
                        <c:v>FY2022</c:v>
                      </c:pt>
                      <c:pt idx="9">
                        <c:v>FY2023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'CapEx-Depreciation'!$B$4:$K$4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50.5</c:v>
                      </c:pt>
                      <c:pt idx="1">
                        <c:v>57.5</c:v>
                      </c:pt>
                      <c:pt idx="2">
                        <c:v>59.9</c:v>
                      </c:pt>
                      <c:pt idx="3">
                        <c:v>70.400000000000006</c:v>
                      </c:pt>
                      <c:pt idx="4">
                        <c:v>81.400000000000006</c:v>
                      </c:pt>
                      <c:pt idx="5">
                        <c:v>246.6</c:v>
                      </c:pt>
                      <c:pt idx="6">
                        <c:v>293.8</c:v>
                      </c:pt>
                      <c:pt idx="7">
                        <c:v>305.8</c:v>
                      </c:pt>
                      <c:pt idx="8">
                        <c:v>358.7</c:v>
                      </c:pt>
                      <c:pt idx="9">
                        <c:v>357.5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DB0-4DEE-8CDE-B515DB64D9A8}"/>
                  </c:ext>
                </c:extLst>
              </c15:ser>
            </c15:filteredLineSeries>
          </c:ext>
        </c:extLst>
      </c:lineChart>
      <c:catAx>
        <c:axId val="7659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65999464"/>
        <c:crosses val="autoZero"/>
        <c:auto val="1"/>
        <c:lblAlgn val="ctr"/>
        <c:lblOffset val="100"/>
        <c:noMultiLvlLbl val="0"/>
      </c:catAx>
      <c:valAx>
        <c:axId val="76599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659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CapEx&lt;</a:t>
            </a:r>
            <a:r>
              <a:rPr lang="en-US" baseline="0"/>
              <a:t> Depreciation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'CapEx-Depreciation'!$A$3</c:f>
              <c:strCache>
                <c:ptCount val="1"/>
                <c:pt idx="0">
                  <c:v>CapEx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'CapEx-Depreciation'!$B$1:$K$1</c:f>
              <c:strCache>
                <c:ptCount val="10"/>
                <c:pt idx="0">
                  <c:v>FY2014</c:v>
                </c:pt>
                <c:pt idx="1">
                  <c:v>FY2015</c:v>
                </c:pt>
                <c:pt idx="2">
                  <c:v>FY2016</c:v>
                </c:pt>
                <c:pt idx="3">
                  <c:v>FY2017</c:v>
                </c:pt>
                <c:pt idx="4">
                  <c:v>FY2018</c:v>
                </c:pt>
                <c:pt idx="5">
                  <c:v>FY20192</c:v>
                </c:pt>
                <c:pt idx="6">
                  <c:v>FY2020</c:v>
                </c:pt>
                <c:pt idx="7">
                  <c:v>FY2021</c:v>
                </c:pt>
                <c:pt idx="8">
                  <c:v>FY2022</c:v>
                </c:pt>
                <c:pt idx="9">
                  <c:v>FY2023</c:v>
                </c:pt>
              </c:strCache>
            </c:strRef>
          </c:cat>
          <c:val>
            <c:numRef>
              <c:f>'CapEx-Depreciation'!$B$3:$K$3</c:f>
              <c:numCache>
                <c:formatCode>#,##0.00</c:formatCode>
                <c:ptCount val="10"/>
                <c:pt idx="0">
                  <c:v>72.599999999999994</c:v>
                </c:pt>
                <c:pt idx="1">
                  <c:v>79</c:v>
                </c:pt>
                <c:pt idx="2">
                  <c:v>84.3</c:v>
                </c:pt>
                <c:pt idx="3">
                  <c:v>122.9</c:v>
                </c:pt>
                <c:pt idx="4">
                  <c:v>130.19999999999999</c:v>
                </c:pt>
                <c:pt idx="5">
                  <c:v>218.4</c:v>
                </c:pt>
                <c:pt idx="6">
                  <c:v>151</c:v>
                </c:pt>
                <c:pt idx="7">
                  <c:v>202.4</c:v>
                </c:pt>
                <c:pt idx="8">
                  <c:v>263.60000000000002</c:v>
                </c:pt>
                <c:pt idx="9">
                  <c:v>300.39999999999998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C-4D2C-911D-C4BCF13BDE56}"/>
            </c:ext>
          </c:extLst>
        </c:ser>
        <c:ser>
          <c:idx val="2"/>
          <c:order val="2"/>
          <c:tx>
            <c:strRef>
              <c:f>'CapEx-Depreciation'!$A$4</c:f>
              <c:strCache>
                <c:ptCount val="1"/>
                <c:pt idx="0">
                  <c:v>Depreciations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'CapEx-Depreciation'!$B$1:$K$1</c:f>
              <c:strCache>
                <c:ptCount val="10"/>
                <c:pt idx="0">
                  <c:v>FY2014</c:v>
                </c:pt>
                <c:pt idx="1">
                  <c:v>FY2015</c:v>
                </c:pt>
                <c:pt idx="2">
                  <c:v>FY2016</c:v>
                </c:pt>
                <c:pt idx="3">
                  <c:v>FY2017</c:v>
                </c:pt>
                <c:pt idx="4">
                  <c:v>FY2018</c:v>
                </c:pt>
                <c:pt idx="5">
                  <c:v>FY20192</c:v>
                </c:pt>
                <c:pt idx="6">
                  <c:v>FY2020</c:v>
                </c:pt>
                <c:pt idx="7">
                  <c:v>FY2021</c:v>
                </c:pt>
                <c:pt idx="8">
                  <c:v>FY2022</c:v>
                </c:pt>
                <c:pt idx="9">
                  <c:v>FY2023</c:v>
                </c:pt>
              </c:strCache>
            </c:strRef>
          </c:cat>
          <c:val>
            <c:numRef>
              <c:f>'CapEx-Depreciation'!$B$4:$K$4</c:f>
              <c:numCache>
                <c:formatCode>#,##0.00</c:formatCode>
                <c:ptCount val="10"/>
                <c:pt idx="0">
                  <c:v>50.5</c:v>
                </c:pt>
                <c:pt idx="1">
                  <c:v>57.5</c:v>
                </c:pt>
                <c:pt idx="2">
                  <c:v>59.9</c:v>
                </c:pt>
                <c:pt idx="3">
                  <c:v>70.400000000000006</c:v>
                </c:pt>
                <c:pt idx="4">
                  <c:v>81.400000000000006</c:v>
                </c:pt>
                <c:pt idx="5">
                  <c:v>246.6</c:v>
                </c:pt>
                <c:pt idx="6">
                  <c:v>293.8</c:v>
                </c:pt>
                <c:pt idx="7">
                  <c:v>305.8</c:v>
                </c:pt>
                <c:pt idx="8">
                  <c:v>358.7</c:v>
                </c:pt>
                <c:pt idx="9">
                  <c:v>357.5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C-4D2C-911D-C4BCF13B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77408"/>
        <c:axId val="718274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'CapEx-Depreciation'!$A$2</c15:sqref>
                        </c15:formulaRef>
                      </c:ext>
                    </c:extLst>
                    <c:strCache>
                      <c:ptCount val="1"/>
                      <c:pt idx="0">
                        <c:v>C.F from Operating Activities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'CapEx-Depreciation'!$B$1:$K$1</c15:sqref>
                        </c15:formulaRef>
                      </c:ext>
                    </c:extLst>
                    <c:strCache>
                      <c:ptCount val="10"/>
                      <c:pt idx="0">
                        <c:v>FY2014</c:v>
                      </c:pt>
                      <c:pt idx="1">
                        <c:v>FY2015</c:v>
                      </c:pt>
                      <c:pt idx="2">
                        <c:v>FY2016</c:v>
                      </c:pt>
                      <c:pt idx="3">
                        <c:v>FY2017</c:v>
                      </c:pt>
                      <c:pt idx="4">
                        <c:v>FY2018</c:v>
                      </c:pt>
                      <c:pt idx="5">
                        <c:v>FY20192</c:v>
                      </c:pt>
                      <c:pt idx="6">
                        <c:v>FY2020</c:v>
                      </c:pt>
                      <c:pt idx="7">
                        <c:v>FY2021</c:v>
                      </c:pt>
                      <c:pt idx="8">
                        <c:v>FY2022</c:v>
                      </c:pt>
                      <c:pt idx="9">
                        <c:v>FY2023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'CapEx-Depreciation'!$B$2:$K$2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126.4</c:v>
                      </c:pt>
                      <c:pt idx="1">
                        <c:v>-37.1</c:v>
                      </c:pt>
                      <c:pt idx="2">
                        <c:v>131.1</c:v>
                      </c:pt>
                      <c:pt idx="3">
                        <c:v>238.8</c:v>
                      </c:pt>
                      <c:pt idx="4">
                        <c:v>278.10000000000002</c:v>
                      </c:pt>
                      <c:pt idx="5">
                        <c:v>548.79999999999995</c:v>
                      </c:pt>
                      <c:pt idx="6">
                        <c:v>421.5</c:v>
                      </c:pt>
                      <c:pt idx="7">
                        <c:v>460.1</c:v>
                      </c:pt>
                      <c:pt idx="8">
                        <c:v>418.3</c:v>
                      </c:pt>
                      <c:pt idx="9">
                        <c:v>653.6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CC-4D2C-911D-C4BCF13BDE56}"/>
                  </c:ext>
                </c:extLst>
              </c15:ser>
            </c15:filteredLineSeries>
          </c:ext>
        </c:extLst>
      </c:lineChart>
      <c:catAx>
        <c:axId val="7182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8274528"/>
        <c:crosses val="autoZero"/>
        <c:auto val="1"/>
        <c:lblAlgn val="ctr"/>
        <c:lblOffset val="100"/>
        <c:noMultiLvlLbl val="0"/>
      </c:catAx>
      <c:valAx>
        <c:axId val="7182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82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BASE</a:t>
            </a:r>
            <a:r>
              <a:rPr lang="en-US" baseline="0"/>
              <a:t> OF</a:t>
            </a:r>
            <a:r>
              <a:rPr lang="en-US"/>
              <a:t> EMPLOYEES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Employees!$B$1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0B2-4F8E-837E-50A788F7B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411-4699-992F-44D1F00030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411-4699-992F-44D1F00030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411-4699-992F-44D1F000303D}"/>
              </c:ext>
            </c:extLst>
          </c:dPt>
          <c:dLbls>
            <c:dLbl>
              <c:idx val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83333333333332"/>
                      <c:h val="0.13615740740740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0B2-4F8E-837E-50A788F7BCB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Employees!$A$2:$A$5</c:f>
              <c:strCache>
                <c:ptCount val="4"/>
                <c:pt idx="0">
                  <c:v>ASIA-PACIFIC</c:v>
                </c:pt>
                <c:pt idx="1">
                  <c:v>EMEA</c:v>
                </c:pt>
                <c:pt idx="2">
                  <c:v>LATIN AMERICA</c:v>
                </c:pt>
                <c:pt idx="3">
                  <c:v> NORTH AMERICA</c:v>
                </c:pt>
              </c:strCache>
            </c:strRef>
          </c:cat>
          <c:val>
            <c:numRef>
              <c:f>Employees!$B$2:$B$5</c:f>
              <c:numCache>
                <c:formatCode>0%</c:formatCode>
                <c:ptCount val="4"/>
                <c:pt idx="0">
                  <c:v>0.22</c:v>
                </c:pt>
                <c:pt idx="1">
                  <c:v>0.44</c:v>
                </c:pt>
                <c:pt idx="2">
                  <c:v>0.16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2-4F8E-837E-50A788F7BCB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Cash Paid For Taxes IN MILLIONS OF EUROS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TAX!$A$2</c:f>
              <c:strCache>
                <c:ptCount val="1"/>
                <c:pt idx="0">
                  <c:v>Cash Paid For Taxes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TAX!$B$1:$K$1</c:f>
              <c:strCache>
                <c:ptCount val="10"/>
                <c:pt idx="0">
                  <c:v>FY2014</c:v>
                </c:pt>
                <c:pt idx="1">
                  <c:v>FY2015</c:v>
                </c:pt>
                <c:pt idx="2">
                  <c:v>FY2016</c:v>
                </c:pt>
                <c:pt idx="3">
                  <c:v>FY2017</c:v>
                </c:pt>
                <c:pt idx="4">
                  <c:v>FY2018</c:v>
                </c:pt>
                <c:pt idx="5">
                  <c:v>FY2019</c:v>
                </c:pt>
                <c:pt idx="6">
                  <c:v>FY2020</c:v>
                </c:pt>
                <c:pt idx="7">
                  <c:v>FY2021</c:v>
                </c:pt>
                <c:pt idx="8">
                  <c:v>FY2022</c:v>
                </c:pt>
                <c:pt idx="9">
                  <c:v>FY2023</c:v>
                </c:pt>
              </c:strCache>
            </c:strRef>
          </c:cat>
          <c:val>
            <c:numRef>
              <c:f>TAX!$B$2:$K$2</c:f>
              <c:numCache>
                <c:formatCode>#,##0.00\ "€"</c:formatCode>
                <c:ptCount val="10"/>
                <c:pt idx="0">
                  <c:v>53.2</c:v>
                </c:pt>
                <c:pt idx="1">
                  <c:v>38.4</c:v>
                </c:pt>
                <c:pt idx="2">
                  <c:v>41</c:v>
                </c:pt>
                <c:pt idx="3">
                  <c:v>42.6</c:v>
                </c:pt>
                <c:pt idx="4">
                  <c:v>82.9</c:v>
                </c:pt>
                <c:pt idx="5">
                  <c:v>111.8</c:v>
                </c:pt>
                <c:pt idx="6">
                  <c:v>89.3</c:v>
                </c:pt>
                <c:pt idx="7">
                  <c:v>146.9</c:v>
                </c:pt>
                <c:pt idx="8">
                  <c:v>157.4</c:v>
                </c:pt>
                <c:pt idx="9">
                  <c:v>181.3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D-4FB1-9CCB-FEB964E70E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023632"/>
        <c:axId val="658025072"/>
      </c:lineChart>
      <c:catAx>
        <c:axId val="6580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8025072"/>
        <c:crosses val="autoZero"/>
        <c:auto val="1"/>
        <c:lblAlgn val="ctr"/>
        <c:lblOffset val="100"/>
        <c:noMultiLvlLbl val="0"/>
      </c:catAx>
      <c:valAx>
        <c:axId val="658025072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65802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6</xdr:row>
      <xdr:rowOff>34290</xdr:rowOff>
    </xdr:from>
    <xdr:to>
      <xdr:col>2</xdr:col>
      <xdr:colOff>1188720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9762D-5093-4D4C-A70D-C08B0BDF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6</xdr:row>
      <xdr:rowOff>140970</xdr:rowOff>
    </xdr:from>
    <xdr:to>
      <xdr:col>11</xdr:col>
      <xdr:colOff>121920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5B58D-CD46-4A55-8E2F-83554631A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6</xdr:row>
      <xdr:rowOff>30481</xdr:rowOff>
    </xdr:from>
    <xdr:to>
      <xdr:col>10</xdr:col>
      <xdr:colOff>38100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0D728-5FBA-4063-AE54-0F50D118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114300</xdr:rowOff>
    </xdr:from>
    <xdr:to>
      <xdr:col>21</xdr:col>
      <xdr:colOff>457200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ADC17-B45B-4A1C-A26C-8201CD264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18</xdr:row>
      <xdr:rowOff>9525</xdr:rowOff>
    </xdr:from>
    <xdr:to>
      <xdr:col>22</xdr:col>
      <xdr:colOff>85725</xdr:colOff>
      <xdr:row>33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47F6D-2F4C-4AA4-B775-9F474F3A7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91440</xdr:rowOff>
    </xdr:from>
    <xdr:to>
      <xdr:col>6</xdr:col>
      <xdr:colOff>586740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7169E-1E43-2384-706A-FA42A5950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502920</xdr:colOff>
      <xdr:row>6</xdr:row>
      <xdr:rowOff>125730</xdr:rowOff>
    </xdr:from>
    <xdr:to>
      <xdr:col>19</xdr:col>
      <xdr:colOff>76200</xdr:colOff>
      <xdr:row>21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FA17F0-6C16-0E42-9B2C-42DC2B33C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5</xdr:row>
      <xdr:rowOff>41910</xdr:rowOff>
    </xdr:from>
    <xdr:to>
      <xdr:col>11</xdr:col>
      <xdr:colOff>487680</xdr:colOff>
      <xdr:row>20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2E2E3-57EB-CE11-E681-A3B8963D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41910</xdr:rowOff>
    </xdr:from>
    <xdr:to>
      <xdr:col>14</xdr:col>
      <xdr:colOff>266700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5A769-4E29-8A7C-A0F4-FDF723D12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137160</xdr:colOff>
      <xdr:row>14</xdr:row>
      <xdr:rowOff>91440</xdr:rowOff>
    </xdr:from>
    <xdr:to>
      <xdr:col>23</xdr:col>
      <xdr:colOff>305343</xdr:colOff>
      <xdr:row>23</xdr:row>
      <xdr:rowOff>83963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088DFF-2861-4FE3-A831-812FC157D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2720" y="2651760"/>
          <a:ext cx="6264183" cy="1653683"/>
        </a:xfrm>
        <a:prstGeom prst="rect">
          <a:avLst/>
        </a:prstGeom>
      </xdr:spPr>
    </xdr:pic>
    <xdr:clientData/>
  </xdr:twoCellAnchor>
  <xdr:twoCellAnchor editAs="oneCell">
    <xdr:from>
      <xdr:col>12</xdr:col>
      <xdr:colOff>480060</xdr:colOff>
      <xdr:row>3</xdr:row>
      <xdr:rowOff>137160</xdr:rowOff>
    </xdr:from>
    <xdr:to>
      <xdr:col>19</xdr:col>
      <xdr:colOff>594360</xdr:colOff>
      <xdr:row>7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7A1C93-CC2E-A819-7E68-900FB9154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8420" y="685800"/>
          <a:ext cx="4381500" cy="7010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11</xdr:row>
      <xdr:rowOff>0</xdr:rowOff>
    </xdr:from>
    <xdr:to>
      <xdr:col>12</xdr:col>
      <xdr:colOff>134435</xdr:colOff>
      <xdr:row>23</xdr:row>
      <xdr:rowOff>85542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D69F1E-6A79-42DA-A21E-F51774206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2011680"/>
          <a:ext cx="3731075" cy="22801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cpffssv1.ucpcrp.pt\home$\TEMP\TEMP\Users\MmnPvg\Colep\COLEP\COLEP_A\COLEPMC.XL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TIA-LIS\DADOS\CAPMARK\EMPRESAS\COLEP\COP_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TIA-LIS\DADOS\CAPMARK\EMPRESAS\EDP\EDP_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cpffssv1.ucpcrp.pt\home$\TEMP\TEMP\Users\MmnPvg\Colep\COLEP\COLEP_A\COLEPP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MACRO"/>
    </sheetNames>
    <sheetDataSet>
      <sheetData sheetId="0">
        <row r="1">
          <cell r="A1" t="str">
            <v>Abertura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 - Historical"/>
      <sheetName val="Cop - Estimates"/>
    </sheetNames>
    <sheetDataSet>
      <sheetData sheetId="0" refreshError="1"/>
      <sheetData sheetId="1" refreshError="1">
        <row r="321">
          <cell r="O321">
            <v>11597.731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P - Historical"/>
      <sheetName val="EDP - Estimates"/>
    </sheetNames>
    <sheetDataSet>
      <sheetData sheetId="0"/>
      <sheetData sheetId="1" refreshError="1">
        <row r="183">
          <cell r="I183">
            <v>600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PREMP"/>
      <sheetName val="Depreciation"/>
      <sheetName val="Sales"/>
      <sheetName val="Worldwide"/>
      <sheetName val="Direct Costs"/>
      <sheetName val="Labor Costs"/>
      <sheetName val="Other Op. Costs"/>
      <sheetName val="Financial Income"/>
      <sheetName val="Interest and Debt"/>
      <sheetName val="Taxes"/>
      <sheetName val="Capital"/>
      <sheetName val="Acquisition of Shirley Jones"/>
      <sheetName val="Acquisition of CENSA"/>
    </sheetNames>
    <sheetDataSet>
      <sheetData sheetId="0">
        <row r="1">
          <cell r="B1" t="str">
            <v>COLEP PORTUGAL - CONSOLIDATED</v>
          </cell>
          <cell r="I1">
            <v>36810</v>
          </cell>
          <cell r="K1">
            <v>36810.646973958334</v>
          </cell>
        </row>
        <row r="4">
          <cell r="B4" t="str">
            <v>PRESSUPOSTOS DA EMPRESA</v>
          </cell>
        </row>
        <row r="5">
          <cell r="B5" t="str">
            <v>(valores em milhões de escudos)</v>
          </cell>
          <cell r="C5">
            <v>1997</v>
          </cell>
          <cell r="E5">
            <v>1998</v>
          </cell>
          <cell r="G5" t="str">
            <v>1999E</v>
          </cell>
          <cell r="I5" t="str">
            <v>2000E</v>
          </cell>
          <cell r="K5" t="str">
            <v>2001E</v>
          </cell>
          <cell r="M5" t="str">
            <v>2002E</v>
          </cell>
          <cell r="O5" t="str">
            <v>2003E</v>
          </cell>
          <cell r="Q5" t="str">
            <v>2004E</v>
          </cell>
          <cell r="S5" t="str">
            <v>2005E</v>
          </cell>
          <cell r="U5" t="str">
            <v>2006E</v>
          </cell>
          <cell r="W5" t="str">
            <v>2007E</v>
          </cell>
        </row>
        <row r="8">
          <cell r="B8" t="str">
            <v>CONTA DE EXPLORAÇÃO</v>
          </cell>
        </row>
        <row r="11">
          <cell r="B11" t="str">
            <v>Vendas</v>
          </cell>
        </row>
        <row r="12">
          <cell r="B12" t="str">
            <v xml:space="preserve"> -Descontos Comerciais Concedidos</v>
          </cell>
        </row>
        <row r="13">
          <cell r="B13" t="str">
            <v>Descontos Comerciais / Vendas</v>
          </cell>
        </row>
        <row r="15">
          <cell r="B15" t="str">
            <v xml:space="preserve">Prestação de Serviços </v>
          </cell>
        </row>
        <row r="17">
          <cell r="B17" t="str">
            <v>Trabalhos para a Própria Empresa</v>
          </cell>
        </row>
        <row r="18">
          <cell r="B18" t="str">
            <v>Subsídios de Exploração</v>
          </cell>
        </row>
        <row r="20">
          <cell r="B20" t="str">
            <v>Custo Merc. Vendidase Mat.Cons.</v>
          </cell>
        </row>
        <row r="21">
          <cell r="B21" t="str">
            <v>Descontos Comerciais nas Compras</v>
          </cell>
        </row>
        <row r="23">
          <cell r="B23" t="str">
            <v>Fornecimentos e Serviços Externos</v>
          </cell>
        </row>
        <row r="25">
          <cell r="B25" t="str">
            <v>Custos com Pessoal</v>
          </cell>
        </row>
        <row r="27">
          <cell r="B27" t="str">
            <v>Impostos</v>
          </cell>
        </row>
        <row r="29">
          <cell r="B29" t="str">
            <v>Outros Custos Operacionais</v>
          </cell>
        </row>
        <row r="30">
          <cell r="B30" t="str">
            <v>Outros Proveitos Operacionais</v>
          </cell>
        </row>
        <row r="32">
          <cell r="B32" t="str">
            <v>Proveitos Extraordinários</v>
          </cell>
        </row>
        <row r="33">
          <cell r="B33" t="str">
            <v>Custos Extraordinários</v>
          </cell>
        </row>
        <row r="35">
          <cell r="B35" t="str">
            <v>Juros Obtidos</v>
          </cell>
        </row>
        <row r="37">
          <cell r="B37" t="str">
            <v>Tx.de Remun.(média) das Aplics.Financeiras CP</v>
          </cell>
        </row>
        <row r="39">
          <cell r="B39" t="str">
            <v>Receitas de Aplicações de Capital</v>
          </cell>
        </row>
        <row r="40">
          <cell r="B40" t="str">
            <v>Receitas de Aplicações Financeiras CP</v>
          </cell>
        </row>
        <row r="41">
          <cell r="B41" t="str">
            <v>Outros Proveitos Financeiros</v>
          </cell>
        </row>
        <row r="42">
          <cell r="B42" t="str">
            <v>Outras Receitas Financeiras (Total)</v>
          </cell>
        </row>
        <row r="44">
          <cell r="B44" t="str">
            <v>Tx.de Juro (média)  sobre Empr.Bancários de CP</v>
          </cell>
        </row>
        <row r="46">
          <cell r="B46" t="str">
            <v>Juros de Empréstimos Bancários de Curto Prazo</v>
          </cell>
        </row>
        <row r="47">
          <cell r="B47" t="str">
            <v>Juros de Outros Empréstimos Contraídos</v>
          </cell>
        </row>
        <row r="48">
          <cell r="B48" t="str">
            <v>Juros Suportados (Total)</v>
          </cell>
        </row>
        <row r="50">
          <cell r="B50" t="str">
            <v>Outros Custos Financeiros</v>
          </cell>
        </row>
        <row r="52">
          <cell r="B52" t="str">
            <v>Imposto sobre Rendimento</v>
          </cell>
        </row>
        <row r="54">
          <cell r="B54" t="str">
            <v>Interesses Minoritários nos Resultados</v>
          </cell>
        </row>
        <row r="56">
          <cell r="B56" t="str">
            <v>Tx.de Distribuição de Dividendos</v>
          </cell>
        </row>
        <row r="57">
          <cell r="B57" t="str">
            <v>Dividendos</v>
          </cell>
        </row>
        <row r="58">
          <cell r="B58" t="str">
            <v>Tx.Distribuição de Resultados p/ Remunerações</v>
          </cell>
        </row>
        <row r="59">
          <cell r="B59" t="str">
            <v>Remuneração Pessoal e Orgãos Sociais</v>
          </cell>
        </row>
        <row r="61">
          <cell r="B61" t="str">
            <v>BALANÇO (ACTIVO)</v>
          </cell>
        </row>
        <row r="63">
          <cell r="B63" t="str">
            <v>Investimento em Imobilizado</v>
          </cell>
        </row>
        <row r="64">
          <cell r="B64" t="str">
            <v xml:space="preserve">   Outro Imobilizado Incorpóreo</v>
          </cell>
        </row>
        <row r="65">
          <cell r="B65" t="str">
            <v xml:space="preserve">   Terrenos </v>
          </cell>
        </row>
        <row r="66">
          <cell r="B66" t="str">
            <v xml:space="preserve">   Edifícios</v>
          </cell>
        </row>
        <row r="67">
          <cell r="B67" t="str">
            <v xml:space="preserve">   Equipamentos e Outros</v>
          </cell>
        </row>
        <row r="68">
          <cell r="B68" t="str">
            <v xml:space="preserve">   Aquisição Bens de Leasing (VR)</v>
          </cell>
        </row>
        <row r="69">
          <cell r="B69" t="str">
            <v>Total</v>
          </cell>
        </row>
        <row r="71">
          <cell r="B71" t="str">
            <v>Alienação de Imobilizado (Abates)</v>
          </cell>
        </row>
        <row r="72">
          <cell r="B72" t="str">
            <v>Valor Bruto</v>
          </cell>
        </row>
        <row r="73">
          <cell r="B73" t="str">
            <v xml:space="preserve">   Outro Imobilizado Incorpóreo</v>
          </cell>
        </row>
        <row r="74">
          <cell r="B74" t="str">
            <v xml:space="preserve">   Terrenos e Recursos Naturais</v>
          </cell>
        </row>
        <row r="75">
          <cell r="B75" t="str">
            <v xml:space="preserve">   Edifícios e Outras  Construções</v>
          </cell>
        </row>
        <row r="76">
          <cell r="B76" t="str">
            <v xml:space="preserve">   Equipamento e Outro Imobilizado </v>
          </cell>
        </row>
        <row r="77">
          <cell r="B77" t="str">
            <v xml:space="preserve">  Total</v>
          </cell>
        </row>
        <row r="78">
          <cell r="B78" t="str">
            <v>Amortizações Acumuladas</v>
          </cell>
        </row>
        <row r="79">
          <cell r="B79" t="str">
            <v xml:space="preserve">   Outro Imobilizado Incorpóreo</v>
          </cell>
        </row>
        <row r="80">
          <cell r="B80" t="str">
            <v xml:space="preserve">   Terrenos e Recursos Naturais</v>
          </cell>
        </row>
        <row r="81">
          <cell r="B81" t="str">
            <v xml:space="preserve">   Edifícios e Outras  Construções</v>
          </cell>
        </row>
        <row r="82">
          <cell r="B82" t="str">
            <v xml:space="preserve">   Equipamento e Outro Imobilizado </v>
          </cell>
        </row>
        <row r="83">
          <cell r="B83" t="str">
            <v xml:space="preserve">  Total</v>
          </cell>
        </row>
        <row r="85">
          <cell r="B85" t="str">
            <v>Imobilizado Técnico Bruto</v>
          </cell>
        </row>
        <row r="86">
          <cell r="B86" t="str">
            <v xml:space="preserve">   Diferenças de Consolidação</v>
          </cell>
        </row>
        <row r="87">
          <cell r="B87" t="str">
            <v xml:space="preserve">   Outro Imobilizado Incorpóreo</v>
          </cell>
        </row>
        <row r="88">
          <cell r="B88" t="str">
            <v xml:space="preserve">   Terrenos e Recursos Naturais</v>
          </cell>
        </row>
        <row r="89">
          <cell r="B89" t="str">
            <v xml:space="preserve">   Edifícios e Outras  Construções</v>
          </cell>
        </row>
        <row r="90">
          <cell r="B90" t="str">
            <v xml:space="preserve">   Equipamento e Outro Imobilizado </v>
          </cell>
        </row>
        <row r="91">
          <cell r="B91" t="str">
            <v>Total</v>
          </cell>
        </row>
        <row r="93">
          <cell r="B93" t="str">
            <v>Amortizações do Exercício</v>
          </cell>
        </row>
        <row r="94">
          <cell r="B94" t="str">
            <v xml:space="preserve">    Imobilizado Incorpóreo</v>
          </cell>
        </row>
        <row r="95">
          <cell r="B95" t="str">
            <v xml:space="preserve">    Edifícios</v>
          </cell>
        </row>
        <row r="96">
          <cell r="B96" t="str">
            <v xml:space="preserve">    Equipamentos e Outros</v>
          </cell>
        </row>
        <row r="97">
          <cell r="B97" t="str">
            <v>Total</v>
          </cell>
        </row>
        <row r="99">
          <cell r="B99" t="str">
            <v>Amortizações Acum. Imob.Incorpóreo</v>
          </cell>
        </row>
        <row r="100">
          <cell r="B100" t="str">
            <v>Amortizações Acumuladas</v>
          </cell>
        </row>
        <row r="102">
          <cell r="B102" t="str">
            <v>Imobilizado Técnico Total Líquido</v>
          </cell>
        </row>
        <row r="104">
          <cell r="B104" t="str">
            <v>Reserva de Reavaliação</v>
          </cell>
        </row>
        <row r="105">
          <cell r="B105" t="str">
            <v>Taxa de Inflação</v>
          </cell>
        </row>
        <row r="106">
          <cell r="B106" t="str">
            <v>Inflação Acumulada desde Última Reavaliação</v>
          </cell>
        </row>
        <row r="107">
          <cell r="B107" t="str">
            <v>Imobilizado Técnico Bruto Corrigido pela Inflação</v>
          </cell>
        </row>
        <row r="108">
          <cell r="B108" t="str">
            <v>Amortizações Corrigidas pela Inflação</v>
          </cell>
        </row>
        <row r="110">
          <cell r="B110" t="str">
            <v>Imobilizado Financeiro</v>
          </cell>
        </row>
        <row r="111">
          <cell r="B111" t="str">
            <v xml:space="preserve">   Participações Capital</v>
          </cell>
        </row>
        <row r="112">
          <cell r="B112" t="str">
            <v xml:space="preserve">   Empréstimos a Associadas</v>
          </cell>
        </row>
        <row r="113">
          <cell r="B113" t="str">
            <v xml:space="preserve">          Desembolso</v>
          </cell>
        </row>
        <row r="114">
          <cell r="B114" t="str">
            <v xml:space="preserve">          Amortização</v>
          </cell>
        </row>
        <row r="115">
          <cell r="B115" t="str">
            <v xml:space="preserve">           Juros</v>
          </cell>
        </row>
        <row r="116">
          <cell r="B116" t="str">
            <v xml:space="preserve">   Outras Aplicações Financeiras</v>
          </cell>
        </row>
        <row r="117">
          <cell r="B117" t="str">
            <v>Total</v>
          </cell>
        </row>
        <row r="118">
          <cell r="B118" t="str">
            <v xml:space="preserve">   Provisões para Investimentos Financeiros</v>
          </cell>
        </row>
        <row r="119">
          <cell r="B119" t="str">
            <v>Total Líquido</v>
          </cell>
        </row>
        <row r="121">
          <cell r="B121" t="str">
            <v>Parâmetros de Funcionamento</v>
          </cell>
        </row>
        <row r="122">
          <cell r="B122" t="str">
            <v xml:space="preserve">   T.médio de exist.de matérias primas</v>
          </cell>
        </row>
        <row r="123">
          <cell r="B123" t="str">
            <v xml:space="preserve">   T.médio de exist.de produtos acab.e em curso</v>
          </cell>
        </row>
        <row r="124">
          <cell r="B124" t="str">
            <v xml:space="preserve">   T.médio de exist.de mercadorias</v>
          </cell>
        </row>
        <row r="125">
          <cell r="B125" t="str">
            <v xml:space="preserve">   T.médio de recebimento</v>
          </cell>
        </row>
        <row r="126">
          <cell r="B126" t="str">
            <v xml:space="preserve">   T.médio de pagamento </v>
          </cell>
        </row>
        <row r="128">
          <cell r="B128" t="str">
            <v>Matérias Primas</v>
          </cell>
        </row>
        <row r="129">
          <cell r="B129" t="str">
            <v>Produtos Acabados e em Curso</v>
          </cell>
        </row>
        <row r="130">
          <cell r="B130" t="str">
            <v>Mercadorias</v>
          </cell>
        </row>
        <row r="131">
          <cell r="B131" t="str">
            <v>Provisões para  Depreciação de Existências</v>
          </cell>
        </row>
        <row r="133">
          <cell r="B133" t="str">
            <v>Dívidas de Terceiros Médio/Longo Prazo</v>
          </cell>
        </row>
        <row r="134">
          <cell r="B134" t="str">
            <v xml:space="preserve">  Desembolso</v>
          </cell>
        </row>
        <row r="135">
          <cell r="B135" t="str">
            <v xml:space="preserve">  Amortização</v>
          </cell>
        </row>
        <row r="136">
          <cell r="B136" t="str">
            <v xml:space="preserve">  Juros</v>
          </cell>
        </row>
        <row r="137">
          <cell r="B137" t="str">
            <v>Provisões para Cobranças Duvidosas</v>
          </cell>
        </row>
        <row r="139">
          <cell r="B139" t="str">
            <v>Dívidas de Terceiros Curto Prazo:</v>
          </cell>
        </row>
        <row r="140">
          <cell r="B140" t="str">
            <v>Clientes</v>
          </cell>
        </row>
        <row r="141">
          <cell r="B141" t="str">
            <v>Fornecedores</v>
          </cell>
        </row>
        <row r="142">
          <cell r="B142" t="str">
            <v>Empresas Interligadas e Participadas</v>
          </cell>
        </row>
        <row r="143">
          <cell r="B143" t="str">
            <v>Sócios/Accionistas</v>
          </cell>
        </row>
        <row r="144">
          <cell r="B144" t="str">
            <v>Outros Devedores</v>
          </cell>
        </row>
        <row r="145">
          <cell r="B145" t="str">
            <v>Provisões para Cobranças Duvidosas</v>
          </cell>
        </row>
        <row r="147">
          <cell r="B147" t="str">
            <v>Aplicações Financeiras de Curto Prazo</v>
          </cell>
        </row>
        <row r="149">
          <cell r="B149" t="str">
            <v>Disponibilidades Mínimas</v>
          </cell>
        </row>
        <row r="151">
          <cell r="B151" t="str">
            <v>Acréscimos de Proveitos / Custos Diferidos</v>
          </cell>
        </row>
        <row r="154">
          <cell r="B154" t="str">
            <v>BALANÇO (CAPITAL PRÓPRIO)</v>
          </cell>
        </row>
        <row r="156">
          <cell r="B156" t="str">
            <v>Variações do Capital Próprio</v>
          </cell>
        </row>
        <row r="157">
          <cell r="B157" t="str">
            <v xml:space="preserve">   Aumento de Capital Social em Dinheiro</v>
          </cell>
        </row>
        <row r="158">
          <cell r="B158" t="str">
            <v xml:space="preserve">   Prémio de Emissão</v>
          </cell>
        </row>
        <row r="159">
          <cell r="B159" t="str">
            <v xml:space="preserve">   Venda Acções Próprias</v>
          </cell>
        </row>
        <row r="160">
          <cell r="B160" t="str">
            <v xml:space="preserve">   Compra Acções Próprias</v>
          </cell>
        </row>
        <row r="161">
          <cell r="B161" t="str">
            <v xml:space="preserve">   Outras Reservas</v>
          </cell>
        </row>
        <row r="162">
          <cell r="B162" t="str">
            <v xml:space="preserve">   Var. Ajustamento de Capital em Participadas</v>
          </cell>
        </row>
        <row r="163">
          <cell r="B163" t="str">
            <v xml:space="preserve">   Var. Diferenças de Consolidação</v>
          </cell>
        </row>
        <row r="164">
          <cell r="B164" t="str">
            <v xml:space="preserve">   Milhares de Acções em Circulação</v>
          </cell>
        </row>
        <row r="166">
          <cell r="B166" t="str">
            <v>INTERESSES MINORITÁRIOS</v>
          </cell>
        </row>
        <row r="168">
          <cell r="B168" t="str">
            <v>BALANÇO (PASSIVO)</v>
          </cell>
        </row>
        <row r="170">
          <cell r="B170" t="str">
            <v xml:space="preserve">  Provisões para Outros Riscos e Encargos</v>
          </cell>
        </row>
        <row r="172">
          <cell r="B172" t="str">
            <v>Dívidas de M/L Prazo</v>
          </cell>
        </row>
        <row r="173">
          <cell r="B173" t="str">
            <v xml:space="preserve">   Reembolso Emp. Banc. M/L prazo</v>
          </cell>
        </row>
        <row r="174">
          <cell r="B174" t="str">
            <v xml:space="preserve">   Reembolso Emp. Obrigacionistas</v>
          </cell>
        </row>
        <row r="175">
          <cell r="B175" t="str">
            <v xml:space="preserve">   Reembolso Outros Emp. M/L prazo</v>
          </cell>
        </row>
        <row r="176">
          <cell r="B176" t="str">
            <v xml:space="preserve">   Aumento Emp. Banc. M/L prazo</v>
          </cell>
        </row>
        <row r="177">
          <cell r="B177" t="str">
            <v xml:space="preserve">   Aumento Emp. Obrigacionistas</v>
          </cell>
        </row>
        <row r="178">
          <cell r="B178" t="str">
            <v xml:space="preserve">   Aumento Out. Emp. M/L prazo</v>
          </cell>
        </row>
        <row r="180">
          <cell r="B180" t="str">
            <v>Dívidas de Curto Prazo</v>
          </cell>
        </row>
        <row r="181">
          <cell r="B181" t="str">
            <v xml:space="preserve">   Fornecedores</v>
          </cell>
        </row>
        <row r="182">
          <cell r="B182" t="str">
            <v xml:space="preserve">   Adiantamento Clientes</v>
          </cell>
        </row>
        <row r="183">
          <cell r="B183" t="str">
            <v xml:space="preserve">   Estado e Out. Entes Públicos</v>
          </cell>
        </row>
        <row r="184">
          <cell r="B184" t="str">
            <v xml:space="preserve">   Empréstimos Bancários</v>
          </cell>
        </row>
        <row r="185">
          <cell r="B185" t="str">
            <v xml:space="preserve">   Credores para Fornecimento de Imobilizado</v>
          </cell>
        </row>
        <row r="186">
          <cell r="B186" t="str">
            <v xml:space="preserve">   Empréstimos de Sócios</v>
          </cell>
        </row>
        <row r="187">
          <cell r="B187" t="str">
            <v xml:space="preserve">   Outros Credores</v>
          </cell>
        </row>
        <row r="189">
          <cell r="B189" t="str">
            <v>Acréscimos de Custos / Proveitos Diferidos</v>
          </cell>
        </row>
        <row r="190">
          <cell r="B190" t="str">
            <v>change</v>
          </cell>
        </row>
        <row r="191">
          <cell r="B191" t="str">
            <v>should have changed</v>
          </cell>
        </row>
        <row r="192">
          <cell r="B192" t="str">
            <v>Depreciation of other deferrals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Βασίλης Τοψίδης" id="{3B78A472-AC45-41F8-A088-74A281A0F39E}" userId="00da7e123a2b51ea" providerId="Windows Live"/>
  <person displayName="Tomasz Mlynowski" id="{727F9CE6-DDF7-4232-8D05-043388440A44}" userId="779447d4e6eef6e0" providerId="Windows Live"/>
  <person displayName="Mlynowski, Tomasz" id="{3DF5D747-C666-4D18-BC4A-A6BCADC1CDC7}" userId="Mlynowski, Tomasz" providerId="None"/>
  <person displayName="Vasileios Topsidis" id="{9CA11430-C309-479F-9C94-D0C52E641F46}" userId="S::te23865@qmul.ac.uk::74b06b69-6230-42a3-a183-743e57b4ea9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Βασίλης" refreshedDate="45486.628970833335" createdVersion="8" refreshedVersion="8" minRefreshableVersion="3" recordCount="7" xr:uid="{2B986FB5-67F3-41A9-8572-FBD6897272BE}">
  <cacheSource type="worksheet">
    <worksheetSource name="Table1"/>
  </cacheSource>
  <cacheFields count="5">
    <cacheField name="Brand" numFmtId="0">
      <sharedItems count="7">
        <s v="PUMA"/>
        <s v="NIKE"/>
        <s v="ADIDAS"/>
        <s v="UNDER ARMOUR"/>
        <s v="SKECHERS"/>
        <s v="ASICS"/>
        <s v="COLUMBIA"/>
      </sharedItems>
    </cacheField>
    <cacheField name="PBV" numFmtId="0">
      <sharedItems containsSemiMixedTypes="0" containsString="0" containsNumber="1" minValue="1.39" maxValue="9.01"/>
    </cacheField>
    <cacheField name="P/E" numFmtId="0">
      <sharedItems containsString="0" containsBlank="1" containsNumber="1" minValue="13.21" maxValue="41.04"/>
    </cacheField>
    <cacheField name="EV/EBITDA" numFmtId="0">
      <sharedItems containsSemiMixedTypes="0" containsString="0" containsNumber="1" minValue="9.48" maxValue="31.05"/>
    </cacheField>
    <cacheField name="EV/REV" numFmtId="0">
      <sharedItems containsSemiMixedTypes="0" containsString="0" containsNumber="1" minValue="0.62" maxValue="3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.4500000000000002"/>
    <n v="24.43"/>
    <n v="13.72"/>
    <n v="1"/>
  </r>
  <r>
    <x v="1"/>
    <n v="7.68"/>
    <n v="19.68"/>
    <n v="17.62"/>
    <n v="2.16"/>
  </r>
  <r>
    <x v="2"/>
    <n v="9.01"/>
    <m/>
    <n v="31.05"/>
    <n v="2.08"/>
  </r>
  <r>
    <x v="3"/>
    <n v="1.39"/>
    <n v="13.21"/>
    <n v="9.5500000000000007"/>
    <n v="0.62"/>
  </r>
  <r>
    <x v="4"/>
    <n v="2.5099999999999998"/>
    <n v="17.940000000000001"/>
    <n v="10.51"/>
    <n v="1.34"/>
  </r>
  <r>
    <x v="5"/>
    <n v="8.32"/>
    <n v="41.04"/>
    <n v="28.34"/>
    <n v="3.21"/>
  </r>
  <r>
    <x v="6"/>
    <n v="2.44"/>
    <n v="19.41"/>
    <n v="9.48"/>
    <n v="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FE7B8-B6BA-4409-978F-4CF227B42B8A}" name="PivotTable16" cacheId="0" applyNumberFormats="0" applyBorderFormats="0" applyFontFormats="0" applyPatternFormats="0" applyAlignmentFormats="0" applyWidthHeightFormats="1" dataCaption="Values" grandTotalCaption="EV/EBITDA Average" updatedVersion="8" minRefreshableVersion="3" useAutoFormatting="1" itemPrintTitles="1" createdVersion="8" indent="0" outline="1" outlineData="1" multipleFieldFilters="0" rowHeaderCaption="Company">
  <location ref="H2:I10" firstHeaderRow="1" firstDataRow="1" firstDataCol="1"/>
  <pivotFields count="5">
    <pivotField axis="axisRow" showAll="0">
      <items count="8">
        <item x="2"/>
        <item x="5"/>
        <item x="6"/>
        <item x="1"/>
        <item x="0"/>
        <item x="4"/>
        <item x="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EV/EBITDA" fld="3" subtotal="average" baseField="0" baseItem="0"/>
  </dataFields>
  <formats count="1">
    <format dxfId="6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A872A-870F-4F17-999E-E8B158C177EE}" name="PivotTable14" cacheId="0" applyNumberFormats="0" applyBorderFormats="0" applyFontFormats="0" applyPatternFormats="0" applyAlignmentFormats="0" applyWidthHeightFormats="1" dataCaption="Values" grandTotalCaption="EV/REV Average" updatedVersion="8" minRefreshableVersion="3" useAutoFormatting="1" itemPrintTitles="1" createdVersion="8" indent="0" outline="1" outlineData="1" multipleFieldFilters="0" rowHeaderCaption="Company">
  <location ref="H13:I21" firstHeaderRow="1" firstDataRow="1" firstDataCol="1"/>
  <pivotFields count="5">
    <pivotField axis="axisRow" showAll="0">
      <items count="8">
        <item x="2"/>
        <item x="5"/>
        <item x="6"/>
        <item x="1"/>
        <item x="0"/>
        <item x="4"/>
        <item x="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EV/REV    " fld="4" subtotal="average" baseField="0" baseItem="0"/>
  </dataFields>
  <formats count="1">
    <format dxfId="6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CCC20-677C-42C0-B4C0-D6F56975BF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nay">
  <location ref="A13:B21" firstHeaderRow="1" firstDataRow="1" firstDataCol="1"/>
  <pivotFields count="5">
    <pivotField axis="axisRow" showAll="0">
      <items count="8">
        <item x="2"/>
        <item x="5"/>
        <item x="6"/>
        <item x="1"/>
        <item x="0"/>
        <item x="4"/>
        <item x="3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BV " fld="1" subtotal="average" baseField="0" baseItem="0"/>
  </dataFields>
  <formats count="2">
    <format dxfId="65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4">
      <pivotArea dataOnly="0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5B75C-4CB7-414B-BBF3-3377CC5AE99F}" name="PivotTable20" cacheId="0" applyNumberFormats="0" applyBorderFormats="0" applyFontFormats="0" applyPatternFormats="0" applyAlignmentFormats="0" applyWidthHeightFormats="1" dataCaption="Values" grandTotalCaption="PBV Average" updatedVersion="8" minRefreshableVersion="3" useAutoFormatting="1" itemPrintTitles="1" createdVersion="8" indent="0" outline="1" outlineData="1" multipleFieldFilters="0" rowHeaderCaption="Company">
  <location ref="K13:L21" firstHeaderRow="1" firstDataRow="1" firstDataCol="1"/>
  <pivotFields count="5">
    <pivotField axis="axisRow" showAll="0">
      <items count="8">
        <item x="2"/>
        <item x="5"/>
        <item x="6"/>
        <item x="1"/>
        <item x="0"/>
        <item x="4"/>
        <item x="3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BV   " fld="1" subtotal="average" baseField="0" baseItem="0"/>
  </dataFields>
  <formats count="1">
    <format dxfId="6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A295D-929A-4459-A148-A9498189D462}" name="PivotTable18" cacheId="0" applyNumberFormats="0" applyBorderFormats="0" applyFontFormats="0" applyPatternFormats="0" applyAlignmentFormats="0" applyWidthHeightFormats="1" dataCaption="Values" grandTotalCaption="P/E Average" updatedVersion="8" minRefreshableVersion="3" useAutoFormatting="1" itemPrintTitles="1" createdVersion="8" indent="0" outline="1" outlineData="1" multipleFieldFilters="0" rowHeaderCaption="Company">
  <location ref="K2:L10" firstHeaderRow="1" firstDataRow="1" firstDataCol="1"/>
  <pivotFields count="5">
    <pivotField axis="axisRow" showAll="0">
      <items count="8">
        <item x="2"/>
        <item x="5"/>
        <item x="6"/>
        <item x="1"/>
        <item x="0"/>
        <item x="4"/>
        <item x="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/E  " fld="2" subtotal="average" baseField="0" baseItem="0"/>
  </dataFields>
  <formats count="1">
    <format dxfId="6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AF4F374-DAFA-445E-A905-DB1D2DC85985}" name="Table12" displayName="Table12" ref="A1:C6" totalsRowShown="0">
  <autoFilter ref="A1:C6" xr:uid="{2AF4F374-DAFA-445E-A905-DB1D2DC85985}"/>
  <tableColumns count="3">
    <tableColumn id="1" xr3:uid="{E8B063C3-DA8B-4216-82C4-9D6A55C429FE}" name="WACC" dataDxfId="73"/>
    <tableColumn id="2" xr3:uid="{6806E0EC-BC05-4A51-8BEB-6BCD04868FF3}" name="g" dataDxfId="72"/>
    <tableColumn id="3" xr3:uid="{0471FA33-E86E-4B89-85AA-69A07E443EDD}" name="Equity Share Price" dataDxfId="7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18ACE6-6685-477B-85FB-476CCC07E5A6}" name="Table5" displayName="Table5" ref="A1:L7" totalsRowShown="0" headerRowDxfId="22" headerRowCellStyle="fa_column_header_top">
  <autoFilter ref="A1:L7" xr:uid="{6F18ACE6-6685-477B-85FB-476CCC07E5A6}"/>
  <tableColumns count="12">
    <tableColumn id="1" xr3:uid="{1E729F0E-2FBA-4280-9E3F-0AF03BA5DF7D}" name="Column1" dataDxfId="21"/>
    <tableColumn id="2" xr3:uid="{C6895D85-FACE-49A3-9600-7D112474AEFB}" name="FY 2014" dataDxfId="20"/>
    <tableColumn id="3" xr3:uid="{A946A904-D06E-4048-B813-A4E003169345}" name="FY 2015" dataDxfId="19"/>
    <tableColumn id="4" xr3:uid="{C231A50F-501D-43AC-9261-061A36B60E18}" name="FY 2016" dataDxfId="18"/>
    <tableColumn id="5" xr3:uid="{C62A4615-DEB4-4D4D-A741-88EABDDF2531}" name="FY 2017" dataDxfId="17"/>
    <tableColumn id="6" xr3:uid="{4AF77E70-35B3-42D9-A6EF-51BB5B0B7BFF}" name="FY 2018" dataDxfId="16"/>
    <tableColumn id="7" xr3:uid="{C66BFB33-93D8-454A-86B5-805D2060396E}" name="FY 2019" dataDxfId="15"/>
    <tableColumn id="8" xr3:uid="{2FC4E4EF-B1EE-4857-9DD2-10121C6D22A7}" name="FY 2020" dataDxfId="14"/>
    <tableColumn id="9" xr3:uid="{042FFCF8-5772-48B5-B4FC-16E811113FF8}" name="FY 2021" dataDxfId="13"/>
    <tableColumn id="10" xr3:uid="{95A03371-0340-47A3-AB10-7749D7D9B36C}" name="FY 2022" dataDxfId="12"/>
    <tableColumn id="11" xr3:uid="{27A21482-BD5C-4613-98FD-87A099CABFD8}" name="FY 2023" dataDxfId="11"/>
    <tableColumn id="13" xr3:uid="{7A40FDCE-594B-450E-A8F7-DFDC23DC69CF}" name="AVERAGE" dataDxfId="1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C1D2E2-E871-4521-9650-6F3BED42BDD4}" name="Table6" displayName="Table6" ref="A15:L18" totalsRowShown="0" headerRowDxfId="9" headerRowBorderDxfId="8" headerRowCellStyle="fa_column_header_top">
  <autoFilter ref="A15:L18" xr:uid="{E4C1D2E2-E871-4521-9650-6F3BED42BDD4}"/>
  <tableColumns count="12">
    <tableColumn id="1" xr3:uid="{60CB714B-90A4-4511-82A8-7621EB2B2151}" name="W.C RATIOS"/>
    <tableColumn id="2" xr3:uid="{77C16DEC-4370-4B92-B44D-C0667B6F1DDE}" name="FY 2014"/>
    <tableColumn id="3" xr3:uid="{B319A078-046B-4FEE-B159-247490C2007C}" name="FY 2015"/>
    <tableColumn id="4" xr3:uid="{0CF5C267-43F3-4F3D-978B-C2700CF30F7E}" name="FY 2016"/>
    <tableColumn id="5" xr3:uid="{D958711C-162B-493F-83B4-4E36C2634ABA}" name="FY 2017"/>
    <tableColumn id="6" xr3:uid="{3BA462BC-53A6-43E5-BD47-3B6D02FD9F53}" name="FY 2018"/>
    <tableColumn id="7" xr3:uid="{528FFCF9-E42F-4467-8AF7-19ACC073E107}" name="FY 2019"/>
    <tableColumn id="8" xr3:uid="{F9ABD733-A871-4D1E-9CF9-844CB0C885EA}" name="FY 2020"/>
    <tableColumn id="9" xr3:uid="{64417E53-93AC-4F8B-B7A3-24B6F5B7AD27}" name="FY 2021"/>
    <tableColumn id="10" xr3:uid="{B3210D22-8595-4630-B279-B6009F684900}" name="FY 2022"/>
    <tableColumn id="11" xr3:uid="{8003BEDB-4C80-4CC2-8846-4683794F7234}" name="FY 2023"/>
    <tableColumn id="12" xr3:uid="{3997950E-6887-4ED1-9804-13B106F8B5F3}" name="AVERAGE" dataDxfId="7">
      <calculatedColumnFormula>AVERAGE(Table6[[#This Row],[FY 2014]:[FY 2023]])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A0358B-B60B-44ED-AA7A-B26C13C886EF}" name="Table9" displayName="Table9" ref="A1:C6" totalsRowShown="0">
  <autoFilter ref="A1:C6" xr:uid="{1DA0358B-B60B-44ED-AA7A-B26C13C886EF}"/>
  <tableColumns count="3">
    <tableColumn id="1" xr3:uid="{0FF5D068-2CBE-4F00-98F4-C4820DDF0A9B}" name="WACC" dataDxfId="6"/>
    <tableColumn id="2" xr3:uid="{A19A3D2C-A761-4CEF-912D-511098AF6EC0}" name="g" dataDxfId="5"/>
    <tableColumn id="3" xr3:uid="{A13D66CE-EBB0-4A25-BF78-A2056212116D}" name="E.V." dataDxfId="4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D11632-449E-43DE-ABB6-C437CCF91F05}" name="Table11" displayName="Table11" ref="F1:H5" totalsRowShown="0">
  <autoFilter ref="F1:H5" xr:uid="{D2D11632-449E-43DE-ABB6-C437CCF91F05}"/>
  <tableColumns count="3">
    <tableColumn id="1" xr3:uid="{1F1D43E9-C614-4061-83C8-21BC8912DE66}" name="WACC" dataDxfId="3"/>
    <tableColumn id="2" xr3:uid="{47E59876-1843-49FE-A631-DB2B367CBE8B}" name="g" dataDxfId="2"/>
    <tableColumn id="3" xr3:uid="{E6FE06B0-4E5B-41DD-9835-1B2E77470D3A}" name="E.V.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52E02F-F59D-4577-94BE-99A3483FE64D}" name="Table14" displayName="Table14" ref="F1:H4" totalsRowShown="0">
  <autoFilter ref="F1:H4" xr:uid="{9B52E02F-F59D-4577-94BE-99A3483FE64D}"/>
  <tableColumns count="3">
    <tableColumn id="1" xr3:uid="{064F8197-78B9-4B33-850E-16DBE700F244}" name="WACC" dataDxfId="70"/>
    <tableColumn id="2" xr3:uid="{A7296F08-4D17-42C1-8E8E-67952C6AE19C}" name="g" dataDxfId="69"/>
    <tableColumn id="3" xr3:uid="{08470A0C-0FFB-482A-B759-EA3AD23FB205}" name="Equity Share Price" dataDxfId="6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565F1-4C0D-4A9F-9641-7C29BD891099}" name="Table1" displayName="Table1" ref="A2:E9" totalsRowShown="0">
  <autoFilter ref="A2:E9" xr:uid="{90A565F1-4C0D-4A9F-9641-7C29BD891099}"/>
  <tableColumns count="5">
    <tableColumn id="1" xr3:uid="{A74191B2-0E0F-4058-8F6F-EB5491088EFF}" name="31/12/2023"/>
    <tableColumn id="2" xr3:uid="{B88F7AB2-287A-41C7-B7F4-455F139197D4}" name="PBV"/>
    <tableColumn id="3" xr3:uid="{5049C845-1D8D-49F4-80E5-C6BF6798F56C}" name="P/E"/>
    <tableColumn id="4" xr3:uid="{A524A816-0522-4E47-A01C-FBE354F3E742}" name="EV/EBITDA"/>
    <tableColumn id="5" xr3:uid="{18EEA90C-681C-4D85-89F5-38BD7AE79346}" name="EV/REV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68C3D-A416-4FF3-BE4F-60762D866B7E}" name="Table13" displayName="Table13" ref="A1:D5" totalsRowCount="1">
  <autoFilter ref="A1:D4" xr:uid="{6A109ECD-E544-4DB4-8DFA-8C7C7B6CA4DB}"/>
  <tableColumns count="4">
    <tableColumn id="1" xr3:uid="{C196D14A-1405-439B-BFFE-BBE5C43CA9EA}" name="Sales by Product Division 2023" totalsRowCellStyle="Normal 4"/>
    <tableColumn id="2" xr3:uid="{96742CAF-AD8D-4490-A825-495A3E7D81DD}" name="No of Sales" totalsRowFunction="custom" dataDxfId="61" totalsRowDxfId="60" totalsRowCellStyle="Normal 4">
      <totalsRowFormula>SUM(Table13[No of Sales])</totalsRowFormula>
    </tableColumn>
    <tableColumn id="3" xr3:uid="{A3D07A75-608E-4EEB-8C91-3A2B4FEA1923}" name="Percentage of total sales" dataDxfId="59" totalsRowDxfId="58" totalsRowCellStyle="Normal 4"/>
    <tableColumn id="4" xr3:uid="{39FE42D8-86C9-418E-B651-7E84B132DF5C}" name="g" dataDxfId="57" totalsRowDxfId="56" totalsRowCellStyle="Normal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F9C65-2F0E-46C7-B26A-2B0C5DE65A06}" name="Table2" displayName="Table2" ref="G1:J5" totalsRowCount="1">
  <autoFilter ref="G1:J4" xr:uid="{73151675-0D53-40D3-BA1A-E63AF893937D}"/>
  <tableColumns count="4">
    <tableColumn id="1" xr3:uid="{88FA3C2D-BF65-4787-833E-DE444D88E4D8}" name="Sales by Regions 2023" totalsRowCellStyle="Normal 4"/>
    <tableColumn id="2" xr3:uid="{8F091CD9-170A-42D8-9CB5-3C4D710E9614}" name="No of Sales" totalsRowFunction="custom" dataDxfId="55" totalsRowDxfId="54" totalsRowCellStyle="Normal 4">
      <totalsRowFormula>SUM(Table2[No of Sales])</totalsRowFormula>
    </tableColumn>
    <tableColumn id="3" xr3:uid="{AE3FC7EF-BE64-45CD-A9D7-53724887CA71}" name="Percentage of total sales" totalsRowFunction="custom" dataDxfId="53" totalsRowDxfId="52" totalsRowCellStyle="Normal 4">
      <totalsRowFormula>SUM(Table2[Percentage of total sales])</totalsRowFormula>
    </tableColumn>
    <tableColumn id="4" xr3:uid="{88CFC724-7DFA-498F-AA5A-9C977ACA2F51}" name="g" dataDxfId="51" totalsRowDxfId="50" totalsRowCellStyle="Normal 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87D71C-8AEA-4DEE-B0F9-C2ACDFE19B3F}" name="Table3" displayName="Table3" ref="A1:K5" totalsRowShown="0">
  <autoFilter ref="A1:K5" xr:uid="{86CBE607-C8A3-4719-839F-76A5419D5A61}"/>
  <tableColumns count="11">
    <tableColumn id="1" xr3:uid="{3C486AD3-5A0B-4592-A3AA-C60755C984B8}" name="Column1"/>
    <tableColumn id="2" xr3:uid="{1F2B7394-ADC4-4345-AE72-0CCBA894FD19}" name="FY 2014" dataDxfId="49"/>
    <tableColumn id="3" xr3:uid="{7025E63B-6C1F-4A92-B028-5238538F8FE7}" name="FY 2015" dataDxfId="48"/>
    <tableColumn id="4" xr3:uid="{124A67BA-9134-4703-B40C-C61BAD2DFCFB}" name="FY 2016" dataDxfId="47"/>
    <tableColumn id="5" xr3:uid="{AA4E275E-9E2F-4362-A455-CAAE6681E4D1}" name="FY 2017" dataDxfId="46"/>
    <tableColumn id="6" xr3:uid="{D1133E09-8EB0-4373-917D-3CCE6E71E0EF}" name="FY 2018" dataDxfId="45"/>
    <tableColumn id="7" xr3:uid="{15891C12-2585-4467-9262-2D2AE965CE5B}" name="FY 2019" dataDxfId="44"/>
    <tableColumn id="8" xr3:uid="{A442C2B4-2F8B-4234-BE32-C4EA7D91AD8A}" name="FY 2020" dataDxfId="43"/>
    <tableColumn id="9" xr3:uid="{489B95C0-8EF4-4F4F-A77A-E53EC6E7A743}" name="FY 2021" dataDxfId="42"/>
    <tableColumn id="10" xr3:uid="{F235784A-F916-407C-BB1D-8C82FCE8D7B4}" name="FY 2022" dataDxfId="41"/>
    <tableColumn id="11" xr3:uid="{648BA895-B5E0-45EC-BA9B-AC343F61E58B}" name="FY 2023" dataDxfId="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18F08D-0EB9-40A6-93EE-8FB8A9688EA6}" name="Table311" displayName="Table311" ref="A26:K30" totalsRowShown="0">
  <autoFilter ref="A26:K30" xr:uid="{0118F08D-0EB9-40A6-93EE-8FB8A9688EA6}"/>
  <tableColumns count="11">
    <tableColumn id="1" xr3:uid="{BC175F11-D3F2-4281-A7B1-C11992F19C33}" name="Column1"/>
    <tableColumn id="2" xr3:uid="{BC0ECC10-FC3C-4DDD-8CB4-1AD85CC63EE8}" name="FY 2014" dataDxfId="39"/>
    <tableColumn id="3" xr3:uid="{7E9610BE-3359-4E82-9173-89A599AE5DFE}" name="FY 2015" dataDxfId="38"/>
    <tableColumn id="4" xr3:uid="{A9D2D14A-37B8-4375-9B95-28AA3F37F308}" name="FY 2016" dataDxfId="37"/>
    <tableColumn id="5" xr3:uid="{B944E33F-A02A-438E-A852-65D30AE496D2}" name="FY 2017" dataDxfId="36"/>
    <tableColumn id="6" xr3:uid="{111D0D04-CE5C-43AB-93CA-B2F6ACC2D315}" name="FY 2018" dataDxfId="35"/>
    <tableColumn id="7" xr3:uid="{1BAE4392-9B5D-481B-A298-8600044BF6F6}" name="FY 2019" dataDxfId="34"/>
    <tableColumn id="8" xr3:uid="{CD9CBCDA-6336-4E13-ADED-B9D6719C4454}" name="FY 2020" dataDxfId="33"/>
    <tableColumn id="9" xr3:uid="{54D2183C-0540-48B2-82EB-1EACFD6229C2}" name="FY 2021" dataDxfId="32"/>
    <tableColumn id="10" xr3:uid="{271315B3-E6B1-4CC3-9C39-6D53262C863D}" name="FY 2022" dataDxfId="31"/>
    <tableColumn id="11" xr3:uid="{9A88C4BE-50A7-4D02-9745-EB9D9730F1A1}" name="FY 2023" dataDxfId="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ED0A9-0E14-4103-B2CC-7C1050247BB3}" name="Table7" displayName="Table7" ref="A1:K4" totalsRowShown="0">
  <autoFilter ref="A1:K4" xr:uid="{C64ED0A9-0E14-4103-B2CC-7C1050247BB3}"/>
  <tableColumns count="11">
    <tableColumn id="1" xr3:uid="{0D680837-F2A9-4489-BD68-8115A5454DD9}" name="Column1"/>
    <tableColumn id="11" xr3:uid="{D34B2378-311A-440A-A863-5E19D052603A}" name="FY2014"/>
    <tableColumn id="12" xr3:uid="{5BA60C6C-460F-495D-B79C-032C2339C23D}" name="FY2015"/>
    <tableColumn id="9" xr3:uid="{FE29BDDA-9821-4A78-A8F4-6842659C79A1}" name="FY2016"/>
    <tableColumn id="10" xr3:uid="{D601480E-F148-4CA8-B7A2-6E21E811EF7C}" name="FY2017"/>
    <tableColumn id="7" xr3:uid="{0F665ED3-B50E-4404-ABA2-7F6ACF4921BA}" name="FY2018"/>
    <tableColumn id="2" xr3:uid="{ECE185BB-A632-408F-8732-F9D0E185BCE6}" name="FY20192" dataDxfId="29"/>
    <tableColumn id="3" xr3:uid="{96E0496F-B7FB-4067-8B21-619C9B9BC24F}" name="FY2020" dataDxfId="28"/>
    <tableColumn id="4" xr3:uid="{2D8A6E1F-3DEF-476B-A2A1-FE9CB88B2B04}" name="FY2021" dataDxfId="27"/>
    <tableColumn id="5" xr3:uid="{ADEAE6C5-CB2F-4AE8-88B1-5F99E8660A35}" name="FY2022" dataDxfId="26"/>
    <tableColumn id="6" xr3:uid="{654F74C3-CDD9-4BEB-BEAB-2C0514EA41A2}" name="FY2023" dataDxfId="2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133DE3-2489-45E9-B19A-2E83E5DE94E6}" name="Table8" displayName="Table8" ref="A1:B5" totalsRowShown="0">
  <autoFilter ref="A1:B5" xr:uid="{08133DE3-2489-45E9-B19A-2E83E5DE94E6}"/>
  <tableColumns count="2">
    <tableColumn id="1" xr3:uid="{2B282E07-8DF4-4FC2-AC1B-F866EFEC151F}" name="BASE OF EMPLOYEES" dataDxfId="24" dataCellStyle="Percent"/>
    <tableColumn id="2" xr3:uid="{5A01CB82-4402-426D-B065-1F44AEAB030A}" name="PERCENTAGE" dataDxfId="23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0-10-23T12:34:28.58" personId="{727F9CE6-DDF7-4232-8D05-043388440A44}" id="{D3DDA610-2A0D-4C1A-837E-26C1DF58CB59}">
    <text>Terminal Value</text>
  </threadedComment>
  <threadedComment ref="I5" dT="2020-10-26T12:45:35.92" personId="{727F9CE6-DDF7-4232-8D05-043388440A44}" id="{6748CA04-D576-4503-BD83-8172F6820CB4}">
    <text>This is also called levered beta</text>
  </threadedComment>
  <threadedComment ref="A10" dT="2020-10-26T12:22:37.68" personId="{727F9CE6-DDF7-4232-8D05-043388440A44}" id="{CE79AC87-9719-438B-83CC-84901FB6D95D}">
    <text>*Note FCF calculation is identical from Week 4 Support Class</text>
  </threadedComment>
  <threadedComment ref="G12" dT="2021-11-19T15:01:00.92" personId="{3DF5D747-C666-4D18-BC4A-A6BCADC1CDC7}" id="{9EDC46D3-5559-4ECC-8F11-4E7B82C707EB}">
    <text>Growth Rate (g) = Long Term Inflation + Expected real growth of FCF in perpetuity = 2% + 0% = 2%</text>
  </threadedComment>
  <threadedComment ref="I12" dT="2020-10-26T12:49:37.49" personId="{727F9CE6-DDF7-4232-8D05-043388440A44}" id="{7A72DA32-1CE3-4ADF-8D21-3C18CFAE8EF9}">
    <text>This is also called unlevered Beta</text>
  </threadedComment>
  <threadedComment ref="H17" dT="2020-10-23T12:51:56.98" personId="{727F9CE6-DDF7-4232-8D05-043388440A44}" id="{9929EDFC-C57F-4271-A51D-F74DA17620A1}">
    <text>Terminal Value Discounted Cash Flow / Enterprise Value</text>
  </threadedComment>
  <threadedComment ref="E18" dT="2023-11-21T16:11:37.92" personId="{9CA11430-C309-479F-9C94-D0C52E641F46}" id="{3A232F2A-9632-4EAB-9CE5-C86EE1845673}">
    <text>Δίνονται όσα είναι με κόκκινο</text>
  </threadedComment>
  <threadedComment ref="A20" dT="2024-07-10T06:44:27.18" personId="{3B78A472-AC45-41F8-A088-74A281A0F39E}" id="{55F65C48-50F6-4674-AA12-7E8C7E775A9F}">
    <text>Short term investing+ long term +investing activities from Cash Flow</text>
  </threadedComment>
  <threadedComment ref="D23" dT="2023-11-21T16:23:06.10" personId="{9CA11430-C309-479F-9C94-D0C52E641F46}" id="{2B9B12D4-98F4-48C8-BF1A-D8103C7451AC}">
    <text>Or intristic value</text>
  </threadedComment>
  <threadedComment ref="A25" dT="2023-11-21T16:25:53.44" personId="{9CA11430-C309-479F-9C94-D0C52E641F46}" id="{EDCBDB22-56CD-448A-98E3-B70BD90A804D}">
    <text>The precentage difference between price 1 and price 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9" dT="2024-07-29T16:09:33.50" personId="{3B78A472-AC45-41F8-A088-74A281A0F39E}" id="{D12A62BA-B3E6-4DC8-BBFE-835308271D89}">
    <text>EBIT/Interest Expenses</text>
  </threadedComment>
  <threadedComment ref="A18" dT="2024-07-30T17:42:40.80" personId="{3B78A472-AC45-41F8-A088-74A281A0F39E}" id="{CF1ADB7C-FFCF-4178-9B3B-9747F80AA793}">
    <text>Net debt= total debt-cash &amp; equivalents</text>
  </threadedComment>
  <threadedComment ref="B18" dT="2024-07-30T17:47:04.29" personId="{3B78A472-AC45-41F8-A088-74A281A0F39E}" id="{424BEE74-15C6-42DB-947F-1D74EAE91E13}">
    <text>Ratio &lt; 3 this means that Puma it is able to repay its debt obligations</text>
  </threadedComment>
  <threadedComment ref="A19" dT="2024-07-31T08:44:26.72" personId="{3B78A472-AC45-41F8-A088-74A281A0F39E}" id="{E18845A1-05E5-42EE-A250-2B9534515F32}">
    <text>Puma Investors</text>
  </threadedComment>
  <threadedComment ref="A20" dT="2024-07-31T08:44:36.71" personId="{3B78A472-AC45-41F8-A088-74A281A0F39E}" id="{4077742C-9C34-47FF-A610-7F3725BAACE2}">
    <text>Puma Investors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showGridLines="0" tabSelected="1" zoomScaleNormal="100" workbookViewId="0">
      <pane xSplit="1" ySplit="3" topLeftCell="B19" activePane="bottomRight" state="frozen"/>
      <selection pane="topRight" activeCell="E1" sqref="E1"/>
      <selection pane="bottomLeft" activeCell="A4" sqref="A4"/>
      <selection pane="bottomRight" activeCell="K7" sqref="K7"/>
    </sheetView>
  </sheetViews>
  <sheetFormatPr defaultColWidth="9.21875" defaultRowHeight="14.4"/>
  <cols>
    <col min="1" max="1" width="36.77734375" bestFit="1" customWidth="1"/>
    <col min="2" max="2" width="7" bestFit="1" customWidth="1"/>
    <col min="3" max="3" width="8.77734375" bestFit="1" customWidth="1"/>
    <col min="4" max="4" width="14.21875" customWidth="1"/>
    <col min="5" max="5" width="16.77734375" customWidth="1"/>
    <col min="6" max="6" width="7" bestFit="1" customWidth="1"/>
    <col min="7" max="7" width="21.21875" customWidth="1"/>
    <col min="8" max="8" width="13.5546875" bestFit="1" customWidth="1"/>
    <col min="9" max="9" width="34.44140625" customWidth="1"/>
    <col min="10" max="10" width="8.5546875" bestFit="1" customWidth="1"/>
    <col min="11" max="11" width="9.6640625" bestFit="1" customWidth="1"/>
  </cols>
  <sheetData>
    <row r="1" spans="1:10">
      <c r="A1" s="59" t="s">
        <v>24</v>
      </c>
      <c r="C1" s="150" t="s">
        <v>14</v>
      </c>
      <c r="D1" s="151"/>
      <c r="E1" s="151"/>
      <c r="F1" s="151"/>
      <c r="G1" s="152"/>
    </row>
    <row r="2" spans="1:10" ht="15" thickBot="1">
      <c r="C2" s="2">
        <v>0.03</v>
      </c>
      <c r="D2" s="3">
        <v>-0.02</v>
      </c>
      <c r="E2" s="3">
        <v>-0.01</v>
      </c>
      <c r="F2" s="3">
        <v>0.01</v>
      </c>
      <c r="G2" s="4">
        <v>0.01</v>
      </c>
    </row>
    <row r="3" spans="1:10" ht="15" thickBot="1">
      <c r="A3" s="21" t="s">
        <v>16</v>
      </c>
      <c r="B3" s="23">
        <v>2023</v>
      </c>
      <c r="C3" s="22">
        <v>2024</v>
      </c>
      <c r="D3" s="23">
        <v>2025</v>
      </c>
      <c r="E3" s="22">
        <v>2026</v>
      </c>
      <c r="F3" s="23">
        <v>2027</v>
      </c>
      <c r="G3" s="94">
        <v>2028</v>
      </c>
      <c r="H3" s="23" t="s">
        <v>15</v>
      </c>
      <c r="I3" s="71" t="s">
        <v>22</v>
      </c>
      <c r="J3" s="72" t="s">
        <v>26</v>
      </c>
    </row>
    <row r="4" spans="1:10">
      <c r="A4" s="24" t="s">
        <v>0</v>
      </c>
      <c r="B4" s="25">
        <v>8601.7000000000007</v>
      </c>
      <c r="C4" s="26">
        <f>B4+(B4*C2)</f>
        <v>8859.7510000000002</v>
      </c>
      <c r="D4" s="26">
        <f t="shared" ref="D4:G4" si="0">C4+(C4*D2)</f>
        <v>8682.555980000001</v>
      </c>
      <c r="E4" s="26">
        <f t="shared" si="0"/>
        <v>8595.7304202000014</v>
      </c>
      <c r="F4" s="26">
        <f t="shared" si="0"/>
        <v>8681.6877244020015</v>
      </c>
      <c r="G4" s="26">
        <f t="shared" si="0"/>
        <v>8768.5046016460219</v>
      </c>
      <c r="H4" s="27"/>
      <c r="I4" s="61" t="s">
        <v>37</v>
      </c>
      <c r="J4" s="68">
        <v>2.4E-2</v>
      </c>
    </row>
    <row r="5" spans="1:10">
      <c r="A5" s="28" t="s">
        <v>1</v>
      </c>
      <c r="B5" s="29"/>
      <c r="C5" s="30">
        <f>+C4*C30</f>
        <v>708.78008</v>
      </c>
      <c r="D5" s="30">
        <f>+D4*D30</f>
        <v>716.31086835000008</v>
      </c>
      <c r="E5" s="30">
        <f>+E4*E30</f>
        <v>730.63708571700022</v>
      </c>
      <c r="F5" s="30">
        <f>+F4*F30</f>
        <v>759.6476758851752</v>
      </c>
      <c r="G5" s="30">
        <f>+G4*G30</f>
        <v>789.16541414814208</v>
      </c>
      <c r="H5" s="27"/>
      <c r="I5" s="61" t="s">
        <v>36</v>
      </c>
      <c r="J5" s="100">
        <v>1.1200000000000001</v>
      </c>
    </row>
    <row r="6" spans="1:10">
      <c r="A6" s="31" t="s">
        <v>2</v>
      </c>
      <c r="B6" s="29"/>
      <c r="C6" s="30">
        <f>+C5*$C$29</f>
        <v>177.19502</v>
      </c>
      <c r="D6" s="30">
        <f>+D5*$C$29</f>
        <v>179.07771708750002</v>
      </c>
      <c r="E6" s="30">
        <f>+E5*$C$29</f>
        <v>182.65927142925005</v>
      </c>
      <c r="F6" s="30">
        <f>+F5*$C$29</f>
        <v>189.9119189712938</v>
      </c>
      <c r="G6" s="30">
        <f>+G5*$C$29</f>
        <v>197.29135353703552</v>
      </c>
      <c r="H6" s="27"/>
      <c r="I6" s="61" t="s">
        <v>35</v>
      </c>
      <c r="J6" s="68">
        <v>6.6000000000000003E-2</v>
      </c>
    </row>
    <row r="7" spans="1:10">
      <c r="A7" s="31" t="s">
        <v>3</v>
      </c>
      <c r="B7" s="29"/>
      <c r="C7" s="30">
        <f>+C31*C4</f>
        <v>354.39004</v>
      </c>
      <c r="D7" s="30">
        <f>+D31*D4</f>
        <v>347.30223920000003</v>
      </c>
      <c r="E7" s="30">
        <f>+E31*E4</f>
        <v>343.82921680800007</v>
      </c>
      <c r="F7" s="30">
        <f>+F31*F4</f>
        <v>347.26750897608008</v>
      </c>
      <c r="G7" s="32">
        <f>+G31*G4</f>
        <v>350.74018406584088</v>
      </c>
      <c r="H7" s="27"/>
      <c r="I7" s="61" t="s">
        <v>34</v>
      </c>
      <c r="J7" s="69">
        <v>2.5000000000000001E-2</v>
      </c>
    </row>
    <row r="8" spans="1:10" ht="15" thickBot="1">
      <c r="A8" s="31" t="s">
        <v>4</v>
      </c>
      <c r="B8" s="29"/>
      <c r="C8" s="30">
        <f>C32*C4</f>
        <v>310.09128500000003</v>
      </c>
      <c r="D8" s="30">
        <f>D32*D4</f>
        <v>273.50051337000002</v>
      </c>
      <c r="E8" s="30">
        <f>E32*E4</f>
        <v>240.68045176560005</v>
      </c>
      <c r="F8" s="30">
        <f>F32*F4</f>
        <v>212.70134924784904</v>
      </c>
      <c r="G8" s="32">
        <f>+G7</f>
        <v>350.74018406584088</v>
      </c>
      <c r="H8" s="27"/>
      <c r="I8" s="61" t="s">
        <v>33</v>
      </c>
      <c r="J8" s="68">
        <v>0.25</v>
      </c>
    </row>
    <row r="9" spans="1:10" ht="15" thickBot="1">
      <c r="A9" s="31" t="s">
        <v>5</v>
      </c>
      <c r="B9" s="29"/>
      <c r="C9" s="30">
        <f>+(C4-B4)*$C$33</f>
        <v>23.224589999999953</v>
      </c>
      <c r="D9" s="30">
        <f>+(D4-C4)*$C$33</f>
        <v>-15.947551799999928</v>
      </c>
      <c r="E9" s="30">
        <f>+(E4-D4)*$C$33</f>
        <v>-7.8143003819999644</v>
      </c>
      <c r="F9" s="30">
        <f>+(F4-E4)*$C$33</f>
        <v>7.7361573781800139</v>
      </c>
      <c r="G9" s="30">
        <f>+(G4-F4)*$C$33</f>
        <v>7.8135189519618322</v>
      </c>
      <c r="H9" s="33" t="s">
        <v>18</v>
      </c>
      <c r="I9" s="62" t="s">
        <v>27</v>
      </c>
      <c r="J9" s="95">
        <f>J4+(J5*J6)</f>
        <v>9.7920000000000007E-2</v>
      </c>
    </row>
    <row r="10" spans="1:10" ht="15" thickBot="1">
      <c r="A10" s="34" t="s">
        <v>20</v>
      </c>
      <c r="B10" s="33">
        <f t="shared" ref="B10:G10" si="1">+B5-B6+B7-B8-B9</f>
        <v>0</v>
      </c>
      <c r="C10" s="33">
        <f>+C5-C6+C7-C8-C9</f>
        <v>552.65922499999999</v>
      </c>
      <c r="D10" s="33">
        <f>D5-D6+D7-D8-D9</f>
        <v>626.98242889250002</v>
      </c>
      <c r="E10" s="33">
        <f t="shared" si="1"/>
        <v>658.94087971215004</v>
      </c>
      <c r="F10" s="33">
        <f>+F5-F6+F7-F8-F9</f>
        <v>696.56575926393248</v>
      </c>
      <c r="G10" s="33">
        <f t="shared" si="1"/>
        <v>584.06054165914486</v>
      </c>
      <c r="H10" s="60">
        <f>G10*(1+H12)/(H11-H12)</f>
        <v>8870.6939409885144</v>
      </c>
      <c r="I10" s="62" t="s">
        <v>28</v>
      </c>
      <c r="J10" s="95">
        <f>(J4+J7)* (1-J8)</f>
        <v>3.6750000000000005E-2</v>
      </c>
    </row>
    <row r="11" spans="1:10" ht="15" thickBot="1">
      <c r="A11" s="65"/>
      <c r="B11" s="36"/>
      <c r="C11" s="37"/>
      <c r="D11" s="37"/>
      <c r="E11" s="38"/>
      <c r="F11" s="39"/>
      <c r="G11" s="64" t="s">
        <v>25</v>
      </c>
      <c r="H11" s="66">
        <v>7.6499999999999999E-2</v>
      </c>
      <c r="I11" s="62" t="s">
        <v>23</v>
      </c>
      <c r="J11" s="74">
        <v>0.35</v>
      </c>
    </row>
    <row r="12" spans="1:10" ht="15" thickBot="1">
      <c r="A12" s="40"/>
      <c r="B12" s="36"/>
      <c r="C12" s="36"/>
      <c r="D12" s="36"/>
      <c r="F12" s="36"/>
      <c r="G12" s="41" t="s">
        <v>30</v>
      </c>
      <c r="H12" s="67">
        <v>0.01</v>
      </c>
      <c r="I12" s="63" t="s">
        <v>38</v>
      </c>
      <c r="J12" s="70">
        <v>1.2</v>
      </c>
    </row>
    <row r="13" spans="1:10" ht="15" thickBot="1">
      <c r="A13" s="40"/>
      <c r="B13" s="36"/>
      <c r="C13" s="36"/>
      <c r="D13" s="36"/>
      <c r="E13" s="36"/>
      <c r="F13" s="36"/>
      <c r="G13" s="41"/>
      <c r="H13" s="42"/>
      <c r="I13" s="40" t="s">
        <v>31</v>
      </c>
      <c r="J13" s="99">
        <v>0.02</v>
      </c>
    </row>
    <row r="14" spans="1:10" ht="15" thickBot="1">
      <c r="A14" s="43" t="s">
        <v>19</v>
      </c>
      <c r="B14" s="44"/>
      <c r="C14" s="45">
        <v>0</v>
      </c>
      <c r="D14" s="44">
        <f>+C14+1</f>
        <v>1</v>
      </c>
      <c r="E14" s="44">
        <f t="shared" ref="E14:G14" si="2">+D14+1</f>
        <v>2</v>
      </c>
      <c r="F14" s="44">
        <f t="shared" si="2"/>
        <v>3</v>
      </c>
      <c r="G14" s="44">
        <f t="shared" si="2"/>
        <v>4</v>
      </c>
      <c r="H14" s="46">
        <f>+G14</f>
        <v>4</v>
      </c>
      <c r="I14" s="15" t="s">
        <v>32</v>
      </c>
      <c r="J14" s="98">
        <v>0</v>
      </c>
    </row>
    <row r="15" spans="1:10">
      <c r="A15" s="54" t="s">
        <v>6</v>
      </c>
      <c r="B15" s="55"/>
      <c r="C15" s="55">
        <f t="shared" ref="C15:H15" si="3">1/((1+$H$11)^(C14))</f>
        <v>1</v>
      </c>
      <c r="D15" s="55">
        <f t="shared" si="3"/>
        <v>0.92893636785880163</v>
      </c>
      <c r="E15" s="55">
        <f t="shared" si="3"/>
        <v>0.86292277553070285</v>
      </c>
      <c r="F15" s="55">
        <f t="shared" si="3"/>
        <v>0.80160034884412712</v>
      </c>
      <c r="G15" s="55">
        <f t="shared" si="3"/>
        <v>0.7446357165296118</v>
      </c>
      <c r="H15" s="56">
        <f t="shared" si="3"/>
        <v>0.7446357165296118</v>
      </c>
    </row>
    <row r="16" spans="1:10" ht="15" thickBot="1">
      <c r="A16" s="47" t="s">
        <v>7</v>
      </c>
      <c r="B16" s="27"/>
      <c r="C16" s="27">
        <f>IF(C14=0,0,+C10*C15)</f>
        <v>0</v>
      </c>
      <c r="D16" s="27">
        <f>IF(D14=0,0,+D10*D15)</f>
        <v>582.42678020668836</v>
      </c>
      <c r="E16" s="27">
        <f>IF(E14=0,0,+E10*E15)</f>
        <v>568.61509283185148</v>
      </c>
      <c r="F16" s="27">
        <f>IF(F14=0,0,+F10*F15)</f>
        <v>558.36735561884257</v>
      </c>
      <c r="G16" s="27">
        <f>IF(G14=0,0,+G10*G15)</f>
        <v>434.9123399350305</v>
      </c>
      <c r="H16" s="48">
        <f>+H10*H15</f>
        <v>6605.4355388628683</v>
      </c>
    </row>
    <row r="17" spans="1:11" ht="15" thickBot="1">
      <c r="A17" s="49" t="s">
        <v>39</v>
      </c>
      <c r="B17" s="76"/>
      <c r="C17" s="35">
        <f>SUM(C16:H16)</f>
        <v>8749.7571074552816</v>
      </c>
      <c r="D17" s="75"/>
      <c r="E17" s="50"/>
      <c r="F17" s="50"/>
      <c r="G17" s="50"/>
      <c r="H17" s="51">
        <f>+H16/C17</f>
        <v>0.75492787488176882</v>
      </c>
      <c r="I17" s="73"/>
      <c r="K17" t="s">
        <v>8</v>
      </c>
    </row>
    <row r="18" spans="1:11">
      <c r="A18" s="77" t="str">
        <f>"-Net Debt"</f>
        <v>-Net Debt</v>
      </c>
      <c r="B18" s="76"/>
      <c r="C18" s="96">
        <v>-31</v>
      </c>
      <c r="D18" s="97"/>
      <c r="E18" s="97" t="s">
        <v>46</v>
      </c>
      <c r="F18" s="97">
        <f>145.9+437.5</f>
        <v>583.4</v>
      </c>
      <c r="G18" s="27"/>
      <c r="H18" s="75"/>
      <c r="I18" s="91"/>
      <c r="K18" t="s">
        <v>42</v>
      </c>
    </row>
    <row r="19" spans="1:11">
      <c r="A19" s="78" t="str">
        <f>"-Minority Interest"</f>
        <v>-Minority Interest</v>
      </c>
      <c r="B19" s="76"/>
      <c r="C19" s="81">
        <v>56</v>
      </c>
      <c r="D19" s="97"/>
      <c r="E19" s="97" t="s">
        <v>47</v>
      </c>
      <c r="F19" s="97">
        <v>0</v>
      </c>
      <c r="G19" s="27"/>
      <c r="H19" s="75"/>
      <c r="I19" s="90"/>
      <c r="K19" t="s">
        <v>43</v>
      </c>
    </row>
    <row r="20" spans="1:11" ht="16.2" thickBot="1">
      <c r="A20" s="79" t="str">
        <f>"+Financial Investments"</f>
        <v>+Financial Investments</v>
      </c>
      <c r="B20" s="76"/>
      <c r="C20" s="81">
        <f>99.4+83.6-36.3</f>
        <v>146.69999999999999</v>
      </c>
      <c r="D20" s="97"/>
      <c r="E20" s="97" t="s">
        <v>48</v>
      </c>
      <c r="F20" s="97">
        <v>552.9</v>
      </c>
      <c r="G20" s="27"/>
      <c r="H20" s="75"/>
      <c r="I20" s="90"/>
      <c r="K20" t="s">
        <v>44</v>
      </c>
    </row>
    <row r="21" spans="1:11" ht="16.2" thickBot="1">
      <c r="A21" s="86" t="s">
        <v>87</v>
      </c>
      <c r="B21" s="76"/>
      <c r="C21" s="33">
        <f>C17-C18-C19+C20</f>
        <v>8871.4571074552823</v>
      </c>
      <c r="D21" s="27"/>
      <c r="E21" s="27"/>
      <c r="F21" s="27"/>
      <c r="G21" s="27"/>
      <c r="H21" s="75"/>
      <c r="I21" s="92"/>
      <c r="K21" t="s">
        <v>45</v>
      </c>
    </row>
    <row r="22" spans="1:11" ht="16.2" thickBot="1">
      <c r="A22" s="79" t="s">
        <v>40</v>
      </c>
      <c r="B22" s="76"/>
      <c r="C22" s="81">
        <v>149</v>
      </c>
      <c r="D22" s="97"/>
      <c r="E22" s="27"/>
      <c r="F22" s="27"/>
      <c r="G22" s="27"/>
      <c r="H22" s="75"/>
      <c r="I22" s="90"/>
    </row>
    <row r="23" spans="1:11" ht="16.2" thickBot="1">
      <c r="A23" s="86" t="s">
        <v>88</v>
      </c>
      <c r="B23" s="76"/>
      <c r="C23" s="82">
        <f>C21/C22</f>
        <v>59.539980586948204</v>
      </c>
      <c r="D23" s="153" t="s">
        <v>49</v>
      </c>
      <c r="E23" s="154"/>
      <c r="F23" s="154"/>
      <c r="G23" s="154"/>
      <c r="H23" s="155"/>
      <c r="I23" s="92"/>
    </row>
    <row r="24" spans="1:11" ht="16.2" thickBot="1">
      <c r="A24" s="80" t="s">
        <v>29</v>
      </c>
      <c r="B24" s="76"/>
      <c r="C24" s="89">
        <v>43.15</v>
      </c>
      <c r="D24" s="97"/>
      <c r="E24" s="27"/>
      <c r="F24" s="27"/>
      <c r="G24" s="27"/>
      <c r="H24" s="75"/>
      <c r="I24" s="93"/>
    </row>
    <row r="25" spans="1:11" ht="16.2" thickBot="1">
      <c r="A25" s="21" t="s">
        <v>41</v>
      </c>
      <c r="C25" s="85">
        <f>(C23/C24)-1</f>
        <v>0.379837325305868</v>
      </c>
      <c r="D25" s="84" t="s">
        <v>50</v>
      </c>
      <c r="E25" s="40"/>
      <c r="F25" s="40"/>
      <c r="G25" s="40"/>
      <c r="H25" s="40"/>
    </row>
    <row r="26" spans="1:11" ht="24" thickBot="1">
      <c r="A26" s="88" t="s">
        <v>51</v>
      </c>
      <c r="C26" s="87" t="str">
        <f>IF(C23&lt;C24,"SELL","BUY")</f>
        <v>BUY</v>
      </c>
      <c r="D26" s="40"/>
      <c r="E26" s="40"/>
      <c r="F26" s="40"/>
      <c r="G26" s="40"/>
      <c r="H26" s="40"/>
    </row>
    <row r="27" spans="1:11" ht="15" thickBot="1">
      <c r="A27" s="40"/>
      <c r="C27" s="83"/>
      <c r="E27" s="40"/>
      <c r="F27" s="40"/>
      <c r="G27" s="40"/>
      <c r="H27" s="40"/>
      <c r="I27" s="73"/>
    </row>
    <row r="28" spans="1:11" ht="12.75" customHeight="1" thickBot="1">
      <c r="A28" s="52" t="s">
        <v>17</v>
      </c>
      <c r="B28" s="53"/>
      <c r="C28" s="53"/>
      <c r="D28" s="53"/>
      <c r="E28" s="53"/>
      <c r="F28" s="53"/>
      <c r="G28" s="53"/>
      <c r="H28" s="58" t="s">
        <v>21</v>
      </c>
    </row>
    <row r="29" spans="1:11">
      <c r="A29" s="11" t="s">
        <v>9</v>
      </c>
      <c r="B29" s="12"/>
      <c r="C29" s="6">
        <v>0.25</v>
      </c>
      <c r="D29" s="13"/>
      <c r="E29" s="13"/>
      <c r="F29" s="13"/>
      <c r="G29" s="14"/>
      <c r="H29" s="57"/>
      <c r="I29" s="73"/>
    </row>
    <row r="30" spans="1:11">
      <c r="A30" s="15" t="s">
        <v>10</v>
      </c>
      <c r="B30" s="1"/>
      <c r="C30" s="7">
        <v>0.08</v>
      </c>
      <c r="D30" s="7">
        <f>+C30+$H$30</f>
        <v>8.2500000000000004E-2</v>
      </c>
      <c r="E30" s="7">
        <f>+D30+$H$30</f>
        <v>8.5000000000000006E-2</v>
      </c>
      <c r="F30" s="7">
        <f t="shared" ref="F30:G30" si="4">+E30+$H$30</f>
        <v>8.7500000000000008E-2</v>
      </c>
      <c r="G30" s="8">
        <f t="shared" si="4"/>
        <v>9.0000000000000011E-2</v>
      </c>
      <c r="H30" s="9">
        <v>2.5000000000000001E-3</v>
      </c>
    </row>
    <row r="31" spans="1:11">
      <c r="A31" s="15" t="s">
        <v>11</v>
      </c>
      <c r="B31" s="1"/>
      <c r="C31" s="7">
        <v>0.04</v>
      </c>
      <c r="D31" s="7">
        <f t="shared" ref="D31:F31" si="5">+C31</f>
        <v>0.04</v>
      </c>
      <c r="E31" s="7">
        <f t="shared" si="5"/>
        <v>0.04</v>
      </c>
      <c r="F31" s="7">
        <f t="shared" si="5"/>
        <v>0.04</v>
      </c>
      <c r="G31" s="8">
        <f>+F31</f>
        <v>0.04</v>
      </c>
      <c r="H31" s="16"/>
    </row>
    <row r="32" spans="1:11">
      <c r="A32" s="15" t="s">
        <v>12</v>
      </c>
      <c r="B32" s="1"/>
      <c r="C32" s="7">
        <v>3.5000000000000003E-2</v>
      </c>
      <c r="D32" s="7">
        <f>+C32+$H$32</f>
        <v>3.15E-2</v>
      </c>
      <c r="E32" s="7">
        <f>+D32+$H$32</f>
        <v>2.8000000000000001E-2</v>
      </c>
      <c r="F32" s="7">
        <f t="shared" ref="F32" si="6">+E32+$H$32</f>
        <v>2.4500000000000001E-2</v>
      </c>
      <c r="G32" s="17"/>
      <c r="H32" s="9">
        <v>-3.5000000000000001E-3</v>
      </c>
      <c r="I32" s="73"/>
    </row>
    <row r="33" spans="1:8" ht="15" thickBot="1">
      <c r="A33" s="18" t="s">
        <v>13</v>
      </c>
      <c r="B33" s="5"/>
      <c r="C33" s="10">
        <v>0.09</v>
      </c>
      <c r="D33" s="10"/>
      <c r="E33" s="10"/>
      <c r="F33" s="10"/>
      <c r="G33" s="19"/>
      <c r="H33" s="20"/>
    </row>
  </sheetData>
  <mergeCells count="2">
    <mergeCell ref="C1:G1"/>
    <mergeCell ref="D23:H23"/>
  </mergeCells>
  <conditionalFormatting sqref="C2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DC97-ED9F-4F69-B194-D3471B7339EF}">
  <dimension ref="A1:K2"/>
  <sheetViews>
    <sheetView workbookViewId="0">
      <selection activeCell="Q10" sqref="Q10"/>
    </sheetView>
  </sheetViews>
  <sheetFormatPr defaultRowHeight="14.4"/>
  <cols>
    <col min="1" max="1" width="17.21875" bestFit="1" customWidth="1"/>
  </cols>
  <sheetData>
    <row r="1" spans="1:11">
      <c r="A1" t="s">
        <v>139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140</v>
      </c>
      <c r="H1" t="s">
        <v>122</v>
      </c>
      <c r="I1" t="s">
        <v>123</v>
      </c>
      <c r="J1" t="s">
        <v>124</v>
      </c>
      <c r="K1" t="s">
        <v>125</v>
      </c>
    </row>
    <row r="2" spans="1:11">
      <c r="A2" t="s">
        <v>138</v>
      </c>
      <c r="B2" s="136">
        <v>53.2</v>
      </c>
      <c r="C2" s="136">
        <v>38.4</v>
      </c>
      <c r="D2" s="136">
        <v>41</v>
      </c>
      <c r="E2" s="136">
        <v>42.6</v>
      </c>
      <c r="F2" s="136">
        <v>82.9</v>
      </c>
      <c r="G2" s="136">
        <v>111.8</v>
      </c>
      <c r="H2" s="136">
        <v>89.3</v>
      </c>
      <c r="I2" s="136">
        <v>146.9</v>
      </c>
      <c r="J2" s="136">
        <v>157.4</v>
      </c>
      <c r="K2" s="136">
        <v>181.3</v>
      </c>
    </row>
  </sheetData>
  <phoneticPr fontId="3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36F1-EB10-4F54-AE17-93489FA0FC34}">
  <dimension ref="A1:N28"/>
  <sheetViews>
    <sheetView topLeftCell="D13" workbookViewId="0">
      <selection activeCell="I24" sqref="I24"/>
    </sheetView>
  </sheetViews>
  <sheetFormatPr defaultRowHeight="14.4"/>
  <cols>
    <col min="1" max="1" width="29.88671875" bestFit="1" customWidth="1"/>
    <col min="2" max="11" width="10" bestFit="1" customWidth="1"/>
    <col min="12" max="12" width="12.109375" bestFit="1" customWidth="1"/>
  </cols>
  <sheetData>
    <row r="1" spans="1:12">
      <c r="A1" s="147" t="s">
        <v>111</v>
      </c>
      <c r="B1" s="147" t="s">
        <v>110</v>
      </c>
      <c r="C1" s="147" t="s">
        <v>109</v>
      </c>
      <c r="D1" s="147" t="s">
        <v>108</v>
      </c>
      <c r="E1" s="147" t="s">
        <v>107</v>
      </c>
      <c r="F1" s="147" t="s">
        <v>106</v>
      </c>
      <c r="G1" s="147" t="s">
        <v>105</v>
      </c>
      <c r="H1" s="147" t="s">
        <v>104</v>
      </c>
      <c r="I1" s="147" t="s">
        <v>103</v>
      </c>
      <c r="J1" s="147" t="s">
        <v>102</v>
      </c>
      <c r="K1" s="147" t="s">
        <v>101</v>
      </c>
      <c r="L1" s="122" t="s">
        <v>118</v>
      </c>
    </row>
    <row r="2" spans="1:12">
      <c r="A2" s="121" t="s">
        <v>112</v>
      </c>
      <c r="B2" s="123">
        <v>2.0453000000000001</v>
      </c>
      <c r="C2" s="123">
        <v>1.9145000000000001</v>
      </c>
      <c r="D2" s="123">
        <v>1.9726999999999999</v>
      </c>
      <c r="E2" s="123">
        <v>1.7842</v>
      </c>
      <c r="F2" s="123">
        <v>1.8347</v>
      </c>
      <c r="G2" s="123">
        <v>1.5915999999999999</v>
      </c>
      <c r="H2" s="123">
        <v>1.3953</v>
      </c>
      <c r="I2" s="123">
        <v>1.6123000000000001</v>
      </c>
      <c r="J2" s="123">
        <v>1.4775</v>
      </c>
      <c r="K2" s="123">
        <v>1.5494000000000001</v>
      </c>
      <c r="L2" s="123"/>
    </row>
    <row r="3" spans="1:12">
      <c r="A3" s="121" t="s">
        <v>113</v>
      </c>
      <c r="B3" s="123">
        <v>1.1478999999999999</v>
      </c>
      <c r="C3" s="123">
        <v>1.0213000000000001</v>
      </c>
      <c r="D3" s="123">
        <v>0.96220000000000006</v>
      </c>
      <c r="E3" s="123">
        <v>0.91049999999999998</v>
      </c>
      <c r="F3" s="123">
        <v>0.88349999999999995</v>
      </c>
      <c r="G3" s="123">
        <v>0.74490000000000001</v>
      </c>
      <c r="H3" s="123">
        <v>0.69750000000000001</v>
      </c>
      <c r="I3" s="123">
        <v>0.75570000000000004</v>
      </c>
      <c r="J3" s="123">
        <v>0.54510000000000003</v>
      </c>
      <c r="K3" s="123">
        <v>0.68259999999999998</v>
      </c>
      <c r="L3" s="123"/>
    </row>
    <row r="4" spans="1:12">
      <c r="A4" s="121" t="s">
        <v>117</v>
      </c>
      <c r="B4" s="123"/>
      <c r="C4" s="123"/>
      <c r="D4" s="123"/>
      <c r="E4" s="123"/>
      <c r="F4" s="123"/>
      <c r="G4" s="123">
        <v>922.3</v>
      </c>
      <c r="H4" s="123">
        <v>740.3</v>
      </c>
      <c r="I4" s="123">
        <v>1325.3</v>
      </c>
      <c r="J4" s="123">
        <v>2843</v>
      </c>
      <c r="K4" s="123">
        <v>2537.1999999999998</v>
      </c>
      <c r="L4" s="123"/>
    </row>
    <row r="5" spans="1:12">
      <c r="A5" s="121" t="s">
        <v>114</v>
      </c>
      <c r="B5" s="123">
        <v>53.583300000000001</v>
      </c>
      <c r="C5" s="123">
        <v>50.228700000000003</v>
      </c>
      <c r="D5" s="123">
        <v>49.566000000000003</v>
      </c>
      <c r="E5" s="123">
        <v>44.253799999999998</v>
      </c>
      <c r="F5" s="123">
        <v>41.515300000000003</v>
      </c>
      <c r="G5" s="123">
        <v>38.654600000000002</v>
      </c>
      <c r="H5" s="123">
        <v>43.096499999999999</v>
      </c>
      <c r="I5" s="123">
        <v>39.394100000000002</v>
      </c>
      <c r="J5" s="123">
        <v>41.240400000000001</v>
      </c>
      <c r="K5" s="123">
        <v>46.322499999999998</v>
      </c>
      <c r="L5" s="124">
        <f>AVERAGE(Table5[[#This Row],[FY 2014]:[FY 2023]])</f>
        <v>44.785519999999998</v>
      </c>
    </row>
    <row r="6" spans="1:12">
      <c r="A6" s="121" t="s">
        <v>115</v>
      </c>
      <c r="B6" s="123">
        <v>125.6923</v>
      </c>
      <c r="C6" s="123">
        <v>121.3736</v>
      </c>
      <c r="D6" s="123">
        <v>127.79259999999999</v>
      </c>
      <c r="E6" s="123">
        <v>125.2612</v>
      </c>
      <c r="F6" s="123">
        <v>128.83019999999999</v>
      </c>
      <c r="G6" s="123">
        <v>131.2654</v>
      </c>
      <c r="H6" s="123">
        <v>148.1849</v>
      </c>
      <c r="I6" s="123">
        <v>135.30600000000001</v>
      </c>
      <c r="J6" s="123">
        <v>149.4873</v>
      </c>
      <c r="K6" s="123">
        <v>160.12200000000001</v>
      </c>
      <c r="L6" s="124">
        <f>AVERAGE(Table5[[#This Row],[FY 2014]:[FY 2023]])</f>
        <v>135.33154999999999</v>
      </c>
    </row>
    <row r="7" spans="1:12">
      <c r="A7" s="121" t="s">
        <v>116</v>
      </c>
      <c r="B7" s="123">
        <v>99.037700000000001</v>
      </c>
      <c r="C7" s="123">
        <v>97.722999999999999</v>
      </c>
      <c r="D7" s="123">
        <v>99.0822</v>
      </c>
      <c r="E7" s="123">
        <v>99.898600000000002</v>
      </c>
      <c r="F7" s="123">
        <v>97.263300000000001</v>
      </c>
      <c r="G7" s="123">
        <v>93.889700000000005</v>
      </c>
      <c r="H7" s="123">
        <v>116.5008</v>
      </c>
      <c r="I7" s="123">
        <v>99.061099999999996</v>
      </c>
      <c r="J7" s="123">
        <v>99.962800000000001</v>
      </c>
      <c r="K7" s="123">
        <v>141.41399999999999</v>
      </c>
      <c r="L7" s="124">
        <f>AVERAGE(Table5[[#This Row],[FY 2014]:[FY 2023]])</f>
        <v>104.38332</v>
      </c>
    </row>
    <row r="15" spans="1:12" ht="15" thickBot="1">
      <c r="A15" s="120" t="s">
        <v>119</v>
      </c>
      <c r="B15" s="134" t="s">
        <v>110</v>
      </c>
      <c r="C15" s="134" t="s">
        <v>109</v>
      </c>
      <c r="D15" s="134" t="s">
        <v>108</v>
      </c>
      <c r="E15" s="134" t="s">
        <v>107</v>
      </c>
      <c r="F15" s="134" t="s">
        <v>106</v>
      </c>
      <c r="G15" s="134" t="s">
        <v>105</v>
      </c>
      <c r="H15" s="134" t="s">
        <v>104</v>
      </c>
      <c r="I15" s="134" t="s">
        <v>103</v>
      </c>
      <c r="J15" s="134" t="s">
        <v>102</v>
      </c>
      <c r="K15" s="134" t="s">
        <v>101</v>
      </c>
      <c r="L15" s="134" t="s">
        <v>118</v>
      </c>
    </row>
    <row r="16" spans="1:12" ht="15" thickTop="1">
      <c r="A16" s="125" t="s">
        <v>114</v>
      </c>
      <c r="B16" s="126">
        <v>53.583300000000001</v>
      </c>
      <c r="C16" s="126">
        <v>50.228700000000003</v>
      </c>
      <c r="D16" s="126">
        <v>49.566000000000003</v>
      </c>
      <c r="E16" s="126">
        <v>44.253799999999998</v>
      </c>
      <c r="F16" s="126">
        <v>41.515300000000003</v>
      </c>
      <c r="G16" s="126">
        <v>38.654600000000002</v>
      </c>
      <c r="H16" s="126">
        <v>43.096499999999999</v>
      </c>
      <c r="I16" s="126">
        <v>39.394100000000002</v>
      </c>
      <c r="J16" s="126">
        <v>41.240400000000001</v>
      </c>
      <c r="K16" s="126">
        <v>46.322499999999998</v>
      </c>
      <c r="L16" s="127">
        <f>AVERAGE(Table6[[#This Row],[FY 2014]:[FY 2023]])</f>
        <v>44.785519999999998</v>
      </c>
    </row>
    <row r="17" spans="1:14">
      <c r="A17" s="128" t="s">
        <v>115</v>
      </c>
      <c r="B17" s="129">
        <v>125.6923</v>
      </c>
      <c r="C17" s="129">
        <v>121.3736</v>
      </c>
      <c r="D17" s="129">
        <v>127.79259999999999</v>
      </c>
      <c r="E17" s="129">
        <v>125.2612</v>
      </c>
      <c r="F17" s="129">
        <v>128.83019999999999</v>
      </c>
      <c r="G17" s="129">
        <v>131.2654</v>
      </c>
      <c r="H17" s="129">
        <v>148.1849</v>
      </c>
      <c r="I17" s="129">
        <v>135.30600000000001</v>
      </c>
      <c r="J17" s="129">
        <v>149.4873</v>
      </c>
      <c r="K17" s="129">
        <v>160.12200000000001</v>
      </c>
      <c r="L17" s="130">
        <f>AVERAGE(Table6[[#This Row],[FY 2014]:[FY 2023]])</f>
        <v>135.33154999999999</v>
      </c>
    </row>
    <row r="18" spans="1:14">
      <c r="A18" s="131" t="s">
        <v>116</v>
      </c>
      <c r="B18" s="132">
        <v>99.037700000000001</v>
      </c>
      <c r="C18" s="132">
        <v>97.722999999999999</v>
      </c>
      <c r="D18" s="132">
        <v>99.0822</v>
      </c>
      <c r="E18" s="132">
        <v>99.898600000000002</v>
      </c>
      <c r="F18" s="132">
        <v>97.263300000000001</v>
      </c>
      <c r="G18" s="132">
        <v>93.889700000000005</v>
      </c>
      <c r="H18" s="132">
        <v>116.5008</v>
      </c>
      <c r="I18" s="132">
        <v>99.061099999999996</v>
      </c>
      <c r="J18" s="132">
        <v>99.962800000000001</v>
      </c>
      <c r="K18" s="132">
        <v>141.41399999999999</v>
      </c>
      <c r="L18" s="133">
        <f>AVERAGE(Table6[[#This Row],[FY 2014]:[FY 2023]])</f>
        <v>104.38332</v>
      </c>
    </row>
    <row r="27" spans="1:14">
      <c r="D27" t="s">
        <v>142</v>
      </c>
      <c r="E27" t="s">
        <v>127</v>
      </c>
      <c r="F27" t="s">
        <v>128</v>
      </c>
      <c r="G27" t="s">
        <v>129</v>
      </c>
      <c r="H27" t="s">
        <v>130</v>
      </c>
      <c r="I27" t="s">
        <v>131</v>
      </c>
      <c r="J27" t="s">
        <v>140</v>
      </c>
      <c r="K27" t="s">
        <v>122</v>
      </c>
      <c r="L27" t="s">
        <v>123</v>
      </c>
      <c r="M27" t="s">
        <v>124</v>
      </c>
      <c r="N27" t="s">
        <v>125</v>
      </c>
    </row>
    <row r="28" spans="1:14">
      <c r="D28" t="s">
        <v>141</v>
      </c>
      <c r="E28" s="111">
        <v>571.5</v>
      </c>
      <c r="F28" s="111">
        <v>657</v>
      </c>
      <c r="G28" s="111">
        <v>718.9</v>
      </c>
      <c r="H28" s="111">
        <v>778.5</v>
      </c>
      <c r="I28" s="111">
        <v>915.1</v>
      </c>
      <c r="J28" s="111">
        <v>1110.2</v>
      </c>
      <c r="K28" s="111">
        <v>1138</v>
      </c>
      <c r="L28" s="111">
        <v>1492.2</v>
      </c>
      <c r="M28" s="111">
        <v>2245.1</v>
      </c>
      <c r="N28" s="111">
        <v>1804.4</v>
      </c>
    </row>
  </sheetData>
  <phoneticPr fontId="3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7175-0335-43F9-8D87-029192B2C286}">
  <dimension ref="A1:L22"/>
  <sheetViews>
    <sheetView workbookViewId="0">
      <selection activeCell="F20" sqref="F20"/>
    </sheetView>
  </sheetViews>
  <sheetFormatPr defaultRowHeight="14.4"/>
  <cols>
    <col min="1" max="1" width="36.5546875" bestFit="1" customWidth="1"/>
    <col min="2" max="2" width="10.88671875" bestFit="1" customWidth="1"/>
    <col min="3" max="3" width="16.21875" bestFit="1" customWidth="1"/>
    <col min="4" max="5" width="10.88671875" bestFit="1" customWidth="1"/>
    <col min="6" max="6" width="12.33203125" bestFit="1" customWidth="1"/>
    <col min="7" max="9" width="9.44140625" bestFit="1" customWidth="1"/>
    <col min="10" max="10" width="20.77734375" bestFit="1" customWidth="1"/>
    <col min="11" max="11" width="9.44140625" bestFit="1" customWidth="1"/>
    <col min="12" max="12" width="22.21875" bestFit="1" customWidth="1"/>
  </cols>
  <sheetData>
    <row r="1" spans="1:12">
      <c r="B1" t="s">
        <v>140</v>
      </c>
      <c r="C1" t="s">
        <v>122</v>
      </c>
      <c r="D1" t="s">
        <v>123</v>
      </c>
      <c r="E1" t="s">
        <v>124</v>
      </c>
      <c r="F1" t="s">
        <v>125</v>
      </c>
    </row>
    <row r="2" spans="1:12">
      <c r="A2" t="s">
        <v>143</v>
      </c>
      <c r="B2" s="137">
        <v>2457.9</v>
      </c>
      <c r="C2" s="137">
        <v>2920.2</v>
      </c>
      <c r="D2" s="137">
        <v>3449.8</v>
      </c>
      <c r="E2" s="137">
        <v>4233.8999999999996</v>
      </c>
      <c r="F2" s="137">
        <v>4058.1</v>
      </c>
      <c r="J2" s="113" t="s">
        <v>155</v>
      </c>
      <c r="K2" s="136">
        <v>59.53</v>
      </c>
    </row>
    <row r="3" spans="1:12">
      <c r="A3" t="s">
        <v>144</v>
      </c>
      <c r="B3" s="137">
        <v>4378.2</v>
      </c>
      <c r="C3" s="137">
        <v>4684.1000000000004</v>
      </c>
      <c r="D3" s="137">
        <v>5728.3</v>
      </c>
      <c r="E3" s="137">
        <v>6772.7</v>
      </c>
      <c r="F3" s="137">
        <v>6640.4</v>
      </c>
      <c r="J3" s="113" t="s">
        <v>156</v>
      </c>
      <c r="K3">
        <v>149</v>
      </c>
    </row>
    <row r="4" spans="1:12">
      <c r="A4" s="113" t="s">
        <v>145</v>
      </c>
      <c r="B4" s="138">
        <f>B3-B2</f>
        <v>1920.2999999999997</v>
      </c>
      <c r="C4" s="138">
        <f t="shared" ref="C4:F4" si="0">C3-C2</f>
        <v>1763.9000000000005</v>
      </c>
      <c r="D4" s="138">
        <f t="shared" si="0"/>
        <v>2278.5</v>
      </c>
      <c r="E4" s="138">
        <f t="shared" si="0"/>
        <v>2538.8000000000002</v>
      </c>
      <c r="F4" s="138">
        <f t="shared" si="0"/>
        <v>2582.2999999999997</v>
      </c>
      <c r="J4" s="113" t="s">
        <v>157</v>
      </c>
      <c r="K4" s="136">
        <f>K2*K3</f>
        <v>8869.9699999999993</v>
      </c>
    </row>
    <row r="5" spans="1:12">
      <c r="A5" s="113"/>
      <c r="B5" s="138"/>
      <c r="C5" s="138"/>
      <c r="D5" s="138"/>
      <c r="E5" s="138"/>
      <c r="F5" s="138" t="str">
        <f ca="1">_xlfn.FORMULATEXT(F4)</f>
        <v>=F3-F2</v>
      </c>
    </row>
    <row r="6" spans="1:12">
      <c r="A6" s="113"/>
      <c r="B6" s="138"/>
      <c r="C6" s="138"/>
      <c r="D6" s="138"/>
      <c r="E6" s="138"/>
      <c r="F6" s="138"/>
    </row>
    <row r="7" spans="1:12">
      <c r="A7" t="s">
        <v>146</v>
      </c>
      <c r="B7" s="111">
        <v>10.199999999999999</v>
      </c>
      <c r="C7" s="111">
        <v>121.4</v>
      </c>
      <c r="D7" s="111">
        <v>68.5</v>
      </c>
      <c r="E7" s="111">
        <v>75.900000000000006</v>
      </c>
      <c r="F7" s="111">
        <v>145.9</v>
      </c>
    </row>
    <row r="8" spans="1:12">
      <c r="A8" t="s">
        <v>149</v>
      </c>
      <c r="B8" s="111">
        <v>899</v>
      </c>
      <c r="C8" s="111">
        <v>1047.4000000000001</v>
      </c>
      <c r="D8" s="111">
        <v>1285.3</v>
      </c>
      <c r="E8" s="111">
        <v>1390.9</v>
      </c>
      <c r="F8" s="111">
        <v>1520.9</v>
      </c>
      <c r="J8" s="113" t="s">
        <v>159</v>
      </c>
    </row>
    <row r="9" spans="1:12">
      <c r="A9" t="s">
        <v>147</v>
      </c>
      <c r="B9" s="111">
        <v>163.80000000000001</v>
      </c>
      <c r="C9" s="111">
        <v>153.69999999999999</v>
      </c>
      <c r="D9" s="111">
        <v>314.10000000000002</v>
      </c>
      <c r="E9" s="111">
        <v>265.3</v>
      </c>
      <c r="F9" s="111">
        <v>437.5</v>
      </c>
      <c r="J9" s="113" t="s">
        <v>158</v>
      </c>
      <c r="K9" s="111">
        <f>621.7/100.7</f>
        <v>6.1737835153922545</v>
      </c>
      <c r="L9" t="s">
        <v>160</v>
      </c>
    </row>
    <row r="10" spans="1:12">
      <c r="A10" t="s">
        <v>150</v>
      </c>
      <c r="B10" s="111">
        <v>53</v>
      </c>
      <c r="C10" s="111">
        <v>40.6</v>
      </c>
      <c r="D10" s="111">
        <v>48.8</v>
      </c>
      <c r="E10" s="111">
        <v>42</v>
      </c>
      <c r="F10" s="111">
        <v>12.4</v>
      </c>
    </row>
    <row r="11" spans="1:12">
      <c r="A11" t="s">
        <v>151</v>
      </c>
      <c r="B11" s="111">
        <v>43.2</v>
      </c>
      <c r="C11" s="111">
        <v>38.9</v>
      </c>
      <c r="D11" s="111">
        <v>37.9</v>
      </c>
      <c r="E11" s="111">
        <v>29.5</v>
      </c>
      <c r="F11" s="111">
        <v>27.3</v>
      </c>
    </row>
    <row r="12" spans="1:12">
      <c r="A12" s="113" t="s">
        <v>148</v>
      </c>
      <c r="B12" s="139">
        <f>SUM(B7:B11)</f>
        <v>1169.2</v>
      </c>
      <c r="C12" s="139">
        <f t="shared" ref="C12:F12" si="1">SUM(C7:C11)</f>
        <v>1402.0000000000002</v>
      </c>
      <c r="D12" s="139">
        <f t="shared" si="1"/>
        <v>1754.6000000000001</v>
      </c>
      <c r="E12" s="139">
        <f t="shared" si="1"/>
        <v>1803.6000000000001</v>
      </c>
      <c r="F12" s="139">
        <f t="shared" si="1"/>
        <v>2144.0000000000005</v>
      </c>
    </row>
    <row r="13" spans="1:12">
      <c r="F13" t="str">
        <f ca="1">_xlfn.FORMULATEXT(F12)</f>
        <v>=SUM(F7:F11)</v>
      </c>
    </row>
    <row r="15" spans="1:12">
      <c r="A15" s="113" t="s">
        <v>152</v>
      </c>
      <c r="B15" s="138">
        <f>SUM(F4+F12)</f>
        <v>4726.3</v>
      </c>
      <c r="C15" t="str">
        <f ca="1">_xlfn.FORMULATEXT(B15)</f>
        <v>=SUM(F4+F12)</v>
      </c>
    </row>
    <row r="16" spans="1:12">
      <c r="A16" s="113" t="s">
        <v>153</v>
      </c>
      <c r="B16" s="140">
        <f>(F4/B15)*100 %</f>
        <v>0.54636819499396982</v>
      </c>
      <c r="C16" s="113" t="str">
        <f ca="1">_xlfn.FORMULATEXT(B16)</f>
        <v>=(F4/B15)*100 %</v>
      </c>
    </row>
    <row r="17" spans="1:3">
      <c r="A17" s="113" t="s">
        <v>154</v>
      </c>
      <c r="B17" s="140">
        <f>(F12/B15)*100 %</f>
        <v>0.45363180500603018</v>
      </c>
      <c r="C17" s="113" t="str">
        <f ca="1">_xlfn.FORMULATEXT(B17)</f>
        <v>=(F12/B15)*100 %</v>
      </c>
    </row>
    <row r="18" spans="1:3">
      <c r="A18" s="113" t="s">
        <v>161</v>
      </c>
      <c r="B18" s="141">
        <f>(F12-552.9)/621.6</f>
        <v>2.5596846846846852</v>
      </c>
    </row>
    <row r="19" spans="1:3">
      <c r="A19" s="113" t="s">
        <v>162</v>
      </c>
      <c r="B19" s="142">
        <v>0.11799999999999999</v>
      </c>
    </row>
    <row r="20" spans="1:3">
      <c r="A20" s="113" t="s">
        <v>163</v>
      </c>
      <c r="B20" s="142">
        <v>0.251</v>
      </c>
    </row>
    <row r="21" spans="1:3">
      <c r="A21" s="113" t="s">
        <v>164</v>
      </c>
      <c r="B21" s="140">
        <f>F12/F4</f>
        <v>0.83026759090733093</v>
      </c>
    </row>
    <row r="22" spans="1:3">
      <c r="A22" s="113" t="s">
        <v>165</v>
      </c>
      <c r="B22" s="113">
        <v>7.68</v>
      </c>
    </row>
  </sheetData>
  <phoneticPr fontId="3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49F2-F57C-4999-AEB3-74D47F66C11E}">
  <dimension ref="A1:H6"/>
  <sheetViews>
    <sheetView workbookViewId="0">
      <selection activeCell="G9" sqref="G9"/>
    </sheetView>
  </sheetViews>
  <sheetFormatPr defaultRowHeight="14.4"/>
  <cols>
    <col min="3" max="3" width="10.44140625" bestFit="1" customWidth="1"/>
    <col min="8" max="8" width="9.44140625" bestFit="1" customWidth="1"/>
  </cols>
  <sheetData>
    <row r="1" spans="1:8">
      <c r="A1" t="s">
        <v>165</v>
      </c>
      <c r="B1" t="s">
        <v>95</v>
      </c>
      <c r="C1" t="s">
        <v>166</v>
      </c>
      <c r="F1" t="s">
        <v>165</v>
      </c>
      <c r="G1" t="s">
        <v>95</v>
      </c>
      <c r="H1" t="s">
        <v>166</v>
      </c>
    </row>
    <row r="2" spans="1:8">
      <c r="A2" s="143">
        <f>A4-1 %</f>
        <v>7.6400000000000006</v>
      </c>
      <c r="B2" s="143">
        <v>1</v>
      </c>
      <c r="C2" s="136">
        <v>10263</v>
      </c>
      <c r="F2" s="144">
        <v>7.6499999999999999E-2</v>
      </c>
      <c r="G2" s="143">
        <f>G3-0.5</f>
        <v>0.5</v>
      </c>
      <c r="H2" s="136">
        <v>8257</v>
      </c>
    </row>
    <row r="3" spans="1:8">
      <c r="A3" s="143">
        <f>A4-0.5</f>
        <v>7.15</v>
      </c>
      <c r="B3" s="145">
        <v>1</v>
      </c>
      <c r="C3" s="136">
        <v>9445</v>
      </c>
      <c r="F3" s="144">
        <v>7.6499999999999999E-2</v>
      </c>
      <c r="G3" s="143">
        <v>1</v>
      </c>
      <c r="H3" s="136">
        <v>8748</v>
      </c>
    </row>
    <row r="4" spans="1:8">
      <c r="A4" s="143">
        <v>7.65</v>
      </c>
      <c r="B4" s="143">
        <v>1</v>
      </c>
      <c r="C4" s="136">
        <v>8748</v>
      </c>
      <c r="F4" s="144">
        <v>7.6499999999999999E-2</v>
      </c>
      <c r="G4" s="143">
        <f>G3+0.5</f>
        <v>1.5</v>
      </c>
      <c r="H4" s="136">
        <v>9322</v>
      </c>
    </row>
    <row r="5" spans="1:8">
      <c r="A5" s="143">
        <f>A4+0.5</f>
        <v>8.15</v>
      </c>
      <c r="B5" s="143">
        <v>1</v>
      </c>
      <c r="C5" s="136">
        <v>8151</v>
      </c>
      <c r="F5" s="144">
        <v>7.6499999999999999E-2</v>
      </c>
      <c r="G5" s="143">
        <f>G4+0.5</f>
        <v>2</v>
      </c>
      <c r="H5" s="136">
        <v>9996</v>
      </c>
    </row>
    <row r="6" spans="1:8">
      <c r="A6" s="143">
        <f>A5+0.5</f>
        <v>8.65</v>
      </c>
      <c r="B6" s="143">
        <v>1</v>
      </c>
      <c r="C6" s="136">
        <v>7631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021E-07FF-48B7-96C2-3A633852F18D}">
  <dimension ref="A1:F23"/>
  <sheetViews>
    <sheetView workbookViewId="0">
      <selection activeCell="M10" sqref="M10"/>
    </sheetView>
  </sheetViews>
  <sheetFormatPr defaultRowHeight="14.4"/>
  <cols>
    <col min="1" max="1" width="25.6640625" bestFit="1" customWidth="1"/>
    <col min="2" max="2" width="10.44140625" bestFit="1" customWidth="1"/>
    <col min="5" max="5" width="25.6640625" bestFit="1" customWidth="1"/>
    <col min="6" max="6" width="9.44140625" bestFit="1" customWidth="1"/>
  </cols>
  <sheetData>
    <row r="1" spans="1:6">
      <c r="A1" t="s">
        <v>178</v>
      </c>
      <c r="E1" t="s">
        <v>179</v>
      </c>
    </row>
    <row r="2" spans="1:6">
      <c r="A2" t="s">
        <v>168</v>
      </c>
      <c r="B2" s="146">
        <f>DCF!G10</f>
        <v>584.06054165914486</v>
      </c>
      <c r="E2" t="s">
        <v>168</v>
      </c>
      <c r="F2" s="146">
        <f>B2</f>
        <v>584.06054165914486</v>
      </c>
    </row>
    <row r="3" spans="1:6">
      <c r="A3" t="s">
        <v>169</v>
      </c>
      <c r="B3" s="149">
        <v>0.06</v>
      </c>
      <c r="E3" t="s">
        <v>169</v>
      </c>
      <c r="F3" s="149">
        <v>-0.01</v>
      </c>
    </row>
    <row r="4" spans="1:6">
      <c r="A4" t="s">
        <v>165</v>
      </c>
      <c r="B4" s="144">
        <v>3.6499999999999998E-2</v>
      </c>
      <c r="E4" t="s">
        <v>165</v>
      </c>
      <c r="F4" s="144">
        <v>0.1065</v>
      </c>
    </row>
    <row r="5" spans="1:6">
      <c r="A5" s="113" t="s">
        <v>170</v>
      </c>
      <c r="B5" s="139">
        <f>(B2*(1+B3))/B4-B3</f>
        <v>16961.698196128593</v>
      </c>
      <c r="E5" s="113" t="s">
        <v>170</v>
      </c>
      <c r="F5" s="139">
        <f>F2*(1+F3)/F4-F3</f>
        <v>5429.3051759864175</v>
      </c>
    </row>
    <row r="7" spans="1:6">
      <c r="A7" t="s">
        <v>171</v>
      </c>
      <c r="B7" s="136">
        <f>B2/(1+B4)^5</f>
        <v>488.2152429415649</v>
      </c>
      <c r="E7" t="s">
        <v>171</v>
      </c>
      <c r="F7" s="136">
        <f>F2/(1+F4)^5</f>
        <v>352.12817475160017</v>
      </c>
    </row>
    <row r="8" spans="1:6">
      <c r="A8" t="s">
        <v>172</v>
      </c>
      <c r="B8" s="136">
        <f>B5/(1+B4)^5</f>
        <v>14178.255531525285</v>
      </c>
      <c r="E8" t="s">
        <v>172</v>
      </c>
      <c r="F8" s="136">
        <f>F5/(1+F4)^5</f>
        <v>3273.3101886297895</v>
      </c>
    </row>
    <row r="9" spans="1:6">
      <c r="A9" s="113" t="s">
        <v>8</v>
      </c>
      <c r="B9" s="139">
        <f>B7+B8</f>
        <v>14666.47077446685</v>
      </c>
      <c r="E9" s="113" t="s">
        <v>8</v>
      </c>
      <c r="F9" s="139">
        <f>F8+F7</f>
        <v>3625.4383633813895</v>
      </c>
    </row>
    <row r="11" spans="1:6">
      <c r="A11" s="148" t="s">
        <v>8</v>
      </c>
      <c r="B11" s="136">
        <f>B9</f>
        <v>14666.47077446685</v>
      </c>
      <c r="E11" t="s">
        <v>8</v>
      </c>
      <c r="F11" s="136">
        <f>F9</f>
        <v>3625.4383633813895</v>
      </c>
    </row>
    <row r="12" spans="1:6">
      <c r="A12" t="s">
        <v>148</v>
      </c>
      <c r="B12" s="136">
        <f>'Capital Structure'!F12</f>
        <v>2144.0000000000005</v>
      </c>
      <c r="E12" t="s">
        <v>148</v>
      </c>
      <c r="F12" s="136">
        <f>B12</f>
        <v>2144.0000000000005</v>
      </c>
    </row>
    <row r="13" spans="1:6">
      <c r="A13" t="s">
        <v>48</v>
      </c>
      <c r="B13" s="136">
        <v>552.9</v>
      </c>
      <c r="E13" t="s">
        <v>48</v>
      </c>
      <c r="F13" s="136">
        <f>B13</f>
        <v>552.9</v>
      </c>
    </row>
    <row r="14" spans="1:6">
      <c r="A14" t="s">
        <v>173</v>
      </c>
      <c r="B14" s="136">
        <f>DCF!C19</f>
        <v>56</v>
      </c>
      <c r="E14" t="s">
        <v>173</v>
      </c>
      <c r="F14" s="136">
        <f>B14</f>
        <v>56</v>
      </c>
    </row>
    <row r="15" spans="1:6">
      <c r="A15" t="s">
        <v>174</v>
      </c>
      <c r="B15" s="136">
        <f>DCF!C20</f>
        <v>146.69999999999999</v>
      </c>
      <c r="E15" t="s">
        <v>174</v>
      </c>
      <c r="F15" s="136">
        <f>B15</f>
        <v>146.69999999999999</v>
      </c>
    </row>
    <row r="16" spans="1:6">
      <c r="A16" t="s">
        <v>175</v>
      </c>
      <c r="B16" s="136">
        <f>DCF!C18</f>
        <v>-31</v>
      </c>
      <c r="E16" t="s">
        <v>175</v>
      </c>
      <c r="F16" s="136">
        <f>B16</f>
        <v>-31</v>
      </c>
    </row>
    <row r="17" spans="1:6">
      <c r="A17" s="113" t="s">
        <v>56</v>
      </c>
      <c r="B17" s="139">
        <f>'Scenario Analysis'!B11-'Scenario Analysis'!B16-'Scenario Analysis'!B14+'Scenario Analysis'!B15-B12+B13</f>
        <v>13197.070774466851</v>
      </c>
      <c r="E17" s="113" t="s">
        <v>56</v>
      </c>
      <c r="F17" s="139">
        <f>F11-F12+F13-F14+F15-F16</f>
        <v>2156.038363381389</v>
      </c>
    </row>
    <row r="20" spans="1:6">
      <c r="A20" t="s">
        <v>56</v>
      </c>
      <c r="B20" s="136">
        <f>B17</f>
        <v>13197.070774466851</v>
      </c>
      <c r="E20" t="s">
        <v>56</v>
      </c>
      <c r="F20" s="136">
        <f>F17</f>
        <v>2156.038363381389</v>
      </c>
    </row>
    <row r="21" spans="1:6">
      <c r="A21" t="s">
        <v>177</v>
      </c>
      <c r="B21" s="146">
        <f>DCF!C22</f>
        <v>149</v>
      </c>
      <c r="E21" t="s">
        <v>177</v>
      </c>
      <c r="F21" s="146">
        <f>B21</f>
        <v>149</v>
      </c>
    </row>
    <row r="22" spans="1:6">
      <c r="A22" t="s">
        <v>155</v>
      </c>
      <c r="B22" s="136">
        <f>DCF!C24</f>
        <v>43.15</v>
      </c>
      <c r="E22" t="s">
        <v>155</v>
      </c>
      <c r="F22" s="136">
        <f>B22</f>
        <v>43.15</v>
      </c>
    </row>
    <row r="23" spans="1:6">
      <c r="A23" s="113" t="s">
        <v>176</v>
      </c>
      <c r="B23" s="139">
        <f>B20/B21</f>
        <v>88.570944795079541</v>
      </c>
      <c r="E23" s="113" t="s">
        <v>176</v>
      </c>
      <c r="F23" s="139">
        <f>F20/F21</f>
        <v>14.470056130076436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A9EB-DE5D-4361-9A58-BF71847504BE}">
  <dimension ref="A1:H6"/>
  <sheetViews>
    <sheetView workbookViewId="0">
      <selection activeCell="I7" sqref="I7"/>
    </sheetView>
  </sheetViews>
  <sheetFormatPr defaultRowHeight="14.4"/>
  <cols>
    <col min="3" max="3" width="18" customWidth="1"/>
    <col min="6" max="6" width="8.44140625" bestFit="1" customWidth="1"/>
    <col min="7" max="7" width="5.88671875" bestFit="1" customWidth="1"/>
    <col min="8" max="8" width="18.44140625" bestFit="1" customWidth="1"/>
  </cols>
  <sheetData>
    <row r="1" spans="1:8">
      <c r="A1" t="s">
        <v>165</v>
      </c>
      <c r="B1" t="s">
        <v>95</v>
      </c>
      <c r="C1" t="s">
        <v>167</v>
      </c>
      <c r="F1" t="s">
        <v>165</v>
      </c>
      <c r="G1" t="s">
        <v>95</v>
      </c>
      <c r="H1" t="s">
        <v>167</v>
      </c>
    </row>
    <row r="2" spans="1:8">
      <c r="A2" s="144">
        <f>A3-0.25%</f>
        <v>7.1499999999999994E-2</v>
      </c>
      <c r="B2" s="144">
        <v>1.84E-2</v>
      </c>
      <c r="C2" s="136">
        <v>9567</v>
      </c>
      <c r="F2" s="144">
        <v>7.6499999999999999E-2</v>
      </c>
      <c r="G2" s="144">
        <f>G3-0.05%</f>
        <v>9.4999999999999998E-3</v>
      </c>
      <c r="H2" s="136">
        <v>8819</v>
      </c>
    </row>
    <row r="3" spans="1:8">
      <c r="A3" s="144">
        <f>A4-0.25%</f>
        <v>7.3999999999999996E-2</v>
      </c>
      <c r="B3" s="144">
        <v>1.84E-2</v>
      </c>
      <c r="C3" s="136">
        <v>9206</v>
      </c>
      <c r="F3" s="144">
        <v>7.6499999999999999E-2</v>
      </c>
      <c r="G3" s="144">
        <v>0.01</v>
      </c>
      <c r="H3" s="136">
        <v>8871</v>
      </c>
    </row>
    <row r="4" spans="1:8">
      <c r="A4" s="142">
        <v>7.6499999999999999E-2</v>
      </c>
      <c r="B4" s="142">
        <v>1.84E-2</v>
      </c>
      <c r="C4" s="136">
        <v>8871</v>
      </c>
      <c r="F4" s="144">
        <v>7.6499999999999999E-2</v>
      </c>
      <c r="G4" s="144">
        <f>G3+0.05%</f>
        <v>1.0500000000000001E-2</v>
      </c>
      <c r="H4" s="136">
        <v>8925</v>
      </c>
    </row>
    <row r="5" spans="1:8">
      <c r="A5" s="144">
        <f>A4+0.25%</f>
        <v>7.9000000000000001E-2</v>
      </c>
      <c r="B5" s="144">
        <v>1.84E-2</v>
      </c>
      <c r="C5" s="136">
        <v>8561</v>
      </c>
    </row>
    <row r="6" spans="1:8">
      <c r="A6" s="144">
        <f>A5+0.25%</f>
        <v>8.1500000000000003E-2</v>
      </c>
      <c r="B6" s="144">
        <v>1.84E-2</v>
      </c>
      <c r="C6" s="136">
        <v>8273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0D8D-A197-4009-A71B-2D10CDC1BFEF}">
  <dimension ref="A1:K36"/>
  <sheetViews>
    <sheetView zoomScaleNormal="100" workbookViewId="0">
      <selection activeCell="A26" sqref="A26"/>
    </sheetView>
  </sheetViews>
  <sheetFormatPr defaultRowHeight="14.4"/>
  <cols>
    <col min="1" max="1" width="32.6640625" style="101" bestFit="1" customWidth="1"/>
    <col min="2" max="2" width="8.109375" style="101" bestFit="1" customWidth="1"/>
    <col min="3" max="3" width="8" style="101" bestFit="1" customWidth="1"/>
    <col min="4" max="4" width="12.5546875" style="101" bestFit="1" customWidth="1"/>
    <col min="5" max="6" width="8" style="101" bestFit="1" customWidth="1"/>
    <col min="7" max="7" width="13.33203125" style="101" bestFit="1" customWidth="1"/>
    <col min="8" max="8" width="12" style="101" bestFit="1" customWidth="1"/>
    <col min="9" max="9" width="11" style="101" customWidth="1"/>
    <col min="10" max="10" width="26.109375" style="101" bestFit="1" customWidth="1"/>
    <col min="11" max="11" width="8" style="101" bestFit="1" customWidth="1"/>
    <col min="12" max="16384" width="8.88671875" style="101"/>
  </cols>
  <sheetData>
    <row r="1" spans="1:11">
      <c r="C1" s="102">
        <v>0.03</v>
      </c>
      <c r="D1" s="102">
        <v>-0.02</v>
      </c>
      <c r="E1" s="102">
        <v>-0.02</v>
      </c>
      <c r="F1" s="102">
        <v>0.01</v>
      </c>
      <c r="G1" s="102">
        <v>0.01</v>
      </c>
    </row>
    <row r="2" spans="1:11">
      <c r="A2" s="101" t="s">
        <v>16</v>
      </c>
      <c r="B2" s="101">
        <v>2023</v>
      </c>
      <c r="C2" s="101">
        <v>2024</v>
      </c>
      <c r="D2" s="101">
        <v>2025</v>
      </c>
      <c r="E2" s="101">
        <v>2026</v>
      </c>
      <c r="F2" s="101">
        <v>2027</v>
      </c>
      <c r="G2" s="101">
        <v>2028</v>
      </c>
      <c r="H2" s="101" t="s">
        <v>15</v>
      </c>
      <c r="J2" s="101" t="s">
        <v>22</v>
      </c>
      <c r="K2" s="101" t="s">
        <v>26</v>
      </c>
    </row>
    <row r="3" spans="1:11">
      <c r="A3" s="101" t="s">
        <v>0</v>
      </c>
      <c r="B3" s="106">
        <v>8601.7000000000007</v>
      </c>
      <c r="C3" s="106">
        <f>B3*C1+B3</f>
        <v>8859.7510000000002</v>
      </c>
      <c r="D3" s="106">
        <f>C3*D1+C3</f>
        <v>8682.555980000001</v>
      </c>
      <c r="E3" s="106">
        <f>D3*E1+D3</f>
        <v>8508.9048604000018</v>
      </c>
      <c r="F3" s="106">
        <f>E3*F1+E3</f>
        <v>8593.9939090040025</v>
      </c>
      <c r="G3" s="106">
        <f>F3*G1+F3</f>
        <v>8679.9338480940423</v>
      </c>
      <c r="J3" s="101" t="s">
        <v>37</v>
      </c>
      <c r="K3" s="104">
        <v>2.5000000000000001E-2</v>
      </c>
    </row>
    <row r="4" spans="1:11">
      <c r="A4" s="101" t="s">
        <v>1</v>
      </c>
      <c r="C4" s="106">
        <f>C3*C33</f>
        <v>708.78008</v>
      </c>
      <c r="D4" s="106">
        <f>D3*D33</f>
        <v>724.99342433000015</v>
      </c>
      <c r="E4" s="106">
        <f>E3*E33</f>
        <v>740.27472285480019</v>
      </c>
      <c r="F4" s="106">
        <f>F3*F33</f>
        <v>777.75644876486228</v>
      </c>
      <c r="G4" s="106">
        <f>G3*G33</f>
        <v>815.91378172084012</v>
      </c>
      <c r="J4" s="101" t="s">
        <v>36</v>
      </c>
      <c r="K4" s="101">
        <v>1.1200000000000001</v>
      </c>
    </row>
    <row r="5" spans="1:11">
      <c r="A5" s="101" t="s">
        <v>2</v>
      </c>
      <c r="C5" s="106">
        <f>C4*$C$32</f>
        <v>177.19502</v>
      </c>
      <c r="D5" s="106">
        <f>D4*$C$32</f>
        <v>181.24835608250004</v>
      </c>
      <c r="E5" s="106">
        <f>E4*$C$32</f>
        <v>185.06868071370005</v>
      </c>
      <c r="F5" s="106">
        <f>F4*$C$32</f>
        <v>194.43911219121557</v>
      </c>
      <c r="G5" s="106">
        <f>G4*$C$32</f>
        <v>203.97844543021003</v>
      </c>
      <c r="J5" s="101" t="s">
        <v>35</v>
      </c>
      <c r="K5" s="104">
        <v>6.6000000000000003E-2</v>
      </c>
    </row>
    <row r="6" spans="1:11">
      <c r="A6" s="101" t="s">
        <v>3</v>
      </c>
      <c r="C6" s="106">
        <f>C3*C34</f>
        <v>354.39004</v>
      </c>
      <c r="D6" s="106">
        <f>D3*D34</f>
        <v>347.30223920000003</v>
      </c>
      <c r="E6" s="106">
        <f>E3*E34</f>
        <v>340.35619441600005</v>
      </c>
      <c r="F6" s="106">
        <f>F3*F34</f>
        <v>343.75975636016011</v>
      </c>
      <c r="G6" s="106">
        <f>G3*G34</f>
        <v>347.19735392376168</v>
      </c>
      <c r="J6" s="101" t="s">
        <v>34</v>
      </c>
      <c r="K6" s="104">
        <v>2.5000000000000001E-2</v>
      </c>
    </row>
    <row r="7" spans="1:11">
      <c r="A7" s="101" t="s">
        <v>4</v>
      </c>
      <c r="C7" s="106">
        <f>C3*C35</f>
        <v>310.09128500000003</v>
      </c>
      <c r="D7" s="106">
        <f>D3*D35</f>
        <v>273.50051337000002</v>
      </c>
      <c r="E7" s="106">
        <f>E3*E35</f>
        <v>238.24933609120006</v>
      </c>
      <c r="F7" s="106">
        <f>F3*F35</f>
        <v>210.55285077059807</v>
      </c>
      <c r="G7" s="106">
        <f>G6</f>
        <v>347.19735392376168</v>
      </c>
      <c r="J7" s="101" t="s">
        <v>33</v>
      </c>
      <c r="K7" s="104">
        <v>0.25</v>
      </c>
    </row>
    <row r="8" spans="1:11">
      <c r="A8" s="101" t="s">
        <v>5</v>
      </c>
      <c r="C8" s="106">
        <f>(C3-B3)*$C$36</f>
        <v>23.224589999999953</v>
      </c>
      <c r="D8" s="106">
        <f>(D3-C3)*$C$36</f>
        <v>-15.947551799999928</v>
      </c>
      <c r="E8" s="106">
        <f>(E3-D3)*$C$36</f>
        <v>-15.628600763999929</v>
      </c>
      <c r="F8" s="106">
        <f>(F3-E3)*$C$36</f>
        <v>7.6580143743600635</v>
      </c>
      <c r="G8" s="106">
        <f>(G3-F3)*$C$36</f>
        <v>7.7345945181035853</v>
      </c>
      <c r="J8" s="101" t="s">
        <v>27</v>
      </c>
      <c r="K8" s="104">
        <v>9.7920000000000007E-2</v>
      </c>
    </row>
    <row r="9" spans="1:11">
      <c r="A9" s="101" t="s">
        <v>20</v>
      </c>
      <c r="B9" s="101">
        <v>0</v>
      </c>
      <c r="C9" s="106">
        <f>C4-C5+C6-C7-C8</f>
        <v>552.65922499999999</v>
      </c>
      <c r="D9" s="106">
        <f>D4-D5+D6-D7-D8</f>
        <v>633.4943458775</v>
      </c>
      <c r="E9" s="106">
        <f>E4-E5+E6-E7-E8</f>
        <v>672.94150122990004</v>
      </c>
      <c r="F9" s="106">
        <f>F4-F5+F6-F7-F8</f>
        <v>708.86622778884873</v>
      </c>
      <c r="G9" s="106">
        <f>G4-G5+G6-G7-G8</f>
        <v>604.20074177252638</v>
      </c>
      <c r="H9" s="106">
        <f>G9*(1+H11)/H10-H11</f>
        <v>9440.3865901957233</v>
      </c>
      <c r="J9" s="101" t="s">
        <v>28</v>
      </c>
      <c r="K9" s="104">
        <v>3.6750000000000005E-2</v>
      </c>
    </row>
    <row r="10" spans="1:11">
      <c r="G10" s="101" t="s">
        <v>25</v>
      </c>
      <c r="H10" s="104">
        <v>0.08</v>
      </c>
      <c r="J10" s="101" t="s">
        <v>23</v>
      </c>
      <c r="K10" s="104">
        <v>0.35</v>
      </c>
    </row>
    <row r="11" spans="1:11">
      <c r="G11" s="101" t="s">
        <v>30</v>
      </c>
      <c r="H11" s="102">
        <v>0.25</v>
      </c>
      <c r="J11" s="101" t="s">
        <v>38</v>
      </c>
      <c r="K11" s="101">
        <v>1.2</v>
      </c>
    </row>
    <row r="12" spans="1:11">
      <c r="J12" s="101" t="s">
        <v>31</v>
      </c>
      <c r="K12" s="104">
        <v>0.03</v>
      </c>
    </row>
    <row r="13" spans="1:11">
      <c r="K13" s="104"/>
    </row>
    <row r="14" spans="1:11">
      <c r="K14" s="104"/>
    </row>
    <row r="15" spans="1:11">
      <c r="A15" s="101" t="s">
        <v>19</v>
      </c>
      <c r="B15" s="101">
        <v>0</v>
      </c>
      <c r="C15" s="101">
        <v>1</v>
      </c>
      <c r="D15" s="101">
        <v>2</v>
      </c>
      <c r="E15" s="101">
        <v>3</v>
      </c>
      <c r="F15" s="101">
        <v>4</v>
      </c>
      <c r="G15" s="101">
        <v>4</v>
      </c>
      <c r="K15" s="104"/>
    </row>
    <row r="16" spans="1:11">
      <c r="A16" s="101" t="s">
        <v>6</v>
      </c>
      <c r="B16" s="101">
        <f t="shared" ref="B16:G16" si="0">1/(1+$H$10)^B15</f>
        <v>1</v>
      </c>
      <c r="C16" s="106">
        <f t="shared" si="0"/>
        <v>0.92592592592592582</v>
      </c>
      <c r="D16" s="106">
        <f t="shared" si="0"/>
        <v>0.85733882030178321</v>
      </c>
      <c r="E16" s="106">
        <f t="shared" si="0"/>
        <v>0.79383224102016958</v>
      </c>
      <c r="F16" s="106">
        <f t="shared" si="0"/>
        <v>0.73502985279645328</v>
      </c>
      <c r="G16" s="106">
        <f t="shared" si="0"/>
        <v>0.73502985279645328</v>
      </c>
      <c r="K16" s="104"/>
    </row>
    <row r="17" spans="1:11">
      <c r="A17" s="101" t="s">
        <v>7</v>
      </c>
      <c r="B17" s="101">
        <f t="shared" ref="B17:G17" si="1">IF(B15=0,0,+B9*B16)</f>
        <v>0</v>
      </c>
      <c r="C17" s="106">
        <f t="shared" si="1"/>
        <v>511.72150462962958</v>
      </c>
      <c r="D17" s="106">
        <f t="shared" si="1"/>
        <v>543.11929516246562</v>
      </c>
      <c r="E17" s="106">
        <f t="shared" si="1"/>
        <v>534.20265999680873</v>
      </c>
      <c r="F17" s="106">
        <f t="shared" si="1"/>
        <v>521.03783906401463</v>
      </c>
      <c r="G17" s="106">
        <f t="shared" si="1"/>
        <v>444.10558228456796</v>
      </c>
      <c r="K17" s="104"/>
    </row>
    <row r="18" spans="1:11">
      <c r="A18" s="101" t="s">
        <v>39</v>
      </c>
      <c r="B18" s="106">
        <f>SUM(B17:G17)</f>
        <v>2554.1868811374866</v>
      </c>
      <c r="G18" s="104">
        <f>G17/B18</f>
        <v>0.17387356640356288</v>
      </c>
      <c r="K18" s="104"/>
    </row>
    <row r="19" spans="1:11">
      <c r="A19" s="101" t="s">
        <v>59</v>
      </c>
      <c r="B19" s="101">
        <v>-31</v>
      </c>
      <c r="D19" s="101" t="s">
        <v>46</v>
      </c>
      <c r="E19" s="106">
        <v>583.4</v>
      </c>
      <c r="K19" s="104"/>
    </row>
    <row r="20" spans="1:11">
      <c r="A20" s="101" t="s">
        <v>58</v>
      </c>
      <c r="B20" s="101">
        <v>56</v>
      </c>
      <c r="D20" s="101" t="s">
        <v>47</v>
      </c>
      <c r="E20" s="106">
        <v>0</v>
      </c>
      <c r="K20" s="104"/>
    </row>
    <row r="21" spans="1:11">
      <c r="A21" s="101" t="s">
        <v>57</v>
      </c>
      <c r="B21" s="101">
        <v>147</v>
      </c>
      <c r="D21" s="101" t="s">
        <v>48</v>
      </c>
      <c r="E21" s="106">
        <v>552.9</v>
      </c>
      <c r="K21" s="104"/>
    </row>
    <row r="22" spans="1:11">
      <c r="A22" s="101" t="s">
        <v>56</v>
      </c>
      <c r="B22" s="106">
        <f>B18-B19-B20+B21</f>
        <v>2676.1868811374866</v>
      </c>
      <c r="K22" s="104"/>
    </row>
    <row r="23" spans="1:11">
      <c r="A23" s="101" t="s">
        <v>55</v>
      </c>
      <c r="B23" s="107">
        <v>149</v>
      </c>
      <c r="K23" s="104"/>
    </row>
    <row r="24" spans="1:11">
      <c r="A24" s="101" t="s">
        <v>54</v>
      </c>
      <c r="B24" s="106">
        <f>(B22/B23)</f>
        <v>17.960985779446219</v>
      </c>
      <c r="K24" s="104"/>
    </row>
    <row r="25" spans="1:11">
      <c r="A25" s="101" t="s">
        <v>53</v>
      </c>
      <c r="B25" s="105">
        <v>43.15</v>
      </c>
      <c r="K25" s="104"/>
    </row>
    <row r="26" spans="1:11">
      <c r="A26" s="101" t="s">
        <v>52</v>
      </c>
      <c r="B26" s="105">
        <f>(B24/B25)-1</f>
        <v>-0.58375467486799026</v>
      </c>
      <c r="K26" s="104"/>
    </row>
    <row r="27" spans="1:11">
      <c r="A27" s="101" t="s">
        <v>51</v>
      </c>
      <c r="K27" s="104"/>
    </row>
    <row r="31" spans="1:11">
      <c r="A31" s="101" t="s">
        <v>17</v>
      </c>
      <c r="H31" s="101" t="s">
        <v>21</v>
      </c>
    </row>
    <row r="32" spans="1:11">
      <c r="A32" s="101" t="s">
        <v>9</v>
      </c>
      <c r="C32" s="102">
        <f>K7</f>
        <v>0.25</v>
      </c>
    </row>
    <row r="33" spans="1:8">
      <c r="A33" s="101" t="s">
        <v>10</v>
      </c>
      <c r="C33" s="102">
        <v>0.08</v>
      </c>
      <c r="D33" s="103">
        <f>C33+$H$33</f>
        <v>8.3500000000000005E-2</v>
      </c>
      <c r="E33" s="103">
        <f>D33+$H$33</f>
        <v>8.7000000000000008E-2</v>
      </c>
      <c r="F33" s="103">
        <f>E33+$H$33</f>
        <v>9.0500000000000011E-2</v>
      </c>
      <c r="G33" s="103">
        <f>F33+$H$33</f>
        <v>9.4000000000000014E-2</v>
      </c>
      <c r="H33" s="103">
        <v>3.5000000000000001E-3</v>
      </c>
    </row>
    <row r="34" spans="1:8">
      <c r="A34" s="101" t="s">
        <v>11</v>
      </c>
      <c r="C34" s="104">
        <v>0.04</v>
      </c>
      <c r="D34" s="104">
        <v>0.04</v>
      </c>
      <c r="E34" s="104">
        <v>0.04</v>
      </c>
      <c r="F34" s="102">
        <v>0.04</v>
      </c>
      <c r="G34" s="104">
        <v>0.04</v>
      </c>
    </row>
    <row r="35" spans="1:8">
      <c r="A35" s="101" t="s">
        <v>12</v>
      </c>
      <c r="C35" s="103">
        <v>3.5000000000000003E-2</v>
      </c>
      <c r="D35" s="103">
        <v>3.15E-2</v>
      </c>
      <c r="E35" s="103">
        <v>2.8000000000000001E-2</v>
      </c>
      <c r="F35" s="103">
        <v>2.4500000000000001E-2</v>
      </c>
      <c r="H35" s="103">
        <v>-3.5000000000000001E-3</v>
      </c>
    </row>
    <row r="36" spans="1:8">
      <c r="A36" s="101" t="s">
        <v>13</v>
      </c>
      <c r="C36" s="102">
        <v>0.09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C13E-10FE-4330-A967-1E19542DE910}">
  <dimension ref="A2:L21"/>
  <sheetViews>
    <sheetView workbookViewId="0">
      <selection activeCell="O9" sqref="O9"/>
    </sheetView>
  </sheetViews>
  <sheetFormatPr defaultRowHeight="14.4"/>
  <cols>
    <col min="1" max="1" width="15.21875" bestFit="1" customWidth="1"/>
    <col min="2" max="2" width="6.6640625" bestFit="1" customWidth="1"/>
    <col min="3" max="3" width="6.21875" bestFit="1" customWidth="1"/>
    <col min="4" max="4" width="12.44140625" bestFit="1" customWidth="1"/>
    <col min="5" max="5" width="9.6640625" bestFit="1" customWidth="1"/>
    <col min="8" max="8" width="17.77734375" bestFit="1" customWidth="1"/>
    <col min="9" max="9" width="20" bestFit="1" customWidth="1"/>
    <col min="11" max="11" width="15.21875" bestFit="1" customWidth="1"/>
    <col min="12" max="12" width="13.6640625" bestFit="1" customWidth="1"/>
  </cols>
  <sheetData>
    <row r="2" spans="1:12">
      <c r="A2" s="115" t="s">
        <v>77</v>
      </c>
      <c r="B2" t="s">
        <v>61</v>
      </c>
      <c r="C2" t="s">
        <v>62</v>
      </c>
      <c r="D2" t="s">
        <v>63</v>
      </c>
      <c r="E2" t="s">
        <v>64</v>
      </c>
      <c r="H2" s="108" t="s">
        <v>86</v>
      </c>
      <c r="I2" t="s">
        <v>83</v>
      </c>
      <c r="K2" s="108" t="s">
        <v>86</v>
      </c>
      <c r="L2" t="s">
        <v>78</v>
      </c>
    </row>
    <row r="3" spans="1:12">
      <c r="A3" s="113" t="s">
        <v>69</v>
      </c>
      <c r="B3" s="113">
        <v>2.4500000000000002</v>
      </c>
      <c r="C3" s="113">
        <v>24.43</v>
      </c>
      <c r="D3" s="113">
        <v>13.72</v>
      </c>
      <c r="E3" s="113">
        <v>1</v>
      </c>
      <c r="H3" s="109" t="s">
        <v>65</v>
      </c>
      <c r="I3">
        <v>31.05</v>
      </c>
      <c r="K3" s="109" t="s">
        <v>65</v>
      </c>
    </row>
    <row r="4" spans="1:12">
      <c r="A4" t="s">
        <v>60</v>
      </c>
      <c r="B4">
        <v>7.68</v>
      </c>
      <c r="C4">
        <v>19.68</v>
      </c>
      <c r="D4">
        <v>17.62</v>
      </c>
      <c r="E4">
        <v>2.16</v>
      </c>
      <c r="H4" s="109" t="s">
        <v>70</v>
      </c>
      <c r="I4">
        <v>28.34</v>
      </c>
      <c r="K4" s="109" t="s">
        <v>70</v>
      </c>
      <c r="L4">
        <v>41.04</v>
      </c>
    </row>
    <row r="5" spans="1:12">
      <c r="A5" t="s">
        <v>65</v>
      </c>
      <c r="B5">
        <v>9.01</v>
      </c>
      <c r="D5">
        <v>31.05</v>
      </c>
      <c r="E5">
        <v>2.08</v>
      </c>
      <c r="H5" s="109" t="s">
        <v>68</v>
      </c>
      <c r="I5">
        <v>9.48</v>
      </c>
      <c r="K5" s="109" t="s">
        <v>68</v>
      </c>
      <c r="L5">
        <v>19.41</v>
      </c>
    </row>
    <row r="6" spans="1:12">
      <c r="A6" t="s">
        <v>66</v>
      </c>
      <c r="B6">
        <v>1.39</v>
      </c>
      <c r="C6">
        <v>13.21</v>
      </c>
      <c r="D6">
        <v>9.5500000000000007</v>
      </c>
      <c r="E6">
        <v>0.62</v>
      </c>
      <c r="H6" s="109" t="s">
        <v>60</v>
      </c>
      <c r="I6">
        <v>17.62</v>
      </c>
      <c r="K6" s="109" t="s">
        <v>60</v>
      </c>
      <c r="L6">
        <v>19.68</v>
      </c>
    </row>
    <row r="7" spans="1:12">
      <c r="A7" t="s">
        <v>67</v>
      </c>
      <c r="B7">
        <v>2.5099999999999998</v>
      </c>
      <c r="C7">
        <v>17.940000000000001</v>
      </c>
      <c r="D7">
        <v>10.51</v>
      </c>
      <c r="E7">
        <v>1.34</v>
      </c>
      <c r="H7" s="109" t="s">
        <v>69</v>
      </c>
      <c r="I7">
        <v>13.72</v>
      </c>
      <c r="K7" s="109" t="s">
        <v>69</v>
      </c>
      <c r="L7">
        <v>24.43</v>
      </c>
    </row>
    <row r="8" spans="1:12">
      <c r="A8" t="s">
        <v>70</v>
      </c>
      <c r="B8">
        <v>8.32</v>
      </c>
      <c r="C8">
        <v>41.04</v>
      </c>
      <c r="D8">
        <v>28.34</v>
      </c>
      <c r="E8">
        <v>3.21</v>
      </c>
      <c r="H8" s="109" t="s">
        <v>67</v>
      </c>
      <c r="I8">
        <v>10.51</v>
      </c>
      <c r="K8" s="109" t="s">
        <v>67</v>
      </c>
      <c r="L8">
        <v>17.940000000000001</v>
      </c>
    </row>
    <row r="9" spans="1:12">
      <c r="A9" t="s">
        <v>68</v>
      </c>
      <c r="B9">
        <v>2.44</v>
      </c>
      <c r="C9">
        <v>19.41</v>
      </c>
      <c r="D9">
        <v>9.48</v>
      </c>
      <c r="E9">
        <v>1.25</v>
      </c>
      <c r="H9" s="109" t="s">
        <v>66</v>
      </c>
      <c r="I9">
        <v>9.5500000000000007</v>
      </c>
      <c r="K9" s="109" t="s">
        <v>66</v>
      </c>
      <c r="L9">
        <v>13.21</v>
      </c>
    </row>
    <row r="10" spans="1:12">
      <c r="H10" s="109" t="s">
        <v>82</v>
      </c>
      <c r="I10" s="111">
        <v>17.181428571428572</v>
      </c>
      <c r="K10" s="109" t="s">
        <v>79</v>
      </c>
      <c r="L10" s="111">
        <v>22.618333333333336</v>
      </c>
    </row>
    <row r="13" spans="1:12">
      <c r="A13" s="108" t="s">
        <v>76</v>
      </c>
      <c r="B13" t="s">
        <v>74</v>
      </c>
      <c r="C13" s="110" t="s">
        <v>73</v>
      </c>
      <c r="D13" s="110" t="s">
        <v>75</v>
      </c>
      <c r="E13" s="110" t="s">
        <v>72</v>
      </c>
      <c r="H13" s="108" t="s">
        <v>86</v>
      </c>
      <c r="I13" t="s">
        <v>84</v>
      </c>
      <c r="K13" s="108" t="s">
        <v>86</v>
      </c>
      <c r="L13" t="s">
        <v>85</v>
      </c>
    </row>
    <row r="14" spans="1:12">
      <c r="A14" s="109" t="s">
        <v>65</v>
      </c>
      <c r="B14">
        <v>9.01</v>
      </c>
      <c r="D14">
        <v>31.05</v>
      </c>
      <c r="E14">
        <v>2.08</v>
      </c>
      <c r="H14" s="109" t="s">
        <v>65</v>
      </c>
      <c r="I14">
        <v>2.08</v>
      </c>
      <c r="K14" s="109" t="s">
        <v>65</v>
      </c>
      <c r="L14">
        <v>9.01</v>
      </c>
    </row>
    <row r="15" spans="1:12">
      <c r="A15" s="109" t="s">
        <v>70</v>
      </c>
      <c r="B15">
        <v>8.32</v>
      </c>
      <c r="C15">
        <v>41.04</v>
      </c>
      <c r="D15">
        <v>28.34</v>
      </c>
      <c r="E15">
        <v>3.21</v>
      </c>
      <c r="H15" s="109" t="s">
        <v>70</v>
      </c>
      <c r="I15">
        <v>3.21</v>
      </c>
      <c r="K15" s="109" t="s">
        <v>70</v>
      </c>
      <c r="L15">
        <v>8.32</v>
      </c>
    </row>
    <row r="16" spans="1:12">
      <c r="A16" s="109" t="s">
        <v>68</v>
      </c>
      <c r="B16">
        <v>2.44</v>
      </c>
      <c r="C16">
        <v>19.41</v>
      </c>
      <c r="D16">
        <v>9.48</v>
      </c>
      <c r="E16">
        <v>1.25</v>
      </c>
      <c r="H16" s="109" t="s">
        <v>68</v>
      </c>
      <c r="I16">
        <v>1.25</v>
      </c>
      <c r="K16" s="109" t="s">
        <v>68</v>
      </c>
      <c r="L16">
        <v>2.44</v>
      </c>
    </row>
    <row r="17" spans="1:12">
      <c r="A17" s="109" t="s">
        <v>60</v>
      </c>
      <c r="B17">
        <v>7.68</v>
      </c>
      <c r="C17">
        <v>19.68</v>
      </c>
      <c r="D17">
        <v>17.62</v>
      </c>
      <c r="E17">
        <v>2.16</v>
      </c>
      <c r="H17" s="109" t="s">
        <v>60</v>
      </c>
      <c r="I17">
        <v>2.16</v>
      </c>
      <c r="K17" s="109" t="s">
        <v>60</v>
      </c>
      <c r="L17">
        <v>7.68</v>
      </c>
    </row>
    <row r="18" spans="1:12">
      <c r="A18" s="112" t="s">
        <v>69</v>
      </c>
      <c r="B18" s="113">
        <v>2.4500000000000002</v>
      </c>
      <c r="C18" s="113">
        <v>24.43</v>
      </c>
      <c r="D18" s="113">
        <v>13.72</v>
      </c>
      <c r="E18" s="113">
        <v>1</v>
      </c>
      <c r="H18" s="109" t="s">
        <v>69</v>
      </c>
      <c r="I18">
        <v>1</v>
      </c>
      <c r="K18" s="109" t="s">
        <v>69</v>
      </c>
      <c r="L18">
        <v>2.4500000000000002</v>
      </c>
    </row>
    <row r="19" spans="1:12">
      <c r="A19" s="109" t="s">
        <v>67</v>
      </c>
      <c r="B19">
        <v>2.5099999999999998</v>
      </c>
      <c r="C19">
        <v>17.940000000000001</v>
      </c>
      <c r="D19">
        <v>10.51</v>
      </c>
      <c r="E19">
        <v>1.34</v>
      </c>
      <c r="H19" s="109" t="s">
        <v>67</v>
      </c>
      <c r="I19">
        <v>1.34</v>
      </c>
      <c r="K19" s="109" t="s">
        <v>67</v>
      </c>
      <c r="L19">
        <v>2.5099999999999998</v>
      </c>
    </row>
    <row r="20" spans="1:12">
      <c r="A20" s="109" t="s">
        <v>66</v>
      </c>
      <c r="B20">
        <v>1.39</v>
      </c>
      <c r="C20">
        <v>13.21</v>
      </c>
      <c r="D20">
        <v>9.5500000000000007</v>
      </c>
      <c r="E20">
        <v>0.62</v>
      </c>
      <c r="H20" s="109" t="s">
        <v>66</v>
      </c>
      <c r="I20">
        <v>0.62</v>
      </c>
      <c r="K20" s="109" t="s">
        <v>66</v>
      </c>
      <c r="L20">
        <v>1.39</v>
      </c>
    </row>
    <row r="21" spans="1:12">
      <c r="A21" s="109" t="s">
        <v>71</v>
      </c>
      <c r="B21" s="111">
        <v>4.8285714285714283</v>
      </c>
      <c r="C21" s="114">
        <v>22.618333333333336</v>
      </c>
      <c r="D21" s="114">
        <v>17.181428571428572</v>
      </c>
      <c r="E21" s="114">
        <v>1.6657142857142855</v>
      </c>
      <c r="H21" s="109" t="s">
        <v>81</v>
      </c>
      <c r="I21" s="111">
        <v>1.6657142857142855</v>
      </c>
      <c r="K21" s="109" t="s">
        <v>80</v>
      </c>
      <c r="L21" s="111">
        <v>4.8285714285714283</v>
      </c>
    </row>
  </sheetData>
  <pageMargins left="0.7" right="0.7" top="0.75" bottom="0.75" header="0.3" footer="0.3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6451-F603-4E5A-9EB3-945BC2BE8D56}">
  <dimension ref="A1:J5"/>
  <sheetViews>
    <sheetView workbookViewId="0">
      <selection activeCell="E12" sqref="E12"/>
    </sheetView>
  </sheetViews>
  <sheetFormatPr defaultRowHeight="14.4"/>
  <cols>
    <col min="1" max="1" width="28" style="116" customWidth="1"/>
    <col min="2" max="2" width="12" style="117" customWidth="1"/>
    <col min="3" max="3" width="23" style="116" customWidth="1"/>
    <col min="4" max="4" width="7.109375" style="116" bestFit="1" customWidth="1"/>
    <col min="5" max="6" width="8.88671875" style="116"/>
    <col min="7" max="7" width="21.44140625" style="116" bestFit="1" customWidth="1"/>
    <col min="8" max="8" width="12.33203125" style="116" bestFit="1" customWidth="1"/>
    <col min="9" max="9" width="23.6640625" style="116" bestFit="1" customWidth="1"/>
    <col min="10" max="10" width="7.109375" style="116" bestFit="1" customWidth="1"/>
    <col min="11" max="16384" width="8.88671875" style="116"/>
  </cols>
  <sheetData>
    <row r="1" spans="1:10">
      <c r="A1" s="116" t="s">
        <v>99</v>
      </c>
      <c r="B1" s="117" t="s">
        <v>97</v>
      </c>
      <c r="C1" s="116" t="s">
        <v>96</v>
      </c>
      <c r="D1" s="116" t="s">
        <v>95</v>
      </c>
      <c r="G1" s="116" t="s">
        <v>98</v>
      </c>
      <c r="H1" s="116" t="s">
        <v>97</v>
      </c>
      <c r="I1" s="116" t="s">
        <v>96</v>
      </c>
      <c r="J1" s="116" t="s">
        <v>95</v>
      </c>
    </row>
    <row r="2" spans="1:10">
      <c r="A2" s="116" t="s">
        <v>94</v>
      </c>
      <c r="B2" s="117">
        <v>4583.3999999999996</v>
      </c>
      <c r="C2" s="119">
        <v>0.53</v>
      </c>
      <c r="D2" s="118">
        <v>0.124</v>
      </c>
      <c r="G2" s="116" t="s">
        <v>93</v>
      </c>
      <c r="H2" s="117">
        <v>3418.4</v>
      </c>
      <c r="I2" s="119">
        <v>0.4</v>
      </c>
      <c r="J2" s="118">
        <v>0.13400000000000001</v>
      </c>
    </row>
    <row r="3" spans="1:10">
      <c r="A3" s="116" t="s">
        <v>92</v>
      </c>
      <c r="B3" s="117">
        <v>2763</v>
      </c>
      <c r="C3" s="119">
        <v>0.32</v>
      </c>
      <c r="D3" s="118">
        <v>-3.0000000000000001E-3</v>
      </c>
      <c r="G3" s="116" t="s">
        <v>91</v>
      </c>
      <c r="H3" s="117">
        <v>3389.9</v>
      </c>
      <c r="I3" s="119">
        <v>0.39</v>
      </c>
      <c r="J3" s="118">
        <v>-2.4E-2</v>
      </c>
    </row>
    <row r="4" spans="1:10">
      <c r="A4" s="116" t="s">
        <v>90</v>
      </c>
      <c r="B4" s="117">
        <v>1255.3</v>
      </c>
      <c r="C4" s="119">
        <v>0.15</v>
      </c>
      <c r="D4" s="118">
        <v>3.1E-2</v>
      </c>
      <c r="G4" s="116" t="s">
        <v>89</v>
      </c>
      <c r="H4" s="117">
        <v>1793.4</v>
      </c>
      <c r="I4" s="119">
        <v>0.21</v>
      </c>
      <c r="J4" s="118">
        <v>0.13600000000000001</v>
      </c>
    </row>
    <row r="5" spans="1:10">
      <c r="B5" s="117">
        <f>SUM(Table13[No of Sales])</f>
        <v>8601.6999999999989</v>
      </c>
      <c r="C5" s="119"/>
      <c r="D5" s="118"/>
      <c r="H5" s="117">
        <f>SUM(Table2[No of Sales])</f>
        <v>8601.7000000000007</v>
      </c>
      <c r="I5" s="119">
        <f>SUM(Table2[Percentage of total sales])</f>
        <v>1</v>
      </c>
      <c r="J5" s="118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3131-8CCF-49F4-B90A-B34F36E53640}">
  <dimension ref="A1:K30"/>
  <sheetViews>
    <sheetView zoomScale="80" zoomScaleNormal="80" workbookViewId="0">
      <selection activeCell="F35" sqref="F35"/>
    </sheetView>
  </sheetViews>
  <sheetFormatPr defaultRowHeight="14.4"/>
  <cols>
    <col min="1" max="1" width="10.88671875" style="116" bestFit="1" customWidth="1"/>
    <col min="2" max="11" width="9.5546875" style="116" bestFit="1" customWidth="1"/>
    <col min="12" max="16384" width="8.88671875" style="116"/>
  </cols>
  <sheetData>
    <row r="1" spans="1:11">
      <c r="A1" s="116" t="s">
        <v>111</v>
      </c>
      <c r="B1" s="116" t="s">
        <v>110</v>
      </c>
      <c r="C1" s="116" t="s">
        <v>109</v>
      </c>
      <c r="D1" s="116" t="s">
        <v>108</v>
      </c>
      <c r="E1" s="116" t="s">
        <v>107</v>
      </c>
      <c r="F1" s="116" t="s">
        <v>106</v>
      </c>
      <c r="G1" s="116" t="s">
        <v>105</v>
      </c>
      <c r="H1" s="116" t="s">
        <v>104</v>
      </c>
      <c r="I1" s="116" t="s">
        <v>103</v>
      </c>
      <c r="J1" s="116" t="s">
        <v>102</v>
      </c>
      <c r="K1" s="116" t="s">
        <v>101</v>
      </c>
    </row>
    <row r="2" spans="1:11">
      <c r="A2" s="116" t="s">
        <v>100</v>
      </c>
      <c r="B2" s="117">
        <v>2972</v>
      </c>
      <c r="C2" s="117">
        <v>3387.4</v>
      </c>
      <c r="D2" s="117">
        <v>3626.7</v>
      </c>
      <c r="E2" s="117">
        <v>4135.8999999999996</v>
      </c>
      <c r="F2" s="117">
        <v>4648.3</v>
      </c>
      <c r="G2" s="117">
        <v>5502.2</v>
      </c>
      <c r="H2" s="117">
        <v>5234.3999999999996</v>
      </c>
      <c r="I2" s="117">
        <v>6805.4</v>
      </c>
      <c r="J2" s="117">
        <v>8465.1</v>
      </c>
      <c r="K2" s="117">
        <v>8601.7000000000007</v>
      </c>
    </row>
    <row r="3" spans="1:11">
      <c r="A3" s="116" t="s">
        <v>94</v>
      </c>
      <c r="B3" s="117">
        <v>1282.7</v>
      </c>
      <c r="C3" s="117">
        <v>1506.1</v>
      </c>
      <c r="D3" s="117">
        <v>1627</v>
      </c>
      <c r="E3" s="117">
        <v>1974.5</v>
      </c>
      <c r="F3" s="117">
        <v>2184.6999999999998</v>
      </c>
      <c r="G3" s="117">
        <v>2552.5</v>
      </c>
      <c r="H3" s="117">
        <v>2367.6</v>
      </c>
      <c r="I3" s="117">
        <v>3163.6</v>
      </c>
      <c r="J3" s="117">
        <v>4317.8999999999996</v>
      </c>
      <c r="K3" s="117">
        <v>4583.3999999999996</v>
      </c>
    </row>
    <row r="4" spans="1:11">
      <c r="A4" s="116" t="s">
        <v>92</v>
      </c>
      <c r="B4" s="117">
        <v>1103.0999999999999</v>
      </c>
      <c r="C4" s="117">
        <v>1244.8</v>
      </c>
      <c r="D4" s="117">
        <v>1333.2</v>
      </c>
      <c r="E4" s="117">
        <v>1441.4</v>
      </c>
      <c r="F4" s="117">
        <v>1687.5</v>
      </c>
      <c r="G4" s="117">
        <v>2068.6999999999998</v>
      </c>
      <c r="H4" s="117">
        <v>1974.1</v>
      </c>
      <c r="I4" s="117">
        <v>2517.3000000000002</v>
      </c>
      <c r="J4" s="117">
        <v>2896.3</v>
      </c>
      <c r="K4" s="117">
        <v>2763</v>
      </c>
    </row>
    <row r="5" spans="1:11">
      <c r="A5" s="116" t="s">
        <v>90</v>
      </c>
      <c r="B5" s="117">
        <v>586.29999999999995</v>
      </c>
      <c r="C5" s="117">
        <v>636.4</v>
      </c>
      <c r="D5" s="117">
        <v>665.5</v>
      </c>
      <c r="E5" s="117">
        <v>719.9</v>
      </c>
      <c r="F5" s="117">
        <v>776.1</v>
      </c>
      <c r="G5" s="117">
        <v>881.1</v>
      </c>
      <c r="H5" s="117">
        <v>892.7</v>
      </c>
      <c r="I5" s="117">
        <v>1124.5</v>
      </c>
      <c r="J5" s="117">
        <v>1251</v>
      </c>
      <c r="K5" s="117">
        <v>1255.3</v>
      </c>
    </row>
    <row r="26" spans="1:11">
      <c r="A26" s="116" t="s">
        <v>111</v>
      </c>
      <c r="B26" s="116" t="s">
        <v>110</v>
      </c>
      <c r="C26" s="116" t="s">
        <v>109</v>
      </c>
      <c r="D26" s="116" t="s">
        <v>108</v>
      </c>
      <c r="E26" s="116" t="s">
        <v>107</v>
      </c>
      <c r="F26" s="116" t="s">
        <v>106</v>
      </c>
      <c r="G26" s="116" t="s">
        <v>105</v>
      </c>
      <c r="H26" s="116" t="s">
        <v>104</v>
      </c>
      <c r="I26" s="116" t="s">
        <v>103</v>
      </c>
      <c r="J26" s="116" t="s">
        <v>102</v>
      </c>
      <c r="K26" s="116" t="s">
        <v>101</v>
      </c>
    </row>
    <row r="27" spans="1:11">
      <c r="A27" s="116" t="s">
        <v>100</v>
      </c>
      <c r="B27" s="117">
        <v>2972</v>
      </c>
      <c r="C27" s="117">
        <v>3387.4</v>
      </c>
      <c r="D27" s="117">
        <v>3626.7</v>
      </c>
      <c r="E27" s="117">
        <v>4135.8999999999996</v>
      </c>
      <c r="F27" s="117">
        <v>4648.3</v>
      </c>
      <c r="G27" s="117">
        <v>5502.2</v>
      </c>
      <c r="H27" s="117">
        <v>5234.3999999999996</v>
      </c>
      <c r="I27" s="117">
        <v>6805.4</v>
      </c>
      <c r="J27" s="117">
        <v>8465.1</v>
      </c>
      <c r="K27" s="117">
        <v>8601.7000000000007</v>
      </c>
    </row>
    <row r="28" spans="1:11">
      <c r="A28" s="116" t="s">
        <v>94</v>
      </c>
      <c r="B28" s="117">
        <v>1282.7</v>
      </c>
      <c r="C28" s="117">
        <v>1506.1</v>
      </c>
      <c r="D28" s="117">
        <v>1627</v>
      </c>
      <c r="E28" s="117">
        <v>1974.5</v>
      </c>
      <c r="F28" s="117">
        <v>2184.6999999999998</v>
      </c>
      <c r="G28" s="117">
        <v>2552.5</v>
      </c>
      <c r="H28" s="117">
        <v>2367.6</v>
      </c>
      <c r="I28" s="117">
        <v>3163.6</v>
      </c>
      <c r="J28" s="117">
        <v>4317.8999999999996</v>
      </c>
      <c r="K28" s="117">
        <v>4583.3999999999996</v>
      </c>
    </row>
    <row r="29" spans="1:11">
      <c r="A29" s="116" t="s">
        <v>92</v>
      </c>
      <c r="B29" s="117">
        <v>1103.0999999999999</v>
      </c>
      <c r="C29" s="117">
        <v>1244.8</v>
      </c>
      <c r="D29" s="117">
        <v>1333.2</v>
      </c>
      <c r="E29" s="117">
        <v>1441.4</v>
      </c>
      <c r="F29" s="117">
        <v>1687.5</v>
      </c>
      <c r="G29" s="117">
        <v>2068.6999999999998</v>
      </c>
      <c r="H29" s="117">
        <v>1974.1</v>
      </c>
      <c r="I29" s="117">
        <v>2517.3000000000002</v>
      </c>
      <c r="J29" s="117">
        <v>2896.3</v>
      </c>
      <c r="K29" s="117">
        <v>2763</v>
      </c>
    </row>
    <row r="30" spans="1:11">
      <c r="A30" s="116" t="s">
        <v>90</v>
      </c>
      <c r="B30" s="117">
        <v>586.29999999999995</v>
      </c>
      <c r="C30" s="117">
        <v>636.4</v>
      </c>
      <c r="D30" s="117">
        <v>665.5</v>
      </c>
      <c r="E30" s="117">
        <v>719.9</v>
      </c>
      <c r="F30" s="117">
        <v>776.1</v>
      </c>
      <c r="G30" s="117">
        <v>881.1</v>
      </c>
      <c r="H30" s="117">
        <v>892.7</v>
      </c>
      <c r="I30" s="117">
        <v>1124.5</v>
      </c>
      <c r="J30" s="117">
        <v>1251</v>
      </c>
      <c r="K30" s="117">
        <v>1255.3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9616-028C-46D8-9D2A-D94D31102153}">
  <dimension ref="A1:M4"/>
  <sheetViews>
    <sheetView workbookViewId="0">
      <selection activeCell="J20" sqref="J20"/>
    </sheetView>
  </sheetViews>
  <sheetFormatPr defaultRowHeight="14.4"/>
  <cols>
    <col min="1" max="1" width="24.5546875" bestFit="1" customWidth="1"/>
    <col min="2" max="5" width="9.109375" bestFit="1" customWidth="1"/>
    <col min="6" max="6" width="10.77734375" bestFit="1" customWidth="1"/>
  </cols>
  <sheetData>
    <row r="1" spans="1:13">
      <c r="A1" t="s">
        <v>111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122</v>
      </c>
      <c r="I1" t="s">
        <v>123</v>
      </c>
      <c r="J1" t="s">
        <v>124</v>
      </c>
      <c r="K1" t="s">
        <v>125</v>
      </c>
    </row>
    <row r="2" spans="1:13">
      <c r="A2" t="s">
        <v>120</v>
      </c>
      <c r="B2" s="111">
        <v>126.4</v>
      </c>
      <c r="C2" s="111">
        <v>-37.1</v>
      </c>
      <c r="D2" s="111">
        <v>131.1</v>
      </c>
      <c r="E2" s="111">
        <v>238.8</v>
      </c>
      <c r="F2" s="111">
        <v>278.10000000000002</v>
      </c>
      <c r="G2" s="111">
        <v>548.79999999999995</v>
      </c>
      <c r="H2" s="111">
        <v>421.5</v>
      </c>
      <c r="I2" s="111">
        <v>460.1</v>
      </c>
      <c r="J2" s="111">
        <v>418.3</v>
      </c>
      <c r="K2" s="111">
        <v>653.6</v>
      </c>
    </row>
    <row r="3" spans="1:13">
      <c r="A3" t="s">
        <v>121</v>
      </c>
      <c r="B3" s="111">
        <v>72.599999999999994</v>
      </c>
      <c r="C3" s="111">
        <v>79</v>
      </c>
      <c r="D3" s="111">
        <v>84.3</v>
      </c>
      <c r="E3" s="111">
        <v>122.9</v>
      </c>
      <c r="F3" s="111">
        <v>130.19999999999999</v>
      </c>
      <c r="G3" s="111">
        <v>218.4</v>
      </c>
      <c r="H3" s="111">
        <v>151</v>
      </c>
      <c r="I3" s="111">
        <v>202.4</v>
      </c>
      <c r="J3" s="111">
        <v>263.60000000000002</v>
      </c>
      <c r="K3" s="111">
        <v>300.39999999999998</v>
      </c>
      <c r="M3">
        <f>AVERAGE(Table7[[#This Row],[FY2014]:[FY2023]])</f>
        <v>162.48000000000002</v>
      </c>
    </row>
    <row r="4" spans="1:13">
      <c r="A4" t="s">
        <v>126</v>
      </c>
      <c r="B4" s="111">
        <v>50.5</v>
      </c>
      <c r="C4" s="111">
        <v>57.5</v>
      </c>
      <c r="D4" s="111">
        <v>59.9</v>
      </c>
      <c r="E4" s="111">
        <v>70.400000000000006</v>
      </c>
      <c r="F4" s="111">
        <v>81.400000000000006</v>
      </c>
      <c r="G4" s="111">
        <v>246.6</v>
      </c>
      <c r="H4" s="111">
        <v>293.8</v>
      </c>
      <c r="I4" s="111">
        <v>305.8</v>
      </c>
      <c r="J4" s="111">
        <v>358.7</v>
      </c>
      <c r="K4" s="111">
        <v>357.5</v>
      </c>
      <c r="M4">
        <f>AVERAGE(Table7[[#This Row],[FY2014]:[FY2023]])</f>
        <v>188.21</v>
      </c>
    </row>
  </sheetData>
  <phoneticPr fontId="32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5456-E894-48FE-9884-46249D39F682}">
  <dimension ref="A1:B5"/>
  <sheetViews>
    <sheetView workbookViewId="0">
      <selection activeCell="Q15" sqref="Q15"/>
    </sheetView>
  </sheetViews>
  <sheetFormatPr defaultRowHeight="14.4"/>
  <cols>
    <col min="1" max="1" width="30.109375" bestFit="1" customWidth="1"/>
    <col min="2" max="2" width="14.33203125" bestFit="1" customWidth="1"/>
    <col min="3" max="3" width="14" customWidth="1"/>
  </cols>
  <sheetData>
    <row r="1" spans="1:2">
      <c r="A1" t="s">
        <v>137</v>
      </c>
      <c r="B1" t="s">
        <v>133</v>
      </c>
    </row>
    <row r="2" spans="1:2">
      <c r="A2" t="s">
        <v>134</v>
      </c>
      <c r="B2" s="135">
        <v>0.22</v>
      </c>
    </row>
    <row r="3" spans="1:2">
      <c r="A3" t="s">
        <v>93</v>
      </c>
      <c r="B3" s="135">
        <v>0.44</v>
      </c>
    </row>
    <row r="4" spans="1:2">
      <c r="A4" t="s">
        <v>135</v>
      </c>
      <c r="B4" s="135">
        <v>0.16</v>
      </c>
    </row>
    <row r="5" spans="1:2">
      <c r="A5" t="s">
        <v>136</v>
      </c>
      <c r="B5" s="135">
        <v>0.18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DCF</vt:lpstr>
      <vt:lpstr>Scenario Analysis</vt:lpstr>
      <vt:lpstr>Equity Share Price Sensitivity </vt:lpstr>
      <vt:lpstr>Sheet2</vt:lpstr>
      <vt:lpstr>Peers</vt:lpstr>
      <vt:lpstr>2023</vt:lpstr>
      <vt:lpstr>SALES</vt:lpstr>
      <vt:lpstr>CapEx-Depreciation</vt:lpstr>
      <vt:lpstr>Employees</vt:lpstr>
      <vt:lpstr>TAX</vt:lpstr>
      <vt:lpstr>WORKING CAPITAL</vt:lpstr>
      <vt:lpstr>Capital Structure</vt:lpstr>
      <vt:lpstr>Enterprise Sensitivity Analysis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MLC</dc:creator>
  <cp:lastModifiedBy>Vasilis Topsidis</cp:lastModifiedBy>
  <dcterms:created xsi:type="dcterms:W3CDTF">2012-05-02T08:50:45Z</dcterms:created>
  <dcterms:modified xsi:type="dcterms:W3CDTF">2024-11-27T09:41:32Z</dcterms:modified>
</cp:coreProperties>
</file>