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autoCompressPictures="0"/>
  <mc:AlternateContent xmlns:mc="http://schemas.openxmlformats.org/markup-compatibility/2006">
    <mc:Choice Requires="x15">
      <x15ac:absPath xmlns:x15ac="http://schemas.microsoft.com/office/spreadsheetml/2010/11/ac" url="D:\VIVIAN FOODS S.AC\"/>
    </mc:Choice>
  </mc:AlternateContent>
  <xr:revisionPtr revIDLastSave="0" documentId="13_ncr:1_{109AAE44-A274-4203-A904-A20D659F2F4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LISTA PRECIO " sheetId="1" r:id="rId1"/>
    <sheet name="Hoja1" sheetId="2" r:id="rId2"/>
  </sheets>
  <definedNames>
    <definedName name="_xlnm._FilterDatabase" localSheetId="0" hidden="1">'LISTA PRECIO '!$A$25:$H$103</definedName>
    <definedName name="_xlnm.Print_Area" localSheetId="0">'LISTA PRECIO '!$A$1:$H$100</definedName>
    <definedName name="_xlnm.Print_Titles" localSheetId="0">'LISTA PRECIO '!$1:$26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6" i="1" l="1"/>
  <c r="E96" i="1" s="1"/>
  <c r="F96" i="1" s="1"/>
  <c r="L96" i="1"/>
  <c r="R96" i="1"/>
  <c r="S96" i="1" s="1"/>
  <c r="B96" i="1"/>
  <c r="Q96" i="1" l="1"/>
  <c r="K96" i="1"/>
  <c r="M96" i="1"/>
  <c r="N96" i="1" s="1"/>
  <c r="E91" i="1"/>
  <c r="F91" i="1" s="1"/>
  <c r="G91" i="1"/>
  <c r="B91" i="1"/>
  <c r="F80" i="1" l="1"/>
  <c r="G80" i="1" s="1"/>
  <c r="B80" i="1"/>
  <c r="B81" i="1"/>
  <c r="E81" i="1"/>
  <c r="F81" i="1" s="1"/>
  <c r="B78" i="1"/>
  <c r="B79" i="1"/>
  <c r="F78" i="1"/>
  <c r="G78" i="1" s="1"/>
  <c r="F79" i="1"/>
  <c r="G79" i="1" s="1"/>
  <c r="L80" i="1" l="1"/>
  <c r="H80" i="1"/>
  <c r="R80" i="1" s="1"/>
  <c r="S80" i="1" s="1"/>
  <c r="K80" i="1"/>
  <c r="G81" i="1"/>
  <c r="H78" i="1"/>
  <c r="R78" i="1" s="1"/>
  <c r="S78" i="1" s="1"/>
  <c r="L78" i="1"/>
  <c r="K78" i="1"/>
  <c r="H79" i="1"/>
  <c r="R79" i="1" s="1"/>
  <c r="S79" i="1" s="1"/>
  <c r="L79" i="1"/>
  <c r="K79" i="1"/>
  <c r="G92" i="1"/>
  <c r="B103" i="1"/>
  <c r="B102" i="1"/>
  <c r="G103" i="1"/>
  <c r="G102" i="1"/>
  <c r="G101" i="1"/>
  <c r="B101" i="1"/>
  <c r="Q78" i="1" l="1"/>
  <c r="L101" i="1"/>
  <c r="Q101" i="1"/>
  <c r="R101" i="1"/>
  <c r="S101" i="1" s="1"/>
  <c r="Q92" i="1"/>
  <c r="R92" i="1"/>
  <c r="S92" i="1" s="1"/>
  <c r="Q79" i="1"/>
  <c r="E103" i="1"/>
  <c r="F103" i="1" s="1"/>
  <c r="R103" i="1"/>
  <c r="S103" i="1" s="1"/>
  <c r="Q103" i="1"/>
  <c r="Q80" i="1"/>
  <c r="E102" i="1"/>
  <c r="F102" i="1" s="1"/>
  <c r="R102" i="1"/>
  <c r="S102" i="1" s="1"/>
  <c r="Q102" i="1"/>
  <c r="H81" i="1"/>
  <c r="R81" i="1" s="1"/>
  <c r="S81" i="1" s="1"/>
  <c r="K81" i="1"/>
  <c r="L81" i="1"/>
  <c r="M81" i="1"/>
  <c r="N81" i="1" s="1"/>
  <c r="M101" i="1"/>
  <c r="N101" i="1" s="1"/>
  <c r="K101" i="1"/>
  <c r="E101" i="1"/>
  <c r="F101" i="1" s="1"/>
  <c r="K103" i="1"/>
  <c r="L103" i="1"/>
  <c r="M103" i="1"/>
  <c r="N103" i="1" s="1"/>
  <c r="K102" i="1"/>
  <c r="L102" i="1"/>
  <c r="M102" i="1"/>
  <c r="N102" i="1" s="1"/>
  <c r="G100" i="1"/>
  <c r="B100" i="1"/>
  <c r="G99" i="1"/>
  <c r="B99" i="1"/>
  <c r="Q81" i="1" l="1"/>
  <c r="K99" i="1"/>
  <c r="Q99" i="1"/>
  <c r="R99" i="1"/>
  <c r="S99" i="1" s="1"/>
  <c r="L100" i="1"/>
  <c r="R100" i="1"/>
  <c r="S100" i="1" s="1"/>
  <c r="Q100" i="1"/>
  <c r="E99" i="1"/>
  <c r="F99" i="1" s="1"/>
  <c r="L99" i="1"/>
  <c r="M100" i="1"/>
  <c r="N100" i="1" s="1"/>
  <c r="M99" i="1"/>
  <c r="N99" i="1" s="1"/>
  <c r="K100" i="1"/>
  <c r="E100" i="1"/>
  <c r="F100" i="1" s="1"/>
  <c r="B89" i="1"/>
  <c r="B90" i="1"/>
  <c r="B92" i="1"/>
  <c r="B93" i="1"/>
  <c r="B94" i="1"/>
  <c r="B95" i="1"/>
  <c r="B97" i="1"/>
  <c r="B98" i="1"/>
  <c r="G98" i="1"/>
  <c r="G97" i="1"/>
  <c r="G95" i="1"/>
  <c r="G94" i="1"/>
  <c r="G93" i="1"/>
  <c r="E92" i="1"/>
  <c r="F92" i="1" s="1"/>
  <c r="G90" i="1"/>
  <c r="G89" i="1"/>
  <c r="H88" i="1"/>
  <c r="R89" i="1" l="1"/>
  <c r="S89" i="1" s="1"/>
  <c r="Q89" i="1"/>
  <c r="E94" i="1"/>
  <c r="R94" i="1"/>
  <c r="S94" i="1" s="1"/>
  <c r="Q94" i="1"/>
  <c r="R90" i="1"/>
  <c r="S90" i="1" s="1"/>
  <c r="Q90" i="1"/>
  <c r="M95" i="1"/>
  <c r="N95" i="1" s="1"/>
  <c r="R95" i="1"/>
  <c r="S95" i="1" s="1"/>
  <c r="Q95" i="1"/>
  <c r="E97" i="1"/>
  <c r="F97" i="1" s="1"/>
  <c r="Q97" i="1"/>
  <c r="R97" i="1"/>
  <c r="S97" i="1" s="1"/>
  <c r="R88" i="1"/>
  <c r="S88" i="1" s="1"/>
  <c r="Q88" i="1"/>
  <c r="E93" i="1"/>
  <c r="F93" i="1" s="1"/>
  <c r="R93" i="1"/>
  <c r="S93" i="1" s="1"/>
  <c r="Q93" i="1"/>
  <c r="L98" i="1"/>
  <c r="R98" i="1"/>
  <c r="S98" i="1" s="1"/>
  <c r="Q98" i="1"/>
  <c r="E98" i="1"/>
  <c r="F98" i="1" s="1"/>
  <c r="K98" i="1"/>
  <c r="K95" i="1"/>
  <c r="E95" i="1"/>
  <c r="F95" i="1" s="1"/>
  <c r="L97" i="1"/>
  <c r="M98" i="1"/>
  <c r="N98" i="1" s="1"/>
  <c r="K97" i="1"/>
  <c r="M97" i="1"/>
  <c r="N97" i="1" s="1"/>
  <c r="O88" i="1"/>
  <c r="L95" i="1"/>
  <c r="E90" i="1"/>
  <c r="F90" i="1" s="1"/>
  <c r="L93" i="1"/>
  <c r="L94" i="1"/>
  <c r="M89" i="1"/>
  <c r="N89" i="1" s="1"/>
  <c r="M92" i="1"/>
  <c r="N92" i="1" s="1"/>
  <c r="L90" i="1"/>
  <c r="L92" i="1"/>
  <c r="K92" i="1"/>
  <c r="K93" i="1"/>
  <c r="K90" i="1" l="1"/>
  <c r="M90" i="1"/>
  <c r="N90" i="1" s="1"/>
  <c r="K94" i="1"/>
  <c r="F94" i="1"/>
  <c r="M93" i="1"/>
  <c r="N93" i="1" s="1"/>
  <c r="M94" i="1"/>
  <c r="N94" i="1" s="1"/>
  <c r="E89" i="1"/>
  <c r="F89" i="1" s="1"/>
  <c r="K89" i="1"/>
  <c r="L89" i="1"/>
  <c r="M87" i="1"/>
  <c r="N87" i="1" s="1"/>
  <c r="M88" i="1"/>
  <c r="N88" i="1" s="1"/>
  <c r="K87" i="1"/>
  <c r="L87" i="1"/>
  <c r="K88" i="1"/>
  <c r="L88" i="1"/>
  <c r="E28" i="1"/>
  <c r="E88" i="1" l="1"/>
  <c r="E87" i="1"/>
  <c r="H87" i="1"/>
  <c r="Q87" i="1" l="1"/>
  <c r="R87" i="1"/>
  <c r="S87" i="1" s="1"/>
  <c r="O87" i="1"/>
  <c r="D84" i="1"/>
  <c r="D82" i="1"/>
  <c r="D86" i="1"/>
  <c r="B88" i="1"/>
  <c r="B87" i="1"/>
  <c r="D77" i="1"/>
  <c r="D76" i="1"/>
  <c r="D75" i="1"/>
  <c r="D73" i="1"/>
  <c r="D71" i="1"/>
  <c r="D72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 l="1"/>
  <c r="D41" i="1"/>
  <c r="D40" i="1"/>
  <c r="D39" i="1"/>
  <c r="D38" i="1"/>
  <c r="D37" i="1"/>
  <c r="D36" i="1"/>
  <c r="D35" i="1"/>
  <c r="D34" i="1"/>
  <c r="D33" i="1"/>
  <c r="D32" i="1"/>
  <c r="D31" i="1"/>
  <c r="D30" i="1" l="1"/>
  <c r="D29" i="1"/>
  <c r="D28" i="1" l="1"/>
  <c r="D27" i="1"/>
  <c r="B45" i="1" l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82" i="1"/>
  <c r="B83" i="1"/>
  <c r="B84" i="1"/>
  <c r="B85" i="1"/>
  <c r="B86" i="1"/>
  <c r="B40" i="1"/>
  <c r="B41" i="1"/>
  <c r="B42" i="1"/>
  <c r="B43" i="1"/>
  <c r="B44" i="1"/>
  <c r="B35" i="1"/>
  <c r="B36" i="1"/>
  <c r="B37" i="1"/>
  <c r="B38" i="1"/>
  <c r="B39" i="1"/>
  <c r="B33" i="1"/>
  <c r="B28" i="1"/>
  <c r="B29" i="1"/>
  <c r="B30" i="1"/>
  <c r="B31" i="1"/>
  <c r="B32" i="1"/>
  <c r="B34" i="1"/>
  <c r="B27" i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E82" i="1"/>
  <c r="F82" i="1" s="1"/>
  <c r="E83" i="1"/>
  <c r="E84" i="1"/>
  <c r="F84" i="1" s="1"/>
  <c r="G84" i="1" s="1"/>
  <c r="E85" i="1"/>
  <c r="F85" i="1" s="1"/>
  <c r="G85" i="1" s="1"/>
  <c r="E86" i="1"/>
  <c r="F86" i="1" s="1"/>
  <c r="F27" i="1"/>
  <c r="G27" i="1" s="1"/>
  <c r="Q64" i="1" l="1"/>
  <c r="H40" i="1"/>
  <c r="R40" i="1" s="1"/>
  <c r="S40" i="1" s="1"/>
  <c r="H70" i="1"/>
  <c r="R70" i="1" s="1"/>
  <c r="S70" i="1" s="1"/>
  <c r="L70" i="1"/>
  <c r="K70" i="1"/>
  <c r="K62" i="1"/>
  <c r="H62" i="1"/>
  <c r="R62" i="1" s="1"/>
  <c r="S62" i="1" s="1"/>
  <c r="L62" i="1"/>
  <c r="H54" i="1"/>
  <c r="R54" i="1" s="1"/>
  <c r="S54" i="1" s="1"/>
  <c r="L54" i="1"/>
  <c r="K54" i="1"/>
  <c r="H46" i="1"/>
  <c r="R46" i="1" s="1"/>
  <c r="S46" i="1" s="1"/>
  <c r="L46" i="1"/>
  <c r="K46" i="1"/>
  <c r="H38" i="1"/>
  <c r="R38" i="1" s="1"/>
  <c r="S38" i="1" s="1"/>
  <c r="L38" i="1"/>
  <c r="K38" i="1"/>
  <c r="K34" i="1"/>
  <c r="H34" i="1"/>
  <c r="R34" i="1" s="1"/>
  <c r="S34" i="1" s="1"/>
  <c r="L34" i="1"/>
  <c r="K84" i="1"/>
  <c r="M84" i="1"/>
  <c r="N84" i="1" s="1"/>
  <c r="L84" i="1"/>
  <c r="H84" i="1"/>
  <c r="R84" i="1" s="1"/>
  <c r="S84" i="1" s="1"/>
  <c r="K73" i="1"/>
  <c r="L73" i="1"/>
  <c r="H73" i="1"/>
  <c r="R73" i="1" s="1"/>
  <c r="S73" i="1" s="1"/>
  <c r="K65" i="1"/>
  <c r="H65" i="1"/>
  <c r="R65" i="1" s="1"/>
  <c r="S65" i="1" s="1"/>
  <c r="L65" i="1"/>
  <c r="K61" i="1"/>
  <c r="H61" i="1"/>
  <c r="R61" i="1" s="1"/>
  <c r="S61" i="1" s="1"/>
  <c r="L61" i="1"/>
  <c r="K53" i="1"/>
  <c r="H53" i="1"/>
  <c r="R53" i="1" s="1"/>
  <c r="S53" i="1" s="1"/>
  <c r="L53" i="1"/>
  <c r="K45" i="1"/>
  <c r="L45" i="1"/>
  <c r="H45" i="1"/>
  <c r="R45" i="1" s="1"/>
  <c r="S45" i="1" s="1"/>
  <c r="K37" i="1"/>
  <c r="H37" i="1"/>
  <c r="R37" i="1" s="1"/>
  <c r="S37" i="1" s="1"/>
  <c r="L37" i="1"/>
  <c r="K29" i="1"/>
  <c r="H29" i="1"/>
  <c r="R29" i="1" s="1"/>
  <c r="S29" i="1" s="1"/>
  <c r="L29" i="1"/>
  <c r="H27" i="1"/>
  <c r="R27" i="1" s="1"/>
  <c r="S27" i="1" s="1"/>
  <c r="K27" i="1"/>
  <c r="L27" i="1"/>
  <c r="K76" i="1"/>
  <c r="H76" i="1"/>
  <c r="R76" i="1" s="1"/>
  <c r="S76" i="1" s="1"/>
  <c r="L76" i="1"/>
  <c r="K72" i="1"/>
  <c r="H72" i="1"/>
  <c r="R72" i="1" s="1"/>
  <c r="S72" i="1" s="1"/>
  <c r="L72" i="1"/>
  <c r="L68" i="1"/>
  <c r="K68" i="1"/>
  <c r="H68" i="1"/>
  <c r="R68" i="1" s="1"/>
  <c r="S68" i="1" s="1"/>
  <c r="H64" i="1"/>
  <c r="R64" i="1" s="1"/>
  <c r="S64" i="1" s="1"/>
  <c r="K64" i="1"/>
  <c r="L64" i="1"/>
  <c r="K60" i="1"/>
  <c r="H60" i="1"/>
  <c r="R60" i="1" s="1"/>
  <c r="S60" i="1" s="1"/>
  <c r="L60" i="1"/>
  <c r="K56" i="1"/>
  <c r="H56" i="1"/>
  <c r="R56" i="1" s="1"/>
  <c r="S56" i="1" s="1"/>
  <c r="L56" i="1"/>
  <c r="L52" i="1"/>
  <c r="K52" i="1"/>
  <c r="H52" i="1"/>
  <c r="R52" i="1" s="1"/>
  <c r="S52" i="1" s="1"/>
  <c r="H48" i="1"/>
  <c r="R48" i="1" s="1"/>
  <c r="S48" i="1" s="1"/>
  <c r="K48" i="1"/>
  <c r="L48" i="1"/>
  <c r="K44" i="1"/>
  <c r="H44" i="1"/>
  <c r="R44" i="1" s="1"/>
  <c r="S44" i="1" s="1"/>
  <c r="L44" i="1"/>
  <c r="K40" i="1"/>
  <c r="L40" i="1"/>
  <c r="L36" i="1"/>
  <c r="K36" i="1"/>
  <c r="H36" i="1"/>
  <c r="R36" i="1" s="1"/>
  <c r="S36" i="1" s="1"/>
  <c r="H32" i="1"/>
  <c r="R32" i="1" s="1"/>
  <c r="S32" i="1" s="1"/>
  <c r="K32" i="1"/>
  <c r="L32" i="1"/>
  <c r="L85" i="1"/>
  <c r="M85" i="1"/>
  <c r="N85" i="1" s="1"/>
  <c r="K85" i="1"/>
  <c r="H85" i="1"/>
  <c r="R85" i="1" s="1"/>
  <c r="S85" i="1" s="1"/>
  <c r="H74" i="1"/>
  <c r="R74" i="1" s="1"/>
  <c r="S74" i="1" s="1"/>
  <c r="L74" i="1"/>
  <c r="K74" i="1"/>
  <c r="H66" i="1"/>
  <c r="R66" i="1" s="1"/>
  <c r="S66" i="1" s="1"/>
  <c r="L66" i="1"/>
  <c r="K66" i="1"/>
  <c r="H58" i="1"/>
  <c r="R58" i="1" s="1"/>
  <c r="S58" i="1" s="1"/>
  <c r="L58" i="1"/>
  <c r="K58" i="1"/>
  <c r="H50" i="1"/>
  <c r="R50" i="1" s="1"/>
  <c r="S50" i="1" s="1"/>
  <c r="L50" i="1"/>
  <c r="K50" i="1"/>
  <c r="H42" i="1"/>
  <c r="R42" i="1" s="1"/>
  <c r="S42" i="1" s="1"/>
  <c r="L42" i="1"/>
  <c r="K42" i="1"/>
  <c r="H30" i="1"/>
  <c r="R30" i="1" s="1"/>
  <c r="S30" i="1" s="1"/>
  <c r="L30" i="1"/>
  <c r="K30" i="1"/>
  <c r="K77" i="1"/>
  <c r="L77" i="1"/>
  <c r="H77" i="1"/>
  <c r="R77" i="1" s="1"/>
  <c r="S77" i="1" s="1"/>
  <c r="K69" i="1"/>
  <c r="H69" i="1"/>
  <c r="R69" i="1" s="1"/>
  <c r="S69" i="1" s="1"/>
  <c r="L69" i="1"/>
  <c r="K57" i="1"/>
  <c r="L57" i="1"/>
  <c r="H57" i="1"/>
  <c r="R57" i="1" s="1"/>
  <c r="S57" i="1" s="1"/>
  <c r="K49" i="1"/>
  <c r="H49" i="1"/>
  <c r="R49" i="1" s="1"/>
  <c r="S49" i="1" s="1"/>
  <c r="L49" i="1"/>
  <c r="K41" i="1"/>
  <c r="L41" i="1"/>
  <c r="H41" i="1"/>
  <c r="R41" i="1" s="1"/>
  <c r="S41" i="1" s="1"/>
  <c r="K33" i="1"/>
  <c r="H33" i="1"/>
  <c r="R33" i="1" s="1"/>
  <c r="S33" i="1" s="1"/>
  <c r="L33" i="1"/>
  <c r="H75" i="1"/>
  <c r="R75" i="1" s="1"/>
  <c r="S75" i="1" s="1"/>
  <c r="L75" i="1"/>
  <c r="K75" i="1"/>
  <c r="H71" i="1"/>
  <c r="R71" i="1" s="1"/>
  <c r="S71" i="1" s="1"/>
  <c r="K71" i="1"/>
  <c r="L71" i="1"/>
  <c r="H67" i="1"/>
  <c r="R67" i="1" s="1"/>
  <c r="S67" i="1" s="1"/>
  <c r="L67" i="1"/>
  <c r="K67" i="1"/>
  <c r="H63" i="1"/>
  <c r="R63" i="1" s="1"/>
  <c r="S63" i="1" s="1"/>
  <c r="K63" i="1"/>
  <c r="L63" i="1"/>
  <c r="H59" i="1"/>
  <c r="R59" i="1" s="1"/>
  <c r="S59" i="1" s="1"/>
  <c r="L59" i="1"/>
  <c r="K59" i="1"/>
  <c r="H55" i="1"/>
  <c r="R55" i="1" s="1"/>
  <c r="S55" i="1" s="1"/>
  <c r="L55" i="1"/>
  <c r="K55" i="1"/>
  <c r="H51" i="1"/>
  <c r="R51" i="1" s="1"/>
  <c r="S51" i="1" s="1"/>
  <c r="L51" i="1"/>
  <c r="K51" i="1"/>
  <c r="H47" i="1"/>
  <c r="R47" i="1" s="1"/>
  <c r="S47" i="1" s="1"/>
  <c r="L47" i="1"/>
  <c r="K47" i="1"/>
  <c r="H43" i="1"/>
  <c r="R43" i="1" s="1"/>
  <c r="S43" i="1" s="1"/>
  <c r="L43" i="1"/>
  <c r="K43" i="1"/>
  <c r="H39" i="1"/>
  <c r="R39" i="1" s="1"/>
  <c r="S39" i="1" s="1"/>
  <c r="L39" i="1"/>
  <c r="K39" i="1"/>
  <c r="H35" i="1"/>
  <c r="R35" i="1" s="1"/>
  <c r="S35" i="1" s="1"/>
  <c r="L35" i="1"/>
  <c r="K35" i="1"/>
  <c r="H31" i="1"/>
  <c r="R31" i="1" s="1"/>
  <c r="S31" i="1" s="1"/>
  <c r="L31" i="1"/>
  <c r="K31" i="1"/>
  <c r="K28" i="1"/>
  <c r="H28" i="1"/>
  <c r="R28" i="1" s="1"/>
  <c r="S28" i="1" s="1"/>
  <c r="L28" i="1"/>
  <c r="M74" i="1"/>
  <c r="N74" i="1" s="1"/>
  <c r="M70" i="1"/>
  <c r="N70" i="1" s="1"/>
  <c r="M67" i="1"/>
  <c r="N67" i="1" s="1"/>
  <c r="M63" i="1"/>
  <c r="N63" i="1" s="1"/>
  <c r="M60" i="1"/>
  <c r="N60" i="1" s="1"/>
  <c r="M56" i="1"/>
  <c r="N56" i="1" s="1"/>
  <c r="M53" i="1"/>
  <c r="N53" i="1" s="1"/>
  <c r="M49" i="1"/>
  <c r="N49" i="1" s="1"/>
  <c r="M45" i="1"/>
  <c r="N45" i="1" s="1"/>
  <c r="M42" i="1"/>
  <c r="N42" i="1" s="1"/>
  <c r="M35" i="1"/>
  <c r="N35" i="1" s="1"/>
  <c r="M31" i="1"/>
  <c r="N31" i="1" s="1"/>
  <c r="M28" i="1"/>
  <c r="N28" i="1" s="1"/>
  <c r="M73" i="1"/>
  <c r="N73" i="1" s="1"/>
  <c r="M66" i="1"/>
  <c r="N66" i="1" s="1"/>
  <c r="M62" i="1"/>
  <c r="N62" i="1" s="1"/>
  <c r="M59" i="1"/>
  <c r="N59" i="1" s="1"/>
  <c r="M55" i="1"/>
  <c r="N55" i="1" s="1"/>
  <c r="M52" i="1"/>
  <c r="N52" i="1" s="1"/>
  <c r="M48" i="1"/>
  <c r="N48" i="1" s="1"/>
  <c r="M41" i="1"/>
  <c r="N41" i="1" s="1"/>
  <c r="M34" i="1"/>
  <c r="N34" i="1" s="1"/>
  <c r="M30" i="1"/>
  <c r="N30" i="1" s="1"/>
  <c r="M44" i="1"/>
  <c r="N44" i="1" s="1"/>
  <c r="M27" i="1"/>
  <c r="N27" i="1" s="1"/>
  <c r="M76" i="1"/>
  <c r="N76" i="1" s="1"/>
  <c r="M72" i="1"/>
  <c r="N72" i="1" s="1"/>
  <c r="M69" i="1"/>
  <c r="N69" i="1" s="1"/>
  <c r="M65" i="1"/>
  <c r="N65" i="1" s="1"/>
  <c r="M61" i="1"/>
  <c r="N61" i="1" s="1"/>
  <c r="M58" i="1"/>
  <c r="N58" i="1" s="1"/>
  <c r="M54" i="1"/>
  <c r="N54" i="1" s="1"/>
  <c r="M51" i="1"/>
  <c r="N51" i="1" s="1"/>
  <c r="M47" i="1"/>
  <c r="N47" i="1" s="1"/>
  <c r="M40" i="1"/>
  <c r="N40" i="1" s="1"/>
  <c r="M37" i="1"/>
  <c r="N37" i="1" s="1"/>
  <c r="M33" i="1"/>
  <c r="N33" i="1" s="1"/>
  <c r="M29" i="1"/>
  <c r="N29" i="1" s="1"/>
  <c r="M75" i="1"/>
  <c r="N75" i="1" s="1"/>
  <c r="M71" i="1"/>
  <c r="N71" i="1" s="1"/>
  <c r="M68" i="1"/>
  <c r="N68" i="1" s="1"/>
  <c r="M64" i="1"/>
  <c r="N64" i="1" s="1"/>
  <c r="M57" i="1"/>
  <c r="N57" i="1" s="1"/>
  <c r="M50" i="1"/>
  <c r="N50" i="1" s="1"/>
  <c r="M46" i="1"/>
  <c r="N46" i="1" s="1"/>
  <c r="M43" i="1"/>
  <c r="N43" i="1" s="1"/>
  <c r="M39" i="1"/>
  <c r="N39" i="1" s="1"/>
  <c r="M36" i="1"/>
  <c r="N36" i="1" s="1"/>
  <c r="M32" i="1"/>
  <c r="N32" i="1" s="1"/>
  <c r="M77" i="1"/>
  <c r="N77" i="1" s="1"/>
  <c r="M38" i="1"/>
  <c r="N38" i="1" s="1"/>
  <c r="F83" i="1"/>
  <c r="G83" i="1" s="1"/>
  <c r="G86" i="1"/>
  <c r="G82" i="1"/>
  <c r="Q73" i="1" l="1"/>
  <c r="Q50" i="1"/>
  <c r="Q40" i="1"/>
  <c r="Q66" i="1"/>
  <c r="Q36" i="1"/>
  <c r="Q48" i="1"/>
  <c r="Q84" i="1"/>
  <c r="Q46" i="1"/>
  <c r="Q41" i="1"/>
  <c r="Q57" i="1"/>
  <c r="Q35" i="1"/>
  <c r="Q51" i="1"/>
  <c r="Q67" i="1"/>
  <c r="Q52" i="1"/>
  <c r="Q68" i="1"/>
  <c r="Q85" i="1"/>
  <c r="Q29" i="1"/>
  <c r="Q45" i="1"/>
  <c r="Q61" i="1"/>
  <c r="Q77" i="1"/>
  <c r="Q54" i="1"/>
  <c r="Q70" i="1"/>
  <c r="Q39" i="1"/>
  <c r="Q55" i="1"/>
  <c r="Q71" i="1"/>
  <c r="Q28" i="1"/>
  <c r="Q56" i="1"/>
  <c r="Q72" i="1"/>
  <c r="Q30" i="1"/>
  <c r="Q33" i="1"/>
  <c r="Q49" i="1"/>
  <c r="Q65" i="1"/>
  <c r="Q34" i="1"/>
  <c r="Q58" i="1"/>
  <c r="Q74" i="1"/>
  <c r="Q43" i="1"/>
  <c r="Q59" i="1"/>
  <c r="Q75" i="1"/>
  <c r="Q32" i="1"/>
  <c r="Q44" i="1"/>
  <c r="Q60" i="1"/>
  <c r="Q76" i="1"/>
  <c r="Q38" i="1"/>
  <c r="Q37" i="1"/>
  <c r="Q53" i="1"/>
  <c r="Q69" i="1"/>
  <c r="Q42" i="1"/>
  <c r="Q62" i="1"/>
  <c r="Q31" i="1"/>
  <c r="Q47" i="1"/>
  <c r="Q63" i="1"/>
  <c r="Q27" i="1"/>
  <c r="O85" i="1"/>
  <c r="M86" i="1"/>
  <c r="N86" i="1" s="1"/>
  <c r="K86" i="1"/>
  <c r="L86" i="1"/>
  <c r="H86" i="1"/>
  <c r="R86" i="1" s="1"/>
  <c r="S86" i="1" s="1"/>
  <c r="K82" i="1"/>
  <c r="H82" i="1"/>
  <c r="R82" i="1" s="1"/>
  <c r="S82" i="1" s="1"/>
  <c r="L82" i="1"/>
  <c r="L83" i="1"/>
  <c r="M83" i="1"/>
  <c r="N83" i="1" s="1"/>
  <c r="K83" i="1"/>
  <c r="H83" i="1"/>
  <c r="R83" i="1" s="1"/>
  <c r="S83" i="1" s="1"/>
  <c r="M82" i="1"/>
  <c r="N82" i="1" s="1"/>
  <c r="Q86" i="1" l="1"/>
  <c r="Q83" i="1"/>
  <c r="Q82" i="1"/>
  <c r="O86" i="1"/>
  <c r="F87" i="1"/>
  <c r="F88" i="1" l="1"/>
</calcChain>
</file>

<file path=xl/sharedStrings.xml><?xml version="1.0" encoding="utf-8"?>
<sst xmlns="http://schemas.openxmlformats.org/spreadsheetml/2006/main" count="123" uniqueCount="117">
  <si>
    <t>CHORIZO OXFORD 400GRS</t>
  </si>
  <si>
    <t>CHORIZO OXFORD 600GRS</t>
  </si>
  <si>
    <t>CHORIZO FINAS HIERBAS 600GRS</t>
  </si>
  <si>
    <t>CHORIZO FINAS HIERBAS 400GRS</t>
  </si>
  <si>
    <t>FRANKFURTER 240GRS</t>
  </si>
  <si>
    <t>VIENESA 250GRS</t>
  </si>
  <si>
    <t>CHORIZO  OXFORD BOLSA 1KG (FRESCO)</t>
  </si>
  <si>
    <t>CHORIZO OXFORD BOLSA 5 KG (FRESCO)</t>
  </si>
  <si>
    <t>CHORIZO FINAS HIERBAS BOLSA 1KG (FRESCO)</t>
  </si>
  <si>
    <t>VIENESA BOLSA DE 1KG</t>
  </si>
  <si>
    <t>LONGANIZA HUACHANA PZ</t>
  </si>
  <si>
    <t>LOMO AHUMADO  ARTESANAL LONJEADO 250GRS</t>
  </si>
  <si>
    <t>SOLOMILLO PZS (0.250-0.400GRS)  KG</t>
  </si>
  <si>
    <t>CHORIZO SWEET SPICY 600GRS</t>
  </si>
  <si>
    <t>CHORIZO SWEET SPICY 400GRS</t>
  </si>
  <si>
    <t xml:space="preserve">IGV </t>
  </si>
  <si>
    <t xml:space="preserve">TOTAL </t>
  </si>
  <si>
    <t>CHORIZO OXFORD COCKTAIL 250GRS</t>
  </si>
  <si>
    <t xml:space="preserve">CHORIZO OXFORD COCKTAIL BOLSA 1KG (FRESCO) </t>
  </si>
  <si>
    <t>CHORIZO FINAS HIERBAS COCKTAIL 250GRS</t>
  </si>
  <si>
    <t xml:space="preserve">VIENESA GASTRONOMICO PAQUETE DE 1KG </t>
  </si>
  <si>
    <t xml:space="preserve">VIENESA GASTRONOMICO PAQUETE DE 2KG </t>
  </si>
  <si>
    <t>MORCILLA COCKTAIL 250GRS</t>
  </si>
  <si>
    <t>JAMON DEL PAIS 250G</t>
  </si>
  <si>
    <t>TOCINO AHUMADO NATURAL 500GRS</t>
  </si>
  <si>
    <t>TOCINO AHUMADO NATURAL 200GRS</t>
  </si>
  <si>
    <t>FRANKFURTER MUNICIPAL 450GRS</t>
  </si>
  <si>
    <t>FRANKFURTER COCKTAIL 250GRS</t>
  </si>
  <si>
    <t>FRANKFURTER BOLSA DE 1KG</t>
  </si>
  <si>
    <t xml:space="preserve">FRANKFURTER GASTRONOMICO PAQUETE DE 1KG </t>
  </si>
  <si>
    <t xml:space="preserve">FRANKFURTER GASTRONOMICO PAQUETE DE 2KG </t>
  </si>
  <si>
    <t xml:space="preserve">BRATWURST X320GRS </t>
  </si>
  <si>
    <t>JAMON PIZZERO X 250GRS</t>
  </si>
  <si>
    <t>JAMON PIZZERO X500G</t>
  </si>
  <si>
    <t>JAMON INGLES X250GRS</t>
  </si>
  <si>
    <t>JAMON INGLES X500GRS</t>
  </si>
  <si>
    <t>JAMON "EL TATA"X250GRS</t>
  </si>
  <si>
    <t>JAMON "EL TATA"X500GRS</t>
  </si>
  <si>
    <t>TOCINO AHUMADO "REDONDO" X500GRS</t>
  </si>
  <si>
    <t>JAMON DEL PAIS 500G</t>
  </si>
  <si>
    <t>QUESO EDAM ARGENTINO X 300GRS</t>
  </si>
  <si>
    <t>QUESO EDAM HOLANDES X 300GRS</t>
  </si>
  <si>
    <t>QUESO MOZZARELLA X 500G</t>
  </si>
  <si>
    <t>CHISTORRA HUACHANA 250GRS</t>
  </si>
  <si>
    <t>MORCILLA 240 GRS</t>
  </si>
  <si>
    <t>TOCINO AHUMADO "REDONDO" X200GRS</t>
  </si>
  <si>
    <t>PRODUCTO</t>
  </si>
  <si>
    <t>LISTA DE PRECIO FRANZ CUENTAS CLAVES</t>
  </si>
  <si>
    <t>RELACIÓN DE ECONOMATO A INGRESAR (EQUIPOS, MUEBLES...)</t>
  </si>
  <si>
    <t>CODIGO DE BARRA FRANZ</t>
  </si>
  <si>
    <t>NUMERACION CODIGO DE BARRA</t>
  </si>
  <si>
    <t xml:space="preserve">RAZÓN SOCIAL: VVIAN FOODS S.A.C </t>
  </si>
  <si>
    <t>NOMBRE COMERCIAL: FRANZ CHARCUTERIA</t>
  </si>
  <si>
    <t>RUC: 20605174095</t>
  </si>
  <si>
    <t>NRO DE PARTIDA REGISTRAL: 14350474</t>
  </si>
  <si>
    <t>DIRECCIÓN LEGAL: AV. PARDO Y ALIAGA N° 699 INT. 802</t>
  </si>
  <si>
    <t xml:space="preserve">GERENTE GENERAL/REPRESENTANTE LEGAL: FRANCISCO JOSE DE LA VILLA PORTOCARRERO </t>
  </si>
  <si>
    <t>DNI: 10219082</t>
  </si>
  <si>
    <t xml:space="preserve">GERENTE / PERSONA DE CONTACTO: GUILLERMO OSTOLAZA AGUIRRE </t>
  </si>
  <si>
    <t>DNI: 7840573</t>
  </si>
  <si>
    <t>CELULAR: 936 603 799</t>
  </si>
  <si>
    <r>
      <t>Ø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 xml:space="preserve">2 VITRINAS </t>
    </r>
  </si>
  <si>
    <r>
      <t>Ø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 xml:space="preserve">1 VISICOOLER </t>
    </r>
  </si>
  <si>
    <r>
      <t>Ø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 xml:space="preserve">1 CORTADORA DE EMBUTIDOS  </t>
    </r>
  </si>
  <si>
    <r>
      <t>Ø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1 BALANZA Y UNA MESA DE ACERO</t>
    </r>
  </si>
  <si>
    <r>
      <rPr>
        <b/>
        <sz val="11"/>
        <color theme="1"/>
        <rFont val="Calibri"/>
        <family val="2"/>
        <scheme val="minor"/>
      </rPr>
      <t>RAZÓN SOCIAL</t>
    </r>
    <r>
      <rPr>
        <sz val="11"/>
        <color theme="1"/>
        <rFont val="Calibri"/>
        <family val="2"/>
        <scheme val="minor"/>
      </rPr>
      <t xml:space="preserve">: VVIAN FOODS S.A.C </t>
    </r>
  </si>
  <si>
    <r>
      <rPr>
        <b/>
        <sz val="11"/>
        <color theme="1"/>
        <rFont val="Calibri"/>
        <family val="2"/>
        <scheme val="minor"/>
      </rPr>
      <t>NOMBRE COMERCIAL:</t>
    </r>
    <r>
      <rPr>
        <sz val="11"/>
        <color theme="1"/>
        <rFont val="Calibri"/>
        <family val="2"/>
        <scheme val="minor"/>
      </rPr>
      <t xml:space="preserve"> FRANZ CHARCUTERIA</t>
    </r>
  </si>
  <si>
    <r>
      <rPr>
        <b/>
        <sz val="11"/>
        <color theme="1"/>
        <rFont val="Calibri"/>
        <family val="2"/>
        <scheme val="minor"/>
      </rPr>
      <t xml:space="preserve">RUC: </t>
    </r>
    <r>
      <rPr>
        <sz val="11"/>
        <color theme="1"/>
        <rFont val="Calibri"/>
        <family val="2"/>
        <scheme val="minor"/>
      </rPr>
      <t>20605174095</t>
    </r>
  </si>
  <si>
    <r>
      <rPr>
        <b/>
        <sz val="11"/>
        <color theme="1"/>
        <rFont val="Calibri"/>
        <family val="2"/>
        <scheme val="minor"/>
      </rPr>
      <t>NRO DE PARTIDA REGISTRAL</t>
    </r>
    <r>
      <rPr>
        <sz val="11"/>
        <color theme="1"/>
        <rFont val="Calibri"/>
        <family val="2"/>
        <scheme val="minor"/>
      </rPr>
      <t>: 14350474</t>
    </r>
  </si>
  <si>
    <r>
      <rPr>
        <b/>
        <sz val="11"/>
        <color theme="1"/>
        <rFont val="Calibri"/>
        <family val="2"/>
        <scheme val="minor"/>
      </rPr>
      <t>DIRECCIÓN LEGAL:</t>
    </r>
    <r>
      <rPr>
        <sz val="11"/>
        <color theme="1"/>
        <rFont val="Calibri"/>
        <family val="2"/>
        <scheme val="minor"/>
      </rPr>
      <t xml:space="preserve"> AV. PARDO Y ALIAGA N° 699 INT. 802</t>
    </r>
  </si>
  <si>
    <r>
      <rPr>
        <b/>
        <sz val="11"/>
        <color theme="1"/>
        <rFont val="Calibri"/>
        <family val="2"/>
        <scheme val="minor"/>
      </rPr>
      <t>GERENTE GENERAL/REPRESENTANTE LEGAL</t>
    </r>
    <r>
      <rPr>
        <sz val="11"/>
        <color theme="1"/>
        <rFont val="Calibri"/>
        <family val="2"/>
        <scheme val="minor"/>
      </rPr>
      <t xml:space="preserve">: FRANCISCO JOSE DE LA VILLA PORTOCARRERO </t>
    </r>
  </si>
  <si>
    <r>
      <rPr>
        <b/>
        <sz val="11"/>
        <color theme="1"/>
        <rFont val="Calibri"/>
        <family val="2"/>
        <scheme val="minor"/>
      </rPr>
      <t>DNI:</t>
    </r>
    <r>
      <rPr>
        <sz val="11"/>
        <color theme="1"/>
        <rFont val="Calibri"/>
        <family val="2"/>
        <scheme val="minor"/>
      </rPr>
      <t xml:space="preserve"> 10219082</t>
    </r>
  </si>
  <si>
    <r>
      <rPr>
        <b/>
        <sz val="11"/>
        <color theme="1"/>
        <rFont val="Calibri"/>
        <family val="2"/>
        <scheme val="minor"/>
      </rPr>
      <t>GERENTE / PERSONA DE CONTACTO:</t>
    </r>
    <r>
      <rPr>
        <sz val="11"/>
        <color theme="1"/>
        <rFont val="Calibri"/>
        <family val="2"/>
        <scheme val="minor"/>
      </rPr>
      <t xml:space="preserve"> GUILLERMO OSTOLAZA AGUIRRE </t>
    </r>
  </si>
  <si>
    <r>
      <rPr>
        <b/>
        <sz val="11"/>
        <color theme="1"/>
        <rFont val="Calibri"/>
        <family val="2"/>
        <scheme val="minor"/>
      </rPr>
      <t>DNI:</t>
    </r>
    <r>
      <rPr>
        <sz val="11"/>
        <color theme="1"/>
        <rFont val="Calibri"/>
        <family val="2"/>
        <scheme val="minor"/>
      </rPr>
      <t xml:space="preserve"> 7840573</t>
    </r>
  </si>
  <si>
    <r>
      <rPr>
        <b/>
        <sz val="11"/>
        <color theme="1"/>
        <rFont val="Calibri"/>
        <family val="2"/>
        <scheme val="minor"/>
      </rPr>
      <t xml:space="preserve">CELULAR: </t>
    </r>
    <r>
      <rPr>
        <sz val="11"/>
        <color theme="1"/>
        <rFont val="Calibri"/>
        <family val="2"/>
        <scheme val="minor"/>
      </rPr>
      <t>936 603 799</t>
    </r>
  </si>
  <si>
    <t>RELACIÓN DE PRODUCTOS: CODIGO DE BARRA, DESCRIPCIÓN, PRECIO DE VENTA SUGERIDO.</t>
  </si>
  <si>
    <t xml:space="preserve">PRECIO VENTA </t>
  </si>
  <si>
    <t>COSTO X KILO</t>
  </si>
  <si>
    <t>B.I</t>
  </si>
  <si>
    <t>UTILIDAD</t>
  </si>
  <si>
    <t>%</t>
  </si>
  <si>
    <t>PRECIO SUGERIDO INC. IGV</t>
  </si>
  <si>
    <t>PRECIO FRANZ</t>
  </si>
  <si>
    <t>SANDWICH MIXTO</t>
  </si>
  <si>
    <t>SANDWICH FRANKFURTER</t>
  </si>
  <si>
    <t>LISTA DE PRECIOS : VIVIAN FOODS S.A.C  "FRANZ CHARCUTERIA"</t>
  </si>
  <si>
    <t>JAMON "EL TATA" X KILO</t>
  </si>
  <si>
    <t>TOCINO AHUMADO "REDONDO" PZ X KILO</t>
  </si>
  <si>
    <t>TOCINO AHUMADO NATURAL PZ X KILO</t>
  </si>
  <si>
    <t>JAMON PIZZERO MOLDE X KILO</t>
  </si>
  <si>
    <t>JAMON INGLES MOLDE X KILO</t>
  </si>
  <si>
    <t xml:space="preserve">JAMON DEL PAIS MOLDE X KILO </t>
  </si>
  <si>
    <t>LOMO AHUMADO ARTESANAL PZ X KILO</t>
  </si>
  <si>
    <t xml:space="preserve">JAMON FRANZ ARTESANAL LA NONNA X 250GRS </t>
  </si>
  <si>
    <t>JAMON FRANZ ARTESANAL LA NONNA MOLDE X KILO</t>
  </si>
  <si>
    <t xml:space="preserve">JAMON FRANZ ARTESANAL LA NONNA X 500GRS </t>
  </si>
  <si>
    <t>QUESO EDAM ARGENTINO MOLDE  X KILO</t>
  </si>
  <si>
    <t xml:space="preserve">QUESO EDAM HOLANDES MOLDE X KILO </t>
  </si>
  <si>
    <t>QUESO MOZZARELLA MOLDE  X KILO</t>
  </si>
  <si>
    <t xml:space="preserve">SANDWICH FRANZ </t>
  </si>
  <si>
    <t>SANDWICH LA NONNA</t>
  </si>
  <si>
    <t>PAN BAGUETTE</t>
  </si>
  <si>
    <t>PASTEL DE ACELGA</t>
  </si>
  <si>
    <t>EMPANADA DE CARNE</t>
  </si>
  <si>
    <t xml:space="preserve">FUGAZZA GRANDE </t>
  </si>
  <si>
    <t>FUGAZZA PORCION</t>
  </si>
  <si>
    <t>TAPAS VARIAS</t>
  </si>
  <si>
    <t>SALCHICHA SICILIANA 1KG</t>
  </si>
  <si>
    <t>SALCHICHA SICILIANA CON PEPERONI CHINO 1KG</t>
  </si>
  <si>
    <t>PANETON FRANZ</t>
  </si>
  <si>
    <t>TABLETA DE CHOCOLATE</t>
  </si>
  <si>
    <t>GALLETA DE COCO</t>
  </si>
  <si>
    <t>JAMON TATA A LAS FINAS HIERBAS 250GR</t>
  </si>
  <si>
    <t>JAMON TATA A LAS FINAS HIERBAS X KILO</t>
  </si>
  <si>
    <t>JAMON TATA A LAS FINAS HIERBAS 500GR</t>
  </si>
  <si>
    <t>SANDWICH ESPECIAL</t>
  </si>
  <si>
    <t>TORTILLA DE PAPA CON CHISTORRA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</si>
</sst>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* #,##0.00_ ;_ * \-#,##0.00_ ;_ * &quot;-&quot;??_ ;_ @_ "/>
    <numFmt numFmtId="165" formatCode="_ &quot;S/.&quot;\ * #,##0.00_ ;_ &quot;S/.&quot;\ * \-#,##0.00_ ;_ &quot;S/.&quot;\ * &quot;-&quot;??_ ;_ @_ "/>
    <numFmt numFmtId="166" formatCode="_ [$S/.-280A]\ * #,##0.00_ ;_ [$S/.-280A]\ * \-#,##0.00_ ;_ [$S/.-280A]\ * &quot;-&quot;??_ ;_ @_ "/>
    <numFmt numFmtId="167" formatCode="_ * #,##0.00000_ ;_ * \-#,##0.00000_ ;_ * &quot;-&quot;??_ ;_ @_ "/>
    <numFmt numFmtId="168" formatCode="_-&quot;S/&quot;\ * #,##0.0000_-;\-&quot;S/&quot;\ * #,##0.0000_-;_-&quot;S/&quot;\ 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6"/>
      <color theme="1"/>
      <name val="Code 128"/>
    </font>
    <font>
      <sz val="11"/>
      <color theme="1"/>
      <name val="Code 128"/>
    </font>
    <font>
      <b/>
      <sz val="11"/>
      <color theme="1"/>
      <name val="Calibri"/>
      <family val="2"/>
      <scheme val="minor"/>
    </font>
    <font>
      <sz val="11"/>
      <color theme="1"/>
      <name val="Wingdings"/>
      <charset val="2"/>
    </font>
    <font>
      <sz val="7"/>
      <color theme="1"/>
      <name val="Times New Roman"/>
      <family val="1"/>
    </font>
    <font>
      <b/>
      <sz val="1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5">
    <xf numFmtId="0" fontId="0" fillId="0" borderId="0" xfId="0"/>
    <xf numFmtId="166" fontId="2" fillId="0" borderId="0" xfId="1" applyNumberFormat="1" applyFont="1"/>
    <xf numFmtId="0" fontId="0" fillId="0" borderId="0" xfId="0"/>
    <xf numFmtId="0" fontId="0" fillId="0" borderId="0" xfId="0" applyFont="1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0" fillId="0" borderId="0" xfId="0" applyAlignment="1">
      <alignment horizontal="left"/>
    </xf>
    <xf numFmtId="166" fontId="9" fillId="0" borderId="1" xfId="0" applyNumberFormat="1" applyFont="1" applyFill="1" applyBorder="1" applyAlignment="1">
      <alignment horizontal="center" vertical="center"/>
    </xf>
    <xf numFmtId="166" fontId="0" fillId="0" borderId="1" xfId="0" applyNumberFormat="1" applyFont="1" applyBorder="1" applyAlignment="1">
      <alignment horizontal="center" vertical="center"/>
    </xf>
    <xf numFmtId="166" fontId="0" fillId="0" borderId="1" xfId="1" applyNumberFormat="1" applyFont="1" applyBorder="1" applyAlignment="1">
      <alignment horizontal="center" vertical="center"/>
    </xf>
    <xf numFmtId="166" fontId="0" fillId="0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/>
    <xf numFmtId="0" fontId="0" fillId="0" borderId="1" xfId="0" applyFont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0" fillId="0" borderId="0" xfId="0" applyFont="1" applyAlignment="1"/>
    <xf numFmtId="0" fontId="2" fillId="0" borderId="0" xfId="0" applyFont="1" applyAlignment="1"/>
    <xf numFmtId="166" fontId="2" fillId="0" borderId="0" xfId="1" applyNumberFormat="1" applyFont="1" applyAlignment="1"/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/>
    <xf numFmtId="166" fontId="9" fillId="0" borderId="0" xfId="0" applyNumberFormat="1" applyFont="1" applyFill="1" applyBorder="1" applyAlignment="1">
      <alignment horizontal="center" vertical="center" wrapText="1"/>
    </xf>
    <xf numFmtId="166" fontId="0" fillId="0" borderId="0" xfId="0" applyNumberFormat="1" applyFont="1" applyBorder="1" applyAlignment="1">
      <alignment horizontal="center" vertical="center"/>
    </xf>
    <xf numFmtId="166" fontId="6" fillId="0" borderId="1" xfId="0" applyNumberFormat="1" applyFont="1" applyBorder="1" applyAlignment="1">
      <alignment horizontal="center" vertical="center"/>
    </xf>
    <xf numFmtId="0" fontId="6" fillId="0" borderId="0" xfId="0" applyFont="1"/>
    <xf numFmtId="0" fontId="0" fillId="0" borderId="0" xfId="0" applyFont="1" applyAlignment="1">
      <alignment horizontal="center"/>
    </xf>
    <xf numFmtId="166" fontId="10" fillId="0" borderId="1" xfId="0" applyNumberFormat="1" applyFont="1" applyBorder="1" applyAlignment="1">
      <alignment horizontal="center" vertical="center"/>
    </xf>
    <xf numFmtId="166" fontId="6" fillId="0" borderId="1" xfId="1" applyNumberFormat="1" applyFont="1" applyBorder="1" applyAlignment="1">
      <alignment horizontal="center" vertical="center"/>
    </xf>
    <xf numFmtId="166" fontId="6" fillId="0" borderId="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64" fontId="0" fillId="0" borderId="0" xfId="4" applyFont="1"/>
    <xf numFmtId="167" fontId="0" fillId="0" borderId="0" xfId="4" applyNumberFormat="1" applyFont="1"/>
    <xf numFmtId="167" fontId="0" fillId="0" borderId="0" xfId="4" applyNumberFormat="1" applyFont="1" applyAlignment="1">
      <alignment horizontal="center"/>
    </xf>
    <xf numFmtId="164" fontId="0" fillId="0" borderId="0" xfId="0" applyNumberFormat="1"/>
    <xf numFmtId="164" fontId="0" fillId="0" borderId="0" xfId="4" applyFont="1" applyAlignment="1">
      <alignment horizontal="center"/>
    </xf>
    <xf numFmtId="168" fontId="0" fillId="0" borderId="0" xfId="0" applyNumberFormat="1"/>
    <xf numFmtId="9" fontId="0" fillId="0" borderId="1" xfId="3" applyFont="1" applyBorder="1" applyAlignment="1">
      <alignment horizontal="center" vertical="center"/>
    </xf>
    <xf numFmtId="9" fontId="0" fillId="0" borderId="0" xfId="3" applyFont="1"/>
    <xf numFmtId="166" fontId="9" fillId="0" borderId="2" xfId="0" applyNumberFormat="1" applyFont="1" applyFill="1" applyBorder="1" applyAlignment="1">
      <alignment horizontal="center" vertical="center" wrapText="1"/>
    </xf>
    <xf numFmtId="166" fontId="9" fillId="0" borderId="3" xfId="0" applyNumberFormat="1" applyFont="1" applyFill="1" applyBorder="1" applyAlignment="1">
      <alignment horizontal="center" vertical="center" wrapText="1"/>
    </xf>
    <xf numFmtId="166" fontId="9" fillId="0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166" fontId="2" fillId="0" borderId="0" xfId="1" applyNumberFormat="1" applyFont="1" applyBorder="1" applyAlignment="1">
      <alignment horizontal="center"/>
    </xf>
    <xf numFmtId="0" fontId="0" fillId="0" borderId="0" xfId="0" applyFont="1" applyAlignment="1"/>
    <xf numFmtId="0" fontId="0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</cellXfs>
  <cellStyles count="5">
    <cellStyle name="Millares" xfId="4" builtinId="3"/>
    <cellStyle name="Moneda" xfId="1" builtinId="4"/>
    <cellStyle name="Moneda 2" xfId="2" xr:uid="{00000000-0005-0000-0000-000001000000}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157936</xdr:colOff>
      <xdr:row>0</xdr:row>
      <xdr:rowOff>0</xdr:rowOff>
    </xdr:from>
    <xdr:to>
      <xdr:col>1</xdr:col>
      <xdr:colOff>33616</xdr:colOff>
      <xdr:row>23</xdr:row>
      <xdr:rowOff>132294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E2D99BE-6E8C-47FE-A2F7-5E1E06D654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6229" t="10346" r="20244" b="21110"/>
        <a:stretch/>
      </xdr:blipFill>
      <xdr:spPr>
        <a:xfrm>
          <a:off x="157936" y="0"/>
          <a:ext cx="1141945" cy="15554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276226</xdr:colOff>
      <xdr:row>2</xdr:row>
      <xdr:rowOff>142875</xdr:rowOff>
    </xdr:from>
    <xdr:ext cx="762000" cy="822513"/>
    <xdr:pic>
      <xdr:nvPicPr>
        <xdr:cNvPr id="2" name="Imagen 1">
          <a:extLst>
            <a:ext uri="{FF2B5EF4-FFF2-40B4-BE49-F238E27FC236}">
              <a16:creationId xmlns:a16="http://schemas.microsoft.com/office/drawing/2014/main" id="{1F55D8D7-2CC6-45B2-AF75-5B44BC2E32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6226" y="523875"/>
          <a:ext cx="762000" cy="822513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T103"/>
  <sheetViews>
    <sheetView tabSelected="1" topLeftCell="A89" zoomScale="85" zoomScaleNormal="85" workbookViewId="0">
      <selection activeCell="H97" sqref="H97"/>
    </sheetView>
  </sheetViews>
  <sheetFormatPr baseColWidth="10" defaultRowHeight="16.5" x14ac:dyDescent="0.25"/>
  <cols>
    <col min="1" max="1" width="19" style="3" customWidth="1"/>
    <col min="2" max="2" width="31.5703125" style="14" bestFit="1" customWidth="1"/>
    <col min="3" max="3" width="46.7109375" style="9" customWidth="1"/>
    <col min="4" max="4" width="11.7109375" style="30" hidden="1" customWidth="1"/>
    <col min="5" max="5" width="11" style="2" bestFit="1" customWidth="1"/>
    <col min="6" max="6" width="9.5703125" style="2" bestFit="1" customWidth="1"/>
    <col min="7" max="7" width="12.42578125" style="2" bestFit="1" customWidth="1"/>
    <col min="8" max="8" width="11.7109375" style="2" customWidth="1"/>
    <col min="9" max="9" width="4" style="2" customWidth="1"/>
    <col min="10" max="10" width="11.42578125" customWidth="1"/>
    <col min="11" max="13" width="11.7109375" style="2" hidden="1" customWidth="1"/>
    <col min="14" max="14" width="11.42578125" hidden="1" customWidth="1"/>
    <col min="15" max="15" width="11.42578125" style="36" hidden="1" customWidth="1"/>
    <col min="16" max="16" width="11.42578125" customWidth="1"/>
    <col min="17" max="17" width="0" style="37" hidden="1" customWidth="1"/>
    <col min="18" max="19" width="12.28515625" hidden="1" customWidth="1"/>
  </cols>
  <sheetData>
    <row r="2" spans="1:17" s="2" customFormat="1" ht="21" x14ac:dyDescent="0.35">
      <c r="A2" s="47" t="s">
        <v>85</v>
      </c>
      <c r="B2" s="47"/>
      <c r="C2" s="47"/>
      <c r="D2" s="47"/>
      <c r="E2" s="47"/>
      <c r="F2" s="47"/>
      <c r="G2" s="47"/>
      <c r="H2" s="47"/>
      <c r="I2" s="24"/>
      <c r="K2" s="25"/>
      <c r="L2" s="25"/>
      <c r="M2" s="25"/>
      <c r="O2" s="36"/>
      <c r="Q2" s="37"/>
    </row>
    <row r="3" spans="1:17" s="2" customFormat="1" ht="21" x14ac:dyDescent="0.35">
      <c r="A3" s="35"/>
      <c r="B3" s="35"/>
      <c r="C3" s="35"/>
      <c r="D3" s="35"/>
      <c r="E3" s="35"/>
      <c r="F3" s="35"/>
      <c r="G3" s="35"/>
      <c r="H3" s="35"/>
      <c r="I3" s="25"/>
      <c r="K3" s="25"/>
      <c r="L3" s="25"/>
      <c r="M3" s="25"/>
      <c r="O3" s="36"/>
      <c r="Q3" s="37"/>
    </row>
    <row r="4" spans="1:17" s="2" customFormat="1" ht="21" x14ac:dyDescent="0.35">
      <c r="A4" s="35"/>
      <c r="B4" s="35"/>
      <c r="C4" s="35"/>
      <c r="D4" s="35"/>
      <c r="E4" s="35"/>
      <c r="F4" s="35"/>
      <c r="G4" s="35"/>
      <c r="H4" s="35"/>
      <c r="I4" s="25"/>
      <c r="K4" s="25"/>
      <c r="L4" s="25"/>
      <c r="M4" s="25"/>
      <c r="O4" s="36"/>
      <c r="Q4" s="37"/>
    </row>
    <row r="5" spans="1:17" s="2" customFormat="1" x14ac:dyDescent="0.25">
      <c r="A5" s="3"/>
      <c r="B5" s="14"/>
      <c r="C5" s="9"/>
      <c r="D5" s="30"/>
      <c r="O5" s="36"/>
      <c r="Q5" s="37"/>
    </row>
    <row r="6" spans="1:17" s="2" customFormat="1" hidden="1" x14ac:dyDescent="0.25">
      <c r="A6" s="26" t="s">
        <v>65</v>
      </c>
      <c r="B6" s="14"/>
      <c r="C6" s="9"/>
      <c r="D6" s="30"/>
      <c r="O6" s="36"/>
      <c r="Q6" s="37"/>
    </row>
    <row r="7" spans="1:17" s="2" customFormat="1" hidden="1" x14ac:dyDescent="0.25">
      <c r="A7" s="26" t="s">
        <v>66</v>
      </c>
      <c r="B7" s="14"/>
      <c r="C7" s="9"/>
      <c r="D7" s="30"/>
      <c r="O7" s="36"/>
      <c r="Q7" s="37"/>
    </row>
    <row r="8" spans="1:17" s="2" customFormat="1" hidden="1" x14ac:dyDescent="0.25">
      <c r="A8" s="26" t="s">
        <v>67</v>
      </c>
      <c r="B8" s="14"/>
      <c r="C8" s="9"/>
      <c r="D8" s="30"/>
      <c r="O8" s="36"/>
      <c r="Q8" s="37"/>
    </row>
    <row r="9" spans="1:17" s="2" customFormat="1" hidden="1" x14ac:dyDescent="0.25">
      <c r="A9" s="26" t="s">
        <v>68</v>
      </c>
      <c r="B9" s="14"/>
      <c r="C9" s="9"/>
      <c r="D9" s="30"/>
      <c r="O9" s="36"/>
      <c r="Q9" s="37"/>
    </row>
    <row r="10" spans="1:17" s="2" customFormat="1" hidden="1" x14ac:dyDescent="0.25">
      <c r="A10" s="26" t="s">
        <v>69</v>
      </c>
      <c r="B10" s="14"/>
      <c r="C10" s="9"/>
      <c r="D10" s="30"/>
      <c r="O10" s="36"/>
      <c r="Q10" s="37"/>
    </row>
    <row r="11" spans="1:17" s="2" customFormat="1" hidden="1" x14ac:dyDescent="0.25">
      <c r="A11" s="26" t="s">
        <v>70</v>
      </c>
      <c r="B11" s="14"/>
      <c r="C11" s="9"/>
      <c r="D11" s="30"/>
      <c r="O11" s="36"/>
      <c r="Q11" s="37"/>
    </row>
    <row r="12" spans="1:17" s="2" customFormat="1" hidden="1" x14ac:dyDescent="0.25">
      <c r="A12" s="26" t="s">
        <v>71</v>
      </c>
      <c r="B12" s="14"/>
      <c r="C12" s="9"/>
      <c r="D12" s="30"/>
      <c r="O12" s="36"/>
      <c r="Q12" s="37"/>
    </row>
    <row r="13" spans="1:17" s="2" customFormat="1" hidden="1" x14ac:dyDescent="0.25">
      <c r="A13" s="26" t="s">
        <v>72</v>
      </c>
      <c r="B13" s="14"/>
      <c r="C13" s="9"/>
      <c r="D13" s="30"/>
      <c r="O13" s="36"/>
      <c r="Q13" s="37"/>
    </row>
    <row r="14" spans="1:17" s="2" customFormat="1" hidden="1" x14ac:dyDescent="0.25">
      <c r="A14" s="26" t="s">
        <v>73</v>
      </c>
      <c r="B14" s="14"/>
      <c r="C14" s="9"/>
      <c r="D14" s="30"/>
      <c r="O14" s="36"/>
      <c r="Q14" s="37"/>
    </row>
    <row r="15" spans="1:17" s="2" customFormat="1" hidden="1" x14ac:dyDescent="0.25">
      <c r="A15" s="26" t="s">
        <v>74</v>
      </c>
      <c r="B15" s="14"/>
      <c r="C15" s="9"/>
      <c r="D15" s="30"/>
      <c r="O15" s="36"/>
      <c r="Q15" s="37"/>
    </row>
    <row r="16" spans="1:17" s="2" customFormat="1" hidden="1" x14ac:dyDescent="0.25">
      <c r="A16" s="16" t="s">
        <v>48</v>
      </c>
      <c r="B16" s="14"/>
      <c r="C16" s="9"/>
      <c r="D16" s="30"/>
      <c r="O16" s="36"/>
      <c r="Q16" s="37"/>
    </row>
    <row r="17" spans="1:19" s="2" customFormat="1" hidden="1" x14ac:dyDescent="0.25">
      <c r="A17" s="22" t="s">
        <v>61</v>
      </c>
      <c r="B17" s="14"/>
      <c r="C17" s="9"/>
      <c r="D17" s="30"/>
      <c r="O17" s="36"/>
      <c r="Q17" s="37"/>
    </row>
    <row r="18" spans="1:19" s="2" customFormat="1" ht="16.5" hidden="1" customHeight="1" x14ac:dyDescent="0.25">
      <c r="A18" s="22" t="s">
        <v>62</v>
      </c>
      <c r="B18" s="15"/>
      <c r="C18" s="9"/>
      <c r="D18" s="30"/>
      <c r="O18" s="36"/>
      <c r="Q18" s="37"/>
    </row>
    <row r="19" spans="1:19" s="2" customFormat="1" ht="16.5" hidden="1" customHeight="1" x14ac:dyDescent="0.25">
      <c r="A19" s="22" t="s">
        <v>63</v>
      </c>
      <c r="B19" s="15"/>
      <c r="C19" s="9"/>
      <c r="D19" s="30"/>
      <c r="O19" s="36"/>
      <c r="Q19" s="37"/>
    </row>
    <row r="20" spans="1:19" s="2" customFormat="1" ht="16.5" hidden="1" customHeight="1" x14ac:dyDescent="0.25">
      <c r="A20" s="22" t="s">
        <v>64</v>
      </c>
      <c r="B20" s="15"/>
      <c r="C20" s="9"/>
      <c r="D20" s="30"/>
      <c r="O20" s="36"/>
      <c r="Q20" s="37"/>
    </row>
    <row r="21" spans="1:19" s="2" customFormat="1" ht="16.5" hidden="1" customHeight="1" x14ac:dyDescent="0.25">
      <c r="A21" s="22"/>
      <c r="B21" s="15"/>
      <c r="C21" s="9"/>
      <c r="D21" s="30"/>
      <c r="O21" s="36"/>
      <c r="Q21" s="37"/>
    </row>
    <row r="22" spans="1:19" s="2" customFormat="1" ht="16.5" hidden="1" customHeight="1" x14ac:dyDescent="0.25">
      <c r="A22" s="23" t="s">
        <v>75</v>
      </c>
      <c r="B22" s="15"/>
      <c r="C22" s="9"/>
      <c r="D22" s="30"/>
      <c r="O22" s="36"/>
      <c r="Q22" s="37"/>
    </row>
    <row r="23" spans="1:19" s="2" customFormat="1" ht="15" x14ac:dyDescent="0.25">
      <c r="B23" s="15"/>
      <c r="C23" s="9"/>
      <c r="D23" s="30"/>
      <c r="O23" s="36"/>
      <c r="Q23" s="37"/>
    </row>
    <row r="24" spans="1:19" s="2" customFormat="1" ht="12" customHeight="1" x14ac:dyDescent="0.25">
      <c r="A24" s="7"/>
      <c r="B24" s="8"/>
      <c r="C24" s="9"/>
      <c r="D24" s="30"/>
      <c r="O24" s="36"/>
      <c r="Q24" s="37"/>
    </row>
    <row r="25" spans="1:19" s="31" customFormat="1" ht="18.75" customHeight="1" x14ac:dyDescent="0.25">
      <c r="A25" s="48" t="s">
        <v>50</v>
      </c>
      <c r="B25" s="49" t="s">
        <v>49</v>
      </c>
      <c r="C25" s="49" t="s">
        <v>46</v>
      </c>
      <c r="D25" s="46" t="s">
        <v>77</v>
      </c>
      <c r="E25" s="50" t="s">
        <v>82</v>
      </c>
      <c r="F25" s="50"/>
      <c r="G25" s="50"/>
      <c r="H25" s="46" t="s">
        <v>81</v>
      </c>
      <c r="I25" s="27"/>
      <c r="K25" s="44" t="s">
        <v>76</v>
      </c>
      <c r="L25" s="44" t="s">
        <v>76</v>
      </c>
      <c r="M25" s="44" t="s">
        <v>79</v>
      </c>
      <c r="N25" s="46" t="s">
        <v>80</v>
      </c>
      <c r="O25" s="40"/>
      <c r="Q25" s="38"/>
    </row>
    <row r="26" spans="1:19" s="31" customFormat="1" ht="27.75" customHeight="1" x14ac:dyDescent="0.25">
      <c r="A26" s="48"/>
      <c r="B26" s="49"/>
      <c r="C26" s="49"/>
      <c r="D26" s="46"/>
      <c r="E26" s="10" t="s">
        <v>78</v>
      </c>
      <c r="F26" s="10" t="s">
        <v>15</v>
      </c>
      <c r="G26" s="10" t="s">
        <v>16</v>
      </c>
      <c r="H26" s="46"/>
      <c r="I26" s="27"/>
      <c r="K26" s="45"/>
      <c r="L26" s="45"/>
      <c r="M26" s="45"/>
      <c r="N26" s="46"/>
      <c r="O26" s="40"/>
      <c r="Q26" s="38"/>
    </row>
    <row r="27" spans="1:19" ht="30" x14ac:dyDescent="0.25">
      <c r="A27" s="4">
        <v>55000000001</v>
      </c>
      <c r="B27" s="6">
        <f>A27</f>
        <v>55000000001</v>
      </c>
      <c r="C27" s="17" t="s">
        <v>6</v>
      </c>
      <c r="D27" s="32">
        <f>(6.77+3.5)/1000*1000</f>
        <v>10.27</v>
      </c>
      <c r="E27" s="11">
        <v>22</v>
      </c>
      <c r="F27" s="11">
        <f t="shared" ref="F27:F51" si="0">E27*18%</f>
        <v>3.96</v>
      </c>
      <c r="G27" s="29">
        <f t="shared" ref="G27:G51" si="1">E27+F27</f>
        <v>25.96</v>
      </c>
      <c r="H27" s="11">
        <f>(G27/(1-0.3))</f>
        <v>37.085714285714289</v>
      </c>
      <c r="I27" s="28"/>
      <c r="K27" s="11">
        <f>(G27/0.7)</f>
        <v>37.085714285714289</v>
      </c>
      <c r="L27" s="11">
        <f>(G27/(1-0.3))</f>
        <v>37.085714285714289</v>
      </c>
      <c r="M27" s="11">
        <f>+G27-D27</f>
        <v>15.690000000000001</v>
      </c>
      <c r="N27" s="42">
        <f>+M27/D27</f>
        <v>1.5277507302823761</v>
      </c>
      <c r="Q27" s="43">
        <f>+G27/H27</f>
        <v>0.7</v>
      </c>
      <c r="R27" s="36">
        <f>+H27-G27</f>
        <v>11.125714285714288</v>
      </c>
      <c r="S27" s="43">
        <f>+R27/G27</f>
        <v>0.42857142857142866</v>
      </c>
    </row>
    <row r="28" spans="1:19" ht="30" x14ac:dyDescent="0.25">
      <c r="A28" s="4">
        <v>55500000002</v>
      </c>
      <c r="B28" s="6">
        <f t="shared" ref="B28:B96" si="2">A28</f>
        <v>55500000002</v>
      </c>
      <c r="C28" s="17" t="s">
        <v>7</v>
      </c>
      <c r="D28" s="32">
        <f t="shared" ref="D28" si="3">(6.77+3.5)/1000*1000</f>
        <v>10.27</v>
      </c>
      <c r="E28" s="11">
        <f>21.5*5</f>
        <v>107.5</v>
      </c>
      <c r="F28" s="11">
        <f t="shared" si="0"/>
        <v>19.349999999999998</v>
      </c>
      <c r="G28" s="29">
        <f t="shared" si="1"/>
        <v>126.85</v>
      </c>
      <c r="H28" s="11">
        <f t="shared" ref="H28:H88" si="4">(G28/(1-0.3))</f>
        <v>181.21428571428572</v>
      </c>
      <c r="I28" s="28"/>
      <c r="K28" s="11">
        <f t="shared" ref="K28:K81" si="5">(G28/0.7)</f>
        <v>181.21428571428572</v>
      </c>
      <c r="L28" s="11">
        <f t="shared" ref="L28:L82" si="6">(G28/(1-0.3))</f>
        <v>181.21428571428572</v>
      </c>
      <c r="M28" s="11">
        <f t="shared" ref="M28:M88" si="7">+G28-D28</f>
        <v>116.58</v>
      </c>
      <c r="N28" s="42">
        <f t="shared" ref="N28:N81" si="8">+M28/D28</f>
        <v>11.351509250243428</v>
      </c>
      <c r="Q28" s="43">
        <f t="shared" ref="Q28:Q92" si="9">+G28/H28</f>
        <v>0.7</v>
      </c>
      <c r="R28" s="36">
        <f t="shared" ref="R28:R92" si="10">+H28-G28</f>
        <v>54.364285714285728</v>
      </c>
      <c r="S28" s="43">
        <f t="shared" ref="S28:S92" si="11">+R28/G28</f>
        <v>0.42857142857142871</v>
      </c>
    </row>
    <row r="29" spans="1:19" ht="30" x14ac:dyDescent="0.25">
      <c r="A29" s="5">
        <v>97506200400</v>
      </c>
      <c r="B29" s="6">
        <f t="shared" si="2"/>
        <v>97506200400</v>
      </c>
      <c r="C29" s="17" t="s">
        <v>0</v>
      </c>
      <c r="D29" s="32">
        <f>(6.77+3.5)/1000*400</f>
        <v>4.1079999999999997</v>
      </c>
      <c r="E29" s="11">
        <v>9</v>
      </c>
      <c r="F29" s="11">
        <f>E29*18%</f>
        <v>1.6199999999999999</v>
      </c>
      <c r="G29" s="29">
        <f>E29+F29</f>
        <v>10.62</v>
      </c>
      <c r="H29" s="11">
        <f t="shared" si="4"/>
        <v>15.171428571428571</v>
      </c>
      <c r="I29" s="28"/>
      <c r="K29" s="11">
        <f t="shared" si="5"/>
        <v>15.171428571428571</v>
      </c>
      <c r="L29" s="11">
        <f t="shared" si="6"/>
        <v>15.171428571428571</v>
      </c>
      <c r="M29" s="11">
        <f t="shared" si="7"/>
        <v>6.5119999999999996</v>
      </c>
      <c r="N29" s="42">
        <f t="shared" si="8"/>
        <v>1.5851996105160662</v>
      </c>
      <c r="Q29" s="43">
        <f t="shared" si="9"/>
        <v>0.7</v>
      </c>
      <c r="R29" s="36">
        <f t="shared" si="10"/>
        <v>4.5514285714285716</v>
      </c>
      <c r="S29" s="43">
        <f t="shared" si="11"/>
        <v>0.4285714285714286</v>
      </c>
    </row>
    <row r="30" spans="1:19" ht="30" x14ac:dyDescent="0.25">
      <c r="A30" s="5">
        <v>97506200600</v>
      </c>
      <c r="B30" s="6">
        <f t="shared" si="2"/>
        <v>97506200600</v>
      </c>
      <c r="C30" s="17" t="s">
        <v>1</v>
      </c>
      <c r="D30" s="32">
        <f>(6.77+3.5)/1000*600</f>
        <v>6.1619999999999999</v>
      </c>
      <c r="E30" s="11">
        <v>13.5</v>
      </c>
      <c r="F30" s="11">
        <f t="shared" si="0"/>
        <v>2.4299999999999997</v>
      </c>
      <c r="G30" s="29">
        <f t="shared" si="1"/>
        <v>15.93</v>
      </c>
      <c r="H30" s="11">
        <f t="shared" si="4"/>
        <v>22.75714285714286</v>
      </c>
      <c r="I30" s="28"/>
      <c r="K30" s="11">
        <f t="shared" si="5"/>
        <v>22.75714285714286</v>
      </c>
      <c r="L30" s="11">
        <f t="shared" si="6"/>
        <v>22.75714285714286</v>
      </c>
      <c r="M30" s="11">
        <f t="shared" si="7"/>
        <v>9.7680000000000007</v>
      </c>
      <c r="N30" s="42">
        <f t="shared" si="8"/>
        <v>1.5851996105160664</v>
      </c>
      <c r="Q30" s="43">
        <f t="shared" si="9"/>
        <v>0.7</v>
      </c>
      <c r="R30" s="36">
        <f t="shared" si="10"/>
        <v>6.8271428571428601</v>
      </c>
      <c r="S30" s="43">
        <f t="shared" si="11"/>
        <v>0.42857142857142877</v>
      </c>
    </row>
    <row r="31" spans="1:19" ht="30" x14ac:dyDescent="0.25">
      <c r="A31" s="4">
        <v>55500000001</v>
      </c>
      <c r="B31" s="6">
        <f t="shared" si="2"/>
        <v>55500000001</v>
      </c>
      <c r="C31" s="17" t="s">
        <v>18</v>
      </c>
      <c r="D31" s="32">
        <f>(6.77+3.5)/1000*1000</f>
        <v>10.27</v>
      </c>
      <c r="E31" s="11">
        <v>22</v>
      </c>
      <c r="F31" s="11">
        <f>E31*18%</f>
        <v>3.96</v>
      </c>
      <c r="G31" s="29">
        <f>E31+F31</f>
        <v>25.96</v>
      </c>
      <c r="H31" s="11">
        <f t="shared" si="4"/>
        <v>37.085714285714289</v>
      </c>
      <c r="I31" s="28"/>
      <c r="K31" s="11">
        <f t="shared" si="5"/>
        <v>37.085714285714289</v>
      </c>
      <c r="L31" s="11">
        <f t="shared" si="6"/>
        <v>37.085714285714289</v>
      </c>
      <c r="M31" s="11">
        <f t="shared" si="7"/>
        <v>15.690000000000001</v>
      </c>
      <c r="N31" s="42">
        <f t="shared" si="8"/>
        <v>1.5277507302823761</v>
      </c>
      <c r="Q31" s="43">
        <f t="shared" si="9"/>
        <v>0.7</v>
      </c>
      <c r="R31" s="36">
        <f t="shared" si="10"/>
        <v>11.125714285714288</v>
      </c>
      <c r="S31" s="43">
        <f t="shared" si="11"/>
        <v>0.42857142857142866</v>
      </c>
    </row>
    <row r="32" spans="1:19" ht="33.75" customHeight="1" x14ac:dyDescent="0.25">
      <c r="A32" s="5">
        <v>97506200250</v>
      </c>
      <c r="B32" s="6">
        <f t="shared" si="2"/>
        <v>97506200250</v>
      </c>
      <c r="C32" s="17" t="s">
        <v>17</v>
      </c>
      <c r="D32" s="32">
        <f>(6.77+3.5)/1000*250</f>
        <v>2.5674999999999999</v>
      </c>
      <c r="E32" s="11">
        <v>6.2</v>
      </c>
      <c r="F32" s="11">
        <f>E32*18%</f>
        <v>1.1159999999999999</v>
      </c>
      <c r="G32" s="29">
        <f>E32+F32</f>
        <v>7.3159999999999998</v>
      </c>
      <c r="H32" s="11">
        <f t="shared" si="4"/>
        <v>10.451428571428572</v>
      </c>
      <c r="I32" s="28"/>
      <c r="K32" s="11">
        <f t="shared" si="5"/>
        <v>10.451428571428572</v>
      </c>
      <c r="L32" s="11">
        <f t="shared" si="6"/>
        <v>10.451428571428572</v>
      </c>
      <c r="M32" s="11">
        <f t="shared" si="7"/>
        <v>4.7484999999999999</v>
      </c>
      <c r="N32" s="42">
        <f t="shared" si="8"/>
        <v>1.8494644595910419</v>
      </c>
      <c r="Q32" s="43">
        <f t="shared" si="9"/>
        <v>0.7</v>
      </c>
      <c r="R32" s="36">
        <f t="shared" si="10"/>
        <v>3.1354285714285721</v>
      </c>
      <c r="S32" s="43">
        <f t="shared" si="11"/>
        <v>0.42857142857142866</v>
      </c>
    </row>
    <row r="33" spans="1:19" ht="33.75" customHeight="1" x14ac:dyDescent="0.25">
      <c r="A33" s="5">
        <v>82030201000</v>
      </c>
      <c r="B33" s="6">
        <f>A33</f>
        <v>82030201000</v>
      </c>
      <c r="C33" s="17" t="s">
        <v>8</v>
      </c>
      <c r="D33" s="32">
        <f>(6.53+3.5)/1000*1000</f>
        <v>10.030000000000001</v>
      </c>
      <c r="E33" s="11">
        <v>23.5</v>
      </c>
      <c r="F33" s="11">
        <f>E33*18%</f>
        <v>4.2299999999999995</v>
      </c>
      <c r="G33" s="29">
        <f>E33+F33</f>
        <v>27.73</v>
      </c>
      <c r="H33" s="11">
        <f t="shared" si="4"/>
        <v>39.614285714285714</v>
      </c>
      <c r="I33" s="28"/>
      <c r="K33" s="11">
        <f t="shared" si="5"/>
        <v>39.614285714285714</v>
      </c>
      <c r="L33" s="11">
        <f t="shared" si="6"/>
        <v>39.614285714285714</v>
      </c>
      <c r="M33" s="11">
        <f t="shared" si="7"/>
        <v>17.7</v>
      </c>
      <c r="N33" s="42">
        <f t="shared" si="8"/>
        <v>1.7647058823529409</v>
      </c>
      <c r="Q33" s="43">
        <f t="shared" si="9"/>
        <v>0.70000000000000007</v>
      </c>
      <c r="R33" s="36">
        <f t="shared" si="10"/>
        <v>11.884285714285713</v>
      </c>
      <c r="S33" s="43">
        <f t="shared" si="11"/>
        <v>0.42857142857142855</v>
      </c>
    </row>
    <row r="34" spans="1:19" ht="33.75" customHeight="1" x14ac:dyDescent="0.25">
      <c r="A34" s="5">
        <v>97505200250</v>
      </c>
      <c r="B34" s="6">
        <f t="shared" si="2"/>
        <v>97505200250</v>
      </c>
      <c r="C34" s="17" t="s">
        <v>19</v>
      </c>
      <c r="D34" s="32">
        <f>(6.53+3.5)/1000*250</f>
        <v>2.5075000000000003</v>
      </c>
      <c r="E34" s="11">
        <v>6.5</v>
      </c>
      <c r="F34" s="11">
        <f>E34*18%</f>
        <v>1.17</v>
      </c>
      <c r="G34" s="29">
        <f>E34+F34</f>
        <v>7.67</v>
      </c>
      <c r="H34" s="11">
        <f t="shared" si="4"/>
        <v>10.957142857142857</v>
      </c>
      <c r="I34" s="28"/>
      <c r="K34" s="11">
        <f t="shared" si="5"/>
        <v>10.957142857142857</v>
      </c>
      <c r="L34" s="11">
        <f t="shared" si="6"/>
        <v>10.957142857142857</v>
      </c>
      <c r="M34" s="11">
        <f t="shared" si="7"/>
        <v>5.1624999999999996</v>
      </c>
      <c r="N34" s="42">
        <f t="shared" si="8"/>
        <v>2.0588235294117645</v>
      </c>
      <c r="Q34" s="43">
        <f t="shared" si="9"/>
        <v>0.7</v>
      </c>
      <c r="R34" s="36">
        <f t="shared" si="10"/>
        <v>3.2871428571428574</v>
      </c>
      <c r="S34" s="43">
        <f t="shared" si="11"/>
        <v>0.4285714285714286</v>
      </c>
    </row>
    <row r="35" spans="1:19" ht="33.75" customHeight="1" x14ac:dyDescent="0.25">
      <c r="A35" s="5">
        <v>97505200400</v>
      </c>
      <c r="B35" s="6">
        <f t="shared" si="2"/>
        <v>97505200400</v>
      </c>
      <c r="C35" s="17" t="s">
        <v>3</v>
      </c>
      <c r="D35" s="32">
        <f>(6.53+3.5)/1000*400</f>
        <v>4.0120000000000005</v>
      </c>
      <c r="E35" s="11">
        <v>10</v>
      </c>
      <c r="F35" s="11">
        <f>E35*18%</f>
        <v>1.7999999999999998</v>
      </c>
      <c r="G35" s="29">
        <f>E35+F35</f>
        <v>11.8</v>
      </c>
      <c r="H35" s="11">
        <f t="shared" si="4"/>
        <v>16.857142857142858</v>
      </c>
      <c r="I35" s="28"/>
      <c r="K35" s="11">
        <f t="shared" si="5"/>
        <v>16.857142857142858</v>
      </c>
      <c r="L35" s="11">
        <f t="shared" si="6"/>
        <v>16.857142857142858</v>
      </c>
      <c r="M35" s="11">
        <f t="shared" si="7"/>
        <v>7.7880000000000003</v>
      </c>
      <c r="N35" s="42">
        <f t="shared" si="8"/>
        <v>1.9411764705882351</v>
      </c>
      <c r="Q35" s="43">
        <f t="shared" si="9"/>
        <v>0.70000000000000007</v>
      </c>
      <c r="R35" s="36">
        <f t="shared" si="10"/>
        <v>5.0571428571428569</v>
      </c>
      <c r="S35" s="43">
        <f t="shared" si="11"/>
        <v>0.42857142857142855</v>
      </c>
    </row>
    <row r="36" spans="1:19" ht="33.75" customHeight="1" x14ac:dyDescent="0.25">
      <c r="A36" s="5">
        <v>97505200600</v>
      </c>
      <c r="B36" s="6">
        <f t="shared" si="2"/>
        <v>97505200600</v>
      </c>
      <c r="C36" s="17" t="s">
        <v>2</v>
      </c>
      <c r="D36" s="32">
        <f>(6.53+3.5)/1000*600</f>
        <v>6.0180000000000007</v>
      </c>
      <c r="E36" s="11">
        <v>15</v>
      </c>
      <c r="F36" s="11">
        <f t="shared" si="0"/>
        <v>2.6999999999999997</v>
      </c>
      <c r="G36" s="29">
        <f t="shared" si="1"/>
        <v>17.7</v>
      </c>
      <c r="H36" s="11">
        <f t="shared" si="4"/>
        <v>25.285714285714285</v>
      </c>
      <c r="I36" s="28"/>
      <c r="K36" s="11">
        <f t="shared" si="5"/>
        <v>25.285714285714285</v>
      </c>
      <c r="L36" s="11">
        <f t="shared" si="6"/>
        <v>25.285714285714285</v>
      </c>
      <c r="M36" s="11">
        <f t="shared" si="7"/>
        <v>11.681999999999999</v>
      </c>
      <c r="N36" s="42">
        <f t="shared" si="8"/>
        <v>1.9411764705882348</v>
      </c>
      <c r="Q36" s="43">
        <f t="shared" si="9"/>
        <v>0.7</v>
      </c>
      <c r="R36" s="36">
        <f t="shared" si="10"/>
        <v>7.5857142857142854</v>
      </c>
      <c r="S36" s="43">
        <f t="shared" si="11"/>
        <v>0.42857142857142855</v>
      </c>
    </row>
    <row r="37" spans="1:19" ht="33.75" customHeight="1" x14ac:dyDescent="0.25">
      <c r="A37" s="5">
        <v>97519200400</v>
      </c>
      <c r="B37" s="6">
        <f t="shared" si="2"/>
        <v>97519200400</v>
      </c>
      <c r="C37" s="17" t="s">
        <v>14</v>
      </c>
      <c r="D37" s="32">
        <f>(6.7+3.5)/1000*400</f>
        <v>4.0799999999999992</v>
      </c>
      <c r="E37" s="12">
        <v>13</v>
      </c>
      <c r="F37" s="12">
        <f t="shared" si="0"/>
        <v>2.34</v>
      </c>
      <c r="G37" s="33">
        <f>E37+F37</f>
        <v>15.34</v>
      </c>
      <c r="H37" s="11">
        <f t="shared" si="4"/>
        <v>21.914285714285715</v>
      </c>
      <c r="I37" s="28"/>
      <c r="K37" s="11">
        <f t="shared" si="5"/>
        <v>21.914285714285715</v>
      </c>
      <c r="L37" s="11">
        <f t="shared" si="6"/>
        <v>21.914285714285715</v>
      </c>
      <c r="M37" s="11">
        <f t="shared" si="7"/>
        <v>11.260000000000002</v>
      </c>
      <c r="N37" s="42">
        <f t="shared" si="8"/>
        <v>2.7598039215686283</v>
      </c>
      <c r="Q37" s="43">
        <f t="shared" si="9"/>
        <v>0.7</v>
      </c>
      <c r="R37" s="36">
        <f t="shared" si="10"/>
        <v>6.5742857142857147</v>
      </c>
      <c r="S37" s="43">
        <f t="shared" si="11"/>
        <v>0.4285714285714286</v>
      </c>
    </row>
    <row r="38" spans="1:19" ht="33.75" customHeight="1" x14ac:dyDescent="0.25">
      <c r="A38" s="5">
        <v>97519200600</v>
      </c>
      <c r="B38" s="6">
        <f t="shared" si="2"/>
        <v>97519200600</v>
      </c>
      <c r="C38" s="17" t="s">
        <v>13</v>
      </c>
      <c r="D38" s="32">
        <f>(6.7+3.5)/1000*600</f>
        <v>6.1199999999999992</v>
      </c>
      <c r="E38" s="12">
        <v>19</v>
      </c>
      <c r="F38" s="12">
        <f t="shared" si="0"/>
        <v>3.42</v>
      </c>
      <c r="G38" s="33">
        <f>E38+F38</f>
        <v>22.42</v>
      </c>
      <c r="H38" s="11">
        <f t="shared" si="4"/>
        <v>32.028571428571432</v>
      </c>
      <c r="I38" s="28"/>
      <c r="K38" s="11">
        <f t="shared" si="5"/>
        <v>32.028571428571432</v>
      </c>
      <c r="L38" s="11">
        <f t="shared" si="6"/>
        <v>32.028571428571432</v>
      </c>
      <c r="M38" s="11">
        <f t="shared" si="7"/>
        <v>16.300000000000004</v>
      </c>
      <c r="N38" s="42">
        <f t="shared" si="8"/>
        <v>2.6633986928104587</v>
      </c>
      <c r="Q38" s="43">
        <f t="shared" si="9"/>
        <v>0.7</v>
      </c>
      <c r="R38" s="36">
        <f t="shared" si="10"/>
        <v>9.6085714285714303</v>
      </c>
      <c r="S38" s="43">
        <f t="shared" si="11"/>
        <v>0.4285714285714286</v>
      </c>
    </row>
    <row r="39" spans="1:19" ht="33.75" customHeight="1" x14ac:dyDescent="0.25">
      <c r="A39" s="5">
        <v>88006200240</v>
      </c>
      <c r="B39" s="6">
        <f t="shared" si="2"/>
        <v>88006200240</v>
      </c>
      <c r="C39" s="17" t="s">
        <v>4</v>
      </c>
      <c r="D39" s="32">
        <f>(6.73+3.5)/1000*240</f>
        <v>2.4552000000000005</v>
      </c>
      <c r="E39" s="11">
        <v>6.2</v>
      </c>
      <c r="F39" s="11">
        <f>E39*18%</f>
        <v>1.1159999999999999</v>
      </c>
      <c r="G39" s="29">
        <f>E39+F39</f>
        <v>7.3159999999999998</v>
      </c>
      <c r="H39" s="11">
        <f t="shared" si="4"/>
        <v>10.451428571428572</v>
      </c>
      <c r="I39" s="28"/>
      <c r="K39" s="11">
        <f t="shared" si="5"/>
        <v>10.451428571428572</v>
      </c>
      <c r="L39" s="11">
        <f t="shared" si="6"/>
        <v>10.451428571428572</v>
      </c>
      <c r="M39" s="11">
        <f t="shared" si="7"/>
        <v>4.8607999999999993</v>
      </c>
      <c r="N39" s="42">
        <f t="shared" si="8"/>
        <v>1.9797979797979792</v>
      </c>
      <c r="Q39" s="43">
        <f t="shared" si="9"/>
        <v>0.7</v>
      </c>
      <c r="R39" s="36">
        <f t="shared" si="10"/>
        <v>3.1354285714285721</v>
      </c>
      <c r="S39" s="43">
        <f t="shared" si="11"/>
        <v>0.42857142857142866</v>
      </c>
    </row>
    <row r="40" spans="1:19" ht="33.75" customHeight="1" x14ac:dyDescent="0.25">
      <c r="A40" s="5">
        <v>88006200250</v>
      </c>
      <c r="B40" s="6">
        <f t="shared" si="2"/>
        <v>88006200250</v>
      </c>
      <c r="C40" s="17" t="s">
        <v>27</v>
      </c>
      <c r="D40" s="32">
        <f>(6.73+3.5)/1000*250</f>
        <v>2.5575000000000001</v>
      </c>
      <c r="E40" s="11">
        <v>6.55</v>
      </c>
      <c r="F40" s="11">
        <f t="shared" si="0"/>
        <v>1.1789999999999998</v>
      </c>
      <c r="G40" s="29">
        <f t="shared" si="1"/>
        <v>7.7289999999999992</v>
      </c>
      <c r="H40" s="11">
        <f>(G40/(1-0.3))</f>
        <v>11.041428571428572</v>
      </c>
      <c r="I40" s="28"/>
      <c r="K40" s="11">
        <f t="shared" si="5"/>
        <v>11.041428571428572</v>
      </c>
      <c r="L40" s="11">
        <f t="shared" si="6"/>
        <v>11.041428571428572</v>
      </c>
      <c r="M40" s="11">
        <f t="shared" si="7"/>
        <v>5.1714999999999991</v>
      </c>
      <c r="N40" s="42">
        <f t="shared" si="8"/>
        <v>2.0220918866080151</v>
      </c>
      <c r="Q40" s="43">
        <f t="shared" si="9"/>
        <v>0.7</v>
      </c>
      <c r="R40" s="36">
        <f t="shared" si="10"/>
        <v>3.3124285714285726</v>
      </c>
      <c r="S40" s="43">
        <f t="shared" si="11"/>
        <v>0.42857142857142877</v>
      </c>
    </row>
    <row r="41" spans="1:19" ht="33.75" customHeight="1" x14ac:dyDescent="0.25">
      <c r="A41" s="5">
        <v>88006200450</v>
      </c>
      <c r="B41" s="6">
        <f t="shared" si="2"/>
        <v>88006200450</v>
      </c>
      <c r="C41" s="17" t="s">
        <v>26</v>
      </c>
      <c r="D41" s="32">
        <f>(6.73+3.5)/1000*450</f>
        <v>4.6035000000000004</v>
      </c>
      <c r="E41" s="11">
        <v>11.6</v>
      </c>
      <c r="F41" s="11">
        <f t="shared" si="0"/>
        <v>2.0880000000000001</v>
      </c>
      <c r="G41" s="29">
        <f t="shared" si="1"/>
        <v>13.687999999999999</v>
      </c>
      <c r="H41" s="11">
        <f t="shared" si="4"/>
        <v>19.554285714285715</v>
      </c>
      <c r="I41" s="28"/>
      <c r="K41" s="11">
        <f t="shared" si="5"/>
        <v>19.554285714285715</v>
      </c>
      <c r="L41" s="11">
        <f t="shared" si="6"/>
        <v>19.554285714285715</v>
      </c>
      <c r="M41" s="11">
        <f t="shared" si="7"/>
        <v>9.0844999999999985</v>
      </c>
      <c r="N41" s="42">
        <f t="shared" si="8"/>
        <v>1.973389812099489</v>
      </c>
      <c r="Q41" s="43">
        <f t="shared" si="9"/>
        <v>0.7</v>
      </c>
      <c r="R41" s="36">
        <f t="shared" si="10"/>
        <v>5.8662857142857163</v>
      </c>
      <c r="S41" s="43">
        <f t="shared" si="11"/>
        <v>0.42857142857142877</v>
      </c>
    </row>
    <row r="42" spans="1:19" ht="33.75" customHeight="1" x14ac:dyDescent="0.25">
      <c r="A42" s="5">
        <v>88006201000</v>
      </c>
      <c r="B42" s="6">
        <f t="shared" si="2"/>
        <v>88006201000</v>
      </c>
      <c r="C42" s="17" t="s">
        <v>28</v>
      </c>
      <c r="D42" s="32">
        <f>(6.73+3.5)/1000*1000</f>
        <v>10.23</v>
      </c>
      <c r="E42" s="11">
        <v>23</v>
      </c>
      <c r="F42" s="11">
        <f t="shared" si="0"/>
        <v>4.1399999999999997</v>
      </c>
      <c r="G42" s="29">
        <f t="shared" si="1"/>
        <v>27.14</v>
      </c>
      <c r="H42" s="11">
        <f t="shared" si="4"/>
        <v>38.771428571428572</v>
      </c>
      <c r="I42" s="28"/>
      <c r="K42" s="11">
        <f t="shared" si="5"/>
        <v>38.771428571428572</v>
      </c>
      <c r="L42" s="11">
        <f t="shared" si="6"/>
        <v>38.771428571428572</v>
      </c>
      <c r="M42" s="11">
        <f t="shared" si="7"/>
        <v>16.91</v>
      </c>
      <c r="N42" s="42">
        <f t="shared" si="8"/>
        <v>1.6529814271749754</v>
      </c>
      <c r="Q42" s="43">
        <f t="shared" si="9"/>
        <v>0.7</v>
      </c>
      <c r="R42" s="36">
        <f t="shared" si="10"/>
        <v>11.631428571428572</v>
      </c>
      <c r="S42" s="43">
        <f t="shared" si="11"/>
        <v>0.42857142857142855</v>
      </c>
    </row>
    <row r="43" spans="1:19" ht="33.75" customHeight="1" x14ac:dyDescent="0.25">
      <c r="A43" s="5">
        <v>88006201001</v>
      </c>
      <c r="B43" s="6">
        <f t="shared" si="2"/>
        <v>88006201001</v>
      </c>
      <c r="C43" s="17" t="s">
        <v>29</v>
      </c>
      <c r="D43" s="32">
        <f>(5.87+3.5)/1000*1000</f>
        <v>9.370000000000001</v>
      </c>
      <c r="E43" s="11">
        <v>16.5</v>
      </c>
      <c r="F43" s="11">
        <f t="shared" si="0"/>
        <v>2.9699999999999998</v>
      </c>
      <c r="G43" s="29">
        <f t="shared" si="1"/>
        <v>19.47</v>
      </c>
      <c r="H43" s="11">
        <f t="shared" si="4"/>
        <v>27.814285714285713</v>
      </c>
      <c r="I43" s="28"/>
      <c r="K43" s="11">
        <f t="shared" si="5"/>
        <v>27.814285714285713</v>
      </c>
      <c r="L43" s="11">
        <f t="shared" si="6"/>
        <v>27.814285714285713</v>
      </c>
      <c r="M43" s="11">
        <f t="shared" si="7"/>
        <v>10.099999999999998</v>
      </c>
      <c r="N43" s="42">
        <f t="shared" si="8"/>
        <v>1.077908217716115</v>
      </c>
      <c r="Q43" s="43">
        <f t="shared" si="9"/>
        <v>0.7</v>
      </c>
      <c r="R43" s="36">
        <f t="shared" si="10"/>
        <v>8.3442857142857143</v>
      </c>
      <c r="S43" s="43">
        <f t="shared" si="11"/>
        <v>0.4285714285714286</v>
      </c>
    </row>
    <row r="44" spans="1:19" ht="33.75" customHeight="1" x14ac:dyDescent="0.25">
      <c r="A44" s="5">
        <v>88006202000</v>
      </c>
      <c r="B44" s="6">
        <f t="shared" si="2"/>
        <v>88006202000</v>
      </c>
      <c r="C44" s="17" t="s">
        <v>30</v>
      </c>
      <c r="D44" s="32">
        <f>(5.87+3.5)/1000*2000</f>
        <v>18.740000000000002</v>
      </c>
      <c r="E44" s="11">
        <v>32</v>
      </c>
      <c r="F44" s="11">
        <f t="shared" si="0"/>
        <v>5.76</v>
      </c>
      <c r="G44" s="29">
        <f t="shared" si="1"/>
        <v>37.76</v>
      </c>
      <c r="H44" s="11">
        <f t="shared" si="4"/>
        <v>53.942857142857143</v>
      </c>
      <c r="I44" s="28"/>
      <c r="K44" s="11">
        <f t="shared" si="5"/>
        <v>53.942857142857143</v>
      </c>
      <c r="L44" s="11">
        <f t="shared" si="6"/>
        <v>53.942857142857143</v>
      </c>
      <c r="M44" s="11">
        <f t="shared" si="7"/>
        <v>19.019999999999996</v>
      </c>
      <c r="N44" s="42">
        <f t="shared" si="8"/>
        <v>1.0149413020277478</v>
      </c>
      <c r="Q44" s="43">
        <f t="shared" si="9"/>
        <v>0.7</v>
      </c>
      <c r="R44" s="36">
        <f t="shared" si="10"/>
        <v>16.182857142857145</v>
      </c>
      <c r="S44" s="43">
        <f t="shared" si="11"/>
        <v>0.42857142857142866</v>
      </c>
    </row>
    <row r="45" spans="1:19" ht="33.75" customHeight="1" x14ac:dyDescent="0.25">
      <c r="A45" s="5">
        <v>88007200250</v>
      </c>
      <c r="B45" s="6">
        <f t="shared" si="2"/>
        <v>88007200250</v>
      </c>
      <c r="C45" s="17" t="s">
        <v>5</v>
      </c>
      <c r="D45" s="32">
        <f>(5.89+3.5)/1000*250</f>
        <v>2.3475000000000001</v>
      </c>
      <c r="E45" s="11">
        <v>4.5</v>
      </c>
      <c r="F45" s="11">
        <f t="shared" si="0"/>
        <v>0.80999999999999994</v>
      </c>
      <c r="G45" s="29">
        <f t="shared" si="1"/>
        <v>5.31</v>
      </c>
      <c r="H45" s="11">
        <f t="shared" si="4"/>
        <v>7.5857142857142854</v>
      </c>
      <c r="I45" s="28"/>
      <c r="K45" s="11">
        <f t="shared" si="5"/>
        <v>7.5857142857142854</v>
      </c>
      <c r="L45" s="11">
        <f t="shared" si="6"/>
        <v>7.5857142857142854</v>
      </c>
      <c r="M45" s="11">
        <f t="shared" si="7"/>
        <v>2.9624999999999995</v>
      </c>
      <c r="N45" s="42">
        <f t="shared" si="8"/>
        <v>1.2619808306709261</v>
      </c>
      <c r="Q45" s="43">
        <f t="shared" si="9"/>
        <v>0.7</v>
      </c>
      <c r="R45" s="36">
        <f t="shared" si="10"/>
        <v>2.2757142857142858</v>
      </c>
      <c r="S45" s="43">
        <f t="shared" si="11"/>
        <v>0.4285714285714286</v>
      </c>
    </row>
    <row r="46" spans="1:19" ht="33.75" customHeight="1" x14ac:dyDescent="0.25">
      <c r="A46" s="5">
        <v>88007201000</v>
      </c>
      <c r="B46" s="6">
        <f t="shared" si="2"/>
        <v>88007201000</v>
      </c>
      <c r="C46" s="17" t="s">
        <v>9</v>
      </c>
      <c r="D46" s="32">
        <f>(5.89+3.5)/1000*1000</f>
        <v>9.39</v>
      </c>
      <c r="E46" s="11">
        <v>14</v>
      </c>
      <c r="F46" s="11">
        <f t="shared" si="0"/>
        <v>2.52</v>
      </c>
      <c r="G46" s="29">
        <f t="shared" si="1"/>
        <v>16.52</v>
      </c>
      <c r="H46" s="11">
        <f t="shared" si="4"/>
        <v>23.6</v>
      </c>
      <c r="I46" s="28"/>
      <c r="K46" s="11">
        <f t="shared" si="5"/>
        <v>23.6</v>
      </c>
      <c r="L46" s="11">
        <f t="shared" si="6"/>
        <v>23.6</v>
      </c>
      <c r="M46" s="11">
        <f t="shared" si="7"/>
        <v>7.129999999999999</v>
      </c>
      <c r="N46" s="42">
        <f t="shared" si="8"/>
        <v>0.7593184238551649</v>
      </c>
      <c r="Q46" s="43">
        <f t="shared" si="9"/>
        <v>0.7</v>
      </c>
      <c r="R46" s="36">
        <f t="shared" si="10"/>
        <v>7.0800000000000018</v>
      </c>
      <c r="S46" s="43">
        <f t="shared" si="11"/>
        <v>0.42857142857142871</v>
      </c>
    </row>
    <row r="47" spans="1:19" ht="33.75" customHeight="1" x14ac:dyDescent="0.25">
      <c r="A47" s="5">
        <v>88007201001</v>
      </c>
      <c r="B47" s="6">
        <f t="shared" si="2"/>
        <v>88007201001</v>
      </c>
      <c r="C47" s="17" t="s">
        <v>20</v>
      </c>
      <c r="D47" s="32">
        <f t="shared" ref="D47" si="12">(5.89+3.5)/1000*1000</f>
        <v>9.39</v>
      </c>
      <c r="E47" s="11">
        <v>14</v>
      </c>
      <c r="F47" s="11">
        <f t="shared" si="0"/>
        <v>2.52</v>
      </c>
      <c r="G47" s="29">
        <f t="shared" si="1"/>
        <v>16.52</v>
      </c>
      <c r="H47" s="11">
        <f t="shared" si="4"/>
        <v>23.6</v>
      </c>
      <c r="I47" s="28"/>
      <c r="K47" s="11">
        <f t="shared" si="5"/>
        <v>23.6</v>
      </c>
      <c r="L47" s="11">
        <f t="shared" si="6"/>
        <v>23.6</v>
      </c>
      <c r="M47" s="11">
        <f t="shared" si="7"/>
        <v>7.129999999999999</v>
      </c>
      <c r="N47" s="42">
        <f t="shared" si="8"/>
        <v>0.7593184238551649</v>
      </c>
      <c r="Q47" s="43">
        <f t="shared" si="9"/>
        <v>0.7</v>
      </c>
      <c r="R47" s="36">
        <f t="shared" si="10"/>
        <v>7.0800000000000018</v>
      </c>
      <c r="S47" s="43">
        <f t="shared" si="11"/>
        <v>0.42857142857142871</v>
      </c>
    </row>
    <row r="48" spans="1:19" ht="33.75" customHeight="1" x14ac:dyDescent="0.25">
      <c r="A48" s="5">
        <v>88007202000</v>
      </c>
      <c r="B48" s="6">
        <f t="shared" si="2"/>
        <v>88007202000</v>
      </c>
      <c r="C48" s="17" t="s">
        <v>21</v>
      </c>
      <c r="D48" s="32">
        <f>(5.89+3.5)/1000*2000</f>
        <v>18.78</v>
      </c>
      <c r="E48" s="11">
        <v>27</v>
      </c>
      <c r="F48" s="11">
        <f t="shared" si="0"/>
        <v>4.8599999999999994</v>
      </c>
      <c r="G48" s="29">
        <f t="shared" si="1"/>
        <v>31.86</v>
      </c>
      <c r="H48" s="11">
        <f t="shared" si="4"/>
        <v>45.51428571428572</v>
      </c>
      <c r="I48" s="28"/>
      <c r="K48" s="11">
        <f t="shared" si="5"/>
        <v>45.51428571428572</v>
      </c>
      <c r="L48" s="11">
        <f t="shared" si="6"/>
        <v>45.51428571428572</v>
      </c>
      <c r="M48" s="11">
        <f t="shared" si="7"/>
        <v>13.079999999999998</v>
      </c>
      <c r="N48" s="42">
        <f t="shared" si="8"/>
        <v>0.69648562300319472</v>
      </c>
      <c r="Q48" s="43">
        <f t="shared" si="9"/>
        <v>0.7</v>
      </c>
      <c r="R48" s="36">
        <f t="shared" si="10"/>
        <v>13.65428571428572</v>
      </c>
      <c r="S48" s="43">
        <f t="shared" si="11"/>
        <v>0.42857142857142877</v>
      </c>
    </row>
    <row r="49" spans="1:19" ht="33.75" customHeight="1" x14ac:dyDescent="0.25">
      <c r="A49" s="5">
        <v>86005200320</v>
      </c>
      <c r="B49" s="6">
        <f t="shared" si="2"/>
        <v>86005200320</v>
      </c>
      <c r="C49" s="17" t="s">
        <v>31</v>
      </c>
      <c r="D49" s="32">
        <f>(6.06+3.5)/1000*320</f>
        <v>3.0591999999999997</v>
      </c>
      <c r="E49" s="11">
        <v>7</v>
      </c>
      <c r="F49" s="11">
        <f t="shared" si="0"/>
        <v>1.26</v>
      </c>
      <c r="G49" s="29">
        <f t="shared" si="1"/>
        <v>8.26</v>
      </c>
      <c r="H49" s="11">
        <f t="shared" si="4"/>
        <v>11.8</v>
      </c>
      <c r="I49" s="28"/>
      <c r="K49" s="11">
        <f t="shared" si="5"/>
        <v>11.8</v>
      </c>
      <c r="L49" s="11">
        <f t="shared" si="6"/>
        <v>11.8</v>
      </c>
      <c r="M49" s="11">
        <f t="shared" si="7"/>
        <v>5.2008000000000001</v>
      </c>
      <c r="N49" s="42">
        <f t="shared" si="8"/>
        <v>1.7000523012552302</v>
      </c>
      <c r="Q49" s="43">
        <f t="shared" si="9"/>
        <v>0.7</v>
      </c>
      <c r="R49" s="36">
        <f t="shared" si="10"/>
        <v>3.5400000000000009</v>
      </c>
      <c r="S49" s="43">
        <f t="shared" si="11"/>
        <v>0.42857142857142871</v>
      </c>
    </row>
    <row r="50" spans="1:19" ht="33.75" customHeight="1" x14ac:dyDescent="0.25">
      <c r="A50" s="5">
        <v>95011200240</v>
      </c>
      <c r="B50" s="6">
        <f t="shared" si="2"/>
        <v>95011200240</v>
      </c>
      <c r="C50" s="18" t="s">
        <v>44</v>
      </c>
      <c r="D50" s="32">
        <f>(6.28+3.5)/1000*240</f>
        <v>2.3472</v>
      </c>
      <c r="E50" s="11">
        <v>4.5</v>
      </c>
      <c r="F50" s="11">
        <f t="shared" si="0"/>
        <v>0.80999999999999994</v>
      </c>
      <c r="G50" s="29">
        <f t="shared" si="1"/>
        <v>5.31</v>
      </c>
      <c r="H50" s="11">
        <f t="shared" si="4"/>
        <v>7.5857142857142854</v>
      </c>
      <c r="I50" s="28"/>
      <c r="K50" s="11">
        <f t="shared" si="5"/>
        <v>7.5857142857142854</v>
      </c>
      <c r="L50" s="11">
        <f t="shared" si="6"/>
        <v>7.5857142857142854</v>
      </c>
      <c r="M50" s="11">
        <f t="shared" si="7"/>
        <v>2.9627999999999997</v>
      </c>
      <c r="N50" s="42">
        <f t="shared" si="8"/>
        <v>1.2622699386503067</v>
      </c>
      <c r="Q50" s="43">
        <f t="shared" si="9"/>
        <v>0.7</v>
      </c>
      <c r="R50" s="36">
        <f t="shared" si="10"/>
        <v>2.2757142857142858</v>
      </c>
      <c r="S50" s="43">
        <f t="shared" si="11"/>
        <v>0.4285714285714286</v>
      </c>
    </row>
    <row r="51" spans="1:19" ht="33.75" customHeight="1" x14ac:dyDescent="0.25">
      <c r="A51" s="5">
        <v>95011200250</v>
      </c>
      <c r="B51" s="6">
        <f t="shared" si="2"/>
        <v>95011200250</v>
      </c>
      <c r="C51" s="17" t="s">
        <v>22</v>
      </c>
      <c r="D51" s="32">
        <f>(6.28+3.5)/1000*250</f>
        <v>2.4450000000000003</v>
      </c>
      <c r="E51" s="11">
        <v>5</v>
      </c>
      <c r="F51" s="11">
        <f t="shared" si="0"/>
        <v>0.89999999999999991</v>
      </c>
      <c r="G51" s="29">
        <f t="shared" si="1"/>
        <v>5.9</v>
      </c>
      <c r="H51" s="11">
        <f t="shared" si="4"/>
        <v>8.4285714285714288</v>
      </c>
      <c r="I51" s="28"/>
      <c r="K51" s="11">
        <f t="shared" si="5"/>
        <v>8.4285714285714288</v>
      </c>
      <c r="L51" s="11">
        <f t="shared" si="6"/>
        <v>8.4285714285714288</v>
      </c>
      <c r="M51" s="11">
        <f t="shared" si="7"/>
        <v>3.4550000000000001</v>
      </c>
      <c r="N51" s="42">
        <f t="shared" si="8"/>
        <v>1.4130879345603271</v>
      </c>
      <c r="Q51" s="43">
        <f t="shared" si="9"/>
        <v>0.70000000000000007</v>
      </c>
      <c r="R51" s="36">
        <f t="shared" si="10"/>
        <v>2.5285714285714285</v>
      </c>
      <c r="S51" s="43">
        <f t="shared" si="11"/>
        <v>0.42857142857142855</v>
      </c>
    </row>
    <row r="52" spans="1:19" ht="33.75" customHeight="1" x14ac:dyDescent="0.25">
      <c r="A52" s="4">
        <v>66660000001</v>
      </c>
      <c r="B52" s="6">
        <f t="shared" si="2"/>
        <v>66660000001</v>
      </c>
      <c r="C52" s="17" t="s">
        <v>87</v>
      </c>
      <c r="D52" s="32">
        <f>(10.13+3.5)/1000*1000</f>
        <v>13.63</v>
      </c>
      <c r="E52" s="11">
        <v>31</v>
      </c>
      <c r="F52" s="11">
        <f>E52*18%</f>
        <v>5.58</v>
      </c>
      <c r="G52" s="29">
        <f>E52+F52</f>
        <v>36.58</v>
      </c>
      <c r="H52" s="11">
        <f t="shared" si="4"/>
        <v>52.25714285714286</v>
      </c>
      <c r="I52" s="28"/>
      <c r="K52" s="11">
        <f t="shared" si="5"/>
        <v>52.25714285714286</v>
      </c>
      <c r="L52" s="11">
        <f t="shared" si="6"/>
        <v>52.25714285714286</v>
      </c>
      <c r="M52" s="11">
        <f t="shared" si="7"/>
        <v>22.949999999999996</v>
      </c>
      <c r="N52" s="42">
        <f t="shared" si="8"/>
        <v>1.683785766691122</v>
      </c>
      <c r="Q52" s="43">
        <f t="shared" si="9"/>
        <v>0.7</v>
      </c>
      <c r="R52" s="36">
        <f t="shared" si="10"/>
        <v>15.677142857142861</v>
      </c>
      <c r="S52" s="43">
        <f t="shared" si="11"/>
        <v>0.42857142857142871</v>
      </c>
    </row>
    <row r="53" spans="1:19" ht="33.75" customHeight="1" x14ac:dyDescent="0.25">
      <c r="A53" s="4">
        <v>66660000200</v>
      </c>
      <c r="B53" s="6">
        <f t="shared" si="2"/>
        <v>66660000200</v>
      </c>
      <c r="C53" s="17" t="s">
        <v>45</v>
      </c>
      <c r="D53" s="32">
        <f>(10.13+3.5)/1000*200</f>
        <v>2.7260000000000004</v>
      </c>
      <c r="E53" s="11">
        <v>7.5</v>
      </c>
      <c r="F53" s="11">
        <f>E53*18%</f>
        <v>1.3499999999999999</v>
      </c>
      <c r="G53" s="29">
        <f>E53+F53</f>
        <v>8.85</v>
      </c>
      <c r="H53" s="11">
        <f t="shared" si="4"/>
        <v>12.642857142857142</v>
      </c>
      <c r="I53" s="28"/>
      <c r="K53" s="11">
        <f t="shared" si="5"/>
        <v>12.642857142857142</v>
      </c>
      <c r="L53" s="11">
        <f t="shared" si="6"/>
        <v>12.642857142857142</v>
      </c>
      <c r="M53" s="11">
        <f t="shared" si="7"/>
        <v>6.1239999999999988</v>
      </c>
      <c r="N53" s="42">
        <f t="shared" si="8"/>
        <v>2.2465150403521634</v>
      </c>
      <c r="Q53" s="43">
        <f t="shared" si="9"/>
        <v>0.7</v>
      </c>
      <c r="R53" s="36">
        <f t="shared" si="10"/>
        <v>3.7928571428571427</v>
      </c>
      <c r="S53" s="43">
        <f t="shared" si="11"/>
        <v>0.42857142857142855</v>
      </c>
    </row>
    <row r="54" spans="1:19" ht="33.75" customHeight="1" x14ac:dyDescent="0.25">
      <c r="A54" s="4">
        <v>66660000500</v>
      </c>
      <c r="B54" s="6">
        <f t="shared" si="2"/>
        <v>66660000500</v>
      </c>
      <c r="C54" s="17" t="s">
        <v>38</v>
      </c>
      <c r="D54" s="32">
        <f>(10.13+3.5)/1000*500</f>
        <v>6.8150000000000004</v>
      </c>
      <c r="E54" s="11">
        <v>15.5</v>
      </c>
      <c r="F54" s="11">
        <f>E54*18%</f>
        <v>2.79</v>
      </c>
      <c r="G54" s="29">
        <f>E54+F54</f>
        <v>18.29</v>
      </c>
      <c r="H54" s="11">
        <f t="shared" si="4"/>
        <v>26.12857142857143</v>
      </c>
      <c r="I54" s="28"/>
      <c r="K54" s="11">
        <f t="shared" si="5"/>
        <v>26.12857142857143</v>
      </c>
      <c r="L54" s="11">
        <f t="shared" si="6"/>
        <v>26.12857142857143</v>
      </c>
      <c r="M54" s="11">
        <f t="shared" si="7"/>
        <v>11.474999999999998</v>
      </c>
      <c r="N54" s="42">
        <f t="shared" si="8"/>
        <v>1.683785766691122</v>
      </c>
      <c r="Q54" s="43">
        <f t="shared" si="9"/>
        <v>0.7</v>
      </c>
      <c r="R54" s="36">
        <f t="shared" si="10"/>
        <v>7.8385714285714307</v>
      </c>
      <c r="S54" s="43">
        <f t="shared" si="11"/>
        <v>0.42857142857142871</v>
      </c>
    </row>
    <row r="55" spans="1:19" ht="33.75" customHeight="1" x14ac:dyDescent="0.25">
      <c r="A55" s="4">
        <v>77700000001</v>
      </c>
      <c r="B55" s="6">
        <f t="shared" si="2"/>
        <v>77700000001</v>
      </c>
      <c r="C55" s="17" t="s">
        <v>88</v>
      </c>
      <c r="D55" s="32">
        <f>(10.13+3.5)/1000*1000</f>
        <v>13.63</v>
      </c>
      <c r="E55" s="11">
        <v>31</v>
      </c>
      <c r="F55" s="11">
        <f>E55*18%</f>
        <v>5.58</v>
      </c>
      <c r="G55" s="29">
        <f>E55+F55</f>
        <v>36.58</v>
      </c>
      <c r="H55" s="11">
        <f t="shared" si="4"/>
        <v>52.25714285714286</v>
      </c>
      <c r="I55" s="28"/>
      <c r="K55" s="11">
        <f t="shared" si="5"/>
        <v>52.25714285714286</v>
      </c>
      <c r="L55" s="11">
        <f t="shared" si="6"/>
        <v>52.25714285714286</v>
      </c>
      <c r="M55" s="11">
        <f t="shared" si="7"/>
        <v>22.949999999999996</v>
      </c>
      <c r="N55" s="42">
        <f t="shared" si="8"/>
        <v>1.683785766691122</v>
      </c>
      <c r="Q55" s="43">
        <f t="shared" si="9"/>
        <v>0.7</v>
      </c>
      <c r="R55" s="36">
        <f t="shared" si="10"/>
        <v>15.677142857142861</v>
      </c>
      <c r="S55" s="43">
        <f t="shared" si="11"/>
        <v>0.42857142857142871</v>
      </c>
    </row>
    <row r="56" spans="1:19" ht="33.75" customHeight="1" x14ac:dyDescent="0.25">
      <c r="A56" s="4">
        <v>77700000200</v>
      </c>
      <c r="B56" s="6">
        <f t="shared" si="2"/>
        <v>77700000200</v>
      </c>
      <c r="C56" s="17" t="s">
        <v>25</v>
      </c>
      <c r="D56" s="32">
        <f>(10.13+3.5)/1000*200</f>
        <v>2.7260000000000004</v>
      </c>
      <c r="E56" s="11">
        <v>8</v>
      </c>
      <c r="F56" s="11">
        <f>E56*18%</f>
        <v>1.44</v>
      </c>
      <c r="G56" s="29">
        <f>E56+F56</f>
        <v>9.44</v>
      </c>
      <c r="H56" s="11">
        <f t="shared" si="4"/>
        <v>13.485714285714286</v>
      </c>
      <c r="I56" s="28"/>
      <c r="K56" s="11">
        <f t="shared" si="5"/>
        <v>13.485714285714286</v>
      </c>
      <c r="L56" s="11">
        <f t="shared" si="6"/>
        <v>13.485714285714286</v>
      </c>
      <c r="M56" s="11">
        <f t="shared" si="7"/>
        <v>6.7139999999999986</v>
      </c>
      <c r="N56" s="42">
        <f t="shared" si="8"/>
        <v>2.4629493763756409</v>
      </c>
      <c r="Q56" s="43">
        <f t="shared" si="9"/>
        <v>0.7</v>
      </c>
      <c r="R56" s="36">
        <f t="shared" si="10"/>
        <v>4.0457142857142863</v>
      </c>
      <c r="S56" s="43">
        <f t="shared" si="11"/>
        <v>0.42857142857142866</v>
      </c>
    </row>
    <row r="57" spans="1:19" ht="33.75" customHeight="1" x14ac:dyDescent="0.25">
      <c r="A57" s="4">
        <v>77700000500</v>
      </c>
      <c r="B57" s="6">
        <f t="shared" si="2"/>
        <v>77700000500</v>
      </c>
      <c r="C57" s="17" t="s">
        <v>24</v>
      </c>
      <c r="D57" s="32">
        <f>(10.13+3.5)/1000*500</f>
        <v>6.8150000000000004</v>
      </c>
      <c r="E57" s="11">
        <v>17.399999999999999</v>
      </c>
      <c r="F57" s="11">
        <f t="shared" ref="F57" si="13">E57*18%</f>
        <v>3.1319999999999997</v>
      </c>
      <c r="G57" s="29">
        <f t="shared" ref="G57" si="14">E57+F57</f>
        <v>20.531999999999996</v>
      </c>
      <c r="H57" s="11">
        <f t="shared" si="4"/>
        <v>29.331428571428567</v>
      </c>
      <c r="I57" s="28"/>
      <c r="K57" s="11">
        <f t="shared" si="5"/>
        <v>29.331428571428567</v>
      </c>
      <c r="L57" s="11">
        <f t="shared" si="6"/>
        <v>29.331428571428567</v>
      </c>
      <c r="M57" s="11">
        <f t="shared" si="7"/>
        <v>13.716999999999995</v>
      </c>
      <c r="N57" s="42">
        <f t="shared" si="8"/>
        <v>2.0127659574468075</v>
      </c>
      <c r="Q57" s="43">
        <f t="shared" si="9"/>
        <v>0.7</v>
      </c>
      <c r="R57" s="36">
        <f t="shared" si="10"/>
        <v>8.7994285714285709</v>
      </c>
      <c r="S57" s="43">
        <f t="shared" si="11"/>
        <v>0.4285714285714286</v>
      </c>
    </row>
    <row r="58" spans="1:19" ht="33.75" customHeight="1" x14ac:dyDescent="0.25">
      <c r="A58" s="5">
        <v>97510200250</v>
      </c>
      <c r="B58" s="6">
        <f t="shared" si="2"/>
        <v>97510200250</v>
      </c>
      <c r="C58" s="17" t="s">
        <v>43</v>
      </c>
      <c r="D58" s="32">
        <f>(5.75+3.5)/1000*250</f>
        <v>2.3125</v>
      </c>
      <c r="E58" s="11">
        <v>9</v>
      </c>
      <c r="F58" s="11">
        <f t="shared" ref="F58:F79" si="15">E58*18%</f>
        <v>1.6199999999999999</v>
      </c>
      <c r="G58" s="29">
        <f t="shared" ref="G58:G79" si="16">E58+F58</f>
        <v>10.62</v>
      </c>
      <c r="H58" s="11">
        <f t="shared" si="4"/>
        <v>15.171428571428571</v>
      </c>
      <c r="I58" s="28"/>
      <c r="K58" s="11">
        <f t="shared" si="5"/>
        <v>15.171428571428571</v>
      </c>
      <c r="L58" s="11">
        <f t="shared" si="6"/>
        <v>15.171428571428571</v>
      </c>
      <c r="M58" s="11">
        <f t="shared" si="7"/>
        <v>8.3074999999999992</v>
      </c>
      <c r="N58" s="42">
        <f t="shared" si="8"/>
        <v>3.5924324324324322</v>
      </c>
      <c r="Q58" s="43">
        <f t="shared" si="9"/>
        <v>0.7</v>
      </c>
      <c r="R58" s="36">
        <f t="shared" si="10"/>
        <v>4.5514285714285716</v>
      </c>
      <c r="S58" s="43">
        <f t="shared" si="11"/>
        <v>0.4285714285714286</v>
      </c>
    </row>
    <row r="59" spans="1:19" ht="33.75" customHeight="1" x14ac:dyDescent="0.25">
      <c r="A59" s="5">
        <v>97510200350</v>
      </c>
      <c r="B59" s="6">
        <f t="shared" si="2"/>
        <v>97510200350</v>
      </c>
      <c r="C59" s="17" t="s">
        <v>10</v>
      </c>
      <c r="D59" s="32">
        <f>(5.75+3.5)/1000*350</f>
        <v>3.2374999999999998</v>
      </c>
      <c r="E59" s="11">
        <v>6.3</v>
      </c>
      <c r="F59" s="11">
        <f t="shared" si="15"/>
        <v>1.1339999999999999</v>
      </c>
      <c r="G59" s="29">
        <f t="shared" si="16"/>
        <v>7.4339999999999993</v>
      </c>
      <c r="H59" s="11">
        <f t="shared" si="4"/>
        <v>10.62</v>
      </c>
      <c r="I59" s="28"/>
      <c r="K59" s="11">
        <f t="shared" si="5"/>
        <v>10.62</v>
      </c>
      <c r="L59" s="11">
        <f t="shared" si="6"/>
        <v>10.62</v>
      </c>
      <c r="M59" s="11">
        <f t="shared" si="7"/>
        <v>4.1964999999999995</v>
      </c>
      <c r="N59" s="42">
        <f t="shared" si="8"/>
        <v>1.2962162162162161</v>
      </c>
      <c r="Q59" s="43">
        <f t="shared" si="9"/>
        <v>0.7</v>
      </c>
      <c r="R59" s="36">
        <f t="shared" si="10"/>
        <v>3.1859999999999999</v>
      </c>
      <c r="S59" s="43">
        <f t="shared" si="11"/>
        <v>0.4285714285714286</v>
      </c>
    </row>
    <row r="60" spans="1:19" ht="33.75" customHeight="1" x14ac:dyDescent="0.25">
      <c r="A60" s="5">
        <v>64015203000</v>
      </c>
      <c r="B60" s="6">
        <f t="shared" si="2"/>
        <v>64015203000</v>
      </c>
      <c r="C60" s="17" t="s">
        <v>89</v>
      </c>
      <c r="D60" s="32">
        <f>(5.75+3.5)/1000*1000</f>
        <v>9.25</v>
      </c>
      <c r="E60" s="11">
        <v>18</v>
      </c>
      <c r="F60" s="11">
        <f t="shared" si="15"/>
        <v>3.2399999999999998</v>
      </c>
      <c r="G60" s="29">
        <f t="shared" si="16"/>
        <v>21.24</v>
      </c>
      <c r="H60" s="11">
        <f t="shared" si="4"/>
        <v>30.342857142857142</v>
      </c>
      <c r="I60" s="28"/>
      <c r="K60" s="11">
        <f t="shared" si="5"/>
        <v>30.342857142857142</v>
      </c>
      <c r="L60" s="11">
        <f t="shared" si="6"/>
        <v>30.342857142857142</v>
      </c>
      <c r="M60" s="11">
        <f t="shared" si="7"/>
        <v>11.989999999999998</v>
      </c>
      <c r="N60" s="42">
        <f t="shared" si="8"/>
        <v>1.2962162162162161</v>
      </c>
      <c r="Q60" s="43">
        <f t="shared" si="9"/>
        <v>0.7</v>
      </c>
      <c r="R60" s="36">
        <f t="shared" si="10"/>
        <v>9.1028571428571432</v>
      </c>
      <c r="S60" s="43">
        <f t="shared" si="11"/>
        <v>0.4285714285714286</v>
      </c>
    </row>
    <row r="61" spans="1:19" ht="33.75" customHeight="1" x14ac:dyDescent="0.25">
      <c r="A61" s="5">
        <v>64015200250</v>
      </c>
      <c r="B61" s="6">
        <f t="shared" si="2"/>
        <v>64015200250</v>
      </c>
      <c r="C61" s="17" t="s">
        <v>32</v>
      </c>
      <c r="D61" s="32">
        <f>(8.09+3.5)/1000*250</f>
        <v>2.8975</v>
      </c>
      <c r="E61" s="13">
        <v>5.75</v>
      </c>
      <c r="F61" s="13">
        <f t="shared" si="15"/>
        <v>1.0349999999999999</v>
      </c>
      <c r="G61" s="34">
        <f t="shared" si="16"/>
        <v>6.7850000000000001</v>
      </c>
      <c r="H61" s="11">
        <f t="shared" si="4"/>
        <v>9.6928571428571431</v>
      </c>
      <c r="I61" s="28"/>
      <c r="K61" s="11">
        <f t="shared" si="5"/>
        <v>9.6928571428571431</v>
      </c>
      <c r="L61" s="11">
        <f t="shared" si="6"/>
        <v>9.6928571428571431</v>
      </c>
      <c r="M61" s="11">
        <f t="shared" si="7"/>
        <v>3.8875000000000002</v>
      </c>
      <c r="N61" s="42">
        <f t="shared" si="8"/>
        <v>1.3416738567730804</v>
      </c>
      <c r="Q61" s="43">
        <f t="shared" si="9"/>
        <v>0.7</v>
      </c>
      <c r="R61" s="36">
        <f t="shared" si="10"/>
        <v>2.9078571428571429</v>
      </c>
      <c r="S61" s="43">
        <f t="shared" si="11"/>
        <v>0.42857142857142855</v>
      </c>
    </row>
    <row r="62" spans="1:19" ht="33.75" customHeight="1" x14ac:dyDescent="0.25">
      <c r="A62" s="5">
        <v>64015200500</v>
      </c>
      <c r="B62" s="6">
        <f t="shared" si="2"/>
        <v>64015200500</v>
      </c>
      <c r="C62" s="17" t="s">
        <v>33</v>
      </c>
      <c r="D62" s="32">
        <f>(8.09+3.5)/1000*500</f>
        <v>5.7949999999999999</v>
      </c>
      <c r="E62" s="11">
        <v>9.5</v>
      </c>
      <c r="F62" s="11">
        <f t="shared" si="15"/>
        <v>1.71</v>
      </c>
      <c r="G62" s="29">
        <f t="shared" si="16"/>
        <v>11.21</v>
      </c>
      <c r="H62" s="11">
        <f t="shared" si="4"/>
        <v>16.014285714285716</v>
      </c>
      <c r="I62" s="28"/>
      <c r="K62" s="11">
        <f t="shared" si="5"/>
        <v>16.014285714285716</v>
      </c>
      <c r="L62" s="11">
        <f t="shared" si="6"/>
        <v>16.014285714285716</v>
      </c>
      <c r="M62" s="11">
        <f t="shared" si="7"/>
        <v>5.4150000000000009</v>
      </c>
      <c r="N62" s="42">
        <f t="shared" si="8"/>
        <v>0.93442622950819687</v>
      </c>
      <c r="Q62" s="43">
        <f t="shared" si="9"/>
        <v>0.7</v>
      </c>
      <c r="R62" s="36">
        <f t="shared" si="10"/>
        <v>4.8042857142857152</v>
      </c>
      <c r="S62" s="43">
        <f t="shared" si="11"/>
        <v>0.4285714285714286</v>
      </c>
    </row>
    <row r="63" spans="1:19" ht="33.75" customHeight="1" x14ac:dyDescent="0.25">
      <c r="A63" s="5">
        <v>64016205000</v>
      </c>
      <c r="B63" s="6">
        <f t="shared" si="2"/>
        <v>64016205000</v>
      </c>
      <c r="C63" s="17" t="s">
        <v>90</v>
      </c>
      <c r="D63" s="32">
        <f>(11.18+3.5)/1000*1000</f>
        <v>14.68</v>
      </c>
      <c r="E63" s="11">
        <v>30.15</v>
      </c>
      <c r="F63" s="11">
        <f t="shared" si="15"/>
        <v>5.4269999999999996</v>
      </c>
      <c r="G63" s="29">
        <f t="shared" si="16"/>
        <v>35.576999999999998</v>
      </c>
      <c r="H63" s="11">
        <f t="shared" si="4"/>
        <v>50.824285714285715</v>
      </c>
      <c r="I63" s="28"/>
      <c r="K63" s="11">
        <f t="shared" si="5"/>
        <v>50.824285714285715</v>
      </c>
      <c r="L63" s="11">
        <f t="shared" si="6"/>
        <v>50.824285714285715</v>
      </c>
      <c r="M63" s="11">
        <f t="shared" si="7"/>
        <v>20.896999999999998</v>
      </c>
      <c r="N63" s="42">
        <f t="shared" si="8"/>
        <v>1.4235013623978201</v>
      </c>
      <c r="Q63" s="43">
        <f t="shared" si="9"/>
        <v>0.7</v>
      </c>
      <c r="R63" s="36">
        <f t="shared" si="10"/>
        <v>15.247285714285717</v>
      </c>
      <c r="S63" s="43">
        <f t="shared" si="11"/>
        <v>0.42857142857142866</v>
      </c>
    </row>
    <row r="64" spans="1:19" ht="33.75" customHeight="1" x14ac:dyDescent="0.25">
      <c r="A64" s="5">
        <v>64016200250</v>
      </c>
      <c r="B64" s="6">
        <f t="shared" si="2"/>
        <v>64016200250</v>
      </c>
      <c r="C64" s="17" t="s">
        <v>34</v>
      </c>
      <c r="D64" s="32">
        <f>(11.18+3.5)/1000*350</f>
        <v>5.1379999999999999</v>
      </c>
      <c r="E64" s="11">
        <v>9</v>
      </c>
      <c r="F64" s="11">
        <f t="shared" si="15"/>
        <v>1.6199999999999999</v>
      </c>
      <c r="G64" s="29">
        <f t="shared" si="16"/>
        <v>10.62</v>
      </c>
      <c r="H64" s="11">
        <f t="shared" si="4"/>
        <v>15.171428571428571</v>
      </c>
      <c r="I64" s="28"/>
      <c r="K64" s="11">
        <f t="shared" si="5"/>
        <v>15.171428571428571</v>
      </c>
      <c r="L64" s="11">
        <f t="shared" si="6"/>
        <v>15.171428571428571</v>
      </c>
      <c r="M64" s="11">
        <f t="shared" si="7"/>
        <v>5.4819999999999993</v>
      </c>
      <c r="N64" s="42">
        <f t="shared" si="8"/>
        <v>1.0669521214480342</v>
      </c>
      <c r="Q64" s="43">
        <f t="shared" si="9"/>
        <v>0.7</v>
      </c>
      <c r="R64" s="36">
        <f t="shared" si="10"/>
        <v>4.5514285714285716</v>
      </c>
      <c r="S64" s="43">
        <f t="shared" si="11"/>
        <v>0.4285714285714286</v>
      </c>
    </row>
    <row r="65" spans="1:19" ht="33.75" customHeight="1" x14ac:dyDescent="0.25">
      <c r="A65" s="5">
        <v>64016200500</v>
      </c>
      <c r="B65" s="6">
        <f t="shared" si="2"/>
        <v>64016200500</v>
      </c>
      <c r="C65" s="17" t="s">
        <v>35</v>
      </c>
      <c r="D65" s="32">
        <f>(11.18+3.5)/1000*500</f>
        <v>7.34</v>
      </c>
      <c r="E65" s="11">
        <v>18</v>
      </c>
      <c r="F65" s="11">
        <f t="shared" si="15"/>
        <v>3.2399999999999998</v>
      </c>
      <c r="G65" s="29">
        <f t="shared" si="16"/>
        <v>21.24</v>
      </c>
      <c r="H65" s="11">
        <f t="shared" si="4"/>
        <v>30.342857142857142</v>
      </c>
      <c r="I65" s="28"/>
      <c r="K65" s="11">
        <f t="shared" si="5"/>
        <v>30.342857142857142</v>
      </c>
      <c r="L65" s="11">
        <f t="shared" si="6"/>
        <v>30.342857142857142</v>
      </c>
      <c r="M65" s="11">
        <f t="shared" si="7"/>
        <v>13.899999999999999</v>
      </c>
      <c r="N65" s="42">
        <f t="shared" si="8"/>
        <v>1.8937329700272478</v>
      </c>
      <c r="Q65" s="43">
        <f t="shared" si="9"/>
        <v>0.7</v>
      </c>
      <c r="R65" s="36">
        <f t="shared" si="10"/>
        <v>9.1028571428571432</v>
      </c>
      <c r="S65" s="43">
        <f t="shared" si="11"/>
        <v>0.4285714285714286</v>
      </c>
    </row>
    <row r="66" spans="1:19" ht="33.75" customHeight="1" x14ac:dyDescent="0.25">
      <c r="A66" s="5">
        <v>64021203000</v>
      </c>
      <c r="B66" s="6">
        <f t="shared" si="2"/>
        <v>64021203000</v>
      </c>
      <c r="C66" s="17" t="s">
        <v>91</v>
      </c>
      <c r="D66" s="32">
        <f>(11.82+3.5)/1000*1000</f>
        <v>15.32</v>
      </c>
      <c r="E66" s="11">
        <v>33.5</v>
      </c>
      <c r="F66" s="11">
        <f t="shared" si="15"/>
        <v>6.0299999999999994</v>
      </c>
      <c r="G66" s="29">
        <f t="shared" si="16"/>
        <v>39.53</v>
      </c>
      <c r="H66" s="11">
        <f t="shared" si="4"/>
        <v>56.471428571428575</v>
      </c>
      <c r="I66" s="28"/>
      <c r="K66" s="11">
        <f t="shared" si="5"/>
        <v>56.471428571428575</v>
      </c>
      <c r="L66" s="11">
        <f t="shared" si="6"/>
        <v>56.471428571428575</v>
      </c>
      <c r="M66" s="11">
        <f t="shared" si="7"/>
        <v>24.21</v>
      </c>
      <c r="N66" s="42">
        <f t="shared" si="8"/>
        <v>1.5802872062663185</v>
      </c>
      <c r="Q66" s="43">
        <f t="shared" si="9"/>
        <v>0.7</v>
      </c>
      <c r="R66" s="36">
        <f t="shared" si="10"/>
        <v>16.941428571428574</v>
      </c>
      <c r="S66" s="43">
        <f t="shared" si="11"/>
        <v>0.4285714285714286</v>
      </c>
    </row>
    <row r="67" spans="1:19" ht="33.75" customHeight="1" x14ac:dyDescent="0.25">
      <c r="A67" s="5">
        <v>64021200250</v>
      </c>
      <c r="B67" s="6">
        <f t="shared" si="2"/>
        <v>64021200250</v>
      </c>
      <c r="C67" s="17" t="s">
        <v>23</v>
      </c>
      <c r="D67" s="32">
        <f>(11.82+3.5)/1000*250</f>
        <v>3.83</v>
      </c>
      <c r="E67" s="11">
        <v>9.5</v>
      </c>
      <c r="F67" s="11">
        <f t="shared" si="15"/>
        <v>1.71</v>
      </c>
      <c r="G67" s="29">
        <f t="shared" si="16"/>
        <v>11.21</v>
      </c>
      <c r="H67" s="11">
        <f t="shared" si="4"/>
        <v>16.014285714285716</v>
      </c>
      <c r="I67" s="28"/>
      <c r="K67" s="11">
        <f t="shared" si="5"/>
        <v>16.014285714285716</v>
      </c>
      <c r="L67" s="11">
        <f t="shared" si="6"/>
        <v>16.014285714285716</v>
      </c>
      <c r="M67" s="11">
        <f t="shared" si="7"/>
        <v>7.3800000000000008</v>
      </c>
      <c r="N67" s="42">
        <f t="shared" si="8"/>
        <v>1.926892950391645</v>
      </c>
      <c r="Q67" s="43">
        <f t="shared" si="9"/>
        <v>0.7</v>
      </c>
      <c r="R67" s="36">
        <f t="shared" si="10"/>
        <v>4.8042857142857152</v>
      </c>
      <c r="S67" s="43">
        <f t="shared" si="11"/>
        <v>0.4285714285714286</v>
      </c>
    </row>
    <row r="68" spans="1:19" ht="33.75" customHeight="1" x14ac:dyDescent="0.25">
      <c r="A68" s="5">
        <v>64021200500</v>
      </c>
      <c r="B68" s="6">
        <f t="shared" si="2"/>
        <v>64021200500</v>
      </c>
      <c r="C68" s="17" t="s">
        <v>39</v>
      </c>
      <c r="D68" s="32">
        <f>(11.82+3.5)/1000*500</f>
        <v>7.66</v>
      </c>
      <c r="E68" s="11">
        <v>18</v>
      </c>
      <c r="F68" s="11">
        <f t="shared" si="15"/>
        <v>3.2399999999999998</v>
      </c>
      <c r="G68" s="29">
        <f t="shared" si="16"/>
        <v>21.24</v>
      </c>
      <c r="H68" s="11">
        <f t="shared" si="4"/>
        <v>30.342857142857142</v>
      </c>
      <c r="I68" s="28"/>
      <c r="K68" s="11">
        <f t="shared" si="5"/>
        <v>30.342857142857142</v>
      </c>
      <c r="L68" s="11">
        <f t="shared" si="6"/>
        <v>30.342857142857142</v>
      </c>
      <c r="M68" s="11">
        <f t="shared" si="7"/>
        <v>13.579999999999998</v>
      </c>
      <c r="N68" s="42">
        <f t="shared" si="8"/>
        <v>1.7728459530026106</v>
      </c>
      <c r="Q68" s="43">
        <f t="shared" si="9"/>
        <v>0.7</v>
      </c>
      <c r="R68" s="36">
        <f t="shared" si="10"/>
        <v>9.1028571428571432</v>
      </c>
      <c r="S68" s="43">
        <f t="shared" si="11"/>
        <v>0.4285714285714286</v>
      </c>
    </row>
    <row r="69" spans="1:19" ht="33.75" customHeight="1" x14ac:dyDescent="0.25">
      <c r="A69" s="4">
        <v>88800000002</v>
      </c>
      <c r="B69" s="6">
        <f t="shared" si="2"/>
        <v>88800000002</v>
      </c>
      <c r="C69" s="17" t="s">
        <v>92</v>
      </c>
      <c r="D69" s="32">
        <f>(10.13+3.5)/1000*1000</f>
        <v>13.63</v>
      </c>
      <c r="E69" s="11">
        <v>32</v>
      </c>
      <c r="F69" s="11">
        <f t="shared" si="15"/>
        <v>5.76</v>
      </c>
      <c r="G69" s="29">
        <f t="shared" si="16"/>
        <v>37.76</v>
      </c>
      <c r="H69" s="11">
        <f t="shared" si="4"/>
        <v>53.942857142857143</v>
      </c>
      <c r="I69" s="28"/>
      <c r="K69" s="11">
        <f t="shared" si="5"/>
        <v>53.942857142857143</v>
      </c>
      <c r="L69" s="11">
        <f t="shared" si="6"/>
        <v>53.942857142857143</v>
      </c>
      <c r="M69" s="11">
        <f t="shared" si="7"/>
        <v>24.129999999999995</v>
      </c>
      <c r="N69" s="42">
        <f t="shared" si="8"/>
        <v>1.7703595011005131</v>
      </c>
      <c r="Q69" s="43">
        <f t="shared" si="9"/>
        <v>0.7</v>
      </c>
      <c r="R69" s="36">
        <f t="shared" si="10"/>
        <v>16.182857142857145</v>
      </c>
      <c r="S69" s="43">
        <f t="shared" si="11"/>
        <v>0.42857142857142866</v>
      </c>
    </row>
    <row r="70" spans="1:19" ht="33.75" customHeight="1" x14ac:dyDescent="0.25">
      <c r="A70" s="4">
        <v>88800000250</v>
      </c>
      <c r="B70" s="6">
        <f t="shared" si="2"/>
        <v>88800000250</v>
      </c>
      <c r="C70" s="17" t="s">
        <v>11</v>
      </c>
      <c r="D70" s="32">
        <f>(10.13+3.5)/1000*250</f>
        <v>3.4075000000000002</v>
      </c>
      <c r="E70" s="11">
        <v>9.5</v>
      </c>
      <c r="F70" s="11">
        <f t="shared" si="15"/>
        <v>1.71</v>
      </c>
      <c r="G70" s="29">
        <f t="shared" si="16"/>
        <v>11.21</v>
      </c>
      <c r="H70" s="11">
        <f t="shared" si="4"/>
        <v>16.014285714285716</v>
      </c>
      <c r="I70" s="28"/>
      <c r="K70" s="11">
        <f t="shared" si="5"/>
        <v>16.014285714285716</v>
      </c>
      <c r="L70" s="11">
        <f t="shared" si="6"/>
        <v>16.014285714285716</v>
      </c>
      <c r="M70" s="11">
        <f t="shared" si="7"/>
        <v>7.8025000000000002</v>
      </c>
      <c r="N70" s="42">
        <f t="shared" si="8"/>
        <v>2.2898019075568596</v>
      </c>
      <c r="Q70" s="43">
        <f t="shared" si="9"/>
        <v>0.7</v>
      </c>
      <c r="R70" s="36">
        <f t="shared" si="10"/>
        <v>4.8042857142857152</v>
      </c>
      <c r="S70" s="43">
        <f t="shared" si="11"/>
        <v>0.4285714285714286</v>
      </c>
    </row>
    <row r="71" spans="1:19" ht="33.75" customHeight="1" x14ac:dyDescent="0.25">
      <c r="A71" s="4">
        <v>99900000001</v>
      </c>
      <c r="B71" s="6">
        <f t="shared" si="2"/>
        <v>99900000001</v>
      </c>
      <c r="C71" s="17" t="s">
        <v>94</v>
      </c>
      <c r="D71" s="32">
        <f>(10.13+3.5)/1000*1500</f>
        <v>20.445000000000004</v>
      </c>
      <c r="E71" s="11">
        <v>30</v>
      </c>
      <c r="F71" s="11">
        <f t="shared" si="15"/>
        <v>5.3999999999999995</v>
      </c>
      <c r="G71" s="29">
        <f t="shared" si="16"/>
        <v>35.4</v>
      </c>
      <c r="H71" s="11">
        <f t="shared" si="4"/>
        <v>50.571428571428569</v>
      </c>
      <c r="I71" s="28"/>
      <c r="K71" s="11">
        <f t="shared" si="5"/>
        <v>50.571428571428569</v>
      </c>
      <c r="L71" s="11">
        <f t="shared" si="6"/>
        <v>50.571428571428569</v>
      </c>
      <c r="M71" s="11">
        <f t="shared" si="7"/>
        <v>14.954999999999995</v>
      </c>
      <c r="N71" s="42">
        <f t="shared" si="8"/>
        <v>0.73147468818782058</v>
      </c>
      <c r="Q71" s="43">
        <f t="shared" si="9"/>
        <v>0.7</v>
      </c>
      <c r="R71" s="36">
        <f t="shared" si="10"/>
        <v>15.171428571428571</v>
      </c>
      <c r="S71" s="43">
        <f t="shared" si="11"/>
        <v>0.42857142857142855</v>
      </c>
    </row>
    <row r="72" spans="1:19" ht="33.75" customHeight="1" x14ac:dyDescent="0.25">
      <c r="A72" s="4">
        <v>99900000250</v>
      </c>
      <c r="B72" s="6">
        <f t="shared" si="2"/>
        <v>99900000250</v>
      </c>
      <c r="C72" s="17" t="s">
        <v>93</v>
      </c>
      <c r="D72" s="32">
        <f>(10.13+3.5)/1000*250</f>
        <v>3.4075000000000002</v>
      </c>
      <c r="E72" s="12">
        <v>9</v>
      </c>
      <c r="F72" s="12">
        <f t="shared" si="15"/>
        <v>1.6199999999999999</v>
      </c>
      <c r="G72" s="33">
        <f t="shared" si="16"/>
        <v>10.62</v>
      </c>
      <c r="H72" s="11">
        <f t="shared" si="4"/>
        <v>15.171428571428571</v>
      </c>
      <c r="I72" s="28"/>
      <c r="K72" s="11">
        <f t="shared" si="5"/>
        <v>15.171428571428571</v>
      </c>
      <c r="L72" s="11">
        <f t="shared" si="6"/>
        <v>15.171428571428571</v>
      </c>
      <c r="M72" s="11">
        <f t="shared" si="7"/>
        <v>7.2124999999999986</v>
      </c>
      <c r="N72" s="42">
        <f t="shared" si="8"/>
        <v>2.116654438738077</v>
      </c>
      <c r="Q72" s="43">
        <f t="shared" si="9"/>
        <v>0.7</v>
      </c>
      <c r="R72" s="36">
        <f t="shared" si="10"/>
        <v>4.5514285714285716</v>
      </c>
      <c r="S72" s="43">
        <f t="shared" si="11"/>
        <v>0.4285714285714286</v>
      </c>
    </row>
    <row r="73" spans="1:19" ht="33.75" customHeight="1" x14ac:dyDescent="0.25">
      <c r="A73" s="4">
        <v>99900000500</v>
      </c>
      <c r="B73" s="6">
        <f t="shared" si="2"/>
        <v>99900000500</v>
      </c>
      <c r="C73" s="17" t="s">
        <v>95</v>
      </c>
      <c r="D73" s="32">
        <f>(10.13+3.5)/1000*500</f>
        <v>6.8150000000000004</v>
      </c>
      <c r="E73" s="12">
        <v>18</v>
      </c>
      <c r="F73" s="12">
        <f t="shared" si="15"/>
        <v>3.2399999999999998</v>
      </c>
      <c r="G73" s="33">
        <f t="shared" si="16"/>
        <v>21.24</v>
      </c>
      <c r="H73" s="11">
        <f t="shared" si="4"/>
        <v>30.342857142857142</v>
      </c>
      <c r="I73" s="28"/>
      <c r="K73" s="11">
        <f t="shared" si="5"/>
        <v>30.342857142857142</v>
      </c>
      <c r="L73" s="11">
        <f t="shared" si="6"/>
        <v>30.342857142857142</v>
      </c>
      <c r="M73" s="11">
        <f t="shared" si="7"/>
        <v>14.424999999999997</v>
      </c>
      <c r="N73" s="42">
        <f t="shared" si="8"/>
        <v>2.116654438738077</v>
      </c>
      <c r="Q73" s="43">
        <f t="shared" si="9"/>
        <v>0.7</v>
      </c>
      <c r="R73" s="36">
        <f t="shared" si="10"/>
        <v>9.1028571428571432</v>
      </c>
      <c r="S73" s="43">
        <f t="shared" si="11"/>
        <v>0.4285714285714286</v>
      </c>
    </row>
    <row r="74" spans="1:19" ht="33.75" customHeight="1" x14ac:dyDescent="0.25">
      <c r="A74" s="4">
        <v>10100000001</v>
      </c>
      <c r="B74" s="6">
        <f t="shared" si="2"/>
        <v>10100000001</v>
      </c>
      <c r="C74" s="17" t="s">
        <v>12</v>
      </c>
      <c r="D74" s="32"/>
      <c r="E74" s="12">
        <v>38</v>
      </c>
      <c r="F74" s="12">
        <f t="shared" si="15"/>
        <v>6.84</v>
      </c>
      <c r="G74" s="33">
        <f t="shared" si="16"/>
        <v>44.84</v>
      </c>
      <c r="H74" s="11">
        <f t="shared" si="4"/>
        <v>64.057142857142864</v>
      </c>
      <c r="I74" s="28"/>
      <c r="K74" s="11">
        <f t="shared" si="5"/>
        <v>64.057142857142864</v>
      </c>
      <c r="L74" s="11">
        <f t="shared" si="6"/>
        <v>64.057142857142864</v>
      </c>
      <c r="M74" s="11">
        <f t="shared" si="7"/>
        <v>44.84</v>
      </c>
      <c r="N74" s="42" t="e">
        <f t="shared" si="8"/>
        <v>#DIV/0!</v>
      </c>
      <c r="Q74" s="43">
        <f t="shared" si="9"/>
        <v>0.7</v>
      </c>
      <c r="R74" s="36">
        <f t="shared" si="10"/>
        <v>19.217142857142861</v>
      </c>
      <c r="S74" s="43">
        <f t="shared" si="11"/>
        <v>0.4285714285714286</v>
      </c>
    </row>
    <row r="75" spans="1:19" ht="33.75" customHeight="1" x14ac:dyDescent="0.25">
      <c r="A75" s="4">
        <v>11110000001</v>
      </c>
      <c r="B75" s="6">
        <f t="shared" si="2"/>
        <v>11110000001</v>
      </c>
      <c r="C75" s="17" t="s">
        <v>86</v>
      </c>
      <c r="D75" s="32">
        <f>(10.13+3.5)/1000*1000</f>
        <v>13.63</v>
      </c>
      <c r="E75" s="12">
        <v>34</v>
      </c>
      <c r="F75" s="12">
        <f t="shared" si="15"/>
        <v>6.12</v>
      </c>
      <c r="G75" s="33">
        <f t="shared" si="16"/>
        <v>40.119999999999997</v>
      </c>
      <c r="H75" s="11">
        <f t="shared" si="4"/>
        <v>57.314285714285717</v>
      </c>
      <c r="I75" s="28"/>
      <c r="K75" s="11">
        <f t="shared" si="5"/>
        <v>57.314285714285717</v>
      </c>
      <c r="L75" s="11">
        <f t="shared" si="6"/>
        <v>57.314285714285717</v>
      </c>
      <c r="M75" s="11">
        <f t="shared" si="7"/>
        <v>26.489999999999995</v>
      </c>
      <c r="N75" s="42">
        <f t="shared" si="8"/>
        <v>1.9435069699192953</v>
      </c>
      <c r="Q75" s="43">
        <f t="shared" si="9"/>
        <v>0.7</v>
      </c>
      <c r="R75" s="36">
        <f t="shared" si="10"/>
        <v>17.194285714285719</v>
      </c>
      <c r="S75" s="43">
        <f t="shared" si="11"/>
        <v>0.42857142857142871</v>
      </c>
    </row>
    <row r="76" spans="1:19" ht="33.75" customHeight="1" x14ac:dyDescent="0.25">
      <c r="A76" s="4">
        <v>11110000250</v>
      </c>
      <c r="B76" s="6">
        <f t="shared" si="2"/>
        <v>11110000250</v>
      </c>
      <c r="C76" s="17" t="s">
        <v>36</v>
      </c>
      <c r="D76" s="32">
        <f>(10.13+3.5)/1000*250</f>
        <v>3.4075000000000002</v>
      </c>
      <c r="E76" s="12">
        <v>10</v>
      </c>
      <c r="F76" s="12">
        <f t="shared" si="15"/>
        <v>1.7999999999999998</v>
      </c>
      <c r="G76" s="33">
        <f t="shared" si="16"/>
        <v>11.8</v>
      </c>
      <c r="H76" s="11">
        <f t="shared" si="4"/>
        <v>16.857142857142858</v>
      </c>
      <c r="I76" s="28"/>
      <c r="K76" s="11">
        <f t="shared" si="5"/>
        <v>16.857142857142858</v>
      </c>
      <c r="L76" s="11">
        <f t="shared" si="6"/>
        <v>16.857142857142858</v>
      </c>
      <c r="M76" s="11">
        <f t="shared" si="7"/>
        <v>8.3925000000000001</v>
      </c>
      <c r="N76" s="42">
        <f t="shared" si="8"/>
        <v>2.4629493763756418</v>
      </c>
      <c r="Q76" s="43">
        <f t="shared" si="9"/>
        <v>0.70000000000000007</v>
      </c>
      <c r="R76" s="36">
        <f t="shared" si="10"/>
        <v>5.0571428571428569</v>
      </c>
      <c r="S76" s="43">
        <f t="shared" si="11"/>
        <v>0.42857142857142855</v>
      </c>
    </row>
    <row r="77" spans="1:19" ht="33.75" customHeight="1" x14ac:dyDescent="0.25">
      <c r="A77" s="4">
        <v>11110000500</v>
      </c>
      <c r="B77" s="6">
        <f t="shared" si="2"/>
        <v>11110000500</v>
      </c>
      <c r="C77" s="17" t="s">
        <v>37</v>
      </c>
      <c r="D77" s="32">
        <f>(10.13+3.5)/1000*500</f>
        <v>6.8150000000000004</v>
      </c>
      <c r="E77" s="12">
        <v>20</v>
      </c>
      <c r="F77" s="12">
        <f t="shared" si="15"/>
        <v>3.5999999999999996</v>
      </c>
      <c r="G77" s="33">
        <f t="shared" si="16"/>
        <v>23.6</v>
      </c>
      <c r="H77" s="11">
        <f t="shared" si="4"/>
        <v>33.714285714285715</v>
      </c>
      <c r="I77" s="28"/>
      <c r="K77" s="11">
        <f t="shared" si="5"/>
        <v>33.714285714285715</v>
      </c>
      <c r="L77" s="11">
        <f t="shared" si="6"/>
        <v>33.714285714285715</v>
      </c>
      <c r="M77" s="11">
        <f t="shared" si="7"/>
        <v>16.785</v>
      </c>
      <c r="N77" s="42">
        <f t="shared" si="8"/>
        <v>2.4629493763756418</v>
      </c>
      <c r="Q77" s="43">
        <f t="shared" si="9"/>
        <v>0.70000000000000007</v>
      </c>
      <c r="R77" s="36">
        <f t="shared" si="10"/>
        <v>10.114285714285714</v>
      </c>
      <c r="S77" s="43">
        <f t="shared" si="11"/>
        <v>0.42857142857142855</v>
      </c>
    </row>
    <row r="78" spans="1:19" s="2" customFormat="1" ht="33.75" customHeight="1" x14ac:dyDescent="0.25">
      <c r="A78" s="4">
        <v>11120000001</v>
      </c>
      <c r="B78" s="6">
        <f>A78</f>
        <v>11120000001</v>
      </c>
      <c r="C78" s="17" t="s">
        <v>113</v>
      </c>
      <c r="D78" s="32"/>
      <c r="E78" s="12">
        <v>38</v>
      </c>
      <c r="F78" s="12">
        <f>E78*18%</f>
        <v>6.84</v>
      </c>
      <c r="G78" s="33">
        <f>E78+F78</f>
        <v>44.84</v>
      </c>
      <c r="H78" s="11">
        <f>(G78/(1-0.3))</f>
        <v>64.057142857142864</v>
      </c>
      <c r="I78" s="28"/>
      <c r="K78" s="11">
        <f>(G78/0.7)</f>
        <v>64.057142857142864</v>
      </c>
      <c r="L78" s="11">
        <f>(G78/(1-0.3))</f>
        <v>64.057142857142864</v>
      </c>
      <c r="M78" s="11"/>
      <c r="N78" s="42"/>
      <c r="O78" s="36"/>
      <c r="Q78" s="43">
        <f t="shared" si="9"/>
        <v>0.7</v>
      </c>
      <c r="R78" s="36">
        <f t="shared" si="10"/>
        <v>19.217142857142861</v>
      </c>
      <c r="S78" s="43">
        <f t="shared" si="11"/>
        <v>0.4285714285714286</v>
      </c>
    </row>
    <row r="79" spans="1:19" s="2" customFormat="1" ht="33.75" customHeight="1" x14ac:dyDescent="0.25">
      <c r="A79" s="4">
        <v>11120000250</v>
      </c>
      <c r="B79" s="6">
        <f>A79</f>
        <v>11120000250</v>
      </c>
      <c r="C79" s="17" t="s">
        <v>112</v>
      </c>
      <c r="D79" s="32"/>
      <c r="E79" s="12">
        <v>11</v>
      </c>
      <c r="F79" s="12">
        <f t="shared" si="15"/>
        <v>1.98</v>
      </c>
      <c r="G79" s="33">
        <f t="shared" si="16"/>
        <v>12.98</v>
      </c>
      <c r="H79" s="11">
        <f t="shared" si="4"/>
        <v>18.542857142857144</v>
      </c>
      <c r="I79" s="28"/>
      <c r="K79" s="11">
        <f t="shared" si="5"/>
        <v>18.542857142857144</v>
      </c>
      <c r="L79" s="11">
        <f t="shared" si="6"/>
        <v>18.542857142857144</v>
      </c>
      <c r="M79" s="11"/>
      <c r="N79" s="42"/>
      <c r="O79" s="36"/>
      <c r="Q79" s="43">
        <f t="shared" si="9"/>
        <v>0.7</v>
      </c>
      <c r="R79" s="36">
        <f t="shared" si="10"/>
        <v>5.5628571428571441</v>
      </c>
      <c r="S79" s="43">
        <f t="shared" si="11"/>
        <v>0.42857142857142866</v>
      </c>
    </row>
    <row r="80" spans="1:19" s="2" customFormat="1" ht="33.75" customHeight="1" x14ac:dyDescent="0.25">
      <c r="A80" s="4">
        <v>11120000500</v>
      </c>
      <c r="B80" s="6">
        <f>A80</f>
        <v>11120000500</v>
      </c>
      <c r="C80" s="17" t="s">
        <v>114</v>
      </c>
      <c r="D80" s="32"/>
      <c r="E80" s="12">
        <v>21</v>
      </c>
      <c r="F80" s="12">
        <f t="shared" ref="F80" si="17">E80*18%</f>
        <v>3.78</v>
      </c>
      <c r="G80" s="33">
        <f t="shared" ref="G80" si="18">E80+F80</f>
        <v>24.78</v>
      </c>
      <c r="H80" s="11">
        <f t="shared" ref="H80" si="19">(G80/(1-0.3))</f>
        <v>35.400000000000006</v>
      </c>
      <c r="I80" s="28"/>
      <c r="K80" s="11">
        <f t="shared" ref="K80" si="20">(G80/0.7)</f>
        <v>35.400000000000006</v>
      </c>
      <c r="L80" s="11">
        <f t="shared" ref="L80" si="21">(G80/(1-0.3))</f>
        <v>35.400000000000006</v>
      </c>
      <c r="M80" s="11"/>
      <c r="N80" s="42"/>
      <c r="O80" s="36"/>
      <c r="Q80" s="43">
        <f t="shared" si="9"/>
        <v>0.7</v>
      </c>
      <c r="R80" s="36">
        <f t="shared" si="10"/>
        <v>10.620000000000005</v>
      </c>
      <c r="S80" s="43">
        <f t="shared" si="11"/>
        <v>0.42857142857142871</v>
      </c>
    </row>
    <row r="81" spans="1:20" ht="33.75" customHeight="1" x14ac:dyDescent="0.25">
      <c r="A81" s="4">
        <v>12120001000</v>
      </c>
      <c r="B81" s="6">
        <f t="shared" si="2"/>
        <v>12120001000</v>
      </c>
      <c r="C81" s="17" t="s">
        <v>96</v>
      </c>
      <c r="D81" s="32">
        <v>19</v>
      </c>
      <c r="E81" s="12">
        <f>41/1.18</f>
        <v>34.745762711864408</v>
      </c>
      <c r="F81" s="12">
        <f>E81*18%</f>
        <v>6.2542372881355934</v>
      </c>
      <c r="G81" s="33">
        <f>E81+F81</f>
        <v>41</v>
      </c>
      <c r="H81" s="11">
        <f t="shared" si="4"/>
        <v>58.571428571428577</v>
      </c>
      <c r="I81" s="28"/>
      <c r="K81" s="11">
        <f t="shared" si="5"/>
        <v>58.571428571428577</v>
      </c>
      <c r="L81" s="11">
        <f t="shared" si="6"/>
        <v>58.571428571428577</v>
      </c>
      <c r="M81" s="11">
        <f t="shared" si="7"/>
        <v>22</v>
      </c>
      <c r="N81" s="42">
        <f t="shared" si="8"/>
        <v>1.1578947368421053</v>
      </c>
      <c r="Q81" s="43">
        <f t="shared" si="9"/>
        <v>0.7</v>
      </c>
      <c r="R81" s="36">
        <f t="shared" si="10"/>
        <v>17.571428571428577</v>
      </c>
      <c r="S81" s="43">
        <f t="shared" si="11"/>
        <v>0.42857142857142871</v>
      </c>
    </row>
    <row r="82" spans="1:20" ht="33.75" customHeight="1" x14ac:dyDescent="0.25">
      <c r="A82" s="4">
        <v>12120000300</v>
      </c>
      <c r="B82" s="6">
        <f t="shared" si="2"/>
        <v>12120000300</v>
      </c>
      <c r="C82" s="17" t="s">
        <v>40</v>
      </c>
      <c r="D82" s="32">
        <f>+(D81/1000)*300</f>
        <v>5.7</v>
      </c>
      <c r="E82" s="12">
        <f>12.25/1.18</f>
        <v>10.381355932203391</v>
      </c>
      <c r="F82" s="12">
        <f t="shared" ref="F82:F86" si="22">E82*18%</f>
        <v>1.8686440677966103</v>
      </c>
      <c r="G82" s="33">
        <f t="shared" ref="G82:G86" si="23">E82+F82</f>
        <v>12.250000000000002</v>
      </c>
      <c r="H82" s="11">
        <f t="shared" si="4"/>
        <v>17.500000000000004</v>
      </c>
      <c r="I82" s="28"/>
      <c r="K82" s="11">
        <f>(G82/0.7)</f>
        <v>17.500000000000004</v>
      </c>
      <c r="L82" s="11">
        <f t="shared" si="6"/>
        <v>17.500000000000004</v>
      </c>
      <c r="M82" s="11">
        <f t="shared" si="7"/>
        <v>6.5500000000000016</v>
      </c>
      <c r="N82" s="42">
        <f>+M82/D82</f>
        <v>1.1491228070175441</v>
      </c>
      <c r="Q82" s="43">
        <f t="shared" si="9"/>
        <v>0.7</v>
      </c>
      <c r="R82" s="36">
        <f t="shared" si="10"/>
        <v>5.2500000000000018</v>
      </c>
      <c r="S82" s="43">
        <f t="shared" si="11"/>
        <v>0.42857142857142866</v>
      </c>
    </row>
    <row r="83" spans="1:20" ht="33.75" customHeight="1" x14ac:dyDescent="0.25">
      <c r="A83" s="4">
        <v>12130001000</v>
      </c>
      <c r="B83" s="6">
        <f t="shared" si="2"/>
        <v>12130001000</v>
      </c>
      <c r="C83" s="17" t="s">
        <v>97</v>
      </c>
      <c r="D83" s="32">
        <v>18.66</v>
      </c>
      <c r="E83" s="12">
        <f>42/1.18</f>
        <v>35.593220338983052</v>
      </c>
      <c r="F83" s="12">
        <f t="shared" si="22"/>
        <v>6.406779661016949</v>
      </c>
      <c r="G83" s="33">
        <f t="shared" si="23"/>
        <v>42</v>
      </c>
      <c r="H83" s="11">
        <f t="shared" si="4"/>
        <v>60.000000000000007</v>
      </c>
      <c r="I83" s="28"/>
      <c r="K83" s="11">
        <f t="shared" ref="K83:K94" si="24">(G83/0.7)</f>
        <v>60.000000000000007</v>
      </c>
      <c r="L83" s="11">
        <f t="shared" ref="L83:L94" si="25">(G83/(1-0.3))</f>
        <v>60.000000000000007</v>
      </c>
      <c r="M83" s="11">
        <f t="shared" si="7"/>
        <v>23.34</v>
      </c>
      <c r="N83" s="42">
        <f t="shared" ref="N83:N98" si="26">+M83/D83</f>
        <v>1.2508038585209003</v>
      </c>
      <c r="P83" s="36"/>
      <c r="Q83" s="43">
        <f t="shared" si="9"/>
        <v>0.7</v>
      </c>
      <c r="R83" s="36">
        <f t="shared" si="10"/>
        <v>18.000000000000007</v>
      </c>
      <c r="S83" s="43">
        <f t="shared" si="11"/>
        <v>0.42857142857142871</v>
      </c>
    </row>
    <row r="84" spans="1:20" ht="33.75" customHeight="1" x14ac:dyDescent="0.25">
      <c r="A84" s="4">
        <v>12130000300</v>
      </c>
      <c r="B84" s="6">
        <f t="shared" si="2"/>
        <v>12130000300</v>
      </c>
      <c r="C84" s="17" t="s">
        <v>41</v>
      </c>
      <c r="D84" s="32">
        <f>+(D83/1000)*300</f>
        <v>5.5979999999999999</v>
      </c>
      <c r="E84" s="12">
        <f>12.5/1.18</f>
        <v>10.593220338983052</v>
      </c>
      <c r="F84" s="12">
        <f t="shared" si="22"/>
        <v>1.9067796610169492</v>
      </c>
      <c r="G84" s="33">
        <f t="shared" si="23"/>
        <v>12.500000000000002</v>
      </c>
      <c r="H84" s="11">
        <f t="shared" si="4"/>
        <v>17.857142857142861</v>
      </c>
      <c r="I84" s="28"/>
      <c r="K84" s="11">
        <f t="shared" si="24"/>
        <v>17.857142857142861</v>
      </c>
      <c r="L84" s="11">
        <f t="shared" si="25"/>
        <v>17.857142857142861</v>
      </c>
      <c r="M84" s="11">
        <f t="shared" si="7"/>
        <v>6.9020000000000019</v>
      </c>
      <c r="N84" s="42">
        <f t="shared" si="26"/>
        <v>1.2329403358342268</v>
      </c>
      <c r="P84" s="36"/>
      <c r="Q84" s="43">
        <f t="shared" si="9"/>
        <v>0.7</v>
      </c>
      <c r="R84" s="36">
        <f t="shared" si="10"/>
        <v>5.3571428571428594</v>
      </c>
      <c r="S84" s="43">
        <f t="shared" si="11"/>
        <v>0.42857142857142871</v>
      </c>
    </row>
    <row r="85" spans="1:20" ht="33.75" customHeight="1" x14ac:dyDescent="0.25">
      <c r="A85" s="4">
        <v>14140001000</v>
      </c>
      <c r="B85" s="6">
        <f t="shared" si="2"/>
        <v>14140001000</v>
      </c>
      <c r="C85" s="17" t="s">
        <v>98</v>
      </c>
      <c r="D85" s="32">
        <v>18.5</v>
      </c>
      <c r="E85" s="12">
        <f>39.8/1.18</f>
        <v>33.728813559322035</v>
      </c>
      <c r="F85" s="12">
        <f t="shared" si="22"/>
        <v>6.0711864406779661</v>
      </c>
      <c r="G85" s="33">
        <f t="shared" si="23"/>
        <v>39.799999999999997</v>
      </c>
      <c r="H85" s="11">
        <f t="shared" si="4"/>
        <v>56.857142857142854</v>
      </c>
      <c r="I85" s="28"/>
      <c r="J85" s="41"/>
      <c r="K85" s="11">
        <f t="shared" si="24"/>
        <v>56.857142857142854</v>
      </c>
      <c r="L85" s="11">
        <f t="shared" si="25"/>
        <v>56.857142857142854</v>
      </c>
      <c r="M85" s="11">
        <f t="shared" si="7"/>
        <v>21.299999999999997</v>
      </c>
      <c r="N85" s="42">
        <f t="shared" si="26"/>
        <v>1.1513513513513511</v>
      </c>
      <c r="O85" s="36">
        <f t="shared" ref="O85:O87" si="27">+H85/1.4286</f>
        <v>39.799204015919678</v>
      </c>
      <c r="P85" s="36"/>
      <c r="Q85" s="43">
        <f t="shared" si="9"/>
        <v>0.7</v>
      </c>
      <c r="R85" s="36">
        <f t="shared" si="10"/>
        <v>17.057142857142857</v>
      </c>
      <c r="S85" s="43">
        <f t="shared" si="11"/>
        <v>0.4285714285714286</v>
      </c>
    </row>
    <row r="86" spans="1:20" ht="33.75" customHeight="1" x14ac:dyDescent="0.25">
      <c r="A86" s="4">
        <v>14140000500</v>
      </c>
      <c r="B86" s="6">
        <f t="shared" si="2"/>
        <v>14140000500</v>
      </c>
      <c r="C86" s="17" t="s">
        <v>42</v>
      </c>
      <c r="D86" s="32">
        <f>+(D85/1000)*500</f>
        <v>9.25</v>
      </c>
      <c r="E86" s="12">
        <f>21/1.18</f>
        <v>17.796610169491526</v>
      </c>
      <c r="F86" s="12">
        <f t="shared" si="22"/>
        <v>3.2033898305084745</v>
      </c>
      <c r="G86" s="33">
        <f t="shared" si="23"/>
        <v>21</v>
      </c>
      <c r="H86" s="11">
        <f t="shared" si="4"/>
        <v>30.000000000000004</v>
      </c>
      <c r="I86" s="28"/>
      <c r="J86" s="41"/>
      <c r="K86" s="11">
        <f t="shared" si="24"/>
        <v>30.000000000000004</v>
      </c>
      <c r="L86" s="11">
        <f t="shared" si="25"/>
        <v>30.000000000000004</v>
      </c>
      <c r="M86" s="11">
        <f t="shared" si="7"/>
        <v>11.75</v>
      </c>
      <c r="N86" s="42">
        <f t="shared" si="26"/>
        <v>1.2702702702702702</v>
      </c>
      <c r="O86" s="36">
        <f t="shared" si="27"/>
        <v>20.999580008399832</v>
      </c>
      <c r="P86" s="36"/>
      <c r="Q86" s="43">
        <f t="shared" si="9"/>
        <v>0.7</v>
      </c>
      <c r="R86" s="36">
        <f t="shared" si="10"/>
        <v>9.0000000000000036</v>
      </c>
      <c r="S86" s="43">
        <f t="shared" si="11"/>
        <v>0.42857142857142871</v>
      </c>
    </row>
    <row r="87" spans="1:20" s="2" customFormat="1" ht="33.75" customHeight="1" x14ac:dyDescent="0.25">
      <c r="A87" s="4">
        <v>19190001620</v>
      </c>
      <c r="B87" s="6">
        <f t="shared" si="2"/>
        <v>19190001620</v>
      </c>
      <c r="C87" s="17" t="s">
        <v>83</v>
      </c>
      <c r="D87" s="32">
        <v>3.1</v>
      </c>
      <c r="E87" s="12">
        <f>5.25/1.18</f>
        <v>4.4491525423728815</v>
      </c>
      <c r="F87" s="12">
        <f>+E87*0.18</f>
        <v>0.80084745762711862</v>
      </c>
      <c r="G87" s="33">
        <v>5.25</v>
      </c>
      <c r="H87" s="11">
        <f t="shared" si="4"/>
        <v>7.5000000000000009</v>
      </c>
      <c r="I87" s="28"/>
      <c r="J87" s="41"/>
      <c r="K87" s="11">
        <f t="shared" si="24"/>
        <v>7.5000000000000009</v>
      </c>
      <c r="L87" s="11">
        <f t="shared" si="25"/>
        <v>7.5000000000000009</v>
      </c>
      <c r="M87" s="11">
        <f t="shared" si="7"/>
        <v>2.15</v>
      </c>
      <c r="N87" s="42">
        <f t="shared" si="26"/>
        <v>0.69354838709677413</v>
      </c>
      <c r="O87" s="36">
        <f t="shared" si="27"/>
        <v>5.249895002099958</v>
      </c>
      <c r="P87" s="39"/>
      <c r="Q87" s="43">
        <f t="shared" si="9"/>
        <v>0.7</v>
      </c>
      <c r="R87" s="36">
        <f t="shared" si="10"/>
        <v>2.2500000000000009</v>
      </c>
      <c r="S87" s="43">
        <f t="shared" si="11"/>
        <v>0.42857142857142871</v>
      </c>
    </row>
    <row r="88" spans="1:20" s="2" customFormat="1" ht="33.75" customHeight="1" x14ac:dyDescent="0.25">
      <c r="A88" s="4">
        <v>19190001630</v>
      </c>
      <c r="B88" s="6">
        <f t="shared" si="2"/>
        <v>19190001630</v>
      </c>
      <c r="C88" s="17" t="s">
        <v>84</v>
      </c>
      <c r="D88" s="32">
        <v>3.5</v>
      </c>
      <c r="E88" s="12">
        <f>5.95/1.18</f>
        <v>5.0423728813559325</v>
      </c>
      <c r="F88" s="12">
        <f>+E88*0.18</f>
        <v>0.90762711864406787</v>
      </c>
      <c r="G88" s="33">
        <v>5.95</v>
      </c>
      <c r="H88" s="11">
        <f t="shared" si="4"/>
        <v>8.5</v>
      </c>
      <c r="I88" s="28"/>
      <c r="J88" s="41"/>
      <c r="K88" s="11">
        <f t="shared" si="24"/>
        <v>8.5</v>
      </c>
      <c r="L88" s="11">
        <f t="shared" si="25"/>
        <v>8.5</v>
      </c>
      <c r="M88" s="11">
        <f t="shared" si="7"/>
        <v>2.4500000000000002</v>
      </c>
      <c r="N88" s="42">
        <f t="shared" si="26"/>
        <v>0.70000000000000007</v>
      </c>
      <c r="O88" s="36">
        <f>+H88/1.4286</f>
        <v>5.9498810023799518</v>
      </c>
      <c r="P88" s="39"/>
      <c r="Q88" s="43">
        <f t="shared" si="9"/>
        <v>0.70000000000000007</v>
      </c>
      <c r="R88" s="36">
        <f t="shared" si="10"/>
        <v>2.5499999999999998</v>
      </c>
      <c r="S88" s="43">
        <f t="shared" si="11"/>
        <v>0.42857142857142855</v>
      </c>
    </row>
    <row r="89" spans="1:20" s="2" customFormat="1" ht="33.75" customHeight="1" x14ac:dyDescent="0.25">
      <c r="A89" s="5">
        <v>19190001640</v>
      </c>
      <c r="B89" s="6">
        <f t="shared" si="2"/>
        <v>19190001640</v>
      </c>
      <c r="C89" s="17" t="s">
        <v>99</v>
      </c>
      <c r="D89" s="32"/>
      <c r="E89" s="12">
        <f>+G89/1.18</f>
        <v>8.3049186473897638</v>
      </c>
      <c r="F89" s="12">
        <f t="shared" ref="F89:F98" si="28">+E89*0.18</f>
        <v>1.4948853565301574</v>
      </c>
      <c r="G89" s="33">
        <f>+H89/1.4286</f>
        <v>9.7998040039199203</v>
      </c>
      <c r="H89" s="11">
        <v>14</v>
      </c>
      <c r="I89" s="28"/>
      <c r="J89" s="41"/>
      <c r="K89" s="11">
        <f t="shared" si="24"/>
        <v>13.999720005599887</v>
      </c>
      <c r="L89" s="11">
        <f t="shared" si="25"/>
        <v>13.999720005599887</v>
      </c>
      <c r="M89" s="11">
        <f t="shared" ref="M89:M98" si="29">+G89-D89</f>
        <v>9.7998040039199203</v>
      </c>
      <c r="N89" s="42" t="e">
        <f t="shared" si="26"/>
        <v>#DIV/0!</v>
      </c>
      <c r="O89" s="36"/>
      <c r="P89" s="39"/>
      <c r="Q89" s="43">
        <f t="shared" si="9"/>
        <v>0.69998600027999436</v>
      </c>
      <c r="R89" s="36">
        <f t="shared" si="10"/>
        <v>4.2001959960800797</v>
      </c>
      <c r="S89" s="43">
        <f t="shared" si="11"/>
        <v>0.4286000000000002</v>
      </c>
    </row>
    <row r="90" spans="1:20" s="2" customFormat="1" ht="33.75" customHeight="1" x14ac:dyDescent="0.25">
      <c r="A90" s="5">
        <v>19190001660</v>
      </c>
      <c r="B90" s="6">
        <f t="shared" si="2"/>
        <v>19190001660</v>
      </c>
      <c r="C90" s="17" t="s">
        <v>100</v>
      </c>
      <c r="D90" s="32"/>
      <c r="E90" s="12">
        <f t="shared" ref="E90:E98" si="30">+G90/1.18</f>
        <v>8.3049186473897638</v>
      </c>
      <c r="F90" s="12">
        <f t="shared" si="28"/>
        <v>1.4948853565301574</v>
      </c>
      <c r="G90" s="33">
        <f t="shared" ref="G90:G98" si="31">+H90/1.4286</f>
        <v>9.7998040039199203</v>
      </c>
      <c r="H90" s="11">
        <v>14</v>
      </c>
      <c r="I90" s="28"/>
      <c r="J90" s="41"/>
      <c r="K90" s="11">
        <f t="shared" si="24"/>
        <v>13.999720005599887</v>
      </c>
      <c r="L90" s="11">
        <f t="shared" si="25"/>
        <v>13.999720005599887</v>
      </c>
      <c r="M90" s="11">
        <f t="shared" si="29"/>
        <v>9.7998040039199203</v>
      </c>
      <c r="N90" s="42" t="e">
        <f t="shared" si="26"/>
        <v>#DIV/0!</v>
      </c>
      <c r="O90" s="36"/>
      <c r="P90" s="39"/>
      <c r="Q90" s="43">
        <f t="shared" si="9"/>
        <v>0.69998600027999436</v>
      </c>
      <c r="R90" s="36">
        <f t="shared" si="10"/>
        <v>4.2001959960800797</v>
      </c>
      <c r="S90" s="43">
        <f t="shared" si="11"/>
        <v>0.4286000000000002</v>
      </c>
    </row>
    <row r="91" spans="1:20" s="2" customFormat="1" ht="33.75" customHeight="1" x14ac:dyDescent="0.25">
      <c r="A91" s="5">
        <v>19190001680</v>
      </c>
      <c r="B91" s="6">
        <f>A91</f>
        <v>19190001680</v>
      </c>
      <c r="C91" s="17" t="s">
        <v>115</v>
      </c>
      <c r="D91" s="32"/>
      <c r="E91" s="12">
        <f t="shared" ref="E91" si="32">+G91/1.18</f>
        <v>7.7117101725762094</v>
      </c>
      <c r="F91" s="12">
        <f t="shared" ref="F91" si="33">+E91*0.18</f>
        <v>1.3881078310637176</v>
      </c>
      <c r="G91" s="33">
        <f t="shared" si="31"/>
        <v>9.0998180036399265</v>
      </c>
      <c r="H91" s="11">
        <v>13</v>
      </c>
      <c r="I91" s="28"/>
      <c r="J91" s="41"/>
      <c r="K91" s="11"/>
      <c r="L91" s="11"/>
      <c r="M91" s="11"/>
      <c r="N91" s="42"/>
      <c r="O91" s="36"/>
      <c r="P91" s="39"/>
      <c r="Q91" s="43"/>
      <c r="R91" s="36"/>
      <c r="S91" s="43"/>
    </row>
    <row r="92" spans="1:20" s="2" customFormat="1" ht="33.75" customHeight="1" x14ac:dyDescent="0.25">
      <c r="A92" s="5">
        <v>18180001615</v>
      </c>
      <c r="B92" s="6">
        <f t="shared" si="2"/>
        <v>18180001615</v>
      </c>
      <c r="C92" s="17" t="s">
        <v>101</v>
      </c>
      <c r="D92" s="32"/>
      <c r="E92" s="12">
        <f t="shared" si="30"/>
        <v>2.9660423740677726</v>
      </c>
      <c r="F92" s="12">
        <f>+E92*0.18</f>
        <v>0.53388762733219908</v>
      </c>
      <c r="G92" s="33">
        <f t="shared" si="31"/>
        <v>3.4999300013999717</v>
      </c>
      <c r="H92" s="11">
        <v>5</v>
      </c>
      <c r="I92" s="28"/>
      <c r="J92" s="41"/>
      <c r="K92" s="11">
        <f t="shared" si="24"/>
        <v>4.9999000019999595</v>
      </c>
      <c r="L92" s="11">
        <f t="shared" si="25"/>
        <v>4.9999000019999595</v>
      </c>
      <c r="M92" s="11">
        <f t="shared" si="29"/>
        <v>3.4999300013999717</v>
      </c>
      <c r="N92" s="42" t="e">
        <f t="shared" si="26"/>
        <v>#DIV/0!</v>
      </c>
      <c r="O92" s="36"/>
      <c r="P92" s="39"/>
      <c r="Q92" s="43">
        <f t="shared" si="9"/>
        <v>0.69998600027999436</v>
      </c>
      <c r="R92" s="36">
        <f t="shared" si="10"/>
        <v>1.5000699986000283</v>
      </c>
      <c r="S92" s="43">
        <f t="shared" si="11"/>
        <v>0.42860000000000015</v>
      </c>
      <c r="T92" s="11"/>
    </row>
    <row r="93" spans="1:20" s="2" customFormat="1" ht="33.75" customHeight="1" x14ac:dyDescent="0.25">
      <c r="A93" s="5">
        <v>18180001610</v>
      </c>
      <c r="B93" s="6">
        <f t="shared" si="2"/>
        <v>18180001610</v>
      </c>
      <c r="C93" s="17" t="s">
        <v>102</v>
      </c>
      <c r="D93" s="32"/>
      <c r="E93" s="12">
        <f t="shared" si="30"/>
        <v>6.2286889855423233</v>
      </c>
      <c r="F93" s="12">
        <f t="shared" si="28"/>
        <v>1.1211640173976181</v>
      </c>
      <c r="G93" s="33">
        <f t="shared" si="31"/>
        <v>7.3498530029399411</v>
      </c>
      <c r="H93" s="11">
        <v>10.5</v>
      </c>
      <c r="I93" s="28"/>
      <c r="J93" s="41"/>
      <c r="K93" s="11">
        <f t="shared" si="24"/>
        <v>10.499790004199916</v>
      </c>
      <c r="L93" s="11">
        <f t="shared" si="25"/>
        <v>10.499790004199916</v>
      </c>
      <c r="M93" s="11">
        <f t="shared" si="29"/>
        <v>7.3498530029399411</v>
      </c>
      <c r="N93" s="42" t="e">
        <f t="shared" si="26"/>
        <v>#DIV/0!</v>
      </c>
      <c r="O93" s="36"/>
      <c r="P93" s="39"/>
      <c r="Q93" s="43">
        <f t="shared" ref="Q93:Q103" si="34">+G93/H93</f>
        <v>0.69998600027999436</v>
      </c>
      <c r="R93" s="36">
        <f t="shared" ref="R93:R103" si="35">+H93-G93</f>
        <v>3.1501469970600589</v>
      </c>
      <c r="S93" s="43">
        <f t="shared" ref="S93:S103" si="36">+R93/G93</f>
        <v>0.42860000000000004</v>
      </c>
    </row>
    <row r="94" spans="1:20" s="2" customFormat="1" ht="33.75" customHeight="1" x14ac:dyDescent="0.25">
      <c r="A94" s="5">
        <v>18180001515</v>
      </c>
      <c r="B94" s="6">
        <f t="shared" si="2"/>
        <v>18180001515</v>
      </c>
      <c r="C94" s="17" t="s">
        <v>103</v>
      </c>
      <c r="D94" s="32"/>
      <c r="E94" s="12">
        <f t="shared" si="30"/>
        <v>5.6354805107287689</v>
      </c>
      <c r="F94" s="12">
        <f t="shared" si="28"/>
        <v>1.0143864919311785</v>
      </c>
      <c r="G94" s="33">
        <f t="shared" si="31"/>
        <v>6.6498670026599465</v>
      </c>
      <c r="H94" s="11">
        <v>9.5</v>
      </c>
      <c r="I94" s="28"/>
      <c r="J94" s="41"/>
      <c r="K94" s="11">
        <f t="shared" si="24"/>
        <v>9.499810003799924</v>
      </c>
      <c r="L94" s="11">
        <f t="shared" si="25"/>
        <v>9.499810003799924</v>
      </c>
      <c r="M94" s="11">
        <f t="shared" si="29"/>
        <v>6.6498670026599465</v>
      </c>
      <c r="N94" s="42" t="e">
        <f t="shared" si="26"/>
        <v>#DIV/0!</v>
      </c>
      <c r="O94" s="36"/>
      <c r="P94" s="39"/>
      <c r="Q94" s="43">
        <f t="shared" si="34"/>
        <v>0.69998600027999436</v>
      </c>
      <c r="R94" s="36">
        <f t="shared" si="35"/>
        <v>2.8501329973400535</v>
      </c>
      <c r="S94" s="43">
        <f t="shared" si="36"/>
        <v>0.42860000000000009</v>
      </c>
    </row>
    <row r="95" spans="1:20" s="2" customFormat="1" ht="33.75" customHeight="1" x14ac:dyDescent="0.25">
      <c r="A95" s="5">
        <v>18180001414</v>
      </c>
      <c r="B95" s="6">
        <f t="shared" si="2"/>
        <v>18180001414</v>
      </c>
      <c r="C95" s="17" t="s">
        <v>104</v>
      </c>
      <c r="D95" s="32"/>
      <c r="E95" s="12">
        <f t="shared" si="30"/>
        <v>11.86416949627109</v>
      </c>
      <c r="F95" s="12">
        <f t="shared" si="28"/>
        <v>2.1355505093287963</v>
      </c>
      <c r="G95" s="33">
        <f t="shared" si="31"/>
        <v>13.999720005599887</v>
      </c>
      <c r="H95" s="11">
        <v>20</v>
      </c>
      <c r="I95" s="28"/>
      <c r="J95" s="41"/>
      <c r="K95" s="11">
        <f t="shared" ref="K95:K98" si="37">(G95/0.7)</f>
        <v>19.999600007999838</v>
      </c>
      <c r="L95" s="11">
        <f t="shared" ref="L95:L98" si="38">(G95/(1-0.3))</f>
        <v>19.999600007999838</v>
      </c>
      <c r="M95" s="11">
        <f t="shared" si="29"/>
        <v>13.999720005599887</v>
      </c>
      <c r="N95" s="42" t="e">
        <f t="shared" si="26"/>
        <v>#DIV/0!</v>
      </c>
      <c r="O95" s="36"/>
      <c r="P95" s="39"/>
      <c r="Q95" s="43">
        <f t="shared" si="34"/>
        <v>0.69998600027999436</v>
      </c>
      <c r="R95" s="36">
        <f t="shared" si="35"/>
        <v>6.0002799944001133</v>
      </c>
      <c r="S95" s="43">
        <f t="shared" si="36"/>
        <v>0.42860000000000015</v>
      </c>
    </row>
    <row r="96" spans="1:20" s="2" customFormat="1" ht="33.75" customHeight="1" x14ac:dyDescent="0.25">
      <c r="A96" s="5">
        <v>18180001516</v>
      </c>
      <c r="B96" s="6">
        <f t="shared" si="2"/>
        <v>18180001516</v>
      </c>
      <c r="C96" s="17" t="s">
        <v>116</v>
      </c>
      <c r="D96" s="32"/>
      <c r="E96" s="12">
        <f t="shared" si="30"/>
        <v>8.8981271222033183</v>
      </c>
      <c r="F96" s="12">
        <f t="shared" si="28"/>
        <v>1.6016628819965972</v>
      </c>
      <c r="G96" s="33">
        <f t="shared" si="31"/>
        <v>10.499790004199916</v>
      </c>
      <c r="H96" s="11">
        <v>15</v>
      </c>
      <c r="I96" s="28"/>
      <c r="J96" s="41"/>
      <c r="K96" s="11">
        <f t="shared" si="37"/>
        <v>14.99970000599988</v>
      </c>
      <c r="L96" s="11">
        <f t="shared" si="38"/>
        <v>14.99970000599988</v>
      </c>
      <c r="M96" s="11">
        <f t="shared" si="29"/>
        <v>10.499790004199916</v>
      </c>
      <c r="N96" s="42" t="e">
        <f t="shared" si="26"/>
        <v>#DIV/0!</v>
      </c>
      <c r="O96" s="36"/>
      <c r="P96" s="39"/>
      <c r="Q96" s="43">
        <f t="shared" si="34"/>
        <v>0.69998600027999436</v>
      </c>
      <c r="R96" s="36">
        <f t="shared" si="35"/>
        <v>4.5002099958000841</v>
      </c>
      <c r="S96" s="43">
        <f t="shared" si="36"/>
        <v>0.42860000000000004</v>
      </c>
    </row>
    <row r="97" spans="1:19" s="2" customFormat="1" ht="33.75" customHeight="1" x14ac:dyDescent="0.25">
      <c r="A97" s="5">
        <v>18180001001</v>
      </c>
      <c r="B97" s="6">
        <f t="shared" ref="B97:B98" si="39">A97</f>
        <v>18180001001</v>
      </c>
      <c r="C97" s="17" t="s">
        <v>105</v>
      </c>
      <c r="D97" s="32"/>
      <c r="E97" s="12">
        <f t="shared" si="30"/>
        <v>2.9660423740677726</v>
      </c>
      <c r="F97" s="12">
        <f t="shared" si="28"/>
        <v>0.53388762733219908</v>
      </c>
      <c r="G97" s="33">
        <f t="shared" si="31"/>
        <v>3.4999300013999717</v>
      </c>
      <c r="H97" s="11">
        <v>5</v>
      </c>
      <c r="I97" s="28"/>
      <c r="J97" s="41"/>
      <c r="K97" s="11">
        <f t="shared" si="37"/>
        <v>4.9999000019999595</v>
      </c>
      <c r="L97" s="11">
        <f t="shared" si="38"/>
        <v>4.9999000019999595</v>
      </c>
      <c r="M97" s="11">
        <f t="shared" si="29"/>
        <v>3.4999300013999717</v>
      </c>
      <c r="N97" s="42" t="e">
        <f t="shared" si="26"/>
        <v>#DIV/0!</v>
      </c>
      <c r="O97" s="36"/>
      <c r="P97" s="39"/>
      <c r="Q97" s="43">
        <f t="shared" si="34"/>
        <v>0.69998600027999436</v>
      </c>
      <c r="R97" s="36">
        <f t="shared" si="35"/>
        <v>1.5000699986000283</v>
      </c>
      <c r="S97" s="43">
        <f t="shared" si="36"/>
        <v>0.42860000000000015</v>
      </c>
    </row>
    <row r="98" spans="1:19" s="2" customFormat="1" ht="33.75" customHeight="1" x14ac:dyDescent="0.25">
      <c r="A98" s="5">
        <v>17170001111</v>
      </c>
      <c r="B98" s="6">
        <f t="shared" si="39"/>
        <v>17170001111</v>
      </c>
      <c r="C98" s="17" t="s">
        <v>106</v>
      </c>
      <c r="D98" s="32"/>
      <c r="E98" s="12">
        <f t="shared" si="30"/>
        <v>2.9660423740677726</v>
      </c>
      <c r="F98" s="12">
        <f t="shared" si="28"/>
        <v>0.53388762733219908</v>
      </c>
      <c r="G98" s="33">
        <f t="shared" si="31"/>
        <v>3.4999300013999717</v>
      </c>
      <c r="H98" s="11">
        <v>5</v>
      </c>
      <c r="I98" s="28"/>
      <c r="J98" s="41"/>
      <c r="K98" s="11">
        <f t="shared" si="37"/>
        <v>4.9999000019999595</v>
      </c>
      <c r="L98" s="11">
        <f t="shared" si="38"/>
        <v>4.9999000019999595</v>
      </c>
      <c r="M98" s="11">
        <f t="shared" si="29"/>
        <v>3.4999300013999717</v>
      </c>
      <c r="N98" s="42" t="e">
        <f t="shared" si="26"/>
        <v>#DIV/0!</v>
      </c>
      <c r="O98" s="36"/>
      <c r="P98" s="39"/>
      <c r="Q98" s="43">
        <f t="shared" si="34"/>
        <v>0.69998600027999436</v>
      </c>
      <c r="R98" s="36">
        <f t="shared" si="35"/>
        <v>1.5000699986000283</v>
      </c>
      <c r="S98" s="43">
        <f t="shared" si="36"/>
        <v>0.42860000000000015</v>
      </c>
    </row>
    <row r="99" spans="1:19" s="2" customFormat="1" ht="33.75" customHeight="1" x14ac:dyDescent="0.25">
      <c r="A99" s="5">
        <v>13130000678</v>
      </c>
      <c r="B99" s="6">
        <f t="shared" ref="B99:B100" si="40">A99</f>
        <v>13130000678</v>
      </c>
      <c r="C99" s="17" t="s">
        <v>107</v>
      </c>
      <c r="D99" s="32"/>
      <c r="E99" s="12">
        <f t="shared" ref="E99:E100" si="41">+G99/1.18</f>
        <v>29.660423740677725</v>
      </c>
      <c r="F99" s="12">
        <f t="shared" ref="F99:F100" si="42">+E99*0.18</f>
        <v>5.3388762733219899</v>
      </c>
      <c r="G99" s="33">
        <f t="shared" ref="G99:G100" si="43">+H99/1.4286</f>
        <v>34.999300013999715</v>
      </c>
      <c r="H99" s="11">
        <v>50</v>
      </c>
      <c r="I99" s="28"/>
      <c r="J99" s="41"/>
      <c r="K99" s="11">
        <f t="shared" ref="K99:K100" si="44">(G99/0.7)</f>
        <v>49.999000019999599</v>
      </c>
      <c r="L99" s="11">
        <f t="shared" ref="L99:L100" si="45">(G99/(1-0.3))</f>
        <v>49.999000019999599</v>
      </c>
      <c r="M99" s="11">
        <f t="shared" ref="M99:M100" si="46">+G99-D99</f>
        <v>34.999300013999715</v>
      </c>
      <c r="N99" s="42" t="e">
        <f t="shared" ref="N99:N100" si="47">+M99/D99</f>
        <v>#DIV/0!</v>
      </c>
      <c r="O99" s="36"/>
      <c r="P99" s="39"/>
      <c r="Q99" s="43">
        <f t="shared" si="34"/>
        <v>0.69998600027999425</v>
      </c>
      <c r="R99" s="36">
        <f t="shared" si="35"/>
        <v>15.000699986000285</v>
      </c>
      <c r="S99" s="43">
        <f t="shared" si="36"/>
        <v>0.4286000000000002</v>
      </c>
    </row>
    <row r="100" spans="1:19" s="2" customFormat="1" ht="33.75" customHeight="1" x14ac:dyDescent="0.25">
      <c r="A100" s="5">
        <v>13130000688</v>
      </c>
      <c r="B100" s="6">
        <f t="shared" si="40"/>
        <v>13130000688</v>
      </c>
      <c r="C100" s="17" t="s">
        <v>108</v>
      </c>
      <c r="D100" s="32"/>
      <c r="E100" s="12">
        <f t="shared" si="41"/>
        <v>29.660423740677725</v>
      </c>
      <c r="F100" s="12">
        <f t="shared" si="42"/>
        <v>5.3388762733219899</v>
      </c>
      <c r="G100" s="33">
        <f t="shared" si="43"/>
        <v>34.999300013999715</v>
      </c>
      <c r="H100" s="11">
        <v>50</v>
      </c>
      <c r="I100" s="28"/>
      <c r="J100" s="41"/>
      <c r="K100" s="11">
        <f t="shared" si="44"/>
        <v>49.999000019999599</v>
      </c>
      <c r="L100" s="11">
        <f t="shared" si="45"/>
        <v>49.999000019999599</v>
      </c>
      <c r="M100" s="11">
        <f t="shared" si="46"/>
        <v>34.999300013999715</v>
      </c>
      <c r="N100" s="42" t="e">
        <f t="shared" si="47"/>
        <v>#DIV/0!</v>
      </c>
      <c r="O100" s="36"/>
      <c r="P100" s="39"/>
      <c r="Q100" s="43">
        <f t="shared" si="34"/>
        <v>0.69998600027999425</v>
      </c>
      <c r="R100" s="36">
        <f t="shared" si="35"/>
        <v>15.000699986000285</v>
      </c>
      <c r="S100" s="43">
        <f t="shared" si="36"/>
        <v>0.4286000000000002</v>
      </c>
    </row>
    <row r="101" spans="1:19" s="2" customFormat="1" ht="33.75" customHeight="1" x14ac:dyDescent="0.25">
      <c r="A101" s="5">
        <v>19150000478</v>
      </c>
      <c r="B101" s="6">
        <f t="shared" ref="B101:B103" si="48">A101</f>
        <v>19150000478</v>
      </c>
      <c r="C101" s="17" t="s">
        <v>109</v>
      </c>
      <c r="D101" s="32">
        <v>18.333333333333332</v>
      </c>
      <c r="E101" s="12">
        <f t="shared" ref="E101:E103" si="49">+G101/1.18</f>
        <v>16.609837294779528</v>
      </c>
      <c r="F101" s="12">
        <f t="shared" ref="F101:F103" si="50">+E101*0.18</f>
        <v>2.9897707130603148</v>
      </c>
      <c r="G101" s="33">
        <f t="shared" ref="G101:G103" si="51">+H101/1.4286</f>
        <v>19.599608007839841</v>
      </c>
      <c r="H101" s="11">
        <v>28</v>
      </c>
      <c r="I101" s="28"/>
      <c r="J101" s="41"/>
      <c r="K101" s="11">
        <f t="shared" ref="K101:K103" si="52">(G101/0.7)</f>
        <v>27.999440011199773</v>
      </c>
      <c r="L101" s="11">
        <f t="shared" ref="L101:L103" si="53">(G101/(1-0.3))</f>
        <v>27.999440011199773</v>
      </c>
      <c r="M101" s="11">
        <f t="shared" ref="M101:M103" si="54">+G101-D101</f>
        <v>1.2662746745065085</v>
      </c>
      <c r="N101" s="42">
        <f t="shared" ref="N101:N103" si="55">+M101/D101</f>
        <v>6.9069527700355016E-2</v>
      </c>
      <c r="O101" s="36"/>
      <c r="P101" s="39"/>
      <c r="Q101" s="43">
        <f t="shared" si="34"/>
        <v>0.69998600027999436</v>
      </c>
      <c r="R101" s="36">
        <f t="shared" si="35"/>
        <v>8.4003919921601593</v>
      </c>
      <c r="S101" s="43">
        <f t="shared" si="36"/>
        <v>0.4286000000000002</v>
      </c>
    </row>
    <row r="102" spans="1:19" s="2" customFormat="1" ht="33.75" customHeight="1" x14ac:dyDescent="0.25">
      <c r="A102" s="5">
        <v>19160000137</v>
      </c>
      <c r="B102" s="6">
        <f t="shared" si="48"/>
        <v>19160000137</v>
      </c>
      <c r="C102" s="17" t="s">
        <v>110</v>
      </c>
      <c r="D102" s="32"/>
      <c r="E102" s="12">
        <f t="shared" si="49"/>
        <v>11.270961021457538</v>
      </c>
      <c r="F102" s="12">
        <f t="shared" si="50"/>
        <v>2.0287729838623569</v>
      </c>
      <c r="G102" s="33">
        <f t="shared" si="51"/>
        <v>13.299734005319893</v>
      </c>
      <c r="H102" s="11">
        <v>19</v>
      </c>
      <c r="I102" s="28"/>
      <c r="J102" s="41"/>
      <c r="K102" s="11">
        <f t="shared" si="52"/>
        <v>18.999620007599848</v>
      </c>
      <c r="L102" s="11">
        <f t="shared" si="53"/>
        <v>18.999620007599848</v>
      </c>
      <c r="M102" s="11">
        <f t="shared" si="54"/>
        <v>13.299734005319893</v>
      </c>
      <c r="N102" s="42" t="e">
        <f t="shared" si="55"/>
        <v>#DIV/0!</v>
      </c>
      <c r="O102" s="36"/>
      <c r="P102" s="39"/>
      <c r="Q102" s="43">
        <f t="shared" si="34"/>
        <v>0.69998600027999436</v>
      </c>
      <c r="R102" s="36">
        <f t="shared" si="35"/>
        <v>5.7002659946801071</v>
      </c>
      <c r="S102" s="43">
        <f t="shared" si="36"/>
        <v>0.42860000000000009</v>
      </c>
    </row>
    <row r="103" spans="1:19" s="2" customFormat="1" ht="33.75" customHeight="1" x14ac:dyDescent="0.25">
      <c r="A103" s="5">
        <v>19170000546</v>
      </c>
      <c r="B103" s="6">
        <f t="shared" si="48"/>
        <v>19170000546</v>
      </c>
      <c r="C103" s="17" t="s">
        <v>111</v>
      </c>
      <c r="D103" s="32"/>
      <c r="E103" s="12">
        <f t="shared" si="49"/>
        <v>8.0083144099829866</v>
      </c>
      <c r="F103" s="12">
        <f t="shared" si="50"/>
        <v>1.4414965937969375</v>
      </c>
      <c r="G103" s="33">
        <f t="shared" si="51"/>
        <v>9.4498110037799243</v>
      </c>
      <c r="H103" s="11">
        <v>13.5</v>
      </c>
      <c r="I103" s="28"/>
      <c r="J103" s="41"/>
      <c r="K103" s="11">
        <f t="shared" si="52"/>
        <v>13.499730005399893</v>
      </c>
      <c r="L103" s="11">
        <f t="shared" si="53"/>
        <v>13.499730005399893</v>
      </c>
      <c r="M103" s="11">
        <f t="shared" si="54"/>
        <v>9.4498110037799243</v>
      </c>
      <c r="N103" s="42" t="e">
        <f t="shared" si="55"/>
        <v>#DIV/0!</v>
      </c>
      <c r="O103" s="36"/>
      <c r="P103" s="39"/>
      <c r="Q103" s="43">
        <f t="shared" si="34"/>
        <v>0.69998600027999436</v>
      </c>
      <c r="R103" s="36">
        <f t="shared" si="35"/>
        <v>4.0501889962200757</v>
      </c>
      <c r="S103" s="43">
        <f t="shared" si="36"/>
        <v>0.42860000000000004</v>
      </c>
    </row>
  </sheetData>
  <mergeCells count="11">
    <mergeCell ref="K25:K26"/>
    <mergeCell ref="L25:L26"/>
    <mergeCell ref="M25:M26"/>
    <mergeCell ref="N25:N26"/>
    <mergeCell ref="A2:H2"/>
    <mergeCell ref="A25:A26"/>
    <mergeCell ref="B25:B26"/>
    <mergeCell ref="C25:C26"/>
    <mergeCell ref="H25:H26"/>
    <mergeCell ref="E25:G25"/>
    <mergeCell ref="D25:D26"/>
  </mergeCells>
  <pageMargins left="0.70866141732283472" right="0.70866141732283472" top="0.74803149606299213" bottom="0.74803149606299213" header="0.31496062992125984" footer="0.31496062992125984"/>
  <pageSetup scale="86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A2400-F1E0-410F-B30E-46A2A0CA000B}">
  <dimension ref="D5:J23"/>
  <sheetViews>
    <sheetView workbookViewId="0">
      <selection activeCell="E5" sqref="E5:G8"/>
    </sheetView>
  </sheetViews>
  <sheetFormatPr baseColWidth="10" defaultRowHeight="15" x14ac:dyDescent="0.25"/>
  <cols>
    <col min="4" max="4" width="50.140625" bestFit="1" customWidth="1"/>
    <col min="5" max="5" width="11.85546875" customWidth="1"/>
  </cols>
  <sheetData>
    <row r="5" spans="4:10" ht="18.75" x14ac:dyDescent="0.3">
      <c r="D5" s="53"/>
      <c r="E5" s="54" t="s">
        <v>47</v>
      </c>
      <c r="F5" s="54"/>
      <c r="G5" s="54"/>
      <c r="H5" s="51"/>
      <c r="I5" s="1"/>
      <c r="J5" s="1"/>
    </row>
    <row r="6" spans="4:10" ht="18.75" x14ac:dyDescent="0.3">
      <c r="D6" s="53"/>
      <c r="E6" s="54"/>
      <c r="F6" s="54"/>
      <c r="G6" s="54"/>
      <c r="H6" s="51"/>
      <c r="I6" s="1"/>
      <c r="J6" s="1"/>
    </row>
    <row r="7" spans="4:10" ht="18.75" x14ac:dyDescent="0.3">
      <c r="D7" s="53"/>
      <c r="E7" s="54"/>
      <c r="F7" s="54"/>
      <c r="G7" s="54"/>
      <c r="H7" s="51"/>
      <c r="I7" s="1"/>
      <c r="J7" s="1"/>
    </row>
    <row r="8" spans="4:10" ht="18.75" x14ac:dyDescent="0.3">
      <c r="D8" s="53"/>
      <c r="E8" s="54"/>
      <c r="F8" s="54"/>
      <c r="G8" s="54"/>
      <c r="H8" s="51"/>
      <c r="I8" s="1"/>
      <c r="J8" s="1"/>
    </row>
    <row r="9" spans="4:10" ht="18.75" x14ac:dyDescent="0.3">
      <c r="D9" s="19" t="s">
        <v>51</v>
      </c>
      <c r="E9" s="19"/>
      <c r="F9" s="20"/>
      <c r="G9" s="21"/>
      <c r="H9" s="1"/>
      <c r="I9" s="1"/>
      <c r="J9" s="1"/>
    </row>
    <row r="10" spans="4:10" ht="18.75" x14ac:dyDescent="0.3">
      <c r="D10" s="19" t="s">
        <v>52</v>
      </c>
      <c r="E10" s="19"/>
      <c r="F10" s="20"/>
      <c r="G10" s="21"/>
      <c r="H10" s="1"/>
      <c r="I10" s="1"/>
      <c r="J10" s="1"/>
    </row>
    <row r="11" spans="4:10" ht="18.75" x14ac:dyDescent="0.3">
      <c r="D11" s="19" t="s">
        <v>53</v>
      </c>
      <c r="E11" s="19"/>
      <c r="F11" s="20"/>
      <c r="G11" s="21"/>
      <c r="H11" s="1"/>
      <c r="I11" s="1"/>
      <c r="J11" s="1"/>
    </row>
    <row r="12" spans="4:10" ht="18.75" x14ac:dyDescent="0.3">
      <c r="D12" s="19" t="s">
        <v>54</v>
      </c>
      <c r="E12" s="19"/>
      <c r="F12" s="20"/>
      <c r="G12" s="21"/>
      <c r="H12" s="1"/>
      <c r="I12" s="1"/>
      <c r="J12" s="1"/>
    </row>
    <row r="13" spans="4:10" x14ac:dyDescent="0.25">
      <c r="D13" s="19" t="s">
        <v>55</v>
      </c>
      <c r="E13" s="52"/>
      <c r="F13" s="52"/>
      <c r="G13" s="19"/>
      <c r="J13" s="2"/>
    </row>
    <row r="14" spans="4:10" x14ac:dyDescent="0.25">
      <c r="D14" s="19" t="s">
        <v>56</v>
      </c>
      <c r="E14" s="19"/>
      <c r="F14" s="52"/>
      <c r="G14" s="52"/>
      <c r="H14" s="2"/>
      <c r="I14" s="2"/>
      <c r="J14" s="2"/>
    </row>
    <row r="15" spans="4:10" x14ac:dyDescent="0.25">
      <c r="D15" s="19" t="s">
        <v>57</v>
      </c>
      <c r="E15" s="19"/>
      <c r="F15" s="19"/>
      <c r="G15" s="19"/>
      <c r="H15" s="2"/>
      <c r="I15" s="2"/>
      <c r="J15" s="2"/>
    </row>
    <row r="16" spans="4:10" x14ac:dyDescent="0.25">
      <c r="D16" s="19" t="s">
        <v>58</v>
      </c>
      <c r="E16" s="19"/>
      <c r="F16" s="19"/>
      <c r="G16" s="19"/>
      <c r="H16" s="2"/>
      <c r="I16" s="2"/>
      <c r="J16" s="2"/>
    </row>
    <row r="17" spans="4:10" x14ac:dyDescent="0.25">
      <c r="D17" s="19" t="s">
        <v>59</v>
      </c>
      <c r="E17" s="19"/>
      <c r="F17" s="19"/>
      <c r="G17" s="19"/>
      <c r="H17" s="2"/>
      <c r="I17" s="2"/>
      <c r="J17" s="2"/>
    </row>
    <row r="18" spans="4:10" x14ac:dyDescent="0.25">
      <c r="D18" s="19" t="s">
        <v>60</v>
      </c>
      <c r="E18" s="19"/>
      <c r="F18" s="19"/>
      <c r="G18" s="19"/>
      <c r="H18" s="2"/>
      <c r="I18" s="2"/>
      <c r="J18" s="2"/>
    </row>
    <row r="19" spans="4:10" x14ac:dyDescent="0.25">
      <c r="D19" s="19" t="s">
        <v>48</v>
      </c>
      <c r="E19" s="19"/>
      <c r="F19" s="19"/>
      <c r="G19" s="19"/>
      <c r="H19" s="2"/>
      <c r="I19" s="2"/>
      <c r="J19" s="2"/>
    </row>
    <row r="20" spans="4:10" x14ac:dyDescent="0.25">
      <c r="D20" s="22" t="s">
        <v>61</v>
      </c>
      <c r="E20" s="19"/>
      <c r="F20" s="19"/>
      <c r="G20" s="19"/>
      <c r="H20" s="2"/>
      <c r="I20" s="2"/>
      <c r="J20" s="2"/>
    </row>
    <row r="21" spans="4:10" x14ac:dyDescent="0.25">
      <c r="D21" s="22" t="s">
        <v>62</v>
      </c>
      <c r="E21" s="19"/>
      <c r="F21" s="19"/>
      <c r="G21" s="19"/>
      <c r="H21" s="2"/>
      <c r="I21" s="2"/>
      <c r="J21" s="2"/>
    </row>
    <row r="22" spans="4:10" x14ac:dyDescent="0.25">
      <c r="D22" s="22" t="s">
        <v>63</v>
      </c>
      <c r="E22" s="19"/>
      <c r="F22" s="19"/>
      <c r="G22" s="19"/>
      <c r="H22" s="2"/>
      <c r="I22" s="2"/>
      <c r="J22" s="2"/>
    </row>
    <row r="23" spans="4:10" x14ac:dyDescent="0.25">
      <c r="D23" s="22" t="s">
        <v>64</v>
      </c>
      <c r="E23" s="19"/>
      <c r="F23" s="19"/>
      <c r="G23" s="19"/>
      <c r="H23" s="2"/>
      <c r="I23" s="2"/>
      <c r="J23" s="2"/>
    </row>
  </sheetData>
  <mergeCells count="5">
    <mergeCell ref="H5:H8"/>
    <mergeCell ref="E13:F13"/>
    <mergeCell ref="F14:G14"/>
    <mergeCell ref="D5:D8"/>
    <mergeCell ref="E5:G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LISTA PRECIO </vt:lpstr>
      <vt:lpstr>Hoja1</vt:lpstr>
      <vt:lpstr>'LISTA PRECIO '!Área_de_impresión</vt:lpstr>
      <vt:lpstr>'LISTA PRECIO '!Títulos_a_imprimir</vt:lpstr>
    </vt:vector>
  </TitlesOfParts>
  <Company>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 name</dc:creator>
  <cp:lastModifiedBy>Elvis</cp:lastModifiedBy>
  <cp:lastPrinted>2020-11-12T18:43:00Z</cp:lastPrinted>
  <dcterms:created xsi:type="dcterms:W3CDTF">2020-05-08T05:22:16Z</dcterms:created>
  <dcterms:modified xsi:type="dcterms:W3CDTF">2020-11-13T20:11:46Z</dcterms:modified>
</cp:coreProperties>
</file>