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Meu Drive\Trabalhos\Negócios\Contabilidade TI\Biz\Materiais\"/>
    </mc:Choice>
  </mc:AlternateContent>
  <xr:revisionPtr revIDLastSave="0" documentId="13_ncr:1_{A49105FA-899F-42F3-B196-B1C630480CB4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CIPAL" sheetId="1" r:id="rId1"/>
    <sheet name="Parâmetros" sheetId="2" r:id="rId2"/>
  </sheets>
  <definedNames>
    <definedName name="CltPatraoGasta">PRINCIPAL!$F$13</definedName>
    <definedName name="CltVocePerde">PRINCIPAL!$F$9</definedName>
    <definedName name="DistribuicaoLucrosFaixa1Aliquota">Parâmetros!$B$31</definedName>
    <definedName name="DistribuicaoLucrosFaixa1Parcela">Parâmetros!$C$31</definedName>
    <definedName name="DistribuicaoLucrosFaixa1Teto">Parâmetros!$A$31</definedName>
    <definedName name="DistribuicaoLucrosFaixa2Aliquota">Parâmetros!$B$32</definedName>
    <definedName name="DistribuicaoLucrosFaixa2Parcela">Parâmetros!$C$32</definedName>
    <definedName name="FatorR">Parâmetros!$B$41</definedName>
    <definedName name="FgtsContribuicao">Parâmetros!$B$40</definedName>
    <definedName name="InssCltValor">PRINCIPAL!$D$10</definedName>
    <definedName name="InssFaixa1Aliquota">Parâmetros!$B$13</definedName>
    <definedName name="InssFaixa1Parcela">Parâmetros!$C$13</definedName>
    <definedName name="InssFaixa1Teto">Parâmetros!$A$13</definedName>
    <definedName name="InssFaixa2Aliquota">Parâmetros!$B$14</definedName>
    <definedName name="InssFaixa2Parcela">Parâmetros!$C$14</definedName>
    <definedName name="InssFaixa2Teto">Parâmetros!$A$14</definedName>
    <definedName name="InssFaixa3Aliquota">Parâmetros!$B$15</definedName>
    <definedName name="InssFaixa3Parcela">Parâmetros!$C$15</definedName>
    <definedName name="InssFaixa3Teto">Parâmetros!$A$15</definedName>
    <definedName name="InssFaixa4Aliquota">Parâmetros!$B$16</definedName>
    <definedName name="InssFaixa4Parcela">Parâmetros!$C$16</definedName>
    <definedName name="InssFaixa4Teto">Parâmetros!$A$16</definedName>
    <definedName name="InssPatronalAliquota">Parâmetros!$B$38</definedName>
    <definedName name="InssPatronalPisoContribuicao">Parâmetros!$B$39</definedName>
    <definedName name="InssPj1">PRINCIPAL!$L$12</definedName>
    <definedName name="InssPj2">PRINCIPAL!$L$30</definedName>
    <definedName name="InssPj3">PRINCIPAL!$L$46</definedName>
    <definedName name="InssTetoContribuicao">Parâmetros!$D$16</definedName>
    <definedName name="InssTetoSalario">Parâmetros!$A$16</definedName>
    <definedName name="IrrfCltValor">PRINCIPAL!$D$11</definedName>
    <definedName name="IrrfFaixa1Aliquota">Parâmetros!$B$3</definedName>
    <definedName name="IrrfFaixa1Parcela">Parâmetros!$C$3</definedName>
    <definedName name="IrrfFaixa1Teto">Parâmetros!$A$3</definedName>
    <definedName name="IrrfFaixa2Aliquota">Parâmetros!$B$4</definedName>
    <definedName name="IrrfFaixa2Parcela">Parâmetros!$C$4</definedName>
    <definedName name="IrrfFaixa2Teto">Parâmetros!$A$4</definedName>
    <definedName name="IrrfFaixa3Aliquota">Parâmetros!$B$5</definedName>
    <definedName name="IrrfFaixa3Parcela">Parâmetros!$C$5</definedName>
    <definedName name="IrrfFaixa3Teto">Parâmetros!$A$5</definedName>
    <definedName name="IrrfFaixa4Aliquota">Parâmetros!$B$6</definedName>
    <definedName name="IrrfFaixa4Parcela">Parâmetros!$C$6</definedName>
    <definedName name="IrrfFaixa4Teto">Parâmetros!$A$6</definedName>
    <definedName name="IrrfFaixa5Aliquota">Parâmetros!$B$7</definedName>
    <definedName name="IrrfFaixa5Parcela">Parâmetros!$C$7</definedName>
    <definedName name="PatraoClt13Salario">PRINCIPAL!$D$14</definedName>
    <definedName name="PatraoCltFerias">PRINCIPAL!$D$15</definedName>
    <definedName name="PatraoCltFgts">PRINCIPAL!$D$16</definedName>
    <definedName name="ProLaborePj1">PRINCIPAL!$O$13</definedName>
    <definedName name="ProLaborePj2">PRINCIPAL!$O$31</definedName>
    <definedName name="ProLaborePj3">PRINCIPAL!$O$48</definedName>
    <definedName name="SalarioBaseClt">PRINCIPAL!$C$5</definedName>
    <definedName name="SalarioMinimo">Parâmetros!$B$37</definedName>
    <definedName name="SalarioPj1">PRINCIPAL!$L$7</definedName>
    <definedName name="SalarioPj2">PRINCIPAL!$L$25</definedName>
    <definedName name="SalarioPj3">PRINCIPAL!$L$41</definedName>
    <definedName name="SnAnexo3_Faixa1Aliquota">Parâmetros!$B$21</definedName>
    <definedName name="SnAnexo3_Faixa1Parcela">Parâmetros!$C$21</definedName>
    <definedName name="SnAnexo3_Faixa1Teto">Parâmetros!$A$21</definedName>
    <definedName name="SnAnexo3_Faixa2Aliquota">Parâmetros!$B$22</definedName>
    <definedName name="SnAnexo3_Faixa2Parcela">Parâmetros!$C$22</definedName>
    <definedName name="SnAnexo3_Faixa2Teto">Parâmetros!$A$22</definedName>
    <definedName name="SnAnexo3_Faixa3Aliquota">Parâmetros!$B$23</definedName>
    <definedName name="SnAnexo3_Faixa3Parcela">Parâmetros!$C$23</definedName>
    <definedName name="SnAnexo3_Faixa3Teto">Parâmetros!$A$23</definedName>
    <definedName name="SnAnexo3_Faixa4Aliquota">Parâmetros!$B$24</definedName>
    <definedName name="SnAnexo3_Faixa4Parcela">Parâmetros!$C$24</definedName>
    <definedName name="SnAnexo3_Faixa4Teto">Parâmetros!$A$24</definedName>
    <definedName name="SnAnexo3_Faixa5Aliquota">Parâmetros!$B$25</definedName>
    <definedName name="SnAnexo3_Faixa5Parcela">Parâmetros!$C$25</definedName>
    <definedName name="SnAnexo3_Faixa5Teto">Parâmetros!$A$25</definedName>
    <definedName name="SnAnexo3_Faixa6Aliquota">Parâmetros!$B$26</definedName>
    <definedName name="SnAnexo3_Faixa6Parcela">Parâmetros!$C$26</definedName>
    <definedName name="SnAnexo3_Faixa6Teto">Parâmetros!$A$26</definedName>
    <definedName name="SnAnexoIiiAliquota">Parâmetros!#REF!</definedName>
    <definedName name="TributoDistribuicaoLucros">Parâmetros!#REF!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26" i="2"/>
  <c r="C25" i="2"/>
  <c r="C24" i="2"/>
  <c r="C23" i="2"/>
  <c r="C22" i="2"/>
  <c r="C21" i="2"/>
  <c r="A26" i="2"/>
  <c r="A25" i="2"/>
  <c r="A24" i="2"/>
  <c r="A23" i="2"/>
  <c r="A22" i="2"/>
  <c r="A21" i="2"/>
  <c r="C32" i="2"/>
  <c r="C4" i="2"/>
  <c r="B39" i="2"/>
  <c r="C5" i="2" l="1"/>
  <c r="C6" i="2" s="1"/>
  <c r="C15" i="2"/>
  <c r="C16" i="2" s="1"/>
  <c r="D16" i="2" s="1"/>
  <c r="D10" i="1" s="1"/>
  <c r="D11" i="1" s="1"/>
  <c r="C7" i="2" l="1"/>
  <c r="L41" i="1"/>
  <c r="L45" i="1" s="1"/>
  <c r="D15" i="1"/>
  <c r="D14" i="1"/>
  <c r="D16" i="1" l="1"/>
  <c r="F13" i="1" s="1"/>
  <c r="J7" i="1" s="1"/>
  <c r="L7" i="1" s="1"/>
  <c r="L11" i="1" s="1"/>
  <c r="O48" i="1"/>
  <c r="F9" i="1"/>
  <c r="C22" i="1"/>
  <c r="J25" i="1" s="1"/>
  <c r="L46" i="1" l="1"/>
  <c r="L47" i="1" s="1"/>
  <c r="L48" i="1"/>
  <c r="O13" i="1"/>
  <c r="L12" i="1" l="1"/>
  <c r="L13" i="1" s="1"/>
  <c r="L14" i="1"/>
  <c r="L50" i="1"/>
  <c r="N44" i="1"/>
  <c r="L16" i="1" l="1"/>
  <c r="N10" i="1"/>
  <c r="L25" i="1" l="1"/>
  <c r="L29" i="1" s="1"/>
  <c r="O31" i="1" l="1"/>
  <c r="L30" i="1" l="1"/>
  <c r="L31" i="1" s="1"/>
  <c r="L32" i="1"/>
  <c r="L34" i="1" l="1"/>
  <c r="N28" i="1"/>
</calcChain>
</file>

<file path=xl/sharedStrings.xml><?xml version="1.0" encoding="utf-8"?>
<sst xmlns="http://schemas.openxmlformats.org/spreadsheetml/2006/main" count="67" uniqueCount="43">
  <si>
    <t>by</t>
  </si>
  <si>
    <t>Cenário PJ (1)</t>
  </si>
  <si>
    <t>(Salário PJ)</t>
  </si>
  <si>
    <t>Cenário PJ (2)</t>
  </si>
  <si>
    <t>Tabela IRPF</t>
  </si>
  <si>
    <t>Valor Teto</t>
  </si>
  <si>
    <t>Alíquota</t>
  </si>
  <si>
    <t>Salário Mínimo:</t>
  </si>
  <si>
    <t>Data Atualização</t>
  </si>
  <si>
    <t>Parcela a Deduzir</t>
  </si>
  <si>
    <t>INSS</t>
  </si>
  <si>
    <t>13º Salário</t>
  </si>
  <si>
    <t>Férias</t>
  </si>
  <si>
    <t>FGTS</t>
  </si>
  <si>
    <t>Tabela INSS CLT</t>
  </si>
  <si>
    <t>Teto</t>
  </si>
  <si>
    <t>FGTS:</t>
  </si>
  <si>
    <t>Salário Líquido CLT</t>
  </si>
  <si>
    <t>IRRF</t>
  </si>
  <si>
    <t>Fator "r":</t>
  </si>
  <si>
    <t>DAS</t>
  </si>
  <si>
    <t>Piso INSS Patronal:</t>
  </si>
  <si>
    <t>Líquido PJ</t>
  </si>
  <si>
    <t>Cenário PJ (3)</t>
  </si>
  <si>
    <t>Comparação de salários-base</t>
  </si>
  <si>
    <t xml:space="preserve">       Patrão gasta o mesmo</t>
  </si>
  <si>
    <t xml:space="preserve">       Você ganha mais</t>
  </si>
  <si>
    <t xml:space="preserve">       Você ganha o mesmo</t>
  </si>
  <si>
    <t xml:space="preserve">       Patrão gasta menos</t>
  </si>
  <si>
    <t xml:space="preserve">     Seus impostos na CLT</t>
  </si>
  <si>
    <t xml:space="preserve">     Encargos do Patrão na CLT</t>
  </si>
  <si>
    <t>Salário Bruto CLT</t>
  </si>
  <si>
    <t>(Informe seu salário mensal em carteira)</t>
  </si>
  <si>
    <t xml:space="preserve">      Seus Impostos como PJ</t>
  </si>
  <si>
    <t>INSS Patronal SIMPLES:</t>
  </si>
  <si>
    <r>
      <rPr>
        <b/>
        <u/>
        <sz val="12"/>
        <color rgb="FF632E9B"/>
        <rFont val="Calibri"/>
        <family val="2"/>
        <scheme val="minor"/>
      </rPr>
      <t>Cenário PJ (1)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632E9B"/>
        <rFont val="Calibri"/>
        <family val="2"/>
        <scheme val="minor"/>
      </rPr>
      <t>Você</t>
    </r>
    <r>
      <rPr>
        <sz val="11"/>
        <color theme="1"/>
        <rFont val="Calibri"/>
        <family val="2"/>
        <scheme val="minor"/>
      </rPr>
      <t xml:space="preserve"> ganha </t>
    </r>
    <r>
      <rPr>
        <b/>
        <sz val="11"/>
        <color rgb="FF632E9B"/>
        <rFont val="Calibri"/>
        <family val="2"/>
        <scheme val="minor"/>
      </rPr>
      <t>mais</t>
    </r>
    <r>
      <rPr>
        <sz val="11"/>
        <color theme="1"/>
        <rFont val="Calibri"/>
        <family val="2"/>
        <scheme val="minor"/>
      </rPr>
      <t xml:space="preserve">, e o </t>
    </r>
    <r>
      <rPr>
        <b/>
        <sz val="11"/>
        <color theme="9" tint="-0.499984740745262"/>
        <rFont val="Calibri"/>
        <family val="2"/>
        <scheme val="minor"/>
      </rPr>
      <t>patrão</t>
    </r>
    <r>
      <rPr>
        <sz val="11"/>
        <color theme="1"/>
        <rFont val="Calibri"/>
        <family val="2"/>
        <scheme val="minor"/>
      </rPr>
      <t xml:space="preserve"> paga o </t>
    </r>
    <r>
      <rPr>
        <b/>
        <sz val="11"/>
        <color theme="9" tint="-0.499984740745262"/>
        <rFont val="Calibri"/>
        <family val="2"/>
        <scheme val="minor"/>
      </rPr>
      <t>mesmo</t>
    </r>
    <r>
      <rPr>
        <sz val="11"/>
        <color theme="1"/>
        <rFont val="Calibri"/>
        <family val="2"/>
        <scheme val="minor"/>
      </rPr>
      <t>.</t>
    </r>
  </si>
  <si>
    <r>
      <rPr>
        <b/>
        <u/>
        <sz val="12"/>
        <color rgb="FF632E9B"/>
        <rFont val="Calibri"/>
        <family val="2"/>
        <scheme val="minor"/>
      </rPr>
      <t>Cenário PJ (3)</t>
    </r>
    <r>
      <rPr>
        <sz val="11"/>
        <color theme="1"/>
        <rFont val="Calibri"/>
        <family val="2"/>
        <scheme val="minor"/>
      </rPr>
      <t xml:space="preserve">
Comparação do </t>
    </r>
    <r>
      <rPr>
        <b/>
        <sz val="11"/>
        <color rgb="FF632E9B"/>
        <rFont val="Calibri"/>
        <family val="2"/>
        <scheme val="minor"/>
      </rPr>
      <t>mesmo valor</t>
    </r>
    <r>
      <rPr>
        <sz val="11"/>
        <color theme="1"/>
        <rFont val="Calibri"/>
        <family val="2"/>
        <scheme val="minor"/>
      </rPr>
      <t xml:space="preserve"> na CLT e na PJ.</t>
    </r>
  </si>
  <si>
    <r>
      <rPr>
        <b/>
        <u/>
        <sz val="12"/>
        <color rgb="FF632E9B"/>
        <rFont val="Calibri"/>
        <family val="2"/>
        <scheme val="minor"/>
      </rPr>
      <t>Cenário PJ (2)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632E9B"/>
        <rFont val="Calibri"/>
        <family val="2"/>
        <scheme val="minor"/>
      </rPr>
      <t>Você</t>
    </r>
    <r>
      <rPr>
        <sz val="11"/>
        <color theme="1"/>
        <rFont val="Calibri"/>
        <family val="2"/>
        <scheme val="minor"/>
      </rPr>
      <t xml:space="preserve"> ganha o </t>
    </r>
    <r>
      <rPr>
        <b/>
        <sz val="11"/>
        <color rgb="FF632E9B"/>
        <rFont val="Calibri"/>
        <family val="2"/>
        <scheme val="minor"/>
      </rPr>
      <t>mesmo</t>
    </r>
    <r>
      <rPr>
        <sz val="11"/>
        <color theme="1"/>
        <rFont val="Calibri"/>
        <family val="2"/>
        <scheme val="minor"/>
      </rPr>
      <t xml:space="preserve">, e o </t>
    </r>
    <r>
      <rPr>
        <b/>
        <sz val="11"/>
        <color theme="9" tint="-0.499984740745262"/>
        <rFont val="Calibri"/>
        <family val="2"/>
        <scheme val="minor"/>
      </rPr>
      <t>patrão</t>
    </r>
    <r>
      <rPr>
        <sz val="11"/>
        <color theme="1"/>
        <rFont val="Calibri"/>
        <family val="2"/>
        <scheme val="minor"/>
      </rPr>
      <t xml:space="preserve"> paga </t>
    </r>
    <r>
      <rPr>
        <b/>
        <sz val="11"/>
        <color theme="9" tint="-0.499984740745262"/>
        <rFont val="Calibri"/>
        <family val="2"/>
        <scheme val="minor"/>
      </rPr>
      <t>menos</t>
    </r>
    <r>
      <rPr>
        <sz val="11"/>
        <color theme="1"/>
        <rFont val="Calibri"/>
        <family val="2"/>
        <scheme val="minor"/>
      </rPr>
      <t>.</t>
    </r>
  </si>
  <si>
    <t>Tabela Simples Nacional Anexo III</t>
  </si>
  <si>
    <t>Tributação Distribuição Lucros &amp; Dividendos</t>
  </si>
  <si>
    <t>Valor Teto (Base Mensal)</t>
  </si>
  <si>
    <t>Distr. Lucro</t>
  </si>
  <si>
    <r>
      <rPr>
        <b/>
        <u/>
        <sz val="14"/>
        <color rgb="FF632E9B"/>
        <rFont val="Calibri"/>
        <family val="2"/>
        <scheme val="minor"/>
      </rPr>
      <t>Instruções:</t>
    </r>
    <r>
      <rPr>
        <sz val="11"/>
        <color theme="1"/>
        <rFont val="Calibri"/>
        <family val="2"/>
        <scheme val="minor"/>
      </rPr>
      <t xml:space="preserve">
 - Você </t>
    </r>
    <r>
      <rPr>
        <b/>
        <sz val="11"/>
        <color rgb="FF632E9B"/>
        <rFont val="Calibri"/>
        <family val="2"/>
        <scheme val="minor"/>
      </rPr>
      <t>só</t>
    </r>
    <r>
      <rPr>
        <sz val="11"/>
        <color theme="1"/>
        <rFont val="Calibri"/>
        <family val="2"/>
        <scheme val="minor"/>
      </rPr>
      <t xml:space="preserve"> precisa informar um valor: seu </t>
    </r>
    <r>
      <rPr>
        <b/>
        <u/>
        <sz val="11"/>
        <color rgb="FF632E9B"/>
        <rFont val="Calibri"/>
        <family val="2"/>
        <scheme val="minor"/>
      </rPr>
      <t>Salário Bruto CLT</t>
    </r>
    <r>
      <rPr>
        <sz val="11"/>
        <color theme="1"/>
        <rFont val="Calibri"/>
        <family val="2"/>
        <scheme val="minor"/>
      </rPr>
      <t xml:space="preserve">, na célula de fundo azul claro, aqui à direita;
 - Se você não estiver empregado como CLT, digite a proposta que recebeu ou um valor de referência. Ele vai embasar os cálculos e comparações.
 - O cenário PJ 3 mostra esse valor no regime PJ.
</t>
    </r>
    <r>
      <rPr>
        <b/>
        <u/>
        <sz val="14"/>
        <color rgb="FF632E9B"/>
        <rFont val="Calibri"/>
        <family val="2"/>
        <scheme val="minor"/>
      </rPr>
      <t>Premissas: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 tint="0.34998626667073579"/>
        <rFont val="Calibri"/>
        <family val="2"/>
        <scheme val="minor"/>
      </rPr>
      <t xml:space="preserve"> - Profissional e empregador enquadrados no </t>
    </r>
    <r>
      <rPr>
        <i/>
        <sz val="11"/>
        <color theme="1" tint="0.34998626667073579"/>
        <rFont val="Calibri"/>
        <family val="2"/>
        <scheme val="minor"/>
      </rPr>
      <t>Simples Nacional</t>
    </r>
    <r>
      <rPr>
        <sz val="11"/>
        <color theme="1" tint="0.34998626667073579"/>
        <rFont val="Calibri"/>
        <family val="2"/>
        <scheme val="minor"/>
      </rPr>
      <t xml:space="preserve">;
 - </t>
    </r>
    <r>
      <rPr>
        <i/>
        <sz val="11"/>
        <color theme="1" tint="0.34998626667073579"/>
        <rFont val="Calibri"/>
        <family val="2"/>
        <scheme val="minor"/>
      </rPr>
      <t>Não</t>
    </r>
    <r>
      <rPr>
        <sz val="11"/>
        <color theme="1" tint="0.34998626667073579"/>
        <rFont val="Calibri"/>
        <family val="2"/>
        <scheme val="minor"/>
      </rPr>
      <t xml:space="preserve"> inclui Vale-Refeição/Alimentação/Transporte, Previdência, planos de saúde nem descanso remunerado do PJ.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4"/>
        <color rgb="FF632E9B"/>
        <rFont val="Calibri"/>
        <family val="2"/>
        <scheme val="minor"/>
      </rPr>
      <t>Assista: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</si>
</sst>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\+0%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Merriweather"/>
    </font>
    <font>
      <sz val="11"/>
      <color theme="1"/>
      <name val="Merriweather"/>
    </font>
    <font>
      <b/>
      <sz val="14"/>
      <color rgb="FF632E9B"/>
      <name val="Calibri"/>
      <family val="2"/>
      <scheme val="minor"/>
    </font>
    <font>
      <b/>
      <sz val="16"/>
      <color rgb="FF632E9B"/>
      <name val="Calibri"/>
      <family val="2"/>
      <scheme val="minor"/>
    </font>
    <font>
      <sz val="20"/>
      <color rgb="FF632E9B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rgb="FF632E9B"/>
      <name val="Franklin Gothic Book"/>
      <family val="2"/>
    </font>
    <font>
      <b/>
      <sz val="28"/>
      <color rgb="FF444444"/>
      <name val="Franklin Gothic Book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632E9B"/>
      <name val="Calibri"/>
      <family val="2"/>
      <scheme val="minor"/>
    </font>
    <font>
      <b/>
      <sz val="18"/>
      <color rgb="FF632E9B"/>
      <name val="Franklin Gothic Book"/>
      <family val="2"/>
    </font>
    <font>
      <b/>
      <sz val="18"/>
      <color rgb="FF632E9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4"/>
      <color rgb="FF632E9B"/>
      <name val="Calibri"/>
      <family val="2"/>
      <scheme val="minor"/>
    </font>
    <font>
      <b/>
      <sz val="11"/>
      <color rgb="FF632E9B"/>
      <name val="Calibri"/>
      <family val="2"/>
      <scheme val="minor"/>
    </font>
    <font>
      <b/>
      <u/>
      <sz val="11"/>
      <color rgb="FF632E9B"/>
      <name val="Calibri"/>
      <family val="2"/>
      <scheme val="minor"/>
    </font>
    <font>
      <b/>
      <u/>
      <sz val="12"/>
      <color rgb="FF632E9B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rgb="FF632E9B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632E9B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rgb="FF632E9B"/>
      </bottom>
      <diagonal/>
    </border>
    <border>
      <left/>
      <right/>
      <top/>
      <bottom style="medium">
        <color rgb="FF632E9B"/>
      </bottom>
      <diagonal/>
    </border>
    <border>
      <left style="medium">
        <color rgb="FF632E9B"/>
      </left>
      <right/>
      <top style="medium">
        <color rgb="FF632E9B"/>
      </top>
      <bottom/>
      <diagonal/>
    </border>
    <border>
      <left/>
      <right/>
      <top style="medium">
        <color rgb="FF632E9B"/>
      </top>
      <bottom/>
      <diagonal/>
    </border>
    <border>
      <left/>
      <right style="medium">
        <color rgb="FF632E9B"/>
      </right>
      <top style="medium">
        <color rgb="FF632E9B"/>
      </top>
      <bottom/>
      <diagonal/>
    </border>
    <border>
      <left style="medium">
        <color rgb="FF632E9B"/>
      </left>
      <right/>
      <top/>
      <bottom/>
      <diagonal/>
    </border>
    <border>
      <left/>
      <right style="medium">
        <color rgb="FF632E9B"/>
      </right>
      <top/>
      <bottom/>
      <diagonal/>
    </border>
    <border>
      <left style="medium">
        <color rgb="FF632E9B"/>
      </left>
      <right/>
      <top/>
      <bottom style="medium">
        <color rgb="FF632E9B"/>
      </bottom>
      <diagonal/>
    </border>
    <border>
      <left/>
      <right style="medium">
        <color rgb="FF632E9B"/>
      </right>
      <top/>
      <bottom style="medium">
        <color rgb="FF632E9B"/>
      </bottom>
      <diagonal/>
    </border>
    <border>
      <left style="medium">
        <color rgb="FF632E9B"/>
      </left>
      <right style="medium">
        <color rgb="FF632E9B"/>
      </right>
      <top style="medium">
        <color rgb="FF632E9B"/>
      </top>
      <bottom/>
      <diagonal/>
    </border>
    <border>
      <left style="medium">
        <color rgb="FF632E9B"/>
      </left>
      <right style="medium">
        <color rgb="FF632E9B"/>
      </right>
      <top/>
      <bottom style="medium">
        <color rgb="FF632E9B"/>
      </bottom>
      <diagonal/>
    </border>
    <border>
      <left/>
      <right/>
      <top/>
      <bottom style="hair">
        <color rgb="FF632E9B"/>
      </bottom>
      <diagonal/>
    </border>
    <border>
      <left style="hair">
        <color rgb="FF632E9B"/>
      </left>
      <right/>
      <top/>
      <bottom style="hair">
        <color rgb="FF632E9B"/>
      </bottom>
      <diagonal/>
    </border>
    <border>
      <left/>
      <right/>
      <top/>
      <bottom style="mediumDashed">
        <color theme="0" tint="-0.499984740745262"/>
      </bottom>
      <diagonal/>
    </border>
    <border>
      <left style="thin">
        <color rgb="FF632E9B"/>
      </left>
      <right style="thin">
        <color rgb="FF632E9B"/>
      </right>
      <top style="thin">
        <color rgb="FF632E9B"/>
      </top>
      <bottom/>
      <diagonal/>
    </border>
    <border>
      <left style="thin">
        <color rgb="FF632E9B"/>
      </left>
      <right style="thin">
        <color rgb="FF632E9B"/>
      </right>
      <top/>
      <bottom style="thin">
        <color rgb="FF632E9B"/>
      </bottom>
      <diagonal/>
    </border>
    <border>
      <left/>
      <right/>
      <top style="thin">
        <color theme="6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98">
    <xf numFmtId="0" fontId="0" fillId="0" borderId="0" xfId="0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6" fillId="5" borderId="0" xfId="0" applyFont="1" applyFill="1" applyBorder="1"/>
    <xf numFmtId="0" fontId="0" fillId="5" borderId="1" xfId="0" applyFill="1" applyBorder="1"/>
    <xf numFmtId="0" fontId="0" fillId="5" borderId="0" xfId="0" applyFill="1" applyBorder="1" applyAlignment="1">
      <alignment vertical="center"/>
    </xf>
    <xf numFmtId="10" fontId="0" fillId="0" borderId="0" xfId="0" applyNumberFormat="1" applyAlignment="1">
      <alignment horizontal="left"/>
    </xf>
    <xf numFmtId="4" fontId="0" fillId="0" borderId="0" xfId="0" applyNumberFormat="1"/>
    <xf numFmtId="10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3" borderId="0" xfId="2" applyFont="1"/>
    <xf numFmtId="4" fontId="1" fillId="0" borderId="0" xfId="1" applyNumberFormat="1" applyFill="1" applyAlignment="1">
      <alignment horizontal="right"/>
    </xf>
    <xf numFmtId="8" fontId="0" fillId="5" borderId="0" xfId="0" applyNumberFormat="1" applyFill="1" applyBorder="1"/>
    <xf numFmtId="8" fontId="0" fillId="5" borderId="0" xfId="0" applyNumberFormat="1" applyFont="1" applyFill="1" applyBorder="1"/>
    <xf numFmtId="164" fontId="13" fillId="5" borderId="0" xfId="0" applyNumberFormat="1" applyFont="1" applyFill="1" applyBorder="1" applyAlignment="1">
      <alignment vertical="center"/>
    </xf>
    <xf numFmtId="0" fontId="3" fillId="5" borderId="0" xfId="0" applyFont="1" applyFill="1" applyBorder="1"/>
    <xf numFmtId="10" fontId="0" fillId="5" borderId="0" xfId="0" applyNumberFormat="1" applyFill="1" applyBorder="1"/>
    <xf numFmtId="0" fontId="15" fillId="5" borderId="0" xfId="0" applyFont="1" applyFill="1" applyBorder="1" applyAlignment="1">
      <alignment horizontal="right" vertical="center"/>
    </xf>
    <xf numFmtId="10" fontId="16" fillId="5" borderId="14" xfId="0" applyNumberFormat="1" applyFont="1" applyFill="1" applyBorder="1" applyAlignment="1">
      <alignment horizontal="right" vertical="center"/>
    </xf>
    <xf numFmtId="10" fontId="16" fillId="5" borderId="14" xfId="0" applyNumberFormat="1" applyFont="1" applyFill="1" applyBorder="1" applyAlignment="1">
      <alignment vertical="center"/>
    </xf>
    <xf numFmtId="0" fontId="4" fillId="5" borderId="0" xfId="0" applyFont="1" applyFill="1" applyBorder="1"/>
    <xf numFmtId="10" fontId="16" fillId="5" borderId="14" xfId="0" applyNumberFormat="1" applyFont="1" applyFill="1" applyBorder="1"/>
    <xf numFmtId="0" fontId="0" fillId="5" borderId="0" xfId="0" applyFill="1" applyBorder="1" applyAlignment="1"/>
    <xf numFmtId="0" fontId="17" fillId="5" borderId="0" xfId="0" applyFont="1" applyFill="1" applyBorder="1" applyAlignment="1">
      <alignment horizontal="right" vertical="center"/>
    </xf>
    <xf numFmtId="8" fontId="19" fillId="5" borderId="0" xfId="0" applyNumberFormat="1" applyFont="1" applyFill="1" applyBorder="1" applyAlignment="1">
      <alignment horizontal="center" vertical="center"/>
    </xf>
    <xf numFmtId="0" fontId="0" fillId="5" borderId="0" xfId="0" applyNumberFormat="1" applyFill="1" applyBorder="1"/>
    <xf numFmtId="0" fontId="5" fillId="5" borderId="1" xfId="0" applyFont="1" applyFill="1" applyBorder="1" applyAlignment="1">
      <alignment horizontal="left"/>
    </xf>
    <xf numFmtId="0" fontId="17" fillId="5" borderId="0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0" fillId="5" borderId="15" xfId="0" applyFill="1" applyBorder="1" applyAlignment="1"/>
    <xf numFmtId="8" fontId="19" fillId="5" borderId="15" xfId="0" applyNumberFormat="1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right" vertical="center"/>
    </xf>
    <xf numFmtId="0" fontId="2" fillId="7" borderId="0" xfId="2" applyFont="1" applyFill="1"/>
    <xf numFmtId="0" fontId="0" fillId="0" borderId="0" xfId="0" applyAlignment="1">
      <alignment horizontal="right"/>
    </xf>
    <xf numFmtId="0" fontId="0" fillId="0" borderId="0" xfId="0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Border="1"/>
    <xf numFmtId="0" fontId="28" fillId="5" borderId="0" xfId="0" applyFont="1" applyFill="1" applyBorder="1"/>
    <xf numFmtId="4" fontId="0" fillId="0" borderId="18" xfId="0" applyNumberFormat="1" applyFont="1" applyBorder="1" applyAlignment="1">
      <alignment horizontal="right"/>
    </xf>
    <xf numFmtId="4" fontId="1" fillId="4" borderId="0" xfId="3" applyNumberFormat="1" applyAlignment="1">
      <alignment horizontal="right" vertical="center"/>
    </xf>
    <xf numFmtId="10" fontId="1" fillId="4" borderId="0" xfId="3" applyNumberFormat="1" applyAlignment="1">
      <alignment horizontal="right" vertical="center"/>
    </xf>
    <xf numFmtId="14" fontId="3" fillId="4" borderId="0" xfId="3" applyNumberFormat="1" applyFont="1" applyAlignment="1">
      <alignment horizontal="right" vertical="center"/>
    </xf>
    <xf numFmtId="4" fontId="0" fillId="0" borderId="0" xfId="0" applyNumberFormat="1" applyFont="1" applyBorder="1"/>
    <xf numFmtId="10" fontId="0" fillId="0" borderId="0" xfId="0" applyNumberFormat="1" applyFont="1" applyBorder="1" applyAlignment="1">
      <alignment horizontal="right"/>
    </xf>
    <xf numFmtId="0" fontId="29" fillId="5" borderId="0" xfId="0" applyFont="1" applyFill="1" applyBorder="1" applyAlignment="1">
      <alignment horizontal="right"/>
    </xf>
    <xf numFmtId="0" fontId="29" fillId="5" borderId="0" xfId="0" applyFont="1" applyFill="1" applyBorder="1"/>
    <xf numFmtId="8" fontId="29" fillId="5" borderId="0" xfId="0" applyNumberFormat="1" applyFont="1" applyFill="1" applyBorder="1"/>
    <xf numFmtId="164" fontId="14" fillId="6" borderId="4" xfId="0" applyNumberFormat="1" applyFont="1" applyFill="1" applyBorder="1" applyAlignment="1">
      <alignment horizontal="left" vertical="center"/>
    </xf>
    <xf numFmtId="164" fontId="14" fillId="6" borderId="5" xfId="0" applyNumberFormat="1" applyFont="1" applyFill="1" applyBorder="1" applyAlignment="1">
      <alignment horizontal="left" vertical="center"/>
    </xf>
    <xf numFmtId="164" fontId="14" fillId="6" borderId="6" xfId="0" applyNumberFormat="1" applyFont="1" applyFill="1" applyBorder="1" applyAlignment="1">
      <alignment horizontal="left" vertical="center"/>
    </xf>
    <xf numFmtId="164" fontId="14" fillId="6" borderId="7" xfId="0" applyNumberFormat="1" applyFont="1" applyFill="1" applyBorder="1" applyAlignment="1">
      <alignment horizontal="left" vertical="center"/>
    </xf>
    <xf numFmtId="164" fontId="14" fillId="6" borderId="0" xfId="0" applyNumberFormat="1" applyFont="1" applyFill="1" applyBorder="1" applyAlignment="1">
      <alignment horizontal="left" vertical="center"/>
    </xf>
    <xf numFmtId="164" fontId="14" fillId="6" borderId="8" xfId="0" applyNumberFormat="1" applyFont="1" applyFill="1" applyBorder="1" applyAlignment="1">
      <alignment horizontal="left" vertical="center"/>
    </xf>
    <xf numFmtId="164" fontId="14" fillId="6" borderId="9" xfId="0" applyNumberFormat="1" applyFont="1" applyFill="1" applyBorder="1" applyAlignment="1">
      <alignment horizontal="left" vertical="center"/>
    </xf>
    <xf numFmtId="164" fontId="14" fillId="6" borderId="3" xfId="0" applyNumberFormat="1" applyFont="1" applyFill="1" applyBorder="1" applyAlignment="1">
      <alignment horizontal="left" vertical="center"/>
    </xf>
    <xf numFmtId="164" fontId="14" fillId="6" borderId="10" xfId="0" applyNumberFormat="1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/>
    </xf>
    <xf numFmtId="165" fontId="8" fillId="5" borderId="11" xfId="0" applyNumberFormat="1" applyFont="1" applyFill="1" applyBorder="1" applyAlignment="1">
      <alignment horizontal="center" vertical="center"/>
    </xf>
    <xf numFmtId="165" fontId="8" fillId="5" borderId="12" xfId="0" applyNumberFormat="1" applyFont="1" applyFill="1" applyBorder="1" applyAlignment="1">
      <alignment horizontal="center" vertical="center"/>
    </xf>
    <xf numFmtId="8" fontId="9" fillId="5" borderId="4" xfId="0" applyNumberFormat="1" applyFont="1" applyFill="1" applyBorder="1" applyAlignment="1">
      <alignment horizontal="left" vertical="center"/>
    </xf>
    <xf numFmtId="8" fontId="9" fillId="5" borderId="5" xfId="0" applyNumberFormat="1" applyFont="1" applyFill="1" applyBorder="1" applyAlignment="1">
      <alignment horizontal="left" vertical="center"/>
    </xf>
    <xf numFmtId="8" fontId="9" fillId="5" borderId="6" xfId="0" applyNumberFormat="1" applyFont="1" applyFill="1" applyBorder="1" applyAlignment="1">
      <alignment horizontal="left" vertical="center"/>
    </xf>
    <xf numFmtId="8" fontId="9" fillId="5" borderId="9" xfId="0" applyNumberFormat="1" applyFont="1" applyFill="1" applyBorder="1" applyAlignment="1">
      <alignment horizontal="left" vertical="center"/>
    </xf>
    <xf numFmtId="8" fontId="9" fillId="5" borderId="3" xfId="0" applyNumberFormat="1" applyFont="1" applyFill="1" applyBorder="1" applyAlignment="1">
      <alignment horizontal="left" vertical="center"/>
    </xf>
    <xf numFmtId="8" fontId="9" fillId="5" borderId="10" xfId="0" applyNumberFormat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top"/>
    </xf>
    <xf numFmtId="0" fontId="20" fillId="7" borderId="0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center"/>
    </xf>
    <xf numFmtId="9" fontId="8" fillId="5" borderId="11" xfId="0" applyNumberFormat="1" applyFont="1" applyFill="1" applyBorder="1" applyAlignment="1">
      <alignment horizontal="center" vertical="center"/>
    </xf>
    <xf numFmtId="9" fontId="8" fillId="5" borderId="12" xfId="0" applyNumberFormat="1" applyFont="1" applyFill="1" applyBorder="1" applyAlignment="1">
      <alignment horizontal="center" vertical="center"/>
    </xf>
    <xf numFmtId="8" fontId="9" fillId="5" borderId="4" xfId="0" applyNumberFormat="1" applyFont="1" applyFill="1" applyBorder="1" applyAlignment="1">
      <alignment horizontal="center" vertical="center"/>
    </xf>
    <xf numFmtId="8" fontId="9" fillId="5" borderId="5" xfId="0" applyNumberFormat="1" applyFont="1" applyFill="1" applyBorder="1" applyAlignment="1">
      <alignment horizontal="center" vertical="center"/>
    </xf>
    <xf numFmtId="8" fontId="9" fillId="5" borderId="6" xfId="0" applyNumberFormat="1" applyFont="1" applyFill="1" applyBorder="1" applyAlignment="1">
      <alignment horizontal="center" vertical="center"/>
    </xf>
    <xf numFmtId="8" fontId="9" fillId="5" borderId="9" xfId="0" applyNumberFormat="1" applyFont="1" applyFill="1" applyBorder="1" applyAlignment="1">
      <alignment horizontal="center" vertical="center"/>
    </xf>
    <xf numFmtId="8" fontId="9" fillId="5" borderId="3" xfId="0" applyNumberFormat="1" applyFont="1" applyFill="1" applyBorder="1" applyAlignment="1">
      <alignment horizontal="center" vertical="center"/>
    </xf>
    <xf numFmtId="8" fontId="9" fillId="5" borderId="10" xfId="0" applyNumberFormat="1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8" fontId="19" fillId="8" borderId="4" xfId="0" applyNumberFormat="1" applyFont="1" applyFill="1" applyBorder="1" applyAlignment="1">
      <alignment horizontal="center" vertical="center"/>
    </xf>
    <xf numFmtId="8" fontId="19" fillId="8" borderId="5" xfId="0" applyNumberFormat="1" applyFont="1" applyFill="1" applyBorder="1" applyAlignment="1">
      <alignment horizontal="center" vertical="center"/>
    </xf>
    <xf numFmtId="8" fontId="19" fillId="8" borderId="6" xfId="0" applyNumberFormat="1" applyFont="1" applyFill="1" applyBorder="1" applyAlignment="1">
      <alignment horizontal="center" vertical="center"/>
    </xf>
    <xf numFmtId="8" fontId="19" fillId="8" borderId="9" xfId="0" applyNumberFormat="1" applyFont="1" applyFill="1" applyBorder="1" applyAlignment="1">
      <alignment horizontal="center" vertical="center"/>
    </xf>
    <xf numFmtId="8" fontId="19" fillId="8" borderId="3" xfId="0" applyNumberFormat="1" applyFont="1" applyFill="1" applyBorder="1" applyAlignment="1">
      <alignment horizontal="center" vertical="center"/>
    </xf>
    <xf numFmtId="8" fontId="19" fillId="8" borderId="10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top"/>
    </xf>
    <xf numFmtId="0" fontId="3" fillId="5" borderId="13" xfId="0" applyFont="1" applyFill="1" applyBorder="1" applyAlignment="1">
      <alignment horizontal="left" vertical="center"/>
    </xf>
    <xf numFmtId="164" fontId="18" fillId="8" borderId="4" xfId="0" applyNumberFormat="1" applyFont="1" applyFill="1" applyBorder="1" applyAlignment="1">
      <alignment horizontal="center" vertical="center"/>
    </xf>
    <xf numFmtId="164" fontId="18" fillId="8" borderId="5" xfId="0" applyNumberFormat="1" applyFont="1" applyFill="1" applyBorder="1" applyAlignment="1">
      <alignment horizontal="center" vertical="center"/>
    </xf>
    <xf numFmtId="164" fontId="18" fillId="8" borderId="6" xfId="0" applyNumberFormat="1" applyFont="1" applyFill="1" applyBorder="1" applyAlignment="1">
      <alignment horizontal="center" vertical="center"/>
    </xf>
    <xf numFmtId="164" fontId="18" fillId="8" borderId="9" xfId="0" applyNumberFormat="1" applyFont="1" applyFill="1" applyBorder="1" applyAlignment="1">
      <alignment horizontal="center" vertical="center"/>
    </xf>
    <xf numFmtId="164" fontId="18" fillId="8" borderId="3" xfId="0" applyNumberFormat="1" applyFont="1" applyFill="1" applyBorder="1" applyAlignment="1">
      <alignment horizontal="center" vertical="center"/>
    </xf>
    <xf numFmtId="164" fontId="18" fillId="8" borderId="10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left"/>
    </xf>
    <xf numFmtId="0" fontId="0" fillId="8" borderId="16" xfId="0" applyFill="1" applyBorder="1" applyAlignment="1">
      <alignment horizontal="left" vertical="center" wrapText="1"/>
    </xf>
    <xf numFmtId="0" fontId="0" fillId="8" borderId="17" xfId="0" applyFill="1" applyBorder="1" applyAlignment="1">
      <alignment horizontal="left" vertical="center"/>
    </xf>
    <xf numFmtId="0" fontId="12" fillId="3" borderId="0" xfId="2" applyFont="1" applyAlignment="1">
      <alignment horizontal="center"/>
    </xf>
  </cellXfs>
  <cellStyles count="4">
    <cellStyle name="20% - Ênfase1" xfId="1" builtinId="30"/>
    <cellStyle name="20% - Ênfase3" xfId="3" builtinId="38"/>
    <cellStyle name="Ênfase3" xfId="2" builtinId="37"/>
    <cellStyle name="Normal" xfId="0" builtinId="0"/>
  </cellStyles>
  <dxfs count="13">
    <dxf>
      <numFmt numFmtId="4" formatCode="#,##0.00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4" formatCode="#,##0.00"/>
    </dxf>
  </dxfs>
  <tableStyles count="0" defaultTableStyle="TableStyleMedium2" defaultPivotStyle="PivotStyleLight16"/>
  <colors>
    <mruColors>
      <color rgb="FF632E9B"/>
      <color rgb="FFF0F0FF"/>
      <color rgb="FFE6E6FF"/>
      <color rgb="FFDCDCFF"/>
      <color rgb="FF44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https://api.whatsapp.com/send?phone=5511943437932&amp;text=Ol%C3%A1!%20Baixei%20a%20Calculadora%20CLTxPJ,%20e%20gostaria%20de%20tirar%20uma%20d%C3%BAvida:%20______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5" Type="http://schemas.openxmlformats.org/officeDocument/2006/relationships/hyperlink" Target="https://youtu.be/ggszYzGgCug&amp;utm_source=calculadora&amp;utm_medium=excel&amp;utm_campaign=Calculadora" TargetMode="Externa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57150</xdr:rowOff>
    </xdr:from>
    <xdr:to>
      <xdr:col>0</xdr:col>
      <xdr:colOff>3395467</xdr:colOff>
      <xdr:row>5</xdr:row>
      <xdr:rowOff>148590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C378654-E595-4A99-B80B-C8C429E37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38125"/>
          <a:ext cx="3208777" cy="952500"/>
        </a:xfrm>
        <a:prstGeom prst="rect">
          <a:avLst/>
        </a:prstGeom>
      </xdr:spPr>
    </xdr:pic>
    <xdr:clientData/>
  </xdr:twoCellAnchor>
  <xdr:twoCellAnchor editAs="oneCell">
    <xdr:from>
      <xdr:col>14</xdr:col>
      <xdr:colOff>61913</xdr:colOff>
      <xdr:row>15</xdr:row>
      <xdr:rowOff>19050</xdr:rowOff>
    </xdr:from>
    <xdr:to>
      <xdr:col>14</xdr:col>
      <xdr:colOff>408623</xdr:colOff>
      <xdr:row>16</xdr:row>
      <xdr:rowOff>156711</xdr:rowOff>
    </xdr:to>
    <xdr:pic>
      <xdr:nvPicPr>
        <xdr:cNvPr id="5" name="Imagem 4" descr="Star on Twitter Twemoji 12.1">
          <a:extLst>
            <a:ext uri="{FF2B5EF4-FFF2-40B4-BE49-F238E27FC236}">
              <a16:creationId xmlns:a16="http://schemas.microsoft.com/office/drawing/2014/main" id="{9DA9F67E-1D39-410E-9A08-D0E027C69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6613" y="28670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61913</xdr:colOff>
      <xdr:row>33</xdr:row>
      <xdr:rowOff>9525</xdr:rowOff>
    </xdr:from>
    <xdr:to>
      <xdr:col>14</xdr:col>
      <xdr:colOff>408623</xdr:colOff>
      <xdr:row>34</xdr:row>
      <xdr:rowOff>152400</xdr:rowOff>
    </xdr:to>
    <xdr:pic>
      <xdr:nvPicPr>
        <xdr:cNvPr id="6" name="Imagem 5" descr="Star on Twitter Twemoji 12.1">
          <a:extLst>
            <a:ext uri="{FF2B5EF4-FFF2-40B4-BE49-F238E27FC236}">
              <a16:creationId xmlns:a16="http://schemas.microsoft.com/office/drawing/2014/main" id="{3E3BCDB3-7FD5-40C5-84CF-B5E948C05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6613" y="59912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61913</xdr:colOff>
      <xdr:row>49</xdr:row>
      <xdr:rowOff>29583</xdr:rowOff>
    </xdr:from>
    <xdr:to>
      <xdr:col>14</xdr:col>
      <xdr:colOff>408623</xdr:colOff>
      <xdr:row>50</xdr:row>
      <xdr:rowOff>181983</xdr:rowOff>
    </xdr:to>
    <xdr:pic>
      <xdr:nvPicPr>
        <xdr:cNvPr id="7" name="Imagem 6" descr="Star on Twitter Twemoji 12.1">
          <a:extLst>
            <a:ext uri="{FF2B5EF4-FFF2-40B4-BE49-F238E27FC236}">
              <a16:creationId xmlns:a16="http://schemas.microsoft.com/office/drawing/2014/main" id="{F9E2D6B2-509C-4382-B122-F72B2AFED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334" y="9584662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21</xdr:row>
      <xdr:rowOff>66675</xdr:rowOff>
    </xdr:from>
    <xdr:to>
      <xdr:col>6</xdr:col>
      <xdr:colOff>377190</xdr:colOff>
      <xdr:row>22</xdr:row>
      <xdr:rowOff>152400</xdr:rowOff>
    </xdr:to>
    <xdr:pic>
      <xdr:nvPicPr>
        <xdr:cNvPr id="8" name="Imagem 7" descr="Star on Twitter Twemoji 12.1">
          <a:extLst>
            <a:ext uri="{FF2B5EF4-FFF2-40B4-BE49-F238E27FC236}">
              <a16:creationId xmlns:a16="http://schemas.microsoft.com/office/drawing/2014/main" id="{89B518FF-DAB3-4BE8-B9FB-C0ADD15E2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400050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19940</xdr:colOff>
      <xdr:row>5</xdr:row>
      <xdr:rowOff>13847</xdr:rowOff>
    </xdr:from>
    <xdr:to>
      <xdr:col>9</xdr:col>
      <xdr:colOff>220861</xdr:colOff>
      <xdr:row>5</xdr:row>
      <xdr:rowOff>195718</xdr:rowOff>
    </xdr:to>
    <xdr:pic>
      <xdr:nvPicPr>
        <xdr:cNvPr id="9" name="Imagem 8" descr="Man Office Worker on JoyPixels 5.0">
          <a:extLst>
            <a:ext uri="{FF2B5EF4-FFF2-40B4-BE49-F238E27FC236}">
              <a16:creationId xmlns:a16="http://schemas.microsoft.com/office/drawing/2014/main" id="{B243A5F1-ADF6-4D72-83A5-6D6BFB406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93083" y="1061597"/>
          <a:ext cx="189491" cy="189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21956</xdr:colOff>
      <xdr:row>4</xdr:row>
      <xdr:rowOff>39984</xdr:rowOff>
    </xdr:from>
    <xdr:to>
      <xdr:col>9</xdr:col>
      <xdr:colOff>218845</xdr:colOff>
      <xdr:row>4</xdr:row>
      <xdr:rowOff>225540</xdr:rowOff>
    </xdr:to>
    <xdr:pic>
      <xdr:nvPicPr>
        <xdr:cNvPr id="10" name="Imagem 9" descr="Man Office Worker on Samsung ">
          <a:extLst>
            <a:ext uri="{FF2B5EF4-FFF2-40B4-BE49-F238E27FC236}">
              <a16:creationId xmlns:a16="http://schemas.microsoft.com/office/drawing/2014/main" id="{CF66FA2C-B375-4F6E-B5D2-6E88B59B1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95099" y="842805"/>
          <a:ext cx="185459" cy="181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19940</xdr:colOff>
      <xdr:row>9</xdr:row>
      <xdr:rowOff>1570</xdr:rowOff>
    </xdr:from>
    <xdr:to>
      <xdr:col>9</xdr:col>
      <xdr:colOff>220861</xdr:colOff>
      <xdr:row>10</xdr:row>
      <xdr:rowOff>561</xdr:rowOff>
    </xdr:to>
    <xdr:pic>
      <xdr:nvPicPr>
        <xdr:cNvPr id="11" name="Imagem 10" descr="Man Office Worker on JoyPixels 5.0">
          <a:extLst>
            <a:ext uri="{FF2B5EF4-FFF2-40B4-BE49-F238E27FC236}">
              <a16:creationId xmlns:a16="http://schemas.microsoft.com/office/drawing/2014/main" id="{F906AF0A-6255-4998-8A95-C202C1D90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93083" y="1892963"/>
          <a:ext cx="189491" cy="189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19940</xdr:colOff>
      <xdr:row>23</xdr:row>
      <xdr:rowOff>138</xdr:rowOff>
    </xdr:from>
    <xdr:to>
      <xdr:col>9</xdr:col>
      <xdr:colOff>220861</xdr:colOff>
      <xdr:row>23</xdr:row>
      <xdr:rowOff>189629</xdr:rowOff>
    </xdr:to>
    <xdr:pic>
      <xdr:nvPicPr>
        <xdr:cNvPr id="12" name="Imagem 11" descr="Man Office Worker on JoyPixels 5.0">
          <a:extLst>
            <a:ext uri="{FF2B5EF4-FFF2-40B4-BE49-F238E27FC236}">
              <a16:creationId xmlns:a16="http://schemas.microsoft.com/office/drawing/2014/main" id="{595DCFF9-EE20-4165-9FA4-F33408A92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93083" y="4204745"/>
          <a:ext cx="189491" cy="189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21956</xdr:colOff>
      <xdr:row>22</xdr:row>
      <xdr:rowOff>39414</xdr:rowOff>
    </xdr:from>
    <xdr:to>
      <xdr:col>9</xdr:col>
      <xdr:colOff>218845</xdr:colOff>
      <xdr:row>22</xdr:row>
      <xdr:rowOff>224970</xdr:rowOff>
    </xdr:to>
    <xdr:pic>
      <xdr:nvPicPr>
        <xdr:cNvPr id="13" name="Imagem 12" descr="Man Office Worker on Samsung ">
          <a:extLst>
            <a:ext uri="{FF2B5EF4-FFF2-40B4-BE49-F238E27FC236}">
              <a16:creationId xmlns:a16="http://schemas.microsoft.com/office/drawing/2014/main" id="{BE5A00B7-EA5D-46A7-84A2-E15E3FBD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95099" y="3999093"/>
          <a:ext cx="185459" cy="181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19940</xdr:colOff>
      <xdr:row>26</xdr:row>
      <xdr:rowOff>165223</xdr:rowOff>
    </xdr:from>
    <xdr:to>
      <xdr:col>9</xdr:col>
      <xdr:colOff>220861</xdr:colOff>
      <xdr:row>27</xdr:row>
      <xdr:rowOff>156594</xdr:rowOff>
    </xdr:to>
    <xdr:pic>
      <xdr:nvPicPr>
        <xdr:cNvPr id="14" name="Imagem 13" descr="Man Office Worker on JoyPixels 5.0">
          <a:extLst>
            <a:ext uri="{FF2B5EF4-FFF2-40B4-BE49-F238E27FC236}">
              <a16:creationId xmlns:a16="http://schemas.microsoft.com/office/drawing/2014/main" id="{BD011FDE-AB62-4D54-B7E9-62C668F09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93083" y="5022973"/>
          <a:ext cx="189491" cy="189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19940</xdr:colOff>
      <xdr:row>42</xdr:row>
      <xdr:rowOff>179676</xdr:rowOff>
    </xdr:from>
    <xdr:to>
      <xdr:col>9</xdr:col>
      <xdr:colOff>220861</xdr:colOff>
      <xdr:row>44</xdr:row>
      <xdr:rowOff>1803</xdr:rowOff>
    </xdr:to>
    <xdr:pic>
      <xdr:nvPicPr>
        <xdr:cNvPr id="15" name="Imagem 14" descr="Man Office Worker on JoyPixels 5.0">
          <a:extLst>
            <a:ext uri="{FF2B5EF4-FFF2-40B4-BE49-F238E27FC236}">
              <a16:creationId xmlns:a16="http://schemas.microsoft.com/office/drawing/2014/main" id="{6BF4134C-ADC1-4CBC-BF7B-21FE33940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93083" y="7840497"/>
          <a:ext cx="189491" cy="189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265524</xdr:colOff>
      <xdr:row>11</xdr:row>
      <xdr:rowOff>185580</xdr:rowOff>
    </xdr:from>
    <xdr:to>
      <xdr:col>2</xdr:col>
      <xdr:colOff>184283</xdr:colOff>
      <xdr:row>12</xdr:row>
      <xdr:rowOff>184446</xdr:rowOff>
    </xdr:to>
    <xdr:pic>
      <xdr:nvPicPr>
        <xdr:cNvPr id="16" name="Imagem 15" descr="Man Office Worker on Samsung ">
          <a:extLst>
            <a:ext uri="{FF2B5EF4-FFF2-40B4-BE49-F238E27FC236}">
              <a16:creationId xmlns:a16="http://schemas.microsoft.com/office/drawing/2014/main" id="{489FBF34-100E-4BD9-B1BE-AE373FFD1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599274" y="2443005"/>
          <a:ext cx="185459" cy="181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253983</xdr:colOff>
      <xdr:row>7</xdr:row>
      <xdr:rowOff>178463</xdr:rowOff>
    </xdr:from>
    <xdr:to>
      <xdr:col>2</xdr:col>
      <xdr:colOff>180584</xdr:colOff>
      <xdr:row>8</xdr:row>
      <xdr:rowOff>181264</xdr:rowOff>
    </xdr:to>
    <xdr:pic>
      <xdr:nvPicPr>
        <xdr:cNvPr id="17" name="Imagem 16" descr="Man Office Worker on JoyPixels 5.0">
          <a:extLst>
            <a:ext uri="{FF2B5EF4-FFF2-40B4-BE49-F238E27FC236}">
              <a16:creationId xmlns:a16="http://schemas.microsoft.com/office/drawing/2014/main" id="{139E1DC5-521D-4286-BC4A-0BD40D95E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587733" y="1664363"/>
          <a:ext cx="189491" cy="189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252632</xdr:colOff>
      <xdr:row>28</xdr:row>
      <xdr:rowOff>68398</xdr:rowOff>
    </xdr:from>
    <xdr:to>
      <xdr:col>0</xdr:col>
      <xdr:colOff>3298657</xdr:colOff>
      <xdr:row>37</xdr:row>
      <xdr:rowOff>123935</xdr:rowOff>
    </xdr:to>
    <xdr:pic>
      <xdr:nvPicPr>
        <xdr:cNvPr id="4" name="Imagem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F0C98C-8BAB-454A-9FC8-9F0D0A5A9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32" y="5621473"/>
          <a:ext cx="3046025" cy="1712887"/>
        </a:xfrm>
        <a:prstGeom prst="rect">
          <a:avLst/>
        </a:prstGeom>
        <a:ln w="88900" cap="sq" cmpd="thickThin">
          <a:solidFill>
            <a:srgbClr val="C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oneCellAnchor>
    <xdr:from>
      <xdr:col>9</xdr:col>
      <xdr:colOff>19940</xdr:colOff>
      <xdr:row>27</xdr:row>
      <xdr:rowOff>1570</xdr:rowOff>
    </xdr:from>
    <xdr:ext cx="189491" cy="189491"/>
    <xdr:pic>
      <xdr:nvPicPr>
        <xdr:cNvPr id="20" name="Imagem 19" descr="Man Office Worker on JoyPixels 5.0">
          <a:extLst>
            <a:ext uri="{FF2B5EF4-FFF2-40B4-BE49-F238E27FC236}">
              <a16:creationId xmlns:a16="http://schemas.microsoft.com/office/drawing/2014/main" id="{B69EA933-B754-4517-B203-9ADCDE4A8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78115" y="1877995"/>
          <a:ext cx="189491" cy="189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19940</xdr:colOff>
      <xdr:row>43</xdr:row>
      <xdr:rowOff>1570</xdr:rowOff>
    </xdr:from>
    <xdr:ext cx="189491" cy="189491"/>
    <xdr:pic>
      <xdr:nvPicPr>
        <xdr:cNvPr id="21" name="Imagem 20" descr="Man Office Worker on JoyPixels 5.0">
          <a:extLst>
            <a:ext uri="{FF2B5EF4-FFF2-40B4-BE49-F238E27FC236}">
              <a16:creationId xmlns:a16="http://schemas.microsoft.com/office/drawing/2014/main" id="{C6AB5945-C964-45E4-BCC6-F7B625164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78115" y="1877995"/>
          <a:ext cx="189491" cy="189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142874</xdr:colOff>
      <xdr:row>39</xdr:row>
      <xdr:rowOff>48130</xdr:rowOff>
    </xdr:from>
    <xdr:to>
      <xdr:col>0</xdr:col>
      <xdr:colOff>792331</xdr:colOff>
      <xdr:row>42</xdr:row>
      <xdr:rowOff>79849</xdr:rowOff>
    </xdr:to>
    <xdr:pic>
      <xdr:nvPicPr>
        <xdr:cNvPr id="18" name="Imagem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E2DBA50-76B0-4DE7-9CE5-3803178D5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7649080"/>
          <a:ext cx="649457" cy="631794"/>
        </a:xfrm>
        <a:prstGeom prst="rect">
          <a:avLst/>
        </a:prstGeom>
        <a:ln>
          <a:noFill/>
        </a:ln>
        <a:effectLst>
          <a:outerShdw blurRad="292100" dist="635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0</xdr:col>
      <xdr:colOff>819149</xdr:colOff>
      <xdr:row>39</xdr:row>
      <xdr:rowOff>67180</xdr:rowOff>
    </xdr:from>
    <xdr:ext cx="2695575" cy="562013"/>
    <xdr:sp macro="" textlink="">
      <xdr:nvSpPr>
        <xdr:cNvPr id="22" name="CaixaDeTexto 2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C3A26F4-64A4-4350-BA67-75340CAC9ECB}"/>
            </a:ext>
          </a:extLst>
        </xdr:cNvPr>
        <xdr:cNvSpPr txBox="1"/>
      </xdr:nvSpPr>
      <xdr:spPr>
        <a:xfrm>
          <a:off x="819149" y="7668130"/>
          <a:ext cx="2695575" cy="562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800" b="1">
              <a:solidFill>
                <a:schemeClr val="accent6"/>
              </a:solidFill>
            </a:rPr>
            <a:t>Dúvidas</a:t>
          </a:r>
          <a:r>
            <a:rPr lang="pt-BR" sz="1800" b="1" baseline="0">
              <a:solidFill>
                <a:schemeClr val="accent6"/>
              </a:solidFill>
            </a:rPr>
            <a:t> &amp; </a:t>
          </a:r>
          <a:r>
            <a:rPr lang="pt-BR" sz="1800" b="1">
              <a:solidFill>
                <a:schemeClr val="accent6"/>
              </a:solidFill>
            </a:rPr>
            <a:t>Contabilidade </a:t>
          </a:r>
          <a:br>
            <a:rPr lang="pt-BR" sz="1800" b="1">
              <a:solidFill>
                <a:schemeClr val="accent6"/>
              </a:solidFill>
            </a:rPr>
          </a:br>
          <a:r>
            <a:rPr lang="pt-BR" sz="1200" b="0" u="sng">
              <a:solidFill>
                <a:schemeClr val="accent6"/>
              </a:solidFill>
            </a:rPr>
            <a:t>Clique aqui</a:t>
          </a:r>
          <a:endParaRPr lang="pt-BR" sz="1800" b="0" u="sng">
            <a:solidFill>
              <a:schemeClr val="accent6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rrfTable" displayName="IrrfTable" ref="A2:C8" totalsRowShown="0">
  <tableColumns count="3">
    <tableColumn id="1" xr3:uid="{00000000-0010-0000-0000-000001000000}" name="Valor Teto" dataDxfId="12"/>
    <tableColumn id="2" xr3:uid="{00000000-0010-0000-0000-000002000000}" name="Alíquota" dataDxfId="11"/>
    <tableColumn id="3" xr3:uid="{00000000-0010-0000-0000-000003000000}" name="Parcela a Deduzir" dataDxfId="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nssCltTable" displayName="InssCltTable" ref="A12:D16" totalsRowShown="0">
  <tableColumns count="4">
    <tableColumn id="1" xr3:uid="{00000000-0010-0000-0100-000001000000}" name="Valor Teto" dataDxfId="9"/>
    <tableColumn id="2" xr3:uid="{00000000-0010-0000-0100-000002000000}" name="Alíquota" dataDxfId="8"/>
    <tableColumn id="3" xr3:uid="{00000000-0010-0000-0100-000003000000}" name="Parcela a Deduzir" dataDxfId="7">
      <calculatedColumnFormula>InssCltTable[[#This Row],[Valor Teto]]*InssCltTable[[#This Row],[Alíquota]]</calculatedColumnFormula>
    </tableColumn>
    <tableColumn id="4" xr3:uid="{18884353-7EAE-4DD1-8DDB-0B3055A9A969}" name="Teto" dataDxfId="6">
      <calculatedColumnFormula>InssFaixa4Teto*InssFaixa4Aliquota - InssFaixa4Parcela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179E7C-B32B-4273-BBF4-2CA6668905D0}" name="SimplesNacionalAnexo3Table" displayName="SimplesNacionalAnexo3Table" ref="A20:C26" totalsRowShown="0">
  <tableColumns count="3">
    <tableColumn id="1" xr3:uid="{9DFC1167-8997-40DC-97CE-CD809D63CC46}" name="Valor Teto (Base Mensal)" dataDxfId="5"/>
    <tableColumn id="2" xr3:uid="{115ECB1A-C30F-448A-8592-3A9CF2C04C6B}" name="Alíquota" dataDxfId="4"/>
    <tableColumn id="3" xr3:uid="{C9980E19-D5A6-474F-AE77-0673AAD1455E}" name="Parcela a Deduzir" dataDxfId="3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5D1DAE-ABA5-4258-B7D9-E97F8AF4885C}" name="TributacaoLucrosTable" displayName="TributacaoLucrosTable" ref="A30:C34" totalsRowShown="0">
  <tableColumns count="3">
    <tableColumn id="1" xr3:uid="{3FE77008-13BE-4089-AD62-D5929E2C6A89}" name="Valor Teto" dataDxfId="2"/>
    <tableColumn id="2" xr3:uid="{3A9E0C52-692B-458C-BA0D-E79CAAD8F6ED}" name="Alíquota" dataDxfId="1"/>
    <tableColumn id="3" xr3:uid="{E918C29B-66DE-47D0-ADCF-8EADCB8988B3}" name="Parcela a Deduzi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632E9B"/>
  </sheetPr>
  <dimension ref="A1:P51"/>
  <sheetViews>
    <sheetView tabSelected="1" zoomScaleNormal="100" workbookViewId="0">
      <selection activeCell="C5" sqref="C5:F7"/>
    </sheetView>
  </sheetViews>
  <sheetFormatPr defaultColWidth="9.140625" defaultRowHeight="15"/>
  <cols>
    <col min="1" max="1" width="53.85546875" style="4" customWidth="1"/>
    <col min="2" max="2" width="4.140625" style="1" customWidth="1"/>
    <col min="3" max="3" width="10.42578125" style="1" customWidth="1"/>
    <col min="4" max="4" width="13.5703125" style="1" customWidth="1"/>
    <col min="5" max="9" width="9.140625" style="1"/>
    <col min="10" max="10" width="9.140625" style="1" customWidth="1"/>
    <col min="11" max="11" width="1" style="1" customWidth="1"/>
    <col min="12" max="12" width="14" style="1" customWidth="1"/>
    <col min="13" max="14" width="9.140625" style="1"/>
    <col min="15" max="15" width="7.28515625" style="1" customWidth="1"/>
    <col min="16" max="16" width="46.28515625" style="1" customWidth="1"/>
    <col min="17" max="16384" width="9.140625" style="1"/>
  </cols>
  <sheetData>
    <row r="1" spans="1:16" s="3" customFormat="1" ht="14.25">
      <c r="A1" s="26" t="s">
        <v>0</v>
      </c>
    </row>
    <row r="3" spans="1:16">
      <c r="J3" s="66" t="s">
        <v>1</v>
      </c>
      <c r="K3" s="66"/>
      <c r="L3" s="66"/>
      <c r="M3" s="66"/>
      <c r="N3" s="66"/>
      <c r="P3" s="95" t="s">
        <v>35</v>
      </c>
    </row>
    <row r="4" spans="1:16" ht="19.5" thickBot="1">
      <c r="C4" s="56" t="s">
        <v>31</v>
      </c>
      <c r="D4" s="56"/>
      <c r="E4" s="56"/>
      <c r="F4" s="56"/>
      <c r="J4" s="67"/>
      <c r="K4" s="67"/>
      <c r="L4" s="67"/>
      <c r="M4" s="67"/>
      <c r="N4" s="67"/>
      <c r="P4" s="96"/>
    </row>
    <row r="5" spans="1:16" ht="18.75" customHeight="1">
      <c r="C5" s="47">
        <v>10000</v>
      </c>
      <c r="D5" s="48"/>
      <c r="E5" s="48"/>
      <c r="F5" s="49"/>
      <c r="J5" s="69" t="s">
        <v>25</v>
      </c>
      <c r="K5" s="69"/>
      <c r="L5" s="69"/>
      <c r="M5" s="69"/>
      <c r="N5" s="69"/>
    </row>
    <row r="6" spans="1:16" ht="18.75" customHeight="1" thickBot="1">
      <c r="C6" s="50"/>
      <c r="D6" s="51"/>
      <c r="E6" s="51"/>
      <c r="F6" s="52"/>
      <c r="J6" s="69" t="s">
        <v>26</v>
      </c>
      <c r="K6" s="69"/>
      <c r="L6" s="69"/>
      <c r="M6" s="69"/>
      <c r="N6" s="69"/>
    </row>
    <row r="7" spans="1:16" ht="15.75" thickBot="1">
      <c r="C7" s="53"/>
      <c r="D7" s="54"/>
      <c r="E7" s="54"/>
      <c r="F7" s="55"/>
      <c r="G7"/>
      <c r="J7" s="57">
        <f xml:space="preserve"> - CltPatraoGasta</f>
        <v>0.2</v>
      </c>
      <c r="L7" s="59">
        <f>SalarioBaseClt * (1 + J7)</f>
        <v>12000</v>
      </c>
      <c r="M7" s="60"/>
      <c r="N7" s="61"/>
    </row>
    <row r="8" spans="1:16" ht="15.75" customHeight="1" thickBot="1">
      <c r="A8" s="68" t="s">
        <v>42</v>
      </c>
      <c r="C8" s="86" t="s">
        <v>32</v>
      </c>
      <c r="D8" s="86"/>
      <c r="E8" s="86"/>
      <c r="F8" s="86"/>
      <c r="G8" s="15"/>
      <c r="H8"/>
      <c r="J8" s="58"/>
      <c r="L8" s="62"/>
      <c r="M8" s="63"/>
      <c r="N8" s="64"/>
    </row>
    <row r="9" spans="1:16">
      <c r="A9" s="68"/>
      <c r="C9" s="87" t="s">
        <v>29</v>
      </c>
      <c r="D9" s="87"/>
      <c r="E9" s="87"/>
      <c r="F9" s="18">
        <f>(InssCltValor+IrrfCltValor)/SalarioBaseClt</f>
        <v>-0.24813333125000003</v>
      </c>
      <c r="L9" s="65" t="s">
        <v>2</v>
      </c>
      <c r="M9" s="65"/>
      <c r="N9" s="65"/>
    </row>
    <row r="10" spans="1:16">
      <c r="A10" s="68"/>
      <c r="C10" s="2" t="s">
        <v>10</v>
      </c>
      <c r="D10" s="13">
        <f>-(SalarioBaseClt*
IF(SalarioBaseClt&lt;=InssFaixa1Teto,InssFaixa1Aliquota,
IF(SalarioBaseClt&lt;=InssFaixa2Teto,InssFaixa2Aliquota,
IF(SalarioBaseClt&lt;=InssFaixa3Teto,InssFaixa3Aliquota,
IF(SalarioBaseClt&lt;=InssFaixa4Teto,InssFaixa4Aliquota,
InssTetoContribuicao/SalarioBaseClt)))) -
IF(SalarioBaseClt&lt;=InssFaixa1Teto,InssFaixa1Parcela,
IF(SalarioBaseClt&lt;=InssFaixa2Teto,InssFaixa2Parcela,
IF(SalarioBaseClt&lt;=InssFaixa3Teto,InssFaixa3Parcela,
IF(SalarioBaseClt&lt;=InssFaixa4Teto,InssFaixa4Parcela, 0)))))</f>
        <v>-828.54250000000002</v>
      </c>
      <c r="J10" s="94" t="s">
        <v>33</v>
      </c>
      <c r="K10" s="94"/>
      <c r="L10" s="94"/>
      <c r="M10" s="94"/>
      <c r="N10" s="21">
        <f>SUM(L11:L13) / SalarioPj1</f>
        <v>-9.8613562500000015E-2</v>
      </c>
    </row>
    <row r="11" spans="1:16">
      <c r="A11" s="68"/>
      <c r="C11" s="2" t="s">
        <v>18</v>
      </c>
      <c r="D11" s="12">
        <f>-IF((SalarioBaseClt + InssCltValor)&lt;=IrrfFaixa1Teto,   (SalarioBaseClt + InssCltValor) * IrrfFaixa1Aliquota - IrrfFaixa1Parcela,
  IF((SalarioBaseClt + InssCltValor)&lt;=IrrfFaixa2Teto,   (SalarioBaseClt + InssCltValor) * IrrfFaixa2Aliquota - IrrfFaixa2Parcela,
  IF((SalarioBaseClt + InssCltValor)&lt;=IrrfFaixa3Teto,   (SalarioBaseClt + InssCltValor) * IrrfFaixa3Aliquota - IrrfFaixa3Parcela,
  IF((SalarioBaseClt + InssCltValor)&lt;=IrrfFaixa4Teto,   (SalarioBaseClt + InssCltValor) * IrrfFaixa4Aliquota - IrrfFaixa4Parcela,
     (SalarioBaseClt + InssCltValor) * IrrfFaixa5Aliquota - IrrfFaixa5Parcela))))</f>
        <v>-1652.7908125000004</v>
      </c>
      <c r="E11" s="17"/>
      <c r="J11" s="2" t="s">
        <v>20</v>
      </c>
      <c r="L11" s="12">
        <f>-IF(SalarioPj1&lt;=SnAnexo3_Faixa1Teto,   SalarioPj1 * SnAnexo3_Faixa1Aliquota - SnAnexo3_Faixa1Parcela,
  IF(SalarioPj1&lt;=SnAnexo3_Faixa2Teto,   SalarioPj1 * SnAnexo3_Faixa2Aliquota - SnAnexo3_Faixa2Parcela,
  IF(SalarioPj1&lt;=SnAnexo3_Faixa3Teto,   SalarioPj1 * SnAnexo3_Faixa3Aliquota - SnAnexo3_Faixa3Parcela,
  IF(SalarioPj1&lt;=SnAnexo3_Faixa4Teto,   SalarioPj1 * SnAnexo3_Faixa4Aliquota - SnAnexo3_Faixa4Parcela,
  IF(SalarioPj1&lt;=SnAnexo3_Faixa5Teto,   SalarioPj1 * SnAnexo3_Faixa5Aliquota - SnAnexo3_Faixa5Parcela,
     SalarioPj1 * SnAnexo3_Faixa6Aliquota - SnAnexo3_Faixa6Parcela)))))</f>
        <v>-720</v>
      </c>
    </row>
    <row r="12" spans="1:16">
      <c r="A12" s="68"/>
      <c r="J12" s="2" t="s">
        <v>10</v>
      </c>
      <c r="L12" s="12">
        <f>- IF(ProLaborePj1 * InssPatronalAliquota &gt; InssTetoContribuicao, InssTetoContribuicao, ProLaborePj1 * InssPatronalAliquota )</f>
        <v>-369.60000000000008</v>
      </c>
    </row>
    <row r="13" spans="1:16">
      <c r="A13" s="68"/>
      <c r="C13" s="87" t="s">
        <v>30</v>
      </c>
      <c r="D13" s="87"/>
      <c r="E13" s="87"/>
      <c r="F13" s="19">
        <f>(PatraoClt13Salario + PatraoCltFerias +PatraoCltFgts) / SalarioBaseClt</f>
        <v>-0.2</v>
      </c>
      <c r="J13" s="2" t="s">
        <v>18</v>
      </c>
      <c r="L13" s="12">
        <f>-IF((ProLaborePj1 + InssPj1)&lt;=IrrfFaixa1Teto,   (ProLaborePj1 + InssPj1) * IrrfFaixa1Aliquota - IrrfFaixa1Parcela,
  IF((ProLaborePj1 + InssPj1)&lt;=IrrfFaixa2Teto,   (ProLaborePj1 + InssPj1) * IrrfFaixa2Aliquota - IrrfFaixa2Parcela,
  IF((ProLaborePj1 + InssPj1)&lt;=IrrfFaixa3Teto,   (ProLaborePj1 + InssPj1) * IrrfFaixa3Aliquota - IrrfFaixa3Parcela,
  IF((ProLaborePj1 + InssPj1)&lt;=IrrfFaixa4Teto,   (ProLaborePj1 + InssPj1) * IrrfFaixa4Aliquota - IrrfFaixa4Parcela,
     (ProLaborePj1 + InssPj1) * IrrfFaixa5Aliquota - IrrfFaixa5Parcela))))</f>
        <v>-93.762750000000096</v>
      </c>
      <c r="O13" s="20">
        <f>IF(SalarioPj1 * FatorR &lt;= SalarioMinimo, SalarioMinimo, SalarioPj1 * FatorR)</f>
        <v>3360.0000000000005</v>
      </c>
    </row>
    <row r="14" spans="1:16" ht="16.5" customHeight="1">
      <c r="A14" s="68"/>
      <c r="C14" s="2" t="s">
        <v>11</v>
      </c>
      <c r="D14" s="12">
        <f>SalarioBaseClt / -12</f>
        <v>-833.33333333333337</v>
      </c>
      <c r="J14" s="44" t="s">
        <v>41</v>
      </c>
      <c r="K14" s="45"/>
      <c r="L14" s="46">
        <f>-IF((SalarioPj1-ProLaborePj1)&lt;=DistribuicaoLucrosFaixa1Teto,(SalarioPj1-ProLaborePj1)*DistribuicaoLucrosFaixa1Aliquota-DistribuicaoLucrosFaixa1Parcela,
(SalarioPj1-ProLaborePj1)*DistribuicaoLucrosFaixa2Aliquota-DistribuicaoLucrosFaixa2Parcela)</f>
        <v>0</v>
      </c>
      <c r="O14" s="37"/>
    </row>
    <row r="15" spans="1:16" ht="15.75" customHeight="1" thickBot="1">
      <c r="A15" s="68"/>
      <c r="C15" s="2" t="s">
        <v>12</v>
      </c>
      <c r="D15" s="12">
        <f>SalarioBaseClt/3/-12</f>
        <v>-277.77777777777777</v>
      </c>
      <c r="J15" s="2"/>
      <c r="L15" s="12"/>
    </row>
    <row r="16" spans="1:16" ht="15" customHeight="1">
      <c r="A16" s="68"/>
      <c r="C16" s="2" t="s">
        <v>13</v>
      </c>
      <c r="D16" s="12">
        <f>(SalarioBaseClt + -D14 + -D15) * -FgtsContribuicao</f>
        <v>-888.88888888888891</v>
      </c>
      <c r="J16" s="78" t="s">
        <v>22</v>
      </c>
      <c r="L16" s="80">
        <f>SalarioPj1 + SUM(L11:L14)</f>
        <v>10816.63725</v>
      </c>
      <c r="M16" s="81"/>
      <c r="N16" s="82"/>
    </row>
    <row r="17" spans="1:16" ht="15" customHeight="1" thickBot="1">
      <c r="A17" s="68"/>
      <c r="C17" s="2"/>
      <c r="D17" s="12"/>
      <c r="J17" s="79"/>
      <c r="K17" s="22"/>
      <c r="L17" s="83"/>
      <c r="M17" s="84"/>
      <c r="N17" s="85"/>
    </row>
    <row r="18" spans="1:16" ht="3" customHeight="1">
      <c r="A18" s="68"/>
      <c r="C18" s="2"/>
      <c r="D18" s="12"/>
      <c r="J18" s="27"/>
      <c r="K18" s="22"/>
      <c r="L18" s="24"/>
      <c r="M18" s="24"/>
      <c r="N18" s="24"/>
    </row>
    <row r="19" spans="1:16" ht="10.5" customHeight="1" thickBot="1">
      <c r="A19" s="68"/>
      <c r="J19" s="28"/>
      <c r="K19" s="29"/>
      <c r="L19" s="30"/>
      <c r="M19" s="30"/>
      <c r="N19" s="30"/>
    </row>
    <row r="20" spans="1:16" ht="23.25">
      <c r="A20" s="68"/>
      <c r="J20" s="23"/>
      <c r="K20" s="22"/>
      <c r="L20" s="24"/>
      <c r="M20" s="24"/>
      <c r="N20" s="24"/>
    </row>
    <row r="21" spans="1:16" ht="15" customHeight="1" thickBot="1">
      <c r="A21" s="68"/>
      <c r="C21" s="56" t="s">
        <v>17</v>
      </c>
      <c r="D21" s="56"/>
      <c r="E21" s="56"/>
      <c r="F21" s="56"/>
      <c r="J21" s="66" t="s">
        <v>3</v>
      </c>
      <c r="K21" s="66"/>
      <c r="L21" s="66"/>
      <c r="M21" s="66"/>
      <c r="N21" s="66"/>
      <c r="P21" s="95" t="s">
        <v>37</v>
      </c>
    </row>
    <row r="22" spans="1:16" s="5" customFormat="1" ht="19.5" customHeight="1" thickBot="1">
      <c r="A22" s="68"/>
      <c r="C22" s="88">
        <f>SalarioBaseClt + InssCltValor + IrrfCltValor</f>
        <v>7518.6666875000001</v>
      </c>
      <c r="D22" s="89"/>
      <c r="E22" s="89"/>
      <c r="F22" s="90"/>
      <c r="J22" s="67"/>
      <c r="K22" s="67"/>
      <c r="L22" s="67"/>
      <c r="M22" s="67"/>
      <c r="N22" s="67"/>
      <c r="O22" s="1"/>
      <c r="P22" s="96"/>
    </row>
    <row r="23" spans="1:16" s="5" customFormat="1" ht="19.5" customHeight="1" thickTop="1" thickBot="1">
      <c r="A23" s="68"/>
      <c r="C23" s="91"/>
      <c r="D23" s="92"/>
      <c r="E23" s="92"/>
      <c r="F23" s="93"/>
      <c r="J23" s="69" t="s">
        <v>28</v>
      </c>
      <c r="K23" s="69"/>
      <c r="L23" s="69"/>
      <c r="M23" s="69"/>
      <c r="N23" s="69"/>
    </row>
    <row r="24" spans="1:16" ht="15.75" customHeight="1" thickBot="1">
      <c r="A24" s="68"/>
      <c r="C24" s="14"/>
      <c r="D24" s="14"/>
      <c r="E24" s="14"/>
      <c r="F24" s="14"/>
      <c r="J24" s="69" t="s">
        <v>27</v>
      </c>
      <c r="K24" s="69"/>
      <c r="L24" s="69"/>
      <c r="M24" s="69"/>
      <c r="N24" s="69"/>
      <c r="O24" s="5"/>
      <c r="P24" s="5"/>
    </row>
    <row r="25" spans="1:16">
      <c r="A25" s="68"/>
      <c r="F25" s="25"/>
      <c r="J25" s="70">
        <f>-(100% - (C22/SalarioBaseClt) - 10%)</f>
        <v>-0.14813333125000003</v>
      </c>
      <c r="L25" s="72">
        <f>SalarioBaseClt * (1 + J25)</f>
        <v>8518.6666874999992</v>
      </c>
      <c r="M25" s="73"/>
      <c r="N25" s="74"/>
    </row>
    <row r="26" spans="1:16" ht="15.75" thickBot="1">
      <c r="A26" s="68"/>
      <c r="F26" s="25"/>
      <c r="J26" s="71"/>
      <c r="L26" s="75"/>
      <c r="M26" s="76"/>
      <c r="N26" s="77"/>
    </row>
    <row r="27" spans="1:16">
      <c r="A27" s="68"/>
      <c r="F27" s="16"/>
      <c r="L27" s="65" t="s">
        <v>2</v>
      </c>
      <c r="M27" s="65"/>
      <c r="N27" s="65"/>
    </row>
    <row r="28" spans="1:16">
      <c r="A28" s="68"/>
      <c r="J28" s="94" t="s">
        <v>33</v>
      </c>
      <c r="K28" s="94"/>
      <c r="L28" s="94"/>
      <c r="M28" s="94"/>
      <c r="N28" s="21">
        <f>SUM(L29:L31) / SalarioPj2</f>
        <v>-9.2726989397702603E-2</v>
      </c>
    </row>
    <row r="29" spans="1:16">
      <c r="A29" s="68"/>
      <c r="J29" s="2" t="s">
        <v>20</v>
      </c>
      <c r="L29" s="12">
        <f>-IF(SalarioPj2&lt;=SnAnexo3_Faixa1Teto,   SalarioPj2 * SnAnexo3_Faixa1Aliquota - SnAnexo3_Faixa1Parcela,
  IF(SalarioPj2&lt;=SnAnexo3_Faixa2Teto,   SalarioPj2 * SnAnexo3_Faixa2Aliquota - SnAnexo3_Faixa2Parcela,
  IF(SalarioPj2&lt;=SnAnexo3_Faixa3Teto,   SalarioPj2 * SnAnexo3_Faixa3Aliquota - SnAnexo3_Faixa3Parcela,
  IF(SalarioPj2&lt;=SnAnexo3_Faixa4Teto,   SalarioPj2 * SnAnexo3_Faixa4Aliquota - SnAnexo3_Faixa4Parcela,
  IF(SalarioPj2&lt;=SnAnexo3_Faixa5Teto,   SalarioPj2 * SnAnexo3_Faixa5Aliquota - SnAnexo3_Faixa5Parcela,
     SalarioPj2 * SnAnexo3_Faixa6Aliquota - SnAnexo3_Faixa6Parcela)))))</f>
        <v>-511.12000124999992</v>
      </c>
    </row>
    <row r="30" spans="1:16">
      <c r="A30" s="68"/>
      <c r="J30" s="2" t="s">
        <v>10</v>
      </c>
      <c r="L30" s="12">
        <f>-IF(ProLaborePj2 * InssPatronalAliquota &gt; InssTetoContribuicao, InssTetoContribuicao, ProLaborePj2 * InssPatronalAliquota )</f>
        <v>-262.37493397499998</v>
      </c>
    </row>
    <row r="31" spans="1:16">
      <c r="A31" s="68"/>
      <c r="J31" s="2" t="s">
        <v>18</v>
      </c>
      <c r="L31" s="12">
        <f>-IF((ProLaborePj2 + InssPj2)&lt;=IrrfFaixa1Teto,   (ProLaborePj2 + InssPj2) * IrrfFaixa1Aliquota - IrrfFaixa1Parcela,
  IF((ProLaborePj2 + InssPj2)&lt;=IrrfFaixa2Teto,   (ProLaborePj2 + InssPj2) * IrrfFaixa2Aliquota - IrrfFaixa2Parcela,
  IF((ProLaborePj2 + InssPj2)&lt;=IrrfFaixa3Teto,   (ProLaborePj2 + InssPj2) * IrrfFaixa3Aliquota - IrrfFaixa3Parcela,
  IF((ProLaborePj2 + InssPj2)&lt;=IrrfFaixa4Teto,   (ProLaborePj2 + InssPj2) * IrrfFaixa4Aliquota - IrrfFaixa4Parcela,
     (ProLaborePj2 + InssPj2) * IrrfFaixa5Aliquota - IrrfFaixa5Parcela))))</f>
        <v>-16.415380389374974</v>
      </c>
      <c r="O31" s="20">
        <f xml:space="preserve"> IF(SalarioPj2 * FatorR &lt;= SalarioMinimo, SalarioMinimo, SalarioPj2 * FatorR)</f>
        <v>2385.2266724999999</v>
      </c>
    </row>
    <row r="32" spans="1:16">
      <c r="A32" s="68"/>
      <c r="I32" s="45"/>
      <c r="J32" s="44" t="s">
        <v>41</v>
      </c>
      <c r="K32" s="45"/>
      <c r="L32" s="46">
        <f>-IF((SalarioPj2-ProLaborePj2)&lt;=DistribuicaoLucrosFaixa1Teto, (SalarioPj2-ProLaborePj2) * DistribuicaoLucrosFaixa1Aliquota-DistribuicaoLucrosFaixa1Parcela,
(SalarioPj2-ProLaborePj2)*DistribuicaoLucrosFaixa2Aliquota-DistribuicaoLucrosFaixa2Parcela)</f>
        <v>0</v>
      </c>
      <c r="O32" s="37"/>
    </row>
    <row r="33" spans="1:16" ht="15.75" thickBot="1">
      <c r="A33" s="68"/>
    </row>
    <row r="34" spans="1:16" ht="15" customHeight="1">
      <c r="A34" s="68"/>
      <c r="J34" s="78" t="s">
        <v>22</v>
      </c>
      <c r="L34" s="80">
        <f>SalarioPj2 + SUM(L29:L32)</f>
        <v>7728.7563718856245</v>
      </c>
      <c r="M34" s="81"/>
      <c r="N34" s="82"/>
    </row>
    <row r="35" spans="1:16" ht="15" customHeight="1" thickBot="1">
      <c r="A35" s="68"/>
      <c r="J35" s="79"/>
      <c r="K35" s="22"/>
      <c r="L35" s="83"/>
      <c r="M35" s="84"/>
      <c r="N35" s="85"/>
    </row>
    <row r="36" spans="1:16" ht="13.5" customHeight="1" thickBot="1">
      <c r="A36" s="68"/>
      <c r="J36" s="31"/>
      <c r="K36" s="29"/>
      <c r="L36" s="30"/>
      <c r="M36" s="30"/>
      <c r="N36" s="30"/>
    </row>
    <row r="37" spans="1:16" ht="11.25" customHeight="1">
      <c r="A37" s="68"/>
      <c r="J37" s="23"/>
      <c r="K37" s="22"/>
      <c r="L37" s="24"/>
      <c r="M37" s="24"/>
      <c r="N37" s="24"/>
    </row>
    <row r="38" spans="1:16">
      <c r="A38" s="68"/>
      <c r="J38" s="66" t="s">
        <v>23</v>
      </c>
      <c r="K38" s="66"/>
      <c r="L38" s="66"/>
      <c r="M38" s="66"/>
      <c r="N38" s="66"/>
      <c r="P38" s="95" t="s">
        <v>36</v>
      </c>
    </row>
    <row r="39" spans="1:16" ht="15.75" thickBot="1">
      <c r="A39" s="68"/>
      <c r="J39" s="67"/>
      <c r="K39" s="67"/>
      <c r="L39" s="67"/>
      <c r="M39" s="67"/>
      <c r="N39" s="67"/>
      <c r="P39" s="96"/>
    </row>
    <row r="40" spans="1:16" ht="16.5" thickTop="1" thickBot="1">
      <c r="A40" s="68"/>
      <c r="J40" s="69" t="s">
        <v>24</v>
      </c>
      <c r="K40" s="69"/>
      <c r="L40" s="69"/>
      <c r="M40" s="69"/>
      <c r="N40" s="69"/>
    </row>
    <row r="41" spans="1:16">
      <c r="A41" s="68"/>
      <c r="J41" s="70">
        <v>1</v>
      </c>
      <c r="L41" s="72">
        <f>SalarioBaseClt</f>
        <v>10000</v>
      </c>
      <c r="M41" s="73"/>
      <c r="N41" s="74"/>
      <c r="O41" s="5"/>
    </row>
    <row r="42" spans="1:16" ht="15.75" thickBot="1">
      <c r="A42" s="68"/>
      <c r="J42" s="71"/>
      <c r="L42" s="75"/>
      <c r="M42" s="76"/>
      <c r="N42" s="77"/>
    </row>
    <row r="43" spans="1:16">
      <c r="A43" s="68"/>
      <c r="L43" s="65" t="s">
        <v>2</v>
      </c>
      <c r="M43" s="65"/>
      <c r="N43" s="65"/>
    </row>
    <row r="44" spans="1:16">
      <c r="A44" s="68"/>
      <c r="J44" s="94" t="s">
        <v>33</v>
      </c>
      <c r="K44" s="94"/>
      <c r="L44" s="94"/>
      <c r="M44" s="94"/>
      <c r="N44" s="21">
        <f>SUM(L45:L47) / SalarioPj3</f>
        <v>-9.5210149999999993E-2</v>
      </c>
    </row>
    <row r="45" spans="1:16">
      <c r="A45" s="68"/>
      <c r="J45" s="2" t="s">
        <v>20</v>
      </c>
      <c r="L45" s="12">
        <f>-IF(SalarioPj3&lt;=SnAnexo3_Faixa1Teto,   SalarioPj3 * SnAnexo3_Faixa1Aliquota - SnAnexo3_Faixa1Parcela,
  IF(SalarioPj3&lt;=SnAnexo3_Faixa2Teto,   SalarioPj3 * SnAnexo3_Faixa2Aliquota - SnAnexo3_Faixa2Parcela,
  IF(SalarioPj3&lt;=SnAnexo3_Faixa3Teto,   SalarioPj3 * SnAnexo3_Faixa3Aliquota - SnAnexo3_Faixa3Parcela,
  IF(SalarioPj3&lt;=SnAnexo3_Faixa4Teto,   SalarioPj3 * SnAnexo3_Faixa4Aliquota - SnAnexo3_Faixa4Parcela,
  IF(SalarioPj3&lt;=SnAnexo3_Faixa5Teto,   SalarioPj3 * SnAnexo3_Faixa5Aliquota - SnAnexo3_Faixa5Parcela,
     SalarioPj3 * SnAnexo3_Faixa6Aliquota - SnAnexo3_Faixa6Parcela)))))</f>
        <v>-600</v>
      </c>
    </row>
    <row r="46" spans="1:16">
      <c r="A46" s="68"/>
      <c r="J46" s="2" t="s">
        <v>10</v>
      </c>
      <c r="L46" s="12">
        <f>-IF(ProLaborePj3 * InssPatronalAliquota &gt; InssTetoContribuicao, InssTetoContribuicao, ProLaborePj3 * InssPatronalAliquota )</f>
        <v>-308.00000000000006</v>
      </c>
    </row>
    <row r="47" spans="1:16">
      <c r="A47" s="68"/>
      <c r="J47" s="2" t="s">
        <v>18</v>
      </c>
      <c r="L47" s="12">
        <f>-IF((ProLaborePj3 + InssPj3)&lt;=IrrfFaixa1Teto,   (ProLaborePj3 + InssPj3) * IrrfFaixa1Aliquota - IrrfFaixa1Parcela,
  IF((ProLaborePj3 + InssPj3)&lt;=IrrfFaixa2Teto,   (ProLaborePj3 + InssPj3) * IrrfFaixa2Aliquota - IrrfFaixa2Parcela,
  IF((ProLaborePj3 + InssPj3)&lt;=IrrfFaixa3Teto,   (ProLaborePj3 + InssPj3) * IrrfFaixa3Aliquota - IrrfFaixa3Parcela,
  IF((ProLaborePj3 + InssPj3)&lt;=IrrfFaixa4Teto,   (ProLaborePj3 + InssPj3) * IrrfFaixa4Aliquota - IrrfFaixa4Parcela,
     (ProLaborePj3 + InssPj3) * IrrfFaixa5Aliquota - IrrfFaixa5Parcela))))</f>
        <v>-44.101500000000044</v>
      </c>
    </row>
    <row r="48" spans="1:16">
      <c r="A48" s="68"/>
      <c r="J48" s="44" t="s">
        <v>41</v>
      </c>
      <c r="K48" s="45"/>
      <c r="L48" s="46">
        <f>-IF((SalarioPj3-ProLaborePj3) &lt;= DistribuicaoLucrosFaixa1Teto, (SalarioPj3-ProLaborePj3) * DistribuicaoLucrosFaixa1Aliquota-DistribuicaoLucrosFaixa1Parcela,
(SalarioPj3-ProLaborePj3) * DistribuicaoLucrosFaixa2Aliquota-DistribuicaoLucrosFaixa2Parcela)</f>
        <v>0</v>
      </c>
      <c r="O48" s="20">
        <f>IF(SalarioPj3 * FatorR &lt;= SalarioMinimo, SalarioMinimo, SalarioPj3 * FatorR)</f>
        <v>2800.0000000000005</v>
      </c>
    </row>
    <row r="49" spans="1:15" ht="15.75" thickBot="1">
      <c r="A49" s="68"/>
      <c r="O49" s="37"/>
    </row>
    <row r="50" spans="1:15">
      <c r="J50" s="78" t="s">
        <v>22</v>
      </c>
      <c r="L50" s="80">
        <f>SalarioPj3 + SUM(L45:L48)</f>
        <v>9047.8984999999993</v>
      </c>
      <c r="M50" s="81"/>
      <c r="N50" s="82"/>
    </row>
    <row r="51" spans="1:15" ht="15.75" thickBot="1">
      <c r="J51" s="79"/>
      <c r="K51" s="22"/>
      <c r="L51" s="83"/>
      <c r="M51" s="84"/>
      <c r="N51" s="85"/>
    </row>
  </sheetData>
  <protectedRanges>
    <protectedRange sqref="C5" name="SalarioClt"/>
  </protectedRanges>
  <mergeCells count="37">
    <mergeCell ref="P3:P4"/>
    <mergeCell ref="P21:P22"/>
    <mergeCell ref="P38:P39"/>
    <mergeCell ref="J44:M44"/>
    <mergeCell ref="J50:J51"/>
    <mergeCell ref="L50:N51"/>
    <mergeCell ref="J6:N6"/>
    <mergeCell ref="J5:N5"/>
    <mergeCell ref="J21:N22"/>
    <mergeCell ref="L27:N27"/>
    <mergeCell ref="J28:M28"/>
    <mergeCell ref="J16:J17"/>
    <mergeCell ref="L16:N17"/>
    <mergeCell ref="J25:J26"/>
    <mergeCell ref="L25:N26"/>
    <mergeCell ref="A8:A49"/>
    <mergeCell ref="J38:N39"/>
    <mergeCell ref="J40:N40"/>
    <mergeCell ref="J41:J42"/>
    <mergeCell ref="L41:N42"/>
    <mergeCell ref="L43:N43"/>
    <mergeCell ref="J34:J35"/>
    <mergeCell ref="L34:N35"/>
    <mergeCell ref="C8:F8"/>
    <mergeCell ref="C9:E9"/>
    <mergeCell ref="C13:E13"/>
    <mergeCell ref="C21:F21"/>
    <mergeCell ref="C22:F23"/>
    <mergeCell ref="J10:M10"/>
    <mergeCell ref="J24:N24"/>
    <mergeCell ref="J23:N23"/>
    <mergeCell ref="C5:F7"/>
    <mergeCell ref="C4:F4"/>
    <mergeCell ref="J7:J8"/>
    <mergeCell ref="L7:N8"/>
    <mergeCell ref="L9:N9"/>
    <mergeCell ref="J3:N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theme="0" tint="-0.34998626667073579"/>
  </sheetPr>
  <dimension ref="A1:H42"/>
  <sheetViews>
    <sheetView workbookViewId="0">
      <selection activeCell="B39" sqref="B39"/>
    </sheetView>
  </sheetViews>
  <sheetFormatPr defaultRowHeight="15"/>
  <cols>
    <col min="1" max="1" width="25.5703125" customWidth="1"/>
    <col min="2" max="2" width="13.28515625" customWidth="1"/>
    <col min="3" max="3" width="17.7109375" customWidth="1"/>
  </cols>
  <sheetData>
    <row r="1" spans="1:8" ht="18.75">
      <c r="A1" s="97" t="s">
        <v>4</v>
      </c>
      <c r="B1" s="97"/>
      <c r="C1" s="97"/>
    </row>
    <row r="2" spans="1:8">
      <c r="A2" t="s">
        <v>5</v>
      </c>
      <c r="B2" s="6" t="s">
        <v>6</v>
      </c>
      <c r="C2" s="9" t="s">
        <v>9</v>
      </c>
    </row>
    <row r="3" spans="1:8">
      <c r="A3" s="7">
        <v>1903.98</v>
      </c>
      <c r="B3" s="8">
        <v>0</v>
      </c>
      <c r="C3" s="9">
        <v>0</v>
      </c>
    </row>
    <row r="4" spans="1:8">
      <c r="A4" s="7">
        <v>2826.65</v>
      </c>
      <c r="B4" s="8">
        <v>7.4999999999999997E-2</v>
      </c>
      <c r="C4" s="38">
        <f>( IrrfFaixa1Teto * IrrfFaixa2Aliquota) - (IrrfFaixa1Teto * IrrfFaixa1Aliquota) + IrrfFaixa1Parcela</f>
        <v>142.79849999999999</v>
      </c>
      <c r="E4" s="38"/>
    </row>
    <row r="5" spans="1:8">
      <c r="A5" s="7">
        <v>3751.05</v>
      </c>
      <c r="B5" s="8">
        <v>0.15</v>
      </c>
      <c r="C5" s="38">
        <f>( IrrfFaixa2Teto * IrrfFaixa3Aliquota) - (IrrfFaixa2Teto * IrrfFaixa2Aliquota) + IrrfFaixa2Parcela</f>
        <v>354.79724999999996</v>
      </c>
      <c r="E5" s="38"/>
    </row>
    <row r="6" spans="1:8">
      <c r="A6" s="7">
        <v>4664.68</v>
      </c>
      <c r="B6" s="8">
        <v>0.22500000000000001</v>
      </c>
      <c r="C6" s="38">
        <f>( IrrfFaixa3Teto * IrrfFaixa4Aliquota) - (IrrfFaixa3Teto * IrrfFaixa3Aliquota) + IrrfFaixa3Parcela</f>
        <v>636.12599999999998</v>
      </c>
      <c r="E6" s="38"/>
    </row>
    <row r="7" spans="1:8">
      <c r="A7" s="7"/>
      <c r="B7" s="8">
        <v>0.27500000000000002</v>
      </c>
      <c r="C7" s="38">
        <f>( IrrfFaixa4Teto * IrrfFaixa5Aliquota) - (IrrfFaixa4Teto * IrrfFaixa4Aliquota) + IrrfFaixa4Parcela</f>
        <v>869.36000000000013</v>
      </c>
      <c r="E7" s="38"/>
    </row>
    <row r="8" spans="1:8">
      <c r="A8" s="7"/>
      <c r="B8" s="8"/>
      <c r="C8" s="9"/>
    </row>
    <row r="9" spans="1:8">
      <c r="A9" s="7"/>
      <c r="B9" s="8"/>
      <c r="C9" s="9"/>
    </row>
    <row r="10" spans="1:8">
      <c r="A10" s="7"/>
      <c r="B10" s="8"/>
      <c r="C10" s="9"/>
    </row>
    <row r="11" spans="1:8" ht="18.75">
      <c r="A11" s="97" t="s">
        <v>14</v>
      </c>
      <c r="B11" s="97"/>
      <c r="C11" s="97"/>
      <c r="D11" s="97"/>
    </row>
    <row r="12" spans="1:8">
      <c r="A12" t="s">
        <v>5</v>
      </c>
      <c r="B12" s="6" t="s">
        <v>6</v>
      </c>
      <c r="C12" s="9" t="s">
        <v>9</v>
      </c>
      <c r="D12" s="33" t="s">
        <v>15</v>
      </c>
    </row>
    <row r="13" spans="1:8">
      <c r="A13" s="7">
        <v>1212</v>
      </c>
      <c r="B13" s="8">
        <v>7.4999999999999997E-2</v>
      </c>
      <c r="C13" s="9">
        <v>0</v>
      </c>
      <c r="D13" s="9"/>
    </row>
    <row r="14" spans="1:8">
      <c r="A14" s="7">
        <v>2427.79</v>
      </c>
      <c r="B14" s="8">
        <v>0.09</v>
      </c>
      <c r="C14" s="9">
        <f>(InssFaixa1Teto*InssFaixa2Aliquota) - (InssFaixa1Teto * InssFaixa1Aliquota) + InssFaixa1Parcela</f>
        <v>18.180000000000007</v>
      </c>
      <c r="D14" s="9"/>
      <c r="F14" s="34"/>
      <c r="G14" s="34"/>
      <c r="H14" s="34"/>
    </row>
    <row r="15" spans="1:8">
      <c r="A15" s="7">
        <v>3641.69</v>
      </c>
      <c r="B15" s="8">
        <v>0.12</v>
      </c>
      <c r="C15" s="9">
        <f>(InssFaixa2Teto*InssFaixa3Aliquota) - (InssFaixa2Teto * InssFaixa2Aliquota) + InssFaixa2Parcela</f>
        <v>91.0137</v>
      </c>
      <c r="D15" s="9"/>
      <c r="F15" s="34"/>
      <c r="G15" s="35"/>
      <c r="H15" s="36"/>
    </row>
    <row r="16" spans="1:8">
      <c r="A16" s="7">
        <v>7088.5</v>
      </c>
      <c r="B16" s="8">
        <v>0.14000000000000001</v>
      </c>
      <c r="C16" s="9">
        <f>(InssFaixa3Teto*InssFaixa4Aliquota) - (InssFaixa3Teto * InssFaixa3Aliquota) + InssFaixa3Parcela</f>
        <v>163.84750000000005</v>
      </c>
      <c r="D16" s="9">
        <f>InssFaixa4Teto*InssFaixa4Aliquota - InssFaixa4Parcela</f>
        <v>828.54250000000002</v>
      </c>
      <c r="F16" s="34"/>
      <c r="G16" s="35"/>
      <c r="H16" s="36"/>
    </row>
    <row r="17" spans="1:8">
      <c r="A17" s="7"/>
      <c r="B17" s="8"/>
      <c r="C17" s="9"/>
      <c r="D17" s="9"/>
      <c r="F17" s="34"/>
      <c r="G17" s="35"/>
      <c r="H17" s="36"/>
    </row>
    <row r="18" spans="1:8">
      <c r="A18" s="7"/>
      <c r="B18" s="8"/>
      <c r="C18" s="9"/>
      <c r="D18" s="9"/>
      <c r="F18" s="34"/>
      <c r="G18" s="35"/>
      <c r="H18" s="36"/>
    </row>
    <row r="19" spans="1:8" ht="18.75">
      <c r="A19" s="97" t="s">
        <v>38</v>
      </c>
      <c r="B19" s="97"/>
      <c r="C19" s="97"/>
      <c r="D19" s="9"/>
      <c r="F19" s="34"/>
      <c r="G19" s="35"/>
      <c r="H19" s="36"/>
    </row>
    <row r="20" spans="1:8">
      <c r="A20" t="s">
        <v>40</v>
      </c>
      <c r="B20" s="6" t="s">
        <v>6</v>
      </c>
      <c r="C20" s="9" t="s">
        <v>9</v>
      </c>
      <c r="D20" s="9"/>
      <c r="F20" s="34"/>
      <c r="G20" s="35"/>
      <c r="H20" s="36"/>
    </row>
    <row r="21" spans="1:8">
      <c r="A21" s="7">
        <f>180000 / 12</f>
        <v>15000</v>
      </c>
      <c r="B21" s="8">
        <v>0.06</v>
      </c>
      <c r="C21" s="9">
        <f>0 / 12</f>
        <v>0</v>
      </c>
      <c r="D21" s="9"/>
      <c r="F21" s="34"/>
      <c r="G21" s="35"/>
      <c r="H21" s="36"/>
    </row>
    <row r="22" spans="1:8">
      <c r="A22" s="7">
        <f>360000 / 12</f>
        <v>30000</v>
      </c>
      <c r="B22" s="8">
        <v>0.112</v>
      </c>
      <c r="C22" s="38">
        <f>9360 / 12</f>
        <v>780</v>
      </c>
      <c r="D22" s="9"/>
      <c r="F22" s="34"/>
      <c r="G22" s="35"/>
      <c r="H22" s="36"/>
    </row>
    <row r="23" spans="1:8">
      <c r="A23" s="7">
        <f>720000 / 12</f>
        <v>60000</v>
      </c>
      <c r="B23" s="8">
        <v>0.13500000000000001</v>
      </c>
      <c r="C23" s="38">
        <f>17640 / 12</f>
        <v>1470</v>
      </c>
      <c r="F23" s="34"/>
      <c r="G23" s="34"/>
      <c r="H23" s="34"/>
    </row>
    <row r="24" spans="1:8">
      <c r="A24" s="7">
        <f>1800000 / 12</f>
        <v>150000</v>
      </c>
      <c r="B24" s="8">
        <v>0.16</v>
      </c>
      <c r="C24" s="38">
        <f>35640 / 12</f>
        <v>2970</v>
      </c>
      <c r="F24" s="34"/>
      <c r="G24" s="34"/>
      <c r="H24" s="34"/>
    </row>
    <row r="25" spans="1:8">
      <c r="A25" s="7">
        <f>3600000 / 12</f>
        <v>300000</v>
      </c>
      <c r="B25" s="8">
        <v>0.21</v>
      </c>
      <c r="C25" s="38">
        <f>125640 / 12</f>
        <v>10470</v>
      </c>
      <c r="F25" s="34"/>
      <c r="G25" s="34"/>
      <c r="H25" s="34"/>
    </row>
    <row r="26" spans="1:8">
      <c r="A26" s="7">
        <f>4800000 / 12</f>
        <v>400000</v>
      </c>
      <c r="B26" s="8">
        <v>0.33</v>
      </c>
      <c r="C26" s="9">
        <f>648000 / 12</f>
        <v>54000</v>
      </c>
      <c r="F26" s="34"/>
      <c r="G26" s="34"/>
      <c r="H26" s="34"/>
    </row>
    <row r="27" spans="1:8">
      <c r="A27" s="7"/>
      <c r="B27" s="8"/>
      <c r="C27" s="9"/>
      <c r="F27" s="34"/>
      <c r="G27" s="34"/>
      <c r="H27" s="34"/>
    </row>
    <row r="28" spans="1:8">
      <c r="A28" s="7"/>
      <c r="B28" s="8"/>
      <c r="C28" s="9"/>
      <c r="F28" s="34"/>
      <c r="G28" s="34"/>
      <c r="H28" s="34"/>
    </row>
    <row r="29" spans="1:8" ht="18.75">
      <c r="A29" s="97" t="s">
        <v>39</v>
      </c>
      <c r="B29" s="97"/>
      <c r="C29" s="97"/>
      <c r="F29" s="34"/>
      <c r="G29" s="34"/>
      <c r="H29" s="34"/>
    </row>
    <row r="30" spans="1:8">
      <c r="A30" t="s">
        <v>5</v>
      </c>
      <c r="B30" s="6" t="s">
        <v>6</v>
      </c>
      <c r="C30" s="9" t="s">
        <v>9</v>
      </c>
      <c r="F30" s="34"/>
      <c r="G30" s="34"/>
      <c r="H30" s="34"/>
    </row>
    <row r="31" spans="1:8">
      <c r="A31" s="7">
        <v>0</v>
      </c>
      <c r="B31" s="8">
        <v>0</v>
      </c>
      <c r="C31" s="9">
        <v>0</v>
      </c>
      <c r="F31" s="34"/>
      <c r="G31" s="34"/>
      <c r="H31" s="34"/>
    </row>
    <row r="32" spans="1:8">
      <c r="A32" s="7"/>
      <c r="B32" s="8">
        <v>0</v>
      </c>
      <c r="C32" s="38">
        <f>TributacaoLucrosTable[[#This Row],[Alíquota]]*A31</f>
        <v>0</v>
      </c>
      <c r="F32" s="34"/>
      <c r="G32" s="34"/>
      <c r="H32" s="34"/>
    </row>
    <row r="33" spans="1:8">
      <c r="A33" s="7"/>
      <c r="B33" s="8"/>
      <c r="C33" s="38"/>
      <c r="F33" s="34"/>
      <c r="G33" s="34"/>
      <c r="H33" s="34"/>
    </row>
    <row r="34" spans="1:8">
      <c r="A34" s="7"/>
      <c r="B34" s="8"/>
      <c r="C34" s="38"/>
      <c r="F34" s="34"/>
      <c r="G34" s="34"/>
      <c r="H34" s="34"/>
    </row>
    <row r="35" spans="1:8">
      <c r="A35" s="42"/>
      <c r="B35" s="43"/>
      <c r="C35" s="35"/>
      <c r="F35" s="34"/>
      <c r="G35" s="34"/>
      <c r="H35" s="34"/>
    </row>
    <row r="36" spans="1:8">
      <c r="B36" s="8"/>
      <c r="C36" s="9"/>
      <c r="F36" s="34"/>
      <c r="G36" s="34"/>
      <c r="H36" s="34"/>
    </row>
    <row r="37" spans="1:8">
      <c r="A37" s="10" t="s">
        <v>7</v>
      </c>
      <c r="B37" s="39">
        <v>1212</v>
      </c>
      <c r="C37" s="11"/>
    </row>
    <row r="38" spans="1:8">
      <c r="A38" s="10" t="s">
        <v>34</v>
      </c>
      <c r="B38" s="40">
        <v>0.11</v>
      </c>
      <c r="C38" s="9"/>
    </row>
    <row r="39" spans="1:8">
      <c r="A39" s="10" t="s">
        <v>21</v>
      </c>
      <c r="B39" s="39">
        <f>SalarioMinimo*InssPatronalAliquota</f>
        <v>133.32</v>
      </c>
      <c r="C39" s="9"/>
    </row>
    <row r="40" spans="1:8">
      <c r="A40" s="10" t="s">
        <v>16</v>
      </c>
      <c r="B40" s="40">
        <v>0.08</v>
      </c>
      <c r="C40" s="9"/>
    </row>
    <row r="41" spans="1:8">
      <c r="A41" s="10" t="s">
        <v>19</v>
      </c>
      <c r="B41" s="40">
        <v>0.28000000000000003</v>
      </c>
      <c r="C41" s="9"/>
    </row>
    <row r="42" spans="1:8">
      <c r="A42" s="32" t="s">
        <v>8</v>
      </c>
      <c r="B42" s="41">
        <v>44562</v>
      </c>
    </row>
  </sheetData>
  <mergeCells count="4">
    <mergeCell ref="A1:C1"/>
    <mergeCell ref="A11:D11"/>
    <mergeCell ref="A19:C19"/>
    <mergeCell ref="A29:C2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3 C14:C16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73</vt:i4>
      </vt:variant>
    </vt:vector>
  </HeadingPairs>
  <TitlesOfParts>
    <vt:vector size="75" baseType="lpstr">
      <vt:lpstr>PRINCIPAL</vt:lpstr>
      <vt:lpstr>Parâmetros</vt:lpstr>
      <vt:lpstr>CltPatraoGasta</vt:lpstr>
      <vt:lpstr>CltVocePerde</vt:lpstr>
      <vt:lpstr>DistribuicaoLucrosFaixa1Aliquota</vt:lpstr>
      <vt:lpstr>DistribuicaoLucrosFaixa1Parcela</vt:lpstr>
      <vt:lpstr>DistribuicaoLucrosFaixa1Teto</vt:lpstr>
      <vt:lpstr>DistribuicaoLucrosFaixa2Aliquota</vt:lpstr>
      <vt:lpstr>DistribuicaoLucrosFaixa2Parcela</vt:lpstr>
      <vt:lpstr>FatorR</vt:lpstr>
      <vt:lpstr>FgtsContribuicao</vt:lpstr>
      <vt:lpstr>InssCltValor</vt:lpstr>
      <vt:lpstr>InssFaixa1Aliquota</vt:lpstr>
      <vt:lpstr>InssFaixa1Parcela</vt:lpstr>
      <vt:lpstr>InssFaixa1Teto</vt:lpstr>
      <vt:lpstr>InssFaixa2Aliquota</vt:lpstr>
      <vt:lpstr>InssFaixa2Parcela</vt:lpstr>
      <vt:lpstr>InssFaixa2Teto</vt:lpstr>
      <vt:lpstr>InssFaixa3Aliquota</vt:lpstr>
      <vt:lpstr>InssFaixa3Parcela</vt:lpstr>
      <vt:lpstr>InssFaixa3Teto</vt:lpstr>
      <vt:lpstr>InssFaixa4Aliquota</vt:lpstr>
      <vt:lpstr>InssFaixa4Parcela</vt:lpstr>
      <vt:lpstr>InssFaixa4Teto</vt:lpstr>
      <vt:lpstr>InssPatronalAliquota</vt:lpstr>
      <vt:lpstr>InssPatronalPisoContribuicao</vt:lpstr>
      <vt:lpstr>InssPj1</vt:lpstr>
      <vt:lpstr>InssPj2</vt:lpstr>
      <vt:lpstr>InssPj3</vt:lpstr>
      <vt:lpstr>InssTetoContribuicao</vt:lpstr>
      <vt:lpstr>InssTetoSalario</vt:lpstr>
      <vt:lpstr>IrrfCltValor</vt:lpstr>
      <vt:lpstr>IrrfFaixa1Aliquota</vt:lpstr>
      <vt:lpstr>IrrfFaixa1Parcela</vt:lpstr>
      <vt:lpstr>IrrfFaixa1Teto</vt:lpstr>
      <vt:lpstr>IrrfFaixa2Aliquota</vt:lpstr>
      <vt:lpstr>IrrfFaixa2Parcela</vt:lpstr>
      <vt:lpstr>IrrfFaixa2Teto</vt:lpstr>
      <vt:lpstr>IrrfFaixa3Aliquota</vt:lpstr>
      <vt:lpstr>IrrfFaixa3Parcela</vt:lpstr>
      <vt:lpstr>IrrfFaixa3Teto</vt:lpstr>
      <vt:lpstr>IrrfFaixa4Aliquota</vt:lpstr>
      <vt:lpstr>IrrfFaixa4Parcela</vt:lpstr>
      <vt:lpstr>IrrfFaixa4Teto</vt:lpstr>
      <vt:lpstr>IrrfFaixa5Aliquota</vt:lpstr>
      <vt:lpstr>IrrfFaixa5Parcela</vt:lpstr>
      <vt:lpstr>PatraoClt13Salario</vt:lpstr>
      <vt:lpstr>PatraoCltFerias</vt:lpstr>
      <vt:lpstr>PatraoCltFgts</vt:lpstr>
      <vt:lpstr>ProLaborePj1</vt:lpstr>
      <vt:lpstr>ProLaborePj2</vt:lpstr>
      <vt:lpstr>ProLaborePj3</vt:lpstr>
      <vt:lpstr>SalarioBaseClt</vt:lpstr>
      <vt:lpstr>SalarioMinimo</vt:lpstr>
      <vt:lpstr>SalarioPj1</vt:lpstr>
      <vt:lpstr>SalarioPj2</vt:lpstr>
      <vt:lpstr>SalarioPj3</vt:lpstr>
      <vt:lpstr>SnAnexo3_Faixa1Aliquota</vt:lpstr>
      <vt:lpstr>SnAnexo3_Faixa1Parcela</vt:lpstr>
      <vt:lpstr>SnAnexo3_Faixa1Teto</vt:lpstr>
      <vt:lpstr>SnAnexo3_Faixa2Aliquota</vt:lpstr>
      <vt:lpstr>SnAnexo3_Faixa2Parcela</vt:lpstr>
      <vt:lpstr>SnAnexo3_Faixa2Teto</vt:lpstr>
      <vt:lpstr>SnAnexo3_Faixa3Aliquota</vt:lpstr>
      <vt:lpstr>SnAnexo3_Faixa3Parcela</vt:lpstr>
      <vt:lpstr>SnAnexo3_Faixa3Teto</vt:lpstr>
      <vt:lpstr>SnAnexo3_Faixa4Aliquota</vt:lpstr>
      <vt:lpstr>SnAnexo3_Faixa4Parcela</vt:lpstr>
      <vt:lpstr>SnAnexo3_Faixa4Teto</vt:lpstr>
      <vt:lpstr>SnAnexo3_Faixa5Aliquota</vt:lpstr>
      <vt:lpstr>SnAnexo3_Faixa5Parcela</vt:lpstr>
      <vt:lpstr>SnAnexo3_Faixa5Teto</vt:lpstr>
      <vt:lpstr>SnAnexo3_Faixa6Aliquota</vt:lpstr>
      <vt:lpstr>SnAnexo3_Faixa6Parcela</vt:lpstr>
      <vt:lpstr>SnAnexo3_Faixa6Teto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Aranha</dc:creator>
  <cp:lastModifiedBy>André Aranha</cp:lastModifiedBy>
  <dcterms:created xsi:type="dcterms:W3CDTF">2019-08-11T14:44:10Z</dcterms:created>
  <dcterms:modified xsi:type="dcterms:W3CDTF">2022-01-09T23:49:59Z</dcterms:modified>
</cp:coreProperties>
</file>