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backbone\north_european_model_2IMatch\src_files\data_files\"/>
    </mc:Choice>
  </mc:AlternateContent>
  <xr:revisionPtr revIDLastSave="0" documentId="13_ncr:1_{98BDBB32-7EA9-4EB5-8E1B-9796EDDE975E}" xr6:coauthVersionLast="47" xr6:coauthVersionMax="47" xr10:uidLastSave="{00000000-0000-0000-0000-000000000000}"/>
  <bookViews>
    <workbookView xWindow="-23148" yWindow="-72" windowWidth="23256" windowHeight="13896" tabRatio="877" firstSheet="1" activeTab="11" xr2:uid="{00000000-000D-0000-FFFF-FFFF00000000}"/>
  </bookViews>
  <sheets>
    <sheet name="Overview" sheetId="6" r:id="rId1"/>
    <sheet name="Geography" sheetId="8" r:id="rId2"/>
    <sheet name="D_el" sheetId="1" r:id="rId3"/>
    <sheet name="D_heat" sheetId="3" r:id="rId4"/>
    <sheet name="Tr_el" sheetId="20" r:id="rId5"/>
    <sheet name="H2" sheetId="2" r:id="rId6"/>
    <sheet name="P_el1" sheetId="9" r:id="rId7"/>
    <sheet name="P_hydro" sheetId="7" r:id="rId8"/>
    <sheet name="P_ind_chp" sheetId="19" r:id="rId9"/>
    <sheet name="P_dh_chp" sheetId="10" r:id="rId10"/>
    <sheet name="P_heat" sheetId="25" r:id="rId11"/>
    <sheet name="P" sheetId="29" r:id="rId12"/>
    <sheet name="P_el" sheetId="28" r:id="rId13"/>
    <sheet name="demanddata" sheetId="23" r:id="rId14"/>
    <sheet name="transferdata" sheetId="22" r:id="rId15"/>
    <sheet name="unitdata" sheetId="24" r:id="rId16"/>
    <sheet name="nodedata" sheetId="26" r:id="rId17"/>
    <sheet name="userconstraintdata" sheetId="27" r:id="rId18"/>
  </sheets>
  <definedNames>
    <definedName name="_xlnm._FilterDatabase" localSheetId="10" hidden="1">P_heat!$L$882:$L$922</definedName>
    <definedName name="_xlnm._FilterDatabase" localSheetId="7" hidden="1">P_hydro!$A$10:$E$147</definedName>
    <definedName name="_xlnm._FilterDatabase" localSheetId="15" hidden="1">unitdata!$A$1:$O$224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9" i="1" l="1"/>
  <c r="Q90" i="1"/>
  <c r="Q91" i="1"/>
  <c r="Q92" i="1"/>
  <c r="Q93" i="1"/>
  <c r="Q94" i="1"/>
  <c r="Q95" i="1"/>
  <c r="Q88" i="1"/>
  <c r="F48" i="24"/>
  <c r="F49" i="24"/>
  <c r="F50" i="24"/>
  <c r="F52" i="24"/>
  <c r="F53" i="24"/>
  <c r="F54" i="24"/>
  <c r="F47" i="24"/>
  <c r="O24" i="19"/>
  <c r="O25" i="19"/>
  <c r="O26" i="19"/>
  <c r="O27" i="19"/>
  <c r="O29" i="19"/>
  <c r="O30" i="19"/>
  <c r="S36" i="29"/>
  <c r="S30" i="29"/>
  <c r="S31" i="29"/>
  <c r="S32" i="29"/>
  <c r="S33" i="29"/>
  <c r="S34" i="29"/>
  <c r="S35" i="29"/>
  <c r="S29" i="29"/>
  <c r="M36" i="29"/>
  <c r="M30" i="29"/>
  <c r="M31" i="29"/>
  <c r="M32" i="29"/>
  <c r="M33" i="29"/>
  <c r="M34" i="29"/>
  <c r="M35" i="29"/>
  <c r="M29" i="29"/>
  <c r="H36" i="29"/>
  <c r="H29" i="29"/>
  <c r="I36" i="29"/>
  <c r="J36" i="29"/>
  <c r="K36" i="29"/>
  <c r="L36" i="29"/>
  <c r="N36" i="29"/>
  <c r="O36" i="29"/>
  <c r="P36" i="29"/>
  <c r="Q36" i="29"/>
  <c r="R36" i="29"/>
  <c r="R35" i="29"/>
  <c r="P29" i="29"/>
  <c r="Q29" i="29"/>
  <c r="P30" i="29"/>
  <c r="Q30" i="29"/>
  <c r="P31" i="29"/>
  <c r="Q31" i="29"/>
  <c r="P32" i="29"/>
  <c r="Q32" i="29"/>
  <c r="P33" i="29"/>
  <c r="Q33" i="29"/>
  <c r="P34" i="29"/>
  <c r="Q34" i="29"/>
  <c r="P35" i="29"/>
  <c r="Q35" i="29"/>
  <c r="K45" i="29"/>
  <c r="K46" i="29"/>
  <c r="K47" i="29"/>
  <c r="K48" i="29"/>
  <c r="K49" i="29"/>
  <c r="K50" i="29"/>
  <c r="K51" i="29"/>
  <c r="K44" i="29"/>
  <c r="J29" i="29"/>
  <c r="K29" i="29"/>
  <c r="L29" i="29"/>
  <c r="N29" i="29"/>
  <c r="O29" i="29"/>
  <c r="J30" i="29"/>
  <c r="K30" i="29"/>
  <c r="L30" i="29"/>
  <c r="N30" i="29"/>
  <c r="O30" i="29"/>
  <c r="J31" i="29"/>
  <c r="K31" i="29"/>
  <c r="L31" i="29"/>
  <c r="N31" i="29"/>
  <c r="O31" i="29"/>
  <c r="J32" i="29"/>
  <c r="K32" i="29"/>
  <c r="L32" i="29"/>
  <c r="N32" i="29"/>
  <c r="O32" i="29"/>
  <c r="J33" i="29"/>
  <c r="K33" i="29"/>
  <c r="L33" i="29"/>
  <c r="N33" i="29"/>
  <c r="O33" i="29"/>
  <c r="J34" i="29"/>
  <c r="K34" i="29"/>
  <c r="L34" i="29"/>
  <c r="N34" i="29"/>
  <c r="O34" i="29"/>
  <c r="J35" i="29"/>
  <c r="K35" i="29"/>
  <c r="L35" i="29"/>
  <c r="N35" i="29"/>
  <c r="O35" i="29"/>
  <c r="I29" i="29"/>
  <c r="I33" i="29"/>
  <c r="I32" i="29"/>
  <c r="I35" i="29"/>
  <c r="I30" i="29"/>
  <c r="I31" i="29"/>
  <c r="I34" i="29"/>
  <c r="J52" i="29"/>
  <c r="I52" i="29"/>
  <c r="H52" i="29"/>
  <c r="F52" i="29"/>
  <c r="G52" i="29"/>
  <c r="C52" i="29"/>
  <c r="D52" i="29"/>
  <c r="E52" i="29"/>
  <c r="B52" i="29"/>
  <c r="K52" i="29" s="1"/>
  <c r="Z7" i="10"/>
  <c r="E29" i="29" a="1"/>
  <c r="E29" i="29" s="1"/>
  <c r="C29" i="29" a="1"/>
  <c r="C29" i="29" s="1"/>
  <c r="C36" i="29" s="1"/>
  <c r="A29" i="29" a="1"/>
  <c r="A29" i="29" s="1"/>
  <c r="L4" i="29" a="1"/>
  <c r="L4" i="29" s="1"/>
  <c r="C4" i="29" a="1"/>
  <c r="C4" i="29" s="1"/>
  <c r="G4" i="29" a="1"/>
  <c r="G4" i="29" s="1"/>
  <c r="H4" i="29" a="1"/>
  <c r="H4" i="29" s="1"/>
  <c r="F4" i="29" a="1"/>
  <c r="F4" i="29" s="1"/>
  <c r="E4" i="29" a="1"/>
  <c r="D4" i="29" a="1"/>
  <c r="J4" i="29" a="1"/>
  <c r="J4" i="29" s="1"/>
  <c r="K4" i="29" a="1"/>
  <c r="B4" i="29" a="1"/>
  <c r="B4" i="29" s="1"/>
  <c r="A4" i="29" a="1"/>
  <c r="A4" i="29" s="1"/>
  <c r="D151" i="7"/>
  <c r="C151" i="7"/>
  <c r="W4" i="29" a="1"/>
  <c r="W4" i="29" s="1"/>
  <c r="X4" i="29" a="1"/>
  <c r="X4" i="29" s="1"/>
  <c r="V4" i="29" a="1"/>
  <c r="V4" i="29" s="1"/>
  <c r="U4" i="29" a="1"/>
  <c r="U4" i="29" s="1"/>
  <c r="Z4" i="29" a="1"/>
  <c r="Z4" i="29" s="1"/>
  <c r="AU8" i="9"/>
  <c r="AU15" i="9" s="1"/>
  <c r="AU9" i="9"/>
  <c r="AU10" i="9"/>
  <c r="AU11" i="9"/>
  <c r="AU12" i="9"/>
  <c r="AU13" i="9"/>
  <c r="AU14" i="9"/>
  <c r="AB37" i="9"/>
  <c r="AB49" i="9" a="1"/>
  <c r="AB49" i="9"/>
  <c r="AG16" i="9"/>
  <c r="P4" i="29" a="1"/>
  <c r="P4" i="29" s="1"/>
  <c r="F36" i="29" l="1"/>
  <c r="H33" i="29"/>
  <c r="G36" i="29"/>
  <c r="E36" i="29"/>
  <c r="H35" i="29"/>
  <c r="H32" i="29"/>
  <c r="H31" i="29"/>
  <c r="H34" i="29"/>
  <c r="H30" i="29"/>
  <c r="I8" i="29"/>
  <c r="M8" i="29" s="1"/>
  <c r="I6" i="29"/>
  <c r="M6" i="29" s="1"/>
  <c r="I7" i="29"/>
  <c r="M7" i="29" s="1"/>
  <c r="I5" i="29"/>
  <c r="M5" i="29" s="1"/>
  <c r="I10" i="29"/>
  <c r="M10" i="29" s="1"/>
  <c r="I9" i="29"/>
  <c r="M9" i="29" s="1"/>
  <c r="W11" i="29"/>
  <c r="V11" i="29"/>
  <c r="U11" i="29"/>
  <c r="X11" i="29"/>
  <c r="F11" i="29"/>
  <c r="E4" i="29"/>
  <c r="E11" i="29" s="1"/>
  <c r="D4" i="29"/>
  <c r="K4" i="29"/>
  <c r="K11" i="29"/>
  <c r="G11" i="29"/>
  <c r="C11" i="29"/>
  <c r="L11" i="29"/>
  <c r="H11" i="29"/>
  <c r="J11" i="29"/>
  <c r="AV13" i="9"/>
  <c r="AV12" i="9"/>
  <c r="AV14" i="9"/>
  <c r="AV9" i="9"/>
  <c r="AV11" i="9"/>
  <c r="AV10" i="9"/>
  <c r="AV8" i="9"/>
  <c r="Z11" i="29"/>
  <c r="V6" i="28"/>
  <c r="U6" i="28"/>
  <c r="V5" i="28"/>
  <c r="U5" i="28" a="1"/>
  <c r="U5" i="28" s="1"/>
  <c r="Q47" i="28"/>
  <c r="Q48" i="28"/>
  <c r="Q51" i="28"/>
  <c r="Q63" i="28"/>
  <c r="Q74" i="28"/>
  <c r="Q95" i="28"/>
  <c r="Q98" i="28"/>
  <c r="Q497" i="28"/>
  <c r="Q509" i="28"/>
  <c r="Q521" i="28"/>
  <c r="S5" i="28"/>
  <c r="U2" i="28"/>
  <c r="C6" i="28" a="1"/>
  <c r="C6" i="28" s="1"/>
  <c r="L6" i="28" s="1" a="1"/>
  <c r="L6" i="28" s="1"/>
  <c r="C7" i="28" a="1"/>
  <c r="C7" i="28" s="1"/>
  <c r="L7" i="28" s="1" a="1"/>
  <c r="L7" i="28" s="1"/>
  <c r="M7" i="28" s="1" a="1"/>
  <c r="M7" i="28" s="1"/>
  <c r="C8" i="28" a="1"/>
  <c r="C8" i="28" s="1"/>
  <c r="L8" i="28" s="1" a="1"/>
  <c r="L8" i="28" s="1"/>
  <c r="M8" i="28" s="1" a="1"/>
  <c r="M8" i="28" s="1"/>
  <c r="C9" i="28" a="1"/>
  <c r="C9" i="28" s="1"/>
  <c r="L9" i="28" s="1" a="1"/>
  <c r="L9" i="28" s="1"/>
  <c r="M9" i="28" s="1" a="1"/>
  <c r="M9" i="28" s="1"/>
  <c r="C10" i="28" a="1"/>
  <c r="C10" i="28" s="1"/>
  <c r="L10" i="28" s="1" a="1"/>
  <c r="L10" i="28" s="1"/>
  <c r="M10" i="28" s="1" a="1"/>
  <c r="M10" i="28" s="1"/>
  <c r="C11" i="28" a="1"/>
  <c r="C11" i="28" s="1"/>
  <c r="L11" i="28" s="1" a="1"/>
  <c r="L11" i="28" s="1"/>
  <c r="M11" i="28" s="1" a="1"/>
  <c r="M11" i="28" s="1"/>
  <c r="C12" i="28" a="1"/>
  <c r="C12" i="28" s="1"/>
  <c r="L12" i="28" s="1" a="1"/>
  <c r="L12" i="28" s="1"/>
  <c r="M12" i="28" s="1" a="1"/>
  <c r="M12" i="28" s="1"/>
  <c r="C13" i="28" a="1"/>
  <c r="C13" i="28" s="1"/>
  <c r="C14" i="28" a="1"/>
  <c r="C14" i="28" s="1"/>
  <c r="L14" i="28" s="1" a="1"/>
  <c r="L14" i="28" s="1"/>
  <c r="M14" i="28" s="1" a="1"/>
  <c r="M14" i="28" s="1"/>
  <c r="C15" i="28" a="1"/>
  <c r="C15" i="28" s="1"/>
  <c r="L15" i="28" s="1" a="1"/>
  <c r="L15" i="28" s="1"/>
  <c r="M15" i="28" s="1" a="1"/>
  <c r="M15" i="28" s="1"/>
  <c r="C16" i="28" a="1"/>
  <c r="C16" i="28" s="1"/>
  <c r="L16" i="28" s="1" a="1"/>
  <c r="L16" i="28" s="1"/>
  <c r="M16" i="28" s="1" a="1"/>
  <c r="M16" i="28" s="1"/>
  <c r="C17" i="28" a="1"/>
  <c r="C17" i="28" s="1"/>
  <c r="L17" i="28" s="1" a="1"/>
  <c r="L17" i="28" s="1"/>
  <c r="M17" i="28" s="1" a="1"/>
  <c r="M17" i="28" s="1"/>
  <c r="C18" i="28" a="1"/>
  <c r="C18" i="28" s="1"/>
  <c r="L18" i="28" s="1" a="1"/>
  <c r="L18" i="28" s="1"/>
  <c r="M18" i="28" s="1" a="1"/>
  <c r="M18" i="28" s="1"/>
  <c r="C19" i="28" a="1"/>
  <c r="C19" i="28" s="1"/>
  <c r="C20" i="28" a="1"/>
  <c r="C20" i="28" s="1"/>
  <c r="L20" i="28" s="1" a="1"/>
  <c r="L20" i="28" s="1"/>
  <c r="M20" i="28" s="1" a="1"/>
  <c r="M20" i="28" s="1"/>
  <c r="C21" i="28" a="1"/>
  <c r="C21" i="28" s="1"/>
  <c r="L21" i="28" s="1" a="1"/>
  <c r="L21" i="28" s="1"/>
  <c r="M21" i="28" s="1" a="1"/>
  <c r="M21" i="28" s="1"/>
  <c r="C22" i="28" a="1"/>
  <c r="C22" i="28" s="1"/>
  <c r="L22" i="28" s="1" a="1"/>
  <c r="L22" i="28" s="1"/>
  <c r="M22" i="28" s="1" a="1"/>
  <c r="M22" i="28" s="1"/>
  <c r="C23" i="28" a="1"/>
  <c r="C23" i="28" s="1"/>
  <c r="L23" i="28" s="1" a="1"/>
  <c r="L23" i="28" s="1"/>
  <c r="M23" i="28" s="1" a="1"/>
  <c r="M23" i="28" s="1"/>
  <c r="C24" i="28" a="1"/>
  <c r="C24" i="28" s="1"/>
  <c r="L24" i="28" s="1" a="1"/>
  <c r="L24" i="28" s="1"/>
  <c r="M24" i="28" s="1" a="1"/>
  <c r="M24" i="28" s="1"/>
  <c r="C25" i="28" a="1"/>
  <c r="C25" i="28" s="1"/>
  <c r="L25" i="28" s="1" a="1"/>
  <c r="L25" i="28" s="1"/>
  <c r="M25" i="28" s="1" a="1"/>
  <c r="M25" i="28" s="1"/>
  <c r="C26" i="28" a="1"/>
  <c r="C26" i="28" s="1"/>
  <c r="L26" i="28" s="1" a="1"/>
  <c r="L26" i="28" s="1"/>
  <c r="M26" i="28" s="1" a="1"/>
  <c r="M26" i="28" s="1"/>
  <c r="C27" i="28" a="1"/>
  <c r="C27" i="28" s="1"/>
  <c r="L27" i="28" s="1" a="1"/>
  <c r="L27" i="28" s="1"/>
  <c r="M27" i="28" s="1" a="1"/>
  <c r="M27" i="28" s="1"/>
  <c r="C28" i="28" a="1"/>
  <c r="C28" i="28" s="1"/>
  <c r="L28" i="28" s="1" a="1"/>
  <c r="L28" i="28" s="1"/>
  <c r="M28" i="28" s="1" a="1"/>
  <c r="M28" i="28" s="1"/>
  <c r="C29" i="28" a="1"/>
  <c r="C29" i="28" s="1"/>
  <c r="L29" i="28" s="1" a="1"/>
  <c r="L29" i="28" s="1"/>
  <c r="M29" i="28" s="1" a="1"/>
  <c r="M29" i="28" s="1"/>
  <c r="C30" i="28" a="1"/>
  <c r="C30" i="28" s="1"/>
  <c r="L30" i="28" s="1" a="1"/>
  <c r="L30" i="28" s="1"/>
  <c r="M30" i="28" s="1" a="1"/>
  <c r="M30" i="28" s="1"/>
  <c r="C31" i="28" a="1"/>
  <c r="C31" i="28" s="1"/>
  <c r="L31" i="28" s="1" a="1"/>
  <c r="L31" i="28" s="1"/>
  <c r="M31" i="28" s="1" a="1"/>
  <c r="M31" i="28" s="1"/>
  <c r="C32" i="28" a="1"/>
  <c r="C32" i="28" s="1"/>
  <c r="C33" i="28" a="1"/>
  <c r="C33" i="28" s="1"/>
  <c r="L33" i="28" s="1" a="1"/>
  <c r="L33" i="28" s="1"/>
  <c r="M33" i="28" s="1" a="1"/>
  <c r="M33" i="28" s="1"/>
  <c r="C34" i="28" a="1"/>
  <c r="C34" i="28" s="1"/>
  <c r="L34" i="28" s="1" a="1"/>
  <c r="L34" i="28" s="1"/>
  <c r="M34" i="28" s="1" a="1"/>
  <c r="M34" i="28" s="1"/>
  <c r="C35" i="28" a="1"/>
  <c r="C35" i="28" s="1"/>
  <c r="L35" i="28" s="1" a="1"/>
  <c r="L35" i="28" s="1"/>
  <c r="M35" i="28" s="1" a="1"/>
  <c r="M35" i="28" s="1"/>
  <c r="C36" i="28" a="1"/>
  <c r="C36" i="28" s="1"/>
  <c r="L36" i="28" s="1" a="1"/>
  <c r="L36" i="28" s="1"/>
  <c r="M36" i="28" s="1" a="1"/>
  <c r="M36" i="28" s="1"/>
  <c r="C37" i="28" a="1"/>
  <c r="C37" i="28" s="1"/>
  <c r="L37" i="28" s="1" a="1"/>
  <c r="L37" i="28" s="1"/>
  <c r="M37" i="28" s="1" a="1"/>
  <c r="M37" i="28" s="1"/>
  <c r="C38" i="28" a="1"/>
  <c r="C38" i="28" s="1"/>
  <c r="L38" i="28" s="1" a="1"/>
  <c r="L38" i="28" s="1"/>
  <c r="M38" i="28" s="1" a="1"/>
  <c r="M38" i="28" s="1"/>
  <c r="C39" i="28" a="1"/>
  <c r="C39" i="28" s="1"/>
  <c r="L39" i="28" s="1" a="1"/>
  <c r="L39" i="28" s="1"/>
  <c r="M39" i="28" s="1" a="1"/>
  <c r="M39" i="28" s="1"/>
  <c r="C40" i="28" a="1"/>
  <c r="C40" i="28" s="1"/>
  <c r="L40" i="28" s="1" a="1"/>
  <c r="L40" i="28" s="1"/>
  <c r="M40" i="28" s="1" a="1"/>
  <c r="M40" i="28" s="1"/>
  <c r="C41" i="28" a="1"/>
  <c r="C41" i="28" s="1"/>
  <c r="L41" i="28" s="1" a="1"/>
  <c r="L41" i="28" s="1"/>
  <c r="M41" i="28" s="1" a="1"/>
  <c r="M41" i="28" s="1"/>
  <c r="C42" i="28" a="1"/>
  <c r="C42" i="28" s="1"/>
  <c r="L42" i="28" s="1" a="1"/>
  <c r="L42" i="28" s="1"/>
  <c r="M42" i="28" s="1" a="1"/>
  <c r="M42" i="28" s="1"/>
  <c r="C43" i="28" a="1"/>
  <c r="C43" i="28" s="1"/>
  <c r="L43" i="28" s="1" a="1"/>
  <c r="L43" i="28" s="1"/>
  <c r="M43" i="28" s="1" a="1"/>
  <c r="M43" i="28" s="1"/>
  <c r="C44" i="28" a="1"/>
  <c r="C44" i="28" s="1"/>
  <c r="L44" i="28" s="1" a="1"/>
  <c r="L44" i="28" s="1"/>
  <c r="M44" i="28" s="1" a="1"/>
  <c r="M44" i="28" s="1"/>
  <c r="C45" i="28" a="1"/>
  <c r="C45" i="28" s="1"/>
  <c r="C46" i="28" a="1"/>
  <c r="C46" i="28" s="1"/>
  <c r="L46" i="28" s="1" a="1"/>
  <c r="L46" i="28" s="1"/>
  <c r="M46" i="28" s="1" a="1"/>
  <c r="M46" i="28" s="1"/>
  <c r="C47" i="28" a="1"/>
  <c r="C47" i="28" s="1"/>
  <c r="L47" i="28" s="1" a="1"/>
  <c r="L47" i="28" s="1"/>
  <c r="M47" i="28" s="1" a="1"/>
  <c r="M47" i="28" s="1"/>
  <c r="C48" i="28" a="1"/>
  <c r="C48" i="28" s="1"/>
  <c r="L48" i="28" s="1" a="1"/>
  <c r="L48" i="28" s="1"/>
  <c r="M48" i="28" s="1" a="1"/>
  <c r="M48" i="28" s="1"/>
  <c r="C49" i="28" a="1"/>
  <c r="C49" i="28" s="1"/>
  <c r="L49" i="28" s="1" a="1"/>
  <c r="L49" i="28" s="1"/>
  <c r="M49" i="28" s="1" a="1"/>
  <c r="M49" i="28" s="1"/>
  <c r="C50" i="28" a="1"/>
  <c r="C50" i="28" s="1"/>
  <c r="L50" i="28" s="1" a="1"/>
  <c r="L50" i="28" s="1"/>
  <c r="M50" i="28" s="1" a="1"/>
  <c r="M50" i="28" s="1"/>
  <c r="C51" i="28" a="1"/>
  <c r="C51" i="28" s="1"/>
  <c r="L51" i="28" s="1" a="1"/>
  <c r="L51" i="28" s="1"/>
  <c r="M51" i="28" s="1" a="1"/>
  <c r="M51" i="28" s="1"/>
  <c r="C52" i="28" a="1"/>
  <c r="C52" i="28" s="1"/>
  <c r="L52" i="28" s="1" a="1"/>
  <c r="L52" i="28" s="1"/>
  <c r="M52" i="28" s="1" a="1"/>
  <c r="M52" i="28" s="1"/>
  <c r="C53" i="28" a="1"/>
  <c r="C53" i="28" s="1"/>
  <c r="L53" i="28" s="1" a="1"/>
  <c r="L53" i="28" s="1"/>
  <c r="M53" i="28" s="1" a="1"/>
  <c r="M53" i="28" s="1"/>
  <c r="C54" i="28" a="1"/>
  <c r="C54" i="28" s="1"/>
  <c r="L54" i="28" s="1" a="1"/>
  <c r="L54" i="28" s="1"/>
  <c r="M54" i="28" s="1" a="1"/>
  <c r="M54" i="28" s="1"/>
  <c r="C55" i="28" a="1"/>
  <c r="C55" i="28" s="1"/>
  <c r="C56" i="28" a="1"/>
  <c r="C56" i="28" s="1"/>
  <c r="L56" i="28" s="1" a="1"/>
  <c r="L56" i="28" s="1"/>
  <c r="M56" i="28" s="1" a="1"/>
  <c r="M56" i="28" s="1"/>
  <c r="C57" i="28" a="1"/>
  <c r="C57" i="28" s="1"/>
  <c r="L57" i="28" s="1" a="1"/>
  <c r="L57" i="28" s="1"/>
  <c r="M57" i="28" s="1" a="1"/>
  <c r="M57" i="28" s="1"/>
  <c r="C58" i="28" a="1"/>
  <c r="C58" i="28" s="1"/>
  <c r="L58" i="28" s="1" a="1"/>
  <c r="L58" i="28" s="1"/>
  <c r="M58" i="28" s="1" a="1"/>
  <c r="M58" i="28" s="1"/>
  <c r="C59" i="28" a="1"/>
  <c r="C59" i="28" s="1"/>
  <c r="L59" i="28" s="1" a="1"/>
  <c r="L59" i="28" s="1"/>
  <c r="M59" i="28" s="1" a="1"/>
  <c r="M59" i="28" s="1"/>
  <c r="C60" i="28" a="1"/>
  <c r="C60" i="28" s="1"/>
  <c r="L60" i="28" s="1" a="1"/>
  <c r="L60" i="28" s="1"/>
  <c r="M60" i="28" s="1" a="1"/>
  <c r="M60" i="28" s="1"/>
  <c r="C61" i="28" a="1"/>
  <c r="C61" i="28" s="1"/>
  <c r="L61" i="28" s="1" a="1"/>
  <c r="L61" i="28" s="1"/>
  <c r="M61" i="28" s="1" a="1"/>
  <c r="M61" i="28" s="1"/>
  <c r="C62" i="28" a="1"/>
  <c r="C62" i="28" s="1"/>
  <c r="L62" i="28" s="1" a="1"/>
  <c r="L62" i="28" s="1"/>
  <c r="M62" i="28" s="1" a="1"/>
  <c r="M62" i="28" s="1"/>
  <c r="C63" i="28" a="1"/>
  <c r="C63" i="28"/>
  <c r="L63" i="28" s="1" a="1"/>
  <c r="L63" i="28" s="1"/>
  <c r="M63" i="28" s="1" a="1"/>
  <c r="M63" i="28" s="1"/>
  <c r="C64" i="28" a="1"/>
  <c r="C64" i="28" s="1"/>
  <c r="L64" i="28" s="1" a="1"/>
  <c r="L64" i="28" s="1"/>
  <c r="M64" i="28" s="1" a="1"/>
  <c r="M64" i="28" s="1"/>
  <c r="C65" i="28" a="1"/>
  <c r="C65" i="28" s="1"/>
  <c r="L65" i="28" s="1" a="1"/>
  <c r="L65" i="28" s="1"/>
  <c r="M65" i="28" s="1" a="1"/>
  <c r="M65" i="28" s="1"/>
  <c r="C66" i="28" a="1"/>
  <c r="C66" i="28" s="1"/>
  <c r="C67" i="28" a="1"/>
  <c r="C67" i="28" s="1"/>
  <c r="C68" i="28" a="1"/>
  <c r="C68" i="28" s="1"/>
  <c r="L68" i="28" s="1" a="1"/>
  <c r="L68" i="28" s="1"/>
  <c r="M68" i="28" s="1" a="1"/>
  <c r="M68" i="28" s="1"/>
  <c r="C69" i="28" a="1"/>
  <c r="C69" i="28" s="1"/>
  <c r="L69" i="28" s="1" a="1"/>
  <c r="L69" i="28" s="1"/>
  <c r="M69" i="28" s="1" a="1"/>
  <c r="M69" i="28" s="1"/>
  <c r="C70" i="28" a="1"/>
  <c r="C70" i="28" s="1"/>
  <c r="L70" i="28" s="1" a="1"/>
  <c r="L70" i="28" s="1"/>
  <c r="M70" i="28" s="1" a="1"/>
  <c r="M70" i="28" s="1"/>
  <c r="C71" i="28" a="1"/>
  <c r="C71" i="28" s="1"/>
  <c r="L71" i="28" s="1" a="1"/>
  <c r="L71" i="28" s="1"/>
  <c r="M71" i="28" s="1" a="1"/>
  <c r="M71" i="28" s="1"/>
  <c r="C72" i="28" a="1"/>
  <c r="C72" i="28" s="1"/>
  <c r="L72" i="28" s="1" a="1"/>
  <c r="L72" i="28" s="1"/>
  <c r="M72" i="28" s="1" a="1"/>
  <c r="M72" i="28" s="1"/>
  <c r="C73" i="28" a="1"/>
  <c r="C73" i="28" s="1"/>
  <c r="C74" i="28" a="1"/>
  <c r="C74" i="28" s="1"/>
  <c r="L74" i="28" s="1" a="1"/>
  <c r="L74" i="28" s="1"/>
  <c r="M74" i="28" s="1" a="1"/>
  <c r="M74" i="28" s="1"/>
  <c r="C75" i="28" a="1"/>
  <c r="C75" i="28" s="1"/>
  <c r="L75" i="28" s="1" a="1"/>
  <c r="L75" i="28" s="1"/>
  <c r="M75" i="28" s="1" a="1"/>
  <c r="M75" i="28" s="1"/>
  <c r="C76" i="28" a="1"/>
  <c r="C76" i="28" s="1"/>
  <c r="L76" i="28" s="1" a="1"/>
  <c r="L76" i="28" s="1"/>
  <c r="M76" i="28" s="1" a="1"/>
  <c r="M76" i="28" s="1"/>
  <c r="C77" i="28" a="1"/>
  <c r="C77" i="28" s="1"/>
  <c r="L77" i="28" s="1" a="1"/>
  <c r="L77" i="28" s="1"/>
  <c r="M77" i="28" s="1" a="1"/>
  <c r="M77" i="28" s="1"/>
  <c r="C78" i="28" a="1"/>
  <c r="C78" i="28" s="1"/>
  <c r="L78" i="28" s="1" a="1"/>
  <c r="L78" i="28" s="1"/>
  <c r="M78" i="28" s="1" a="1"/>
  <c r="M78" i="28" s="1"/>
  <c r="C79" i="28" a="1"/>
  <c r="C79" i="28" s="1"/>
  <c r="L79" i="28" s="1" a="1"/>
  <c r="L79" i="28" s="1"/>
  <c r="M79" i="28" s="1" a="1"/>
  <c r="M79" i="28" s="1"/>
  <c r="C80" i="28" a="1"/>
  <c r="C80" i="28" s="1"/>
  <c r="L80" i="28" s="1" a="1"/>
  <c r="L80" i="28" s="1"/>
  <c r="M80" i="28" s="1" a="1"/>
  <c r="M80" i="28" s="1"/>
  <c r="C81" i="28" a="1"/>
  <c r="C81" i="28" s="1"/>
  <c r="L81" i="28" s="1" a="1"/>
  <c r="L81" i="28" s="1"/>
  <c r="M81" i="28" s="1" a="1"/>
  <c r="M81" i="28" s="1"/>
  <c r="C82" i="28" a="1"/>
  <c r="C82" i="28" s="1"/>
  <c r="L82" i="28" s="1" a="1"/>
  <c r="L82" i="28" s="1"/>
  <c r="M82" i="28" s="1" a="1"/>
  <c r="M82" i="28" s="1"/>
  <c r="C83" i="28" a="1"/>
  <c r="C83" i="28" s="1"/>
  <c r="L83" i="28" s="1" a="1"/>
  <c r="L83" i="28" s="1"/>
  <c r="M83" i="28" s="1" a="1"/>
  <c r="M83" i="28" s="1"/>
  <c r="C84" i="28" a="1"/>
  <c r="C84" i="28" s="1"/>
  <c r="C85" i="28" a="1"/>
  <c r="C85" i="28" s="1"/>
  <c r="L85" i="28" s="1" a="1"/>
  <c r="L85" i="28" s="1"/>
  <c r="M85" i="28" s="1" a="1"/>
  <c r="M85" i="28" s="1"/>
  <c r="C86" i="28" a="1"/>
  <c r="C86" i="28" s="1"/>
  <c r="L86" i="28" s="1" a="1"/>
  <c r="L86" i="28" s="1"/>
  <c r="M86" i="28" s="1" a="1"/>
  <c r="M86" i="28" s="1"/>
  <c r="C87" i="28" a="1"/>
  <c r="C87" i="28" s="1"/>
  <c r="L87" i="28" s="1" a="1"/>
  <c r="L87" i="28" s="1"/>
  <c r="M87" i="28" s="1" a="1"/>
  <c r="M87" i="28" s="1"/>
  <c r="C88" i="28" a="1"/>
  <c r="C88" i="28" s="1"/>
  <c r="L88" i="28" s="1" a="1"/>
  <c r="L88" i="28" s="1"/>
  <c r="M88" i="28" s="1" a="1"/>
  <c r="M88" i="28" s="1"/>
  <c r="C89" i="28" a="1"/>
  <c r="C89" i="28" s="1"/>
  <c r="L89" i="28" s="1" a="1"/>
  <c r="L89" i="28" s="1"/>
  <c r="M89" i="28" s="1" a="1"/>
  <c r="M89" i="28" s="1"/>
  <c r="C90" i="28" a="1"/>
  <c r="C90" i="28" s="1"/>
  <c r="L90" i="28" s="1" a="1"/>
  <c r="L90" i="28" s="1"/>
  <c r="M90" i="28" s="1" a="1"/>
  <c r="M90" i="28" s="1"/>
  <c r="C91" i="28" a="1"/>
  <c r="C91" i="28" s="1"/>
  <c r="C92" i="28" a="1"/>
  <c r="C92" i="28" s="1"/>
  <c r="L92" i="28" s="1" a="1"/>
  <c r="L92" i="28" s="1"/>
  <c r="M92" i="28" s="1" a="1"/>
  <c r="M92" i="28" s="1"/>
  <c r="C93" i="28" a="1"/>
  <c r="C93" i="28" s="1"/>
  <c r="L93" i="28" s="1" a="1"/>
  <c r="L93" i="28" s="1"/>
  <c r="M93" i="28" s="1" a="1"/>
  <c r="M93" i="28" s="1"/>
  <c r="C94" i="28" a="1"/>
  <c r="C94" i="28" s="1"/>
  <c r="L94" i="28" s="1" a="1"/>
  <c r="L94" i="28" s="1"/>
  <c r="M94" i="28" s="1" a="1"/>
  <c r="M94" i="28" s="1"/>
  <c r="C95" i="28" a="1"/>
  <c r="C95" i="28" s="1"/>
  <c r="L95" i="28" s="1" a="1"/>
  <c r="L95" i="28" s="1"/>
  <c r="M95" i="28" s="1" a="1"/>
  <c r="M95" i="28" s="1"/>
  <c r="C96" i="28" a="1"/>
  <c r="C96" i="28" s="1"/>
  <c r="L96" i="28" s="1" a="1"/>
  <c r="L96" i="28" s="1"/>
  <c r="M96" i="28" s="1" a="1"/>
  <c r="M96" i="28" s="1"/>
  <c r="C97" i="28" a="1"/>
  <c r="C97" i="28" s="1"/>
  <c r="L97" i="28" s="1" a="1"/>
  <c r="L97" i="28" s="1"/>
  <c r="M97" i="28" s="1" a="1"/>
  <c r="M97" i="28" s="1"/>
  <c r="C98" i="28" a="1"/>
  <c r="C98" i="28" s="1"/>
  <c r="L98" i="28" s="1" a="1"/>
  <c r="L98" i="28" s="1"/>
  <c r="M98" i="28" s="1" a="1"/>
  <c r="M98" i="28" s="1"/>
  <c r="C99" i="28" a="1"/>
  <c r="C99" i="28" s="1"/>
  <c r="L99" i="28" s="1" a="1"/>
  <c r="L99" i="28" s="1"/>
  <c r="M99" i="28" s="1" a="1"/>
  <c r="M99" i="28" s="1"/>
  <c r="C100" i="28" a="1"/>
  <c r="C100" i="28" s="1"/>
  <c r="L100" i="28" s="1" a="1"/>
  <c r="L100" i="28" s="1"/>
  <c r="M100" i="28" s="1" a="1"/>
  <c r="M100" i="28" s="1"/>
  <c r="C101" i="28" a="1"/>
  <c r="C101" i="28" s="1"/>
  <c r="L101" i="28" s="1" a="1"/>
  <c r="L101" i="28" s="1"/>
  <c r="M101" i="28" s="1" a="1"/>
  <c r="M101" i="28" s="1"/>
  <c r="C102" i="28" a="1"/>
  <c r="C102" i="28" s="1"/>
  <c r="L102" i="28" s="1" a="1"/>
  <c r="L102" i="28" s="1"/>
  <c r="M102" i="28" s="1" a="1"/>
  <c r="M102" i="28" s="1"/>
  <c r="C103" i="28" a="1"/>
  <c r="C103" i="28" s="1"/>
  <c r="L103" i="28" s="1" a="1"/>
  <c r="L103" i="28" s="1"/>
  <c r="M103" i="28" s="1" a="1"/>
  <c r="M103" i="28" s="1"/>
  <c r="C104" i="28" a="1"/>
  <c r="C104" i="28" s="1"/>
  <c r="L104" i="28" s="1" a="1"/>
  <c r="L104" i="28" s="1"/>
  <c r="M104" i="28" s="1" a="1"/>
  <c r="M104" i="28" s="1"/>
  <c r="C105" i="28" a="1"/>
  <c r="C105" i="28" s="1"/>
  <c r="L105" i="28" s="1" a="1"/>
  <c r="L105" i="28" s="1"/>
  <c r="M105" i="28" s="1" a="1"/>
  <c r="M105" i="28" s="1"/>
  <c r="C106" i="28" a="1"/>
  <c r="C106" i="28" s="1"/>
  <c r="L106" i="28" s="1" a="1"/>
  <c r="L106" i="28" s="1"/>
  <c r="M106" i="28" s="1" a="1"/>
  <c r="M106" i="28" s="1"/>
  <c r="C107" i="28" a="1"/>
  <c r="C107" i="28" s="1"/>
  <c r="L107" i="28" s="1" a="1"/>
  <c r="L107" i="28" s="1"/>
  <c r="M107" i="28" s="1" a="1"/>
  <c r="M107" i="28" s="1"/>
  <c r="C108" i="28" a="1"/>
  <c r="C108" i="28" s="1"/>
  <c r="L108" i="28" s="1" a="1"/>
  <c r="L108" i="28" s="1"/>
  <c r="M108" i="28" s="1" a="1"/>
  <c r="M108" i="28" s="1"/>
  <c r="C109" i="28" a="1"/>
  <c r="C109" i="28" s="1"/>
  <c r="L109" i="28" s="1" a="1"/>
  <c r="L109" i="28" s="1"/>
  <c r="M109" i="28" s="1" a="1"/>
  <c r="M109" i="28" s="1"/>
  <c r="C110" i="28" a="1"/>
  <c r="C110" i="28" s="1"/>
  <c r="L110" i="28" s="1" a="1"/>
  <c r="L110" i="28" s="1"/>
  <c r="M110" i="28" s="1" a="1"/>
  <c r="M110" i="28" s="1"/>
  <c r="C111" i="28" a="1"/>
  <c r="C111" i="28" s="1"/>
  <c r="L111" i="28" s="1" a="1"/>
  <c r="L111" i="28" s="1"/>
  <c r="M111" i="28" s="1" a="1"/>
  <c r="M111" i="28" s="1"/>
  <c r="C112" i="28" a="1"/>
  <c r="C112" i="28" s="1"/>
  <c r="L112" i="28" s="1" a="1"/>
  <c r="L112" i="28" s="1"/>
  <c r="M112" i="28" s="1" a="1"/>
  <c r="M112" i="28" s="1"/>
  <c r="C113" i="28" a="1"/>
  <c r="C113" i="28" s="1"/>
  <c r="L113" i="28" s="1" a="1"/>
  <c r="L113" i="28" s="1"/>
  <c r="M113" i="28" s="1" a="1"/>
  <c r="M113" i="28" s="1"/>
  <c r="C114" i="28" a="1"/>
  <c r="C114" i="28" s="1"/>
  <c r="L114" i="28" s="1" a="1"/>
  <c r="L114" i="28" s="1"/>
  <c r="M114" i="28" s="1" a="1"/>
  <c r="M114" i="28" s="1"/>
  <c r="C115" i="28" a="1"/>
  <c r="C115" i="28" s="1"/>
  <c r="L115" i="28" s="1" a="1"/>
  <c r="L115" i="28" s="1"/>
  <c r="M115" i="28" s="1" a="1"/>
  <c r="M115" i="28" s="1"/>
  <c r="C116" i="28" a="1"/>
  <c r="C116" i="28" s="1"/>
  <c r="L116" i="28" s="1" a="1"/>
  <c r="L116" i="28" s="1"/>
  <c r="M116" i="28" s="1" a="1"/>
  <c r="M116" i="28" s="1"/>
  <c r="C117" i="28" a="1"/>
  <c r="C117" i="28" s="1"/>
  <c r="L117" i="28" s="1" a="1"/>
  <c r="L117" i="28" s="1"/>
  <c r="M117" i="28" s="1" a="1"/>
  <c r="M117" i="28" s="1"/>
  <c r="C118" i="28" a="1"/>
  <c r="C118" i="28" s="1"/>
  <c r="L118" i="28" s="1" a="1"/>
  <c r="L118" i="28" s="1"/>
  <c r="M118" i="28" s="1" a="1"/>
  <c r="M118" i="28" s="1"/>
  <c r="C119" i="28" a="1"/>
  <c r="C119" i="28" s="1"/>
  <c r="L119" i="28" s="1" a="1"/>
  <c r="L119" i="28" s="1"/>
  <c r="C120" i="28" a="1"/>
  <c r="C120" i="28" s="1"/>
  <c r="L120" i="28" s="1" a="1"/>
  <c r="L120" i="28" s="1"/>
  <c r="M120" i="28" s="1" a="1"/>
  <c r="M120" i="28" s="1"/>
  <c r="C121" i="28" a="1"/>
  <c r="C121" i="28" s="1"/>
  <c r="L121" i="28" s="1" a="1"/>
  <c r="L121" i="28" s="1"/>
  <c r="M121" i="28" s="1" a="1"/>
  <c r="M121" i="28" s="1"/>
  <c r="C122" i="28" a="1"/>
  <c r="C122" i="28" s="1"/>
  <c r="L122" i="28" s="1" a="1"/>
  <c r="L122" i="28" s="1"/>
  <c r="M122" i="28" s="1" a="1"/>
  <c r="M122" i="28" s="1"/>
  <c r="C123" i="28" a="1"/>
  <c r="C123" i="28" s="1"/>
  <c r="L123" i="28" s="1" a="1"/>
  <c r="L123" i="28" s="1"/>
  <c r="M123" i="28" s="1" a="1"/>
  <c r="M123" i="28" s="1"/>
  <c r="C124" i="28" a="1"/>
  <c r="C124" i="28" s="1"/>
  <c r="L124" i="28" s="1" a="1"/>
  <c r="L124" i="28" s="1"/>
  <c r="M124" i="28" s="1" a="1"/>
  <c r="M124" i="28" s="1"/>
  <c r="C125" i="28" a="1"/>
  <c r="C125" i="28" s="1"/>
  <c r="C126" i="28" a="1"/>
  <c r="C126" i="28" s="1"/>
  <c r="L126" i="28" s="1" a="1"/>
  <c r="L126" i="28" s="1"/>
  <c r="M126" i="28" s="1" a="1"/>
  <c r="M126" i="28" s="1"/>
  <c r="C127" i="28" a="1"/>
  <c r="C127" i="28" s="1"/>
  <c r="L127" i="28" s="1" a="1"/>
  <c r="L127" i="28" s="1"/>
  <c r="M127" i="28" s="1" a="1"/>
  <c r="M127" i="28" s="1"/>
  <c r="C128" i="28" a="1"/>
  <c r="C128" i="28" s="1"/>
  <c r="L128" i="28" s="1" a="1"/>
  <c r="L128" i="28" s="1"/>
  <c r="M128" i="28" s="1" a="1"/>
  <c r="M128" i="28" s="1"/>
  <c r="C129" i="28" a="1"/>
  <c r="C129" i="28" s="1"/>
  <c r="L129" i="28" s="1" a="1"/>
  <c r="L129" i="28" s="1"/>
  <c r="M129" i="28" s="1" a="1"/>
  <c r="M129" i="28" s="1"/>
  <c r="C130" i="28" a="1"/>
  <c r="C130" i="28" s="1"/>
  <c r="L130" i="28" s="1" a="1"/>
  <c r="L130" i="28" s="1"/>
  <c r="M130" i="28" s="1" a="1"/>
  <c r="M130" i="28" s="1"/>
  <c r="C131" i="28" a="1"/>
  <c r="C131" i="28" s="1"/>
  <c r="L131" i="28" s="1" a="1"/>
  <c r="L131" i="28" s="1"/>
  <c r="M131" i="28" s="1" a="1"/>
  <c r="M131" i="28" s="1"/>
  <c r="C132" i="28" a="1"/>
  <c r="C132" i="28" s="1"/>
  <c r="L132" i="28" s="1" a="1"/>
  <c r="L132" i="28" s="1"/>
  <c r="M132" i="28" s="1" a="1"/>
  <c r="M132" i="28" s="1"/>
  <c r="C133" i="28" a="1"/>
  <c r="C133" i="28" s="1"/>
  <c r="L133" i="28" s="1" a="1"/>
  <c r="L133" i="28" s="1"/>
  <c r="M133" i="28" s="1" a="1"/>
  <c r="M133" i="28" s="1"/>
  <c r="C134" i="28" a="1"/>
  <c r="C134" i="28" s="1"/>
  <c r="L134" i="28" s="1" a="1"/>
  <c r="L134" i="28" s="1"/>
  <c r="M134" i="28" s="1" a="1"/>
  <c r="M134" i="28" s="1"/>
  <c r="C135" i="28" a="1"/>
  <c r="C135" i="28" s="1"/>
  <c r="L135" i="28" s="1" a="1"/>
  <c r="L135" i="28" s="1"/>
  <c r="M135" i="28" s="1" a="1"/>
  <c r="M135" i="28" s="1"/>
  <c r="C136" i="28" a="1"/>
  <c r="C136" i="28" s="1"/>
  <c r="L136" i="28" s="1" a="1"/>
  <c r="L136" i="28" s="1"/>
  <c r="M136" i="28" s="1" a="1"/>
  <c r="M136" i="28" s="1"/>
  <c r="C137" i="28" a="1"/>
  <c r="C137" i="28" s="1"/>
  <c r="L137" i="28" s="1" a="1"/>
  <c r="L137" i="28" s="1"/>
  <c r="M137" i="28" s="1" a="1"/>
  <c r="M137" i="28" s="1"/>
  <c r="C138" i="28" a="1"/>
  <c r="C138" i="28" s="1"/>
  <c r="L138" i="28" s="1" a="1"/>
  <c r="L138" i="28" s="1"/>
  <c r="M138" i="28" s="1" a="1"/>
  <c r="M138" i="28" s="1"/>
  <c r="C139" i="28" a="1"/>
  <c r="C139" i="28" s="1"/>
  <c r="C140" i="28" a="1"/>
  <c r="C140" i="28" s="1"/>
  <c r="L140" i="28" s="1" a="1"/>
  <c r="L140" i="28" s="1"/>
  <c r="M140" i="28" s="1" a="1"/>
  <c r="M140" i="28" s="1"/>
  <c r="C141" i="28" a="1"/>
  <c r="C141" i="28" s="1"/>
  <c r="L141" i="28" s="1" a="1"/>
  <c r="L141" i="28" s="1"/>
  <c r="M141" i="28" s="1" a="1"/>
  <c r="M141" i="28" s="1"/>
  <c r="C142" i="28" a="1"/>
  <c r="C142" i="28" s="1"/>
  <c r="L142" i="28" s="1" a="1"/>
  <c r="L142" i="28" s="1"/>
  <c r="C143" i="28" a="1"/>
  <c r="C143" i="28" s="1"/>
  <c r="L143" i="28" s="1" a="1"/>
  <c r="L143" i="28" s="1"/>
  <c r="M143" i="28" s="1" a="1"/>
  <c r="M143" i="28" s="1"/>
  <c r="C144" i="28" a="1"/>
  <c r="C144" i="28" s="1"/>
  <c r="L144" i="28" s="1" a="1"/>
  <c r="L144" i="28" s="1"/>
  <c r="M144" i="28" s="1" a="1"/>
  <c r="M144" i="28" s="1"/>
  <c r="C145" i="28" a="1"/>
  <c r="C145" i="28" s="1"/>
  <c r="L145" i="28" s="1" a="1"/>
  <c r="L145" i="28" s="1"/>
  <c r="M145" i="28" s="1" a="1"/>
  <c r="M145" i="28" s="1"/>
  <c r="C146" i="28" a="1"/>
  <c r="C146" i="28" s="1"/>
  <c r="L146" i="28" s="1" a="1"/>
  <c r="L146" i="28" s="1"/>
  <c r="M146" i="28" s="1" a="1"/>
  <c r="M146" i="28" s="1"/>
  <c r="C147" i="28" a="1"/>
  <c r="C147" i="28" s="1"/>
  <c r="L147" i="28" s="1" a="1"/>
  <c r="L147" i="28" s="1"/>
  <c r="M147" i="28" s="1" a="1"/>
  <c r="M147" i="28" s="1"/>
  <c r="C148" i="28" a="1"/>
  <c r="C148" i="28" s="1"/>
  <c r="L148" i="28" s="1" a="1"/>
  <c r="L148" i="28" s="1"/>
  <c r="M148" i="28" s="1" a="1"/>
  <c r="M148" i="28" s="1"/>
  <c r="C149" i="28" a="1"/>
  <c r="C149" i="28" s="1"/>
  <c r="L149" i="28" s="1" a="1"/>
  <c r="L149" i="28" s="1"/>
  <c r="M149" i="28" s="1" a="1"/>
  <c r="M149" i="28" s="1"/>
  <c r="C150" i="28" a="1"/>
  <c r="C150" i="28" s="1"/>
  <c r="L150" i="28" s="1" a="1"/>
  <c r="L150" i="28" s="1"/>
  <c r="M150" i="28" s="1" a="1"/>
  <c r="M150" i="28" s="1"/>
  <c r="C151" i="28" a="1"/>
  <c r="C151" i="28" s="1"/>
  <c r="L151" i="28" s="1" a="1"/>
  <c r="L151" i="28" s="1"/>
  <c r="M151" i="28" s="1" a="1"/>
  <c r="M151" i="28" s="1"/>
  <c r="C152" i="28" a="1"/>
  <c r="C152" i="28" s="1"/>
  <c r="L152" i="28" s="1" a="1"/>
  <c r="L152" i="28" s="1"/>
  <c r="M152" i="28" s="1" a="1"/>
  <c r="M152" i="28" s="1"/>
  <c r="C153" i="28" a="1"/>
  <c r="C153" i="28" s="1"/>
  <c r="L153" i="28" s="1" a="1"/>
  <c r="L153" i="28" s="1"/>
  <c r="M153" i="28" s="1" a="1"/>
  <c r="M153" i="28" s="1"/>
  <c r="C154" i="28" a="1"/>
  <c r="C154" i="28" s="1"/>
  <c r="L154" i="28" s="1" a="1"/>
  <c r="L154" i="28" s="1"/>
  <c r="M154" i="28" s="1" a="1"/>
  <c r="M154" i="28" s="1"/>
  <c r="C155" i="28" a="1"/>
  <c r="C155" i="28" s="1"/>
  <c r="L155" i="28" s="1" a="1"/>
  <c r="L155" i="28" s="1"/>
  <c r="M155" i="28" s="1" a="1"/>
  <c r="M155" i="28" s="1"/>
  <c r="C156" i="28" a="1"/>
  <c r="C156" i="28" s="1"/>
  <c r="L156" i="28" s="1" a="1"/>
  <c r="L156" i="28" s="1"/>
  <c r="M156" i="28" s="1" a="1"/>
  <c r="M156" i="28" s="1"/>
  <c r="C157" i="28" a="1"/>
  <c r="C157" i="28" s="1"/>
  <c r="L157" i="28" s="1" a="1"/>
  <c r="L157" i="28" s="1"/>
  <c r="M157" i="28" s="1" a="1"/>
  <c r="M157" i="28" s="1"/>
  <c r="C158" i="28" a="1"/>
  <c r="C158" i="28" s="1"/>
  <c r="C159" i="28" a="1"/>
  <c r="C159" i="28" s="1"/>
  <c r="L159" i="28" s="1" a="1"/>
  <c r="L159" i="28" s="1"/>
  <c r="M159" i="28" s="1" a="1"/>
  <c r="M159" i="28" s="1"/>
  <c r="C160" i="28" a="1"/>
  <c r="C160" i="28" s="1"/>
  <c r="L160" i="28" s="1" a="1"/>
  <c r="L160" i="28" s="1"/>
  <c r="M160" i="28" s="1" a="1"/>
  <c r="M160" i="28" s="1"/>
  <c r="C161" i="28" a="1"/>
  <c r="C161" i="28" s="1"/>
  <c r="L161" i="28" s="1" a="1"/>
  <c r="L161" i="28" s="1"/>
  <c r="M161" i="28" s="1" a="1"/>
  <c r="M161" i="28" s="1"/>
  <c r="C162" i="28" a="1"/>
  <c r="C162" i="28" s="1"/>
  <c r="L162" i="28" s="1" a="1"/>
  <c r="L162" i="28" s="1"/>
  <c r="M162" i="28" s="1" a="1"/>
  <c r="M162" i="28" s="1"/>
  <c r="C163" i="28" a="1"/>
  <c r="C163" i="28" s="1"/>
  <c r="L163" i="28" s="1" a="1"/>
  <c r="L163" i="28" s="1"/>
  <c r="M163" i="28" s="1" a="1"/>
  <c r="M163" i="28" s="1"/>
  <c r="C164" i="28" a="1"/>
  <c r="C164" i="28" s="1"/>
  <c r="L164" i="28" s="1" a="1"/>
  <c r="L164" i="28" s="1"/>
  <c r="M164" i="28" s="1" a="1"/>
  <c r="M164" i="28" s="1"/>
  <c r="C165" i="28" a="1"/>
  <c r="C165" i="28" s="1"/>
  <c r="L165" i="28" s="1" a="1"/>
  <c r="L165" i="28" s="1"/>
  <c r="M165" i="28" s="1" a="1"/>
  <c r="M165" i="28" s="1"/>
  <c r="C166" i="28" a="1"/>
  <c r="C166" i="28" s="1"/>
  <c r="L166" i="28" s="1" a="1"/>
  <c r="L166" i="28" s="1"/>
  <c r="M166" i="28" s="1" a="1"/>
  <c r="M166" i="28" s="1"/>
  <c r="C167" i="28" a="1"/>
  <c r="C167" i="28" s="1"/>
  <c r="L167" i="28" s="1" a="1"/>
  <c r="L167" i="28" s="1"/>
  <c r="M167" i="28" s="1" a="1"/>
  <c r="M167" i="28" s="1"/>
  <c r="C168" i="28" a="1"/>
  <c r="C168" i="28" s="1"/>
  <c r="L168" i="28" s="1" a="1"/>
  <c r="L168" i="28" s="1"/>
  <c r="M168" i="28" s="1" a="1"/>
  <c r="M168" i="28" s="1"/>
  <c r="C169" i="28" a="1"/>
  <c r="C169" i="28" s="1"/>
  <c r="L169" i="28" s="1" a="1"/>
  <c r="L169" i="28" s="1"/>
  <c r="M169" i="28" s="1" a="1"/>
  <c r="M169" i="28" s="1"/>
  <c r="C170" i="28" a="1"/>
  <c r="C170" i="28" s="1"/>
  <c r="L170" i="28" s="1" a="1"/>
  <c r="L170" i="28" s="1"/>
  <c r="M170" i="28" s="1" a="1"/>
  <c r="M170" i="28" s="1"/>
  <c r="C171" i="28" a="1"/>
  <c r="C171" i="28" s="1"/>
  <c r="L171" i="28" s="1" a="1"/>
  <c r="L171" i="28" s="1"/>
  <c r="M171" i="28" s="1" a="1"/>
  <c r="M171" i="28" s="1"/>
  <c r="C172" i="28" a="1"/>
  <c r="C172" i="28" s="1"/>
  <c r="L172" i="28" s="1" a="1"/>
  <c r="L172" i="28" s="1"/>
  <c r="M172" i="28" s="1" a="1"/>
  <c r="M172" i="28" s="1"/>
  <c r="C173" i="28" a="1"/>
  <c r="C173" i="28" s="1"/>
  <c r="L173" i="28" s="1" a="1"/>
  <c r="L173" i="28" s="1"/>
  <c r="M173" i="28" s="1" a="1"/>
  <c r="M173" i="28" s="1"/>
  <c r="C174" i="28" a="1"/>
  <c r="C174" i="28" s="1"/>
  <c r="L174" i="28" s="1" a="1"/>
  <c r="L174" i="28" s="1"/>
  <c r="M174" i="28" s="1" a="1"/>
  <c r="M174" i="28" s="1"/>
  <c r="C175" i="28" a="1"/>
  <c r="C175" i="28" s="1"/>
  <c r="L175" i="28" s="1" a="1"/>
  <c r="L175" i="28" s="1"/>
  <c r="M175" i="28" s="1" a="1"/>
  <c r="M175" i="28" s="1"/>
  <c r="C176" i="28" a="1"/>
  <c r="C176" i="28" s="1"/>
  <c r="L176" i="28" s="1" a="1"/>
  <c r="L176" i="28" s="1"/>
  <c r="M176" i="28" s="1" a="1"/>
  <c r="M176" i="28" s="1"/>
  <c r="C177" i="28" a="1"/>
  <c r="C177" i="28" s="1"/>
  <c r="L177" i="28" s="1" a="1"/>
  <c r="L177" i="28" s="1"/>
  <c r="M177" i="28" s="1" a="1"/>
  <c r="M177" i="28" s="1"/>
  <c r="C178" i="28" a="1"/>
  <c r="C178" i="28" s="1"/>
  <c r="L178" i="28" s="1" a="1"/>
  <c r="L178" i="28" s="1"/>
  <c r="M178" i="28" s="1" a="1"/>
  <c r="M178" i="28" s="1"/>
  <c r="C179" i="28" a="1"/>
  <c r="C179" i="28" s="1"/>
  <c r="L179" i="28" s="1" a="1"/>
  <c r="L179" i="28" s="1"/>
  <c r="M179" i="28" s="1" a="1"/>
  <c r="M179" i="28" s="1"/>
  <c r="Q179" i="28" s="1"/>
  <c r="C180" i="28" a="1"/>
  <c r="C180" i="28" s="1"/>
  <c r="L180" i="28" s="1" a="1"/>
  <c r="L180" i="28" s="1"/>
  <c r="M180" i="28" s="1" a="1"/>
  <c r="M180" i="28" s="1"/>
  <c r="C181" i="28" a="1"/>
  <c r="C181" i="28" s="1"/>
  <c r="L181" i="28" s="1" a="1"/>
  <c r="L181" i="28" s="1"/>
  <c r="M181" i="28" s="1" a="1"/>
  <c r="M181" i="28" s="1"/>
  <c r="C182" i="28" a="1"/>
  <c r="C182" i="28" s="1"/>
  <c r="L182" i="28" s="1" a="1"/>
  <c r="L182" i="28" s="1"/>
  <c r="M182" i="28" s="1" a="1"/>
  <c r="M182" i="28" s="1"/>
  <c r="C183" i="28" a="1"/>
  <c r="C183" i="28" s="1"/>
  <c r="L183" i="28" s="1" a="1"/>
  <c r="L183" i="28" s="1"/>
  <c r="M183" i="28" s="1" a="1"/>
  <c r="M183" i="28" s="1"/>
  <c r="C184" i="28" a="1"/>
  <c r="C184" i="28" s="1"/>
  <c r="C185" i="28" a="1"/>
  <c r="C185" i="28" s="1"/>
  <c r="L185" i="28" s="1" a="1"/>
  <c r="L185" i="28" s="1"/>
  <c r="M185" i="28" s="1" a="1"/>
  <c r="M185" i="28" s="1"/>
  <c r="C186" i="28" a="1"/>
  <c r="C186" i="28" s="1"/>
  <c r="L186" i="28" s="1" a="1"/>
  <c r="L186" i="28" s="1"/>
  <c r="M186" i="28" s="1" a="1"/>
  <c r="M186" i="28" s="1"/>
  <c r="C187" i="28" a="1"/>
  <c r="C187" i="28" s="1"/>
  <c r="L187" i="28" s="1" a="1"/>
  <c r="L187" i="28" s="1"/>
  <c r="M187" i="28" s="1" a="1"/>
  <c r="M187" i="28" s="1"/>
  <c r="C188" i="28" a="1"/>
  <c r="C188" i="28" s="1"/>
  <c r="L188" i="28" s="1" a="1"/>
  <c r="L188" i="28" s="1"/>
  <c r="M188" i="28" s="1" a="1"/>
  <c r="M188" i="28" s="1"/>
  <c r="C189" i="28" a="1"/>
  <c r="C189" i="28" s="1"/>
  <c r="C190" i="28" a="1"/>
  <c r="C190" i="28" s="1"/>
  <c r="L190" i="28" s="1" a="1"/>
  <c r="L190" i="28" s="1"/>
  <c r="M190" i="28" s="1" a="1"/>
  <c r="M190" i="28" s="1"/>
  <c r="C191" i="28" a="1"/>
  <c r="C191" i="28" s="1"/>
  <c r="L191" i="28" s="1" a="1"/>
  <c r="L191" i="28" s="1"/>
  <c r="M191" i="28" s="1" a="1"/>
  <c r="M191" i="28" s="1"/>
  <c r="C192" i="28" a="1"/>
  <c r="C192" i="28" s="1"/>
  <c r="L192" i="28" s="1" a="1"/>
  <c r="L192" i="28" s="1"/>
  <c r="M192" i="28" s="1" a="1"/>
  <c r="M192" i="28" s="1"/>
  <c r="C193" i="28" a="1"/>
  <c r="C193" i="28" s="1"/>
  <c r="L193" i="28" s="1" a="1"/>
  <c r="L193" i="28" s="1"/>
  <c r="M193" i="28" s="1" a="1"/>
  <c r="M193" i="28" s="1"/>
  <c r="Q193" i="28" s="1"/>
  <c r="C194" i="28" a="1"/>
  <c r="C194" i="28" s="1"/>
  <c r="L194" i="28" s="1" a="1"/>
  <c r="L194" i="28" s="1"/>
  <c r="M194" i="28" s="1" a="1"/>
  <c r="M194" i="28" s="1"/>
  <c r="C195" i="28" a="1"/>
  <c r="C195" i="28" s="1"/>
  <c r="L195" i="28" s="1" a="1"/>
  <c r="L195" i="28" s="1"/>
  <c r="M195" i="28" s="1" a="1"/>
  <c r="M195" i="28" s="1"/>
  <c r="C196" i="28" a="1"/>
  <c r="C196" i="28" s="1"/>
  <c r="L196" i="28" s="1" a="1"/>
  <c r="L196" i="28" s="1"/>
  <c r="M196" i="28" s="1" a="1"/>
  <c r="M196" i="28" s="1"/>
  <c r="C197" i="28" a="1"/>
  <c r="C197" i="28" s="1"/>
  <c r="L197" i="28" s="1" a="1"/>
  <c r="L197" i="28" s="1"/>
  <c r="M197" i="28" s="1" a="1"/>
  <c r="M197" i="28" s="1"/>
  <c r="C198" i="28" a="1"/>
  <c r="C198" i="28" s="1"/>
  <c r="L198" i="28" s="1" a="1"/>
  <c r="L198" i="28" s="1"/>
  <c r="M198" i="28" s="1" a="1"/>
  <c r="M198" i="28" s="1"/>
  <c r="C199" i="28" a="1"/>
  <c r="C199" i="28" s="1"/>
  <c r="L199" i="28" s="1" a="1"/>
  <c r="L199" i="28" s="1"/>
  <c r="M199" i="28" s="1" a="1"/>
  <c r="M199" i="28" s="1"/>
  <c r="C200" i="28" a="1"/>
  <c r="C200" i="28" s="1"/>
  <c r="L200" i="28" s="1" a="1"/>
  <c r="L200" i="28" s="1"/>
  <c r="M200" i="28" s="1" a="1"/>
  <c r="M200" i="28" s="1"/>
  <c r="C201" i="28" a="1"/>
  <c r="C201" i="28" s="1"/>
  <c r="L201" i="28" s="1" a="1"/>
  <c r="L201" i="28" s="1"/>
  <c r="M201" i="28" s="1" a="1"/>
  <c r="M201" i="28" s="1"/>
  <c r="C202" i="28" a="1"/>
  <c r="C202" i="28" s="1"/>
  <c r="L202" i="28" s="1" a="1"/>
  <c r="L202" i="28" s="1"/>
  <c r="M202" i="28" s="1" a="1"/>
  <c r="M202" i="28" s="1"/>
  <c r="C203" i="28" a="1"/>
  <c r="C203" i="28" s="1"/>
  <c r="L203" i="28" s="1" a="1"/>
  <c r="L203" i="28" s="1"/>
  <c r="M203" i="28" s="1" a="1"/>
  <c r="M203" i="28" s="1"/>
  <c r="C204" i="28" a="1"/>
  <c r="C204" i="28" s="1"/>
  <c r="L204" i="28" s="1" a="1"/>
  <c r="L204" i="28" s="1"/>
  <c r="M204" i="28" s="1" a="1"/>
  <c r="M204" i="28" s="1"/>
  <c r="C205" i="28" a="1"/>
  <c r="C205" i="28" s="1"/>
  <c r="L205" i="28" s="1" a="1"/>
  <c r="L205" i="28" s="1"/>
  <c r="M205" i="28" s="1" a="1"/>
  <c r="M205" i="28" s="1"/>
  <c r="C206" i="28" a="1"/>
  <c r="C206" i="28" s="1"/>
  <c r="L206" i="28" s="1" a="1"/>
  <c r="L206" i="28" s="1"/>
  <c r="M206" i="28" s="1" a="1"/>
  <c r="M206" i="28" s="1"/>
  <c r="C207" i="28" a="1"/>
  <c r="C207" i="28" s="1"/>
  <c r="L207" i="28" s="1" a="1"/>
  <c r="L207" i="28" s="1"/>
  <c r="M207" i="28" s="1" a="1"/>
  <c r="M207" i="28" s="1"/>
  <c r="C208" i="28" a="1"/>
  <c r="C208" i="28" s="1"/>
  <c r="L208" i="28" s="1" a="1"/>
  <c r="L208" i="28" s="1"/>
  <c r="M208" i="28" s="1" a="1"/>
  <c r="M208" i="28" s="1"/>
  <c r="C209" i="28" a="1"/>
  <c r="C209" i="28" s="1"/>
  <c r="L209" i="28" s="1" a="1"/>
  <c r="L209" i="28" s="1"/>
  <c r="M209" i="28" s="1" a="1"/>
  <c r="M209" i="28" s="1"/>
  <c r="C210" i="28" a="1"/>
  <c r="C210" i="28" s="1"/>
  <c r="L210" i="28" s="1" a="1"/>
  <c r="L210" i="28" s="1"/>
  <c r="M210" i="28" s="1" a="1"/>
  <c r="M210" i="28" s="1"/>
  <c r="C211" i="28" a="1"/>
  <c r="C211" i="28" s="1"/>
  <c r="L211" i="28" s="1" a="1"/>
  <c r="L211" i="28" s="1"/>
  <c r="M211" i="28" s="1" a="1"/>
  <c r="M211" i="28" s="1"/>
  <c r="C212" i="28" a="1"/>
  <c r="C212" i="28" s="1"/>
  <c r="L212" i="28" s="1" a="1"/>
  <c r="L212" i="28" s="1"/>
  <c r="M212" i="28" s="1" a="1"/>
  <c r="M212" i="28" s="1"/>
  <c r="C213" i="28" a="1"/>
  <c r="C213" i="28" s="1"/>
  <c r="L213" i="28" s="1" a="1"/>
  <c r="L213" i="28" s="1"/>
  <c r="M213" i="28" s="1" a="1"/>
  <c r="M213" i="28" s="1"/>
  <c r="C214" i="28" a="1"/>
  <c r="C214" i="28" s="1"/>
  <c r="L214" i="28" s="1" a="1"/>
  <c r="L214" i="28" s="1"/>
  <c r="M214" i="28" s="1" a="1"/>
  <c r="M214" i="28" s="1"/>
  <c r="C215" i="28" a="1"/>
  <c r="C215" i="28" s="1"/>
  <c r="C216" i="28" a="1"/>
  <c r="C216" i="28" s="1"/>
  <c r="L216" i="28" s="1" a="1"/>
  <c r="L216" i="28" s="1"/>
  <c r="M216" i="28" s="1" a="1"/>
  <c r="M216" i="28" s="1"/>
  <c r="C217" i="28" a="1"/>
  <c r="C217" i="28" s="1"/>
  <c r="L217" i="28" s="1" a="1"/>
  <c r="L217" i="28" s="1"/>
  <c r="M217" i="28" s="1" a="1"/>
  <c r="M217" i="28" s="1"/>
  <c r="C218" i="28" a="1"/>
  <c r="C218" i="28" s="1"/>
  <c r="L218" i="28" s="1" a="1"/>
  <c r="L218" i="28" s="1"/>
  <c r="M218" i="28" s="1" a="1"/>
  <c r="M218" i="28" s="1"/>
  <c r="C219" i="28" a="1"/>
  <c r="C219" i="28" s="1"/>
  <c r="L219" i="28" s="1" a="1"/>
  <c r="L219" i="28" s="1"/>
  <c r="M219" i="28" s="1" a="1"/>
  <c r="M219" i="28" s="1"/>
  <c r="C220" i="28" a="1"/>
  <c r="C220" i="28" s="1"/>
  <c r="L220" i="28" s="1" a="1"/>
  <c r="L220" i="28" s="1"/>
  <c r="M220" i="28" s="1" a="1"/>
  <c r="M220" i="28" s="1"/>
  <c r="C221" i="28" a="1"/>
  <c r="C221" i="28" s="1"/>
  <c r="L221" i="28" s="1" a="1"/>
  <c r="L221" i="28" s="1"/>
  <c r="M221" i="28" s="1" a="1"/>
  <c r="M221" i="28" s="1"/>
  <c r="C222" i="28" a="1"/>
  <c r="C222" i="28" s="1"/>
  <c r="L222" i="28" s="1" a="1"/>
  <c r="L222" i="28" s="1"/>
  <c r="M222" i="28" s="1" a="1"/>
  <c r="M222" i="28" s="1"/>
  <c r="C223" i="28" a="1"/>
  <c r="C223" i="28" s="1"/>
  <c r="L223" i="28" s="1" a="1"/>
  <c r="L223" i="28" s="1"/>
  <c r="M223" i="28" s="1" a="1"/>
  <c r="M223" i="28" s="1"/>
  <c r="C224" i="28" a="1"/>
  <c r="C224" i="28" s="1"/>
  <c r="L224" i="28" s="1" a="1"/>
  <c r="L224" i="28" s="1"/>
  <c r="M224" i="28" s="1" a="1"/>
  <c r="M224" i="28" s="1"/>
  <c r="C225" i="28" a="1"/>
  <c r="C225" i="28" s="1"/>
  <c r="L225" i="28" s="1" a="1"/>
  <c r="L225" i="28" s="1"/>
  <c r="M225" i="28" s="1" a="1"/>
  <c r="M225" i="28" s="1"/>
  <c r="C226" i="28" a="1"/>
  <c r="C226" i="28" s="1"/>
  <c r="L226" i="28" s="1" a="1"/>
  <c r="L226" i="28" s="1"/>
  <c r="M226" i="28" s="1" a="1"/>
  <c r="M226" i="28" s="1"/>
  <c r="C227" i="28" a="1"/>
  <c r="C227" i="28" s="1"/>
  <c r="L227" i="28" s="1" a="1"/>
  <c r="L227" i="28" s="1"/>
  <c r="M227" i="28" s="1" a="1"/>
  <c r="M227" i="28" s="1"/>
  <c r="C228" i="28" a="1"/>
  <c r="C228" i="28" s="1"/>
  <c r="L228" i="28" s="1" a="1"/>
  <c r="L228" i="28" s="1"/>
  <c r="M228" i="28" s="1" a="1"/>
  <c r="M228" i="28" s="1"/>
  <c r="C229" i="28" a="1"/>
  <c r="C229" i="28" s="1"/>
  <c r="C230" i="28" a="1"/>
  <c r="C230" i="28" s="1"/>
  <c r="L230" i="28" s="1" a="1"/>
  <c r="L230" i="28" s="1"/>
  <c r="M230" i="28" s="1" a="1"/>
  <c r="M230" i="28" s="1"/>
  <c r="C231" i="28" a="1"/>
  <c r="C231" i="28" s="1"/>
  <c r="L231" i="28" s="1" a="1"/>
  <c r="L231" i="28" s="1"/>
  <c r="M231" i="28" s="1" a="1"/>
  <c r="M231" i="28" s="1"/>
  <c r="C232" i="28" a="1"/>
  <c r="C232" i="28" s="1"/>
  <c r="L232" i="28" s="1" a="1"/>
  <c r="L232" i="28" s="1"/>
  <c r="M232" i="28" s="1" a="1"/>
  <c r="M232" i="28" s="1"/>
  <c r="C233" i="28" a="1"/>
  <c r="C233" i="28" s="1"/>
  <c r="L233" i="28" s="1" a="1"/>
  <c r="L233" i="28" s="1"/>
  <c r="M233" i="28" s="1" a="1"/>
  <c r="M233" i="28" s="1"/>
  <c r="C234" i="28" a="1"/>
  <c r="C234" i="28" s="1"/>
  <c r="L234" i="28" s="1" a="1"/>
  <c r="L234" i="28" s="1"/>
  <c r="M234" i="28" s="1" a="1"/>
  <c r="M234" i="28" s="1"/>
  <c r="C235" i="28" a="1"/>
  <c r="C235" i="28" s="1"/>
  <c r="L235" i="28" s="1" a="1"/>
  <c r="L235" i="28" s="1"/>
  <c r="C236" i="28" a="1"/>
  <c r="C236" i="28" s="1"/>
  <c r="L236" i="28" s="1" a="1"/>
  <c r="L236" i="28" s="1"/>
  <c r="M236" i="28" s="1" a="1"/>
  <c r="M236" i="28" s="1"/>
  <c r="C237" i="28" a="1"/>
  <c r="C237" i="28" s="1"/>
  <c r="L237" i="28" s="1" a="1"/>
  <c r="L237" i="28" s="1"/>
  <c r="M237" i="28" s="1" a="1"/>
  <c r="M237" i="28" s="1"/>
  <c r="C238" i="28" a="1"/>
  <c r="C238" i="28" s="1"/>
  <c r="L238" i="28" s="1" a="1"/>
  <c r="L238" i="28" s="1"/>
  <c r="M238" i="28" s="1" a="1"/>
  <c r="M238" i="28" s="1"/>
  <c r="C239" i="28" a="1"/>
  <c r="C239" i="28" s="1"/>
  <c r="L239" i="28" s="1" a="1"/>
  <c r="L239" i="28" s="1"/>
  <c r="C240" i="28" a="1"/>
  <c r="C240" i="28" s="1"/>
  <c r="L240" i="28" s="1" a="1"/>
  <c r="L240" i="28" s="1"/>
  <c r="M240" i="28" s="1" a="1"/>
  <c r="M240" i="28" s="1"/>
  <c r="C241" i="28" a="1"/>
  <c r="C241" i="28" s="1"/>
  <c r="L241" i="28" s="1" a="1"/>
  <c r="L241" i="28" s="1"/>
  <c r="M241" i="28" s="1" a="1"/>
  <c r="M241" i="28" s="1"/>
  <c r="C242" i="28" a="1"/>
  <c r="C242" i="28" s="1"/>
  <c r="L242" i="28" s="1" a="1"/>
  <c r="L242" i="28" s="1"/>
  <c r="M242" i="28" s="1" a="1"/>
  <c r="M242" i="28" s="1"/>
  <c r="C243" i="28" a="1"/>
  <c r="C243" i="28" s="1"/>
  <c r="L243" i="28" s="1" a="1"/>
  <c r="L243" i="28" s="1"/>
  <c r="M243" i="28" s="1" a="1"/>
  <c r="M243" i="28" s="1"/>
  <c r="C244" i="28" a="1"/>
  <c r="C244" i="28" s="1"/>
  <c r="L244" i="28" s="1" a="1"/>
  <c r="L244" i="28" s="1"/>
  <c r="M244" i="28" s="1" a="1"/>
  <c r="M244" i="28" s="1"/>
  <c r="C245" i="28" a="1"/>
  <c r="C245" i="28" s="1"/>
  <c r="L245" i="28" s="1" a="1"/>
  <c r="L245" i="28" s="1"/>
  <c r="M245" i="28" s="1" a="1"/>
  <c r="M245" i="28" s="1"/>
  <c r="C246" i="28" a="1"/>
  <c r="C246" i="28" s="1"/>
  <c r="L246" i="28" s="1" a="1"/>
  <c r="L246" i="28" s="1"/>
  <c r="M246" i="28" s="1" a="1"/>
  <c r="M246" i="28" s="1"/>
  <c r="C247" i="28" a="1"/>
  <c r="C247" i="28" s="1"/>
  <c r="L247" i="28" s="1" a="1"/>
  <c r="L247" i="28" s="1"/>
  <c r="M247" i="28" s="1" a="1"/>
  <c r="M247" i="28" s="1"/>
  <c r="C248" i="28" a="1"/>
  <c r="C248" i="28" s="1"/>
  <c r="L248" i="28" s="1" a="1"/>
  <c r="L248" i="28" s="1"/>
  <c r="M248" i="28" s="1" a="1"/>
  <c r="M248" i="28" s="1"/>
  <c r="C249" i="28" a="1"/>
  <c r="C249" i="28" s="1"/>
  <c r="L249" i="28" s="1" a="1"/>
  <c r="L249" i="28" s="1"/>
  <c r="M249" i="28" s="1" a="1"/>
  <c r="M249" i="28" s="1"/>
  <c r="C250" i="28" a="1"/>
  <c r="C250" i="28" s="1"/>
  <c r="L250" i="28" s="1" a="1"/>
  <c r="L250" i="28" s="1"/>
  <c r="M250" i="28" s="1" a="1"/>
  <c r="M250" i="28" s="1"/>
  <c r="C251" i="28" a="1"/>
  <c r="C251" i="28" s="1"/>
  <c r="L251" i="28" s="1" a="1"/>
  <c r="L251" i="28" s="1"/>
  <c r="M251" i="28" s="1" a="1"/>
  <c r="M251" i="28" s="1"/>
  <c r="C252" i="28" a="1"/>
  <c r="C252" i="28" s="1"/>
  <c r="L252" i="28" s="1" a="1"/>
  <c r="L252" i="28" s="1"/>
  <c r="M252" i="28" s="1" a="1"/>
  <c r="M252" i="28" s="1"/>
  <c r="C253" i="28" a="1"/>
  <c r="C253" i="28" s="1"/>
  <c r="L253" i="28" s="1" a="1"/>
  <c r="L253" i="28" s="1"/>
  <c r="M253" i="28" s="1" a="1"/>
  <c r="M253" i="28" s="1"/>
  <c r="C254" i="28" a="1"/>
  <c r="C254" i="28" s="1"/>
  <c r="L254" i="28" s="1" a="1"/>
  <c r="L254" i="28" s="1"/>
  <c r="M254" i="28" s="1" a="1"/>
  <c r="M254" i="28" s="1"/>
  <c r="C255" i="28" a="1"/>
  <c r="C255" i="28" s="1"/>
  <c r="L255" i="28" s="1" a="1"/>
  <c r="L255" i="28" s="1"/>
  <c r="M255" i="28" s="1" a="1"/>
  <c r="M255" i="28" s="1"/>
  <c r="C256" i="28" a="1"/>
  <c r="C256" i="28" s="1"/>
  <c r="L256" i="28" s="1" a="1"/>
  <c r="L256" i="28" s="1"/>
  <c r="M256" i="28" s="1" a="1"/>
  <c r="M256" i="28" s="1"/>
  <c r="C257" i="28" a="1"/>
  <c r="C257" i="28" s="1"/>
  <c r="L257" i="28" s="1" a="1"/>
  <c r="L257" i="28" s="1"/>
  <c r="M257" i="28" s="1" a="1"/>
  <c r="M257" i="28" s="1"/>
  <c r="C258" i="28" a="1"/>
  <c r="C258" i="28" s="1"/>
  <c r="L258" i="28" s="1" a="1"/>
  <c r="L258" i="28" s="1"/>
  <c r="M258" i="28" s="1" a="1"/>
  <c r="M258" i="28" s="1"/>
  <c r="C259" i="28" a="1"/>
  <c r="C259" i="28" s="1"/>
  <c r="L259" i="28" s="1" a="1"/>
  <c r="L259" i="28" s="1"/>
  <c r="M259" i="28" s="1" a="1"/>
  <c r="M259" i="28" s="1"/>
  <c r="C260" i="28" a="1"/>
  <c r="C260" i="28" s="1"/>
  <c r="L260" i="28" s="1" a="1"/>
  <c r="L260" i="28" s="1"/>
  <c r="M260" i="28" s="1" a="1"/>
  <c r="M260" i="28" s="1"/>
  <c r="C261" i="28" a="1"/>
  <c r="C261" i="28" s="1"/>
  <c r="L261" i="28" s="1" a="1"/>
  <c r="L261" i="28" s="1"/>
  <c r="M261" i="28" s="1" a="1"/>
  <c r="M261" i="28" s="1"/>
  <c r="C262" i="28" a="1"/>
  <c r="C262" i="28" s="1"/>
  <c r="L262" i="28" s="1" a="1"/>
  <c r="L262" i="28" s="1"/>
  <c r="M262" i="28" s="1" a="1"/>
  <c r="M262" i="28" s="1"/>
  <c r="C263" i="28" a="1"/>
  <c r="C263" i="28" s="1"/>
  <c r="L263" i="28" s="1" a="1"/>
  <c r="L263" i="28" s="1"/>
  <c r="M263" i="28" s="1" a="1"/>
  <c r="M263" i="28" s="1"/>
  <c r="C264" i="28" a="1"/>
  <c r="C264" i="28" s="1"/>
  <c r="L264" i="28" s="1" a="1"/>
  <c r="L264" i="28" s="1"/>
  <c r="M264" i="28" s="1" a="1"/>
  <c r="M264" i="28" s="1"/>
  <c r="C265" i="28" a="1"/>
  <c r="C265" i="28" s="1"/>
  <c r="L265" i="28" s="1" a="1"/>
  <c r="L265" i="28" s="1"/>
  <c r="M265" i="28" s="1" a="1"/>
  <c r="M265" i="28" s="1"/>
  <c r="C266" i="28" a="1"/>
  <c r="C266" i="28" s="1"/>
  <c r="L266" i="28" s="1" a="1"/>
  <c r="L266" i="28" s="1"/>
  <c r="M266" i="28" s="1" a="1"/>
  <c r="M266" i="28" s="1"/>
  <c r="C267" i="28" a="1"/>
  <c r="C267" i="28" s="1"/>
  <c r="L267" i="28" s="1" a="1"/>
  <c r="L267" i="28" s="1"/>
  <c r="M267" i="28" s="1" a="1"/>
  <c r="M267" i="28" s="1"/>
  <c r="C268" i="28" a="1"/>
  <c r="C268" i="28" s="1"/>
  <c r="L268" i="28" s="1" a="1"/>
  <c r="L268" i="28" s="1"/>
  <c r="M268" i="28" s="1" a="1"/>
  <c r="M268" i="28" s="1"/>
  <c r="C269" i="28" a="1"/>
  <c r="C269" i="28" s="1"/>
  <c r="L269" i="28" s="1" a="1"/>
  <c r="L269" i="28" s="1"/>
  <c r="M269" i="28" s="1" a="1"/>
  <c r="M269" i="28" s="1"/>
  <c r="C270" i="28" a="1"/>
  <c r="C270" i="28" s="1"/>
  <c r="L270" i="28" s="1" a="1"/>
  <c r="L270" i="28" s="1"/>
  <c r="M270" i="28" s="1" a="1"/>
  <c r="M270" i="28" s="1"/>
  <c r="C271" i="28" a="1"/>
  <c r="C271" i="28" s="1"/>
  <c r="L271" i="28" s="1" a="1"/>
  <c r="L271" i="28" s="1"/>
  <c r="M271" i="28" s="1" a="1"/>
  <c r="M271" i="28" s="1"/>
  <c r="C272" i="28" a="1"/>
  <c r="C272" i="28" s="1"/>
  <c r="L272" i="28" s="1" a="1"/>
  <c r="L272" i="28" s="1"/>
  <c r="M272" i="28" s="1" a="1"/>
  <c r="M272" i="28" s="1"/>
  <c r="C273" i="28" a="1"/>
  <c r="C273" i="28" s="1"/>
  <c r="L273" i="28" s="1" a="1"/>
  <c r="L273" i="28" s="1"/>
  <c r="M273" i="28" s="1" a="1"/>
  <c r="M273" i="28" s="1"/>
  <c r="C274" i="28" a="1"/>
  <c r="C274" i="28" s="1"/>
  <c r="L274" i="28" s="1" a="1"/>
  <c r="L274" i="28" s="1"/>
  <c r="M274" i="28" s="1" a="1"/>
  <c r="M274" i="28" s="1"/>
  <c r="C275" i="28" a="1"/>
  <c r="C275" i="28" s="1"/>
  <c r="L275" i="28" s="1" a="1"/>
  <c r="L275" i="28" s="1"/>
  <c r="M275" i="28" s="1" a="1"/>
  <c r="M275" i="28" s="1"/>
  <c r="C276" i="28" a="1"/>
  <c r="C276" i="28" s="1"/>
  <c r="L276" i="28" s="1" a="1"/>
  <c r="L276" i="28" s="1"/>
  <c r="M276" i="28" s="1" a="1"/>
  <c r="M276" i="28" s="1"/>
  <c r="C277" i="28" a="1"/>
  <c r="C277" i="28" s="1"/>
  <c r="L277" i="28" s="1" a="1"/>
  <c r="L277" i="28" s="1"/>
  <c r="M277" i="28" s="1" a="1"/>
  <c r="M277" i="28" s="1"/>
  <c r="C278" i="28" a="1"/>
  <c r="C278" i="28" s="1"/>
  <c r="L278" i="28" s="1" a="1"/>
  <c r="L278" i="28" s="1"/>
  <c r="M278" i="28" s="1" a="1"/>
  <c r="M278" i="28" s="1"/>
  <c r="C279" i="28" a="1"/>
  <c r="C279" i="28" s="1"/>
  <c r="L279" i="28" s="1" a="1"/>
  <c r="L279" i="28" s="1"/>
  <c r="M279" i="28" s="1" a="1"/>
  <c r="M279" i="28" s="1"/>
  <c r="C280" i="28" a="1"/>
  <c r="C280" i="28" s="1"/>
  <c r="L280" i="28" s="1" a="1"/>
  <c r="L280" i="28" s="1"/>
  <c r="M280" i="28" s="1" a="1"/>
  <c r="M280" i="28" s="1"/>
  <c r="C281" i="28" a="1"/>
  <c r="C281" i="28" s="1"/>
  <c r="L281" i="28" s="1" a="1"/>
  <c r="L281" i="28" s="1"/>
  <c r="M281" i="28" s="1" a="1"/>
  <c r="M281" i="28" s="1"/>
  <c r="C282" i="28" a="1"/>
  <c r="C282" i="28" s="1"/>
  <c r="L282" i="28" s="1" a="1"/>
  <c r="L282" i="28" s="1"/>
  <c r="M282" i="28" s="1" a="1"/>
  <c r="M282" i="28" s="1"/>
  <c r="C283" i="28" a="1"/>
  <c r="C283" i="28" s="1"/>
  <c r="L283" i="28" s="1" a="1"/>
  <c r="L283" i="28" s="1"/>
  <c r="M283" i="28" s="1" a="1"/>
  <c r="M283" i="28" s="1"/>
  <c r="C284" i="28" a="1"/>
  <c r="C284" i="28" s="1"/>
  <c r="L284" i="28" s="1" a="1"/>
  <c r="L284" i="28" s="1"/>
  <c r="M284" i="28" s="1" a="1"/>
  <c r="M284" i="28" s="1"/>
  <c r="C285" i="28" a="1"/>
  <c r="C285" i="28" s="1"/>
  <c r="L285" i="28" s="1" a="1"/>
  <c r="L285" i="28" s="1"/>
  <c r="M285" i="28" s="1" a="1"/>
  <c r="M285" i="28" s="1"/>
  <c r="C286" i="28" a="1"/>
  <c r="C286" i="28" s="1"/>
  <c r="L286" i="28" s="1" a="1"/>
  <c r="L286" i="28" s="1"/>
  <c r="M286" i="28" s="1" a="1"/>
  <c r="M286" i="28" s="1"/>
  <c r="C287" i="28" a="1"/>
  <c r="C287" i="28" s="1"/>
  <c r="L287" i="28" s="1" a="1"/>
  <c r="L287" i="28" s="1"/>
  <c r="M287" i="28" s="1" a="1"/>
  <c r="M287" i="28" s="1"/>
  <c r="C288" i="28" a="1"/>
  <c r="C288" i="28" s="1"/>
  <c r="L288" i="28" s="1" a="1"/>
  <c r="L288" i="28" s="1"/>
  <c r="M288" i="28" s="1" a="1"/>
  <c r="M288" i="28" s="1"/>
  <c r="C289" i="28" a="1"/>
  <c r="C289" i="28" s="1"/>
  <c r="L289" i="28" s="1" a="1"/>
  <c r="L289" i="28" s="1"/>
  <c r="M289" i="28" s="1" a="1"/>
  <c r="M289" i="28" s="1"/>
  <c r="C290" i="28" a="1"/>
  <c r="C290" i="28" s="1"/>
  <c r="L290" i="28" s="1" a="1"/>
  <c r="L290" i="28" s="1"/>
  <c r="M290" i="28" s="1" a="1"/>
  <c r="M290" i="28" s="1"/>
  <c r="C291" i="28" a="1"/>
  <c r="C291" i="28" s="1"/>
  <c r="L291" i="28" s="1" a="1"/>
  <c r="L291" i="28" s="1"/>
  <c r="M291" i="28" s="1" a="1"/>
  <c r="M291" i="28" s="1"/>
  <c r="C292" i="28" a="1"/>
  <c r="C292" i="28" s="1"/>
  <c r="L292" i="28" s="1" a="1"/>
  <c r="L292" i="28" s="1"/>
  <c r="M292" i="28" s="1" a="1"/>
  <c r="M292" i="28" s="1"/>
  <c r="C293" i="28" a="1"/>
  <c r="C293" i="28" s="1"/>
  <c r="L293" i="28" s="1" a="1"/>
  <c r="L293" i="28" s="1"/>
  <c r="M293" i="28" s="1" a="1"/>
  <c r="M293" i="28" s="1"/>
  <c r="C294" i="28" a="1"/>
  <c r="C294" i="28" s="1"/>
  <c r="L294" i="28" s="1" a="1"/>
  <c r="L294" i="28" s="1"/>
  <c r="M294" i="28" s="1" a="1"/>
  <c r="M294" i="28" s="1"/>
  <c r="C295" i="28" a="1"/>
  <c r="C295" i="28" s="1"/>
  <c r="L295" i="28" s="1" a="1"/>
  <c r="L295" i="28" s="1"/>
  <c r="M295" i="28" s="1" a="1"/>
  <c r="M295" i="28" s="1"/>
  <c r="C296" i="28" a="1"/>
  <c r="C296" i="28" s="1"/>
  <c r="L296" i="28" s="1" a="1"/>
  <c r="L296" i="28" s="1"/>
  <c r="C297" i="28" a="1"/>
  <c r="C297" i="28" s="1"/>
  <c r="L297" i="28" s="1" a="1"/>
  <c r="L297" i="28" s="1"/>
  <c r="M297" i="28" s="1" a="1"/>
  <c r="M297" i="28" s="1"/>
  <c r="C298" i="28" a="1"/>
  <c r="C298" i="28" s="1"/>
  <c r="L298" i="28" s="1" a="1"/>
  <c r="L298" i="28" s="1"/>
  <c r="M298" i="28" s="1" a="1"/>
  <c r="M298" i="28" s="1"/>
  <c r="C299" i="28" a="1"/>
  <c r="C299" i="28" s="1"/>
  <c r="L299" i="28" s="1" a="1"/>
  <c r="L299" i="28" s="1"/>
  <c r="M299" i="28" s="1" a="1"/>
  <c r="M299" i="28" s="1"/>
  <c r="C300" i="28" a="1"/>
  <c r="C300" i="28" s="1"/>
  <c r="L300" i="28" s="1" a="1"/>
  <c r="L300" i="28" s="1"/>
  <c r="M300" i="28" s="1" a="1"/>
  <c r="M300" i="28" s="1"/>
  <c r="C301" i="28" a="1"/>
  <c r="C301" i="28" s="1"/>
  <c r="L301" i="28" s="1" a="1"/>
  <c r="L301" i="28" s="1"/>
  <c r="M301" i="28" s="1" a="1"/>
  <c r="M301" i="28" s="1"/>
  <c r="C302" i="28" a="1"/>
  <c r="C302" i="28" s="1"/>
  <c r="L302" i="28" s="1" a="1"/>
  <c r="L302" i="28" s="1"/>
  <c r="M302" i="28" s="1" a="1"/>
  <c r="M302" i="28" s="1"/>
  <c r="C303" i="28" a="1"/>
  <c r="C303" i="28" s="1"/>
  <c r="L303" i="28" s="1" a="1"/>
  <c r="L303" i="28" s="1"/>
  <c r="M303" i="28" s="1" a="1"/>
  <c r="M303" i="28" s="1"/>
  <c r="C304" i="28" a="1"/>
  <c r="C304" i="28" s="1"/>
  <c r="L304" i="28" s="1" a="1"/>
  <c r="L304" i="28" s="1"/>
  <c r="M304" i="28" s="1" a="1"/>
  <c r="M304" i="28" s="1"/>
  <c r="C305" i="28" a="1"/>
  <c r="C305" i="28" s="1"/>
  <c r="L305" i="28" s="1" a="1"/>
  <c r="L305" i="28" s="1"/>
  <c r="M305" i="28" s="1" a="1"/>
  <c r="M305" i="28" s="1"/>
  <c r="C306" i="28" a="1"/>
  <c r="C306" i="28" s="1"/>
  <c r="L306" i="28" s="1" a="1"/>
  <c r="L306" i="28" s="1"/>
  <c r="M306" i="28" s="1" a="1"/>
  <c r="M306" i="28" s="1"/>
  <c r="C307" i="28" a="1"/>
  <c r="C307" i="28" s="1"/>
  <c r="L307" i="28" s="1" a="1"/>
  <c r="L307" i="28" s="1"/>
  <c r="M307" i="28" s="1" a="1"/>
  <c r="M307" i="28" s="1"/>
  <c r="C308" i="28" a="1"/>
  <c r="C308" i="28" s="1"/>
  <c r="L308" i="28" s="1" a="1"/>
  <c r="L308" i="28" s="1"/>
  <c r="M308" i="28" s="1" a="1"/>
  <c r="M308" i="28" s="1"/>
  <c r="C309" i="28" a="1"/>
  <c r="C309" i="28" s="1"/>
  <c r="L309" i="28" s="1" a="1"/>
  <c r="L309" i="28" s="1"/>
  <c r="M309" i="28" s="1" a="1"/>
  <c r="M309" i="28" s="1"/>
  <c r="C310" i="28" a="1"/>
  <c r="C310" i="28" s="1"/>
  <c r="L310" i="28" s="1" a="1"/>
  <c r="L310" i="28" s="1"/>
  <c r="M310" i="28" s="1" a="1"/>
  <c r="M310" i="28" s="1"/>
  <c r="C311" i="28" a="1"/>
  <c r="C311" i="28" s="1"/>
  <c r="L311" i="28" s="1" a="1"/>
  <c r="L311" i="28" s="1"/>
  <c r="M311" i="28" s="1" a="1"/>
  <c r="M311" i="28" s="1"/>
  <c r="C312" i="28" a="1"/>
  <c r="C312" i="28" s="1"/>
  <c r="L312" i="28" s="1" a="1"/>
  <c r="L312" i="28" s="1"/>
  <c r="M312" i="28" s="1" a="1"/>
  <c r="M312" i="28" s="1"/>
  <c r="C313" i="28" a="1"/>
  <c r="C313" i="28" s="1"/>
  <c r="L313" i="28" s="1" a="1"/>
  <c r="L313" i="28" s="1"/>
  <c r="M313" i="28" s="1" a="1"/>
  <c r="M313" i="28" s="1"/>
  <c r="C314" i="28" a="1"/>
  <c r="C314" i="28" s="1"/>
  <c r="L314" i="28" s="1" a="1"/>
  <c r="L314" i="28" s="1"/>
  <c r="M314" i="28" s="1" a="1"/>
  <c r="M314" i="28" s="1"/>
  <c r="C315" i="28" a="1"/>
  <c r="C315" i="28" s="1"/>
  <c r="C316" i="28" a="1"/>
  <c r="C316" i="28" s="1"/>
  <c r="L316" i="28" s="1" a="1"/>
  <c r="L316" i="28" s="1"/>
  <c r="M316" i="28" s="1" a="1"/>
  <c r="M316" i="28" s="1"/>
  <c r="C317" i="28" a="1"/>
  <c r="C317" i="28" s="1"/>
  <c r="L317" i="28" s="1" a="1"/>
  <c r="L317" i="28" s="1"/>
  <c r="M317" i="28" s="1" a="1"/>
  <c r="M317" i="28" s="1"/>
  <c r="C318" i="28" a="1"/>
  <c r="C318" i="28" s="1"/>
  <c r="L318" i="28" s="1" a="1"/>
  <c r="L318" i="28" s="1"/>
  <c r="M318" i="28" s="1" a="1"/>
  <c r="M318" i="28" s="1"/>
  <c r="C319" i="28" a="1"/>
  <c r="C319" i="28" s="1"/>
  <c r="L319" i="28" s="1" a="1"/>
  <c r="L319" i="28" s="1"/>
  <c r="M319" i="28" s="1" a="1"/>
  <c r="M319" i="28" s="1"/>
  <c r="C320" i="28" a="1"/>
  <c r="C320" i="28" s="1"/>
  <c r="L320" i="28" s="1" a="1"/>
  <c r="L320" i="28" s="1"/>
  <c r="M320" i="28" s="1" a="1"/>
  <c r="M320" i="28" s="1"/>
  <c r="C321" i="28" a="1"/>
  <c r="C321" i="28" s="1"/>
  <c r="L321" i="28" s="1" a="1"/>
  <c r="L321" i="28" s="1"/>
  <c r="M321" i="28" s="1" a="1"/>
  <c r="M321" i="28" s="1"/>
  <c r="C322" i="28" a="1"/>
  <c r="C322" i="28" s="1"/>
  <c r="L322" i="28" s="1" a="1"/>
  <c r="L322" i="28" s="1"/>
  <c r="M322" i="28" s="1" a="1"/>
  <c r="M322" i="28" s="1"/>
  <c r="C323" i="28" a="1"/>
  <c r="C323" i="28" s="1"/>
  <c r="L323" i="28" s="1" a="1"/>
  <c r="L323" i="28" s="1"/>
  <c r="M323" i="28" s="1" a="1"/>
  <c r="M323" i="28" s="1"/>
  <c r="C324" i="28" a="1"/>
  <c r="C324" i="28" s="1"/>
  <c r="L324" i="28" s="1" a="1"/>
  <c r="L324" i="28" s="1"/>
  <c r="M324" i="28" s="1" a="1"/>
  <c r="M324" i="28" s="1"/>
  <c r="C325" i="28" a="1"/>
  <c r="C325" i="28" s="1"/>
  <c r="L325" i="28" s="1" a="1"/>
  <c r="L325" i="28" s="1"/>
  <c r="M325" i="28" s="1" a="1"/>
  <c r="M325" i="28" s="1"/>
  <c r="C326" i="28" a="1"/>
  <c r="C326" i="28" s="1"/>
  <c r="L326" i="28" s="1" a="1"/>
  <c r="L326" i="28" s="1"/>
  <c r="M326" i="28" s="1" a="1"/>
  <c r="M326" i="28" s="1"/>
  <c r="C327" i="28" a="1"/>
  <c r="C327" i="28" s="1"/>
  <c r="L327" i="28" s="1" a="1"/>
  <c r="L327" i="28" s="1"/>
  <c r="M327" i="28" s="1" a="1"/>
  <c r="M327" i="28" s="1"/>
  <c r="C328" i="28" a="1"/>
  <c r="C328" i="28" s="1"/>
  <c r="L328" i="28" s="1" a="1"/>
  <c r="L328" i="28" s="1"/>
  <c r="M328" i="28" s="1" a="1"/>
  <c r="M328" i="28" s="1"/>
  <c r="C329" i="28" a="1"/>
  <c r="C329" i="28" s="1"/>
  <c r="L329" i="28" s="1" a="1"/>
  <c r="L329" i="28" s="1"/>
  <c r="M329" i="28" s="1" a="1"/>
  <c r="M329" i="28" s="1"/>
  <c r="C330" i="28" a="1"/>
  <c r="C330" i="28" s="1"/>
  <c r="L330" i="28" s="1" a="1"/>
  <c r="L330" i="28" s="1"/>
  <c r="M330" i="28" s="1" a="1"/>
  <c r="M330" i="28" s="1"/>
  <c r="C331" i="28" a="1"/>
  <c r="C331" i="28" s="1"/>
  <c r="L331" i="28" s="1" a="1"/>
  <c r="L331" i="28" s="1"/>
  <c r="M331" i="28" s="1" a="1"/>
  <c r="M331" i="28" s="1"/>
  <c r="C332" i="28" a="1"/>
  <c r="C332" i="28" s="1"/>
  <c r="L332" i="28" s="1" a="1"/>
  <c r="L332" i="28" s="1"/>
  <c r="M332" i="28" s="1" a="1"/>
  <c r="M332" i="28" s="1"/>
  <c r="C333" i="28" a="1"/>
  <c r="C333" i="28" s="1"/>
  <c r="L333" i="28" s="1" a="1"/>
  <c r="L333" i="28" s="1"/>
  <c r="M333" i="28" s="1" a="1"/>
  <c r="M333" i="28" s="1"/>
  <c r="C334" i="28" a="1"/>
  <c r="C334" i="28" s="1"/>
  <c r="L334" i="28" s="1" a="1"/>
  <c r="L334" i="28" s="1"/>
  <c r="M334" i="28" s="1" a="1"/>
  <c r="M334" i="28" s="1"/>
  <c r="C335" i="28" a="1"/>
  <c r="C335" i="28" s="1"/>
  <c r="L335" i="28" s="1" a="1"/>
  <c r="L335" i="28" s="1"/>
  <c r="M335" i="28" s="1" a="1"/>
  <c r="M335" i="28" s="1"/>
  <c r="C336" i="28" a="1"/>
  <c r="C336" i="28" s="1"/>
  <c r="L336" i="28" s="1" a="1"/>
  <c r="L336" i="28" s="1"/>
  <c r="M336" i="28" s="1" a="1"/>
  <c r="M336" i="28" s="1"/>
  <c r="C337" i="28" a="1"/>
  <c r="C337" i="28" s="1"/>
  <c r="L337" i="28" s="1" a="1"/>
  <c r="L337" i="28" s="1"/>
  <c r="M337" i="28" s="1" a="1"/>
  <c r="M337" i="28" s="1"/>
  <c r="C338" i="28" a="1"/>
  <c r="C338" i="28" s="1"/>
  <c r="L338" i="28" s="1" a="1"/>
  <c r="L338" i="28" s="1"/>
  <c r="M338" i="28" s="1" a="1"/>
  <c r="M338" i="28" s="1"/>
  <c r="C339" i="28" a="1"/>
  <c r="C339" i="28" s="1"/>
  <c r="L339" i="28" s="1" a="1"/>
  <c r="L339" i="28" s="1"/>
  <c r="M339" i="28" s="1" a="1"/>
  <c r="M339" i="28" s="1"/>
  <c r="C340" i="28" a="1"/>
  <c r="C340" i="28" s="1"/>
  <c r="L340" i="28" s="1" a="1"/>
  <c r="L340" i="28" s="1"/>
  <c r="M340" i="28" s="1" a="1"/>
  <c r="M340" i="28" s="1"/>
  <c r="C341" i="28" a="1"/>
  <c r="C341" i="28" s="1"/>
  <c r="L341" i="28" s="1" a="1"/>
  <c r="L341" i="28" s="1"/>
  <c r="M341" i="28" s="1" a="1"/>
  <c r="M341" i="28" s="1"/>
  <c r="C342" i="28" a="1"/>
  <c r="C342" i="28" s="1"/>
  <c r="L342" i="28" s="1" a="1"/>
  <c r="L342" i="28" s="1"/>
  <c r="M342" i="28" s="1" a="1"/>
  <c r="M342" i="28" s="1"/>
  <c r="C343" i="28" a="1"/>
  <c r="C343" i="28" s="1"/>
  <c r="L343" i="28" s="1" a="1"/>
  <c r="L343" i="28" s="1"/>
  <c r="M343" i="28" s="1" a="1"/>
  <c r="M343" i="28" s="1"/>
  <c r="C344" i="28" a="1"/>
  <c r="C344" i="28" s="1"/>
  <c r="L344" i="28" s="1" a="1"/>
  <c r="L344" i="28" s="1"/>
  <c r="M344" i="28" s="1" a="1"/>
  <c r="M344" i="28" s="1"/>
  <c r="C345" i="28" a="1"/>
  <c r="C345" i="28" s="1"/>
  <c r="L345" i="28" s="1" a="1"/>
  <c r="L345" i="28" s="1"/>
  <c r="M345" i="28" s="1" a="1"/>
  <c r="M345" i="28" s="1"/>
  <c r="C346" i="28" a="1"/>
  <c r="C346" i="28" s="1"/>
  <c r="L346" i="28" s="1" a="1"/>
  <c r="L346" i="28" s="1"/>
  <c r="M346" i="28" s="1" a="1"/>
  <c r="M346" i="28" s="1"/>
  <c r="C347" i="28" a="1"/>
  <c r="C347" i="28" s="1"/>
  <c r="L347" i="28" s="1" a="1"/>
  <c r="L347" i="28" s="1"/>
  <c r="M347" i="28" s="1" a="1"/>
  <c r="M347" i="28" s="1"/>
  <c r="C348" i="28" a="1"/>
  <c r="C348" i="28" s="1"/>
  <c r="L348" i="28" s="1" a="1"/>
  <c r="L348" i="28" s="1"/>
  <c r="M348" i="28" s="1" a="1"/>
  <c r="M348" i="28" s="1"/>
  <c r="C349" i="28" a="1"/>
  <c r="C349" i="28" s="1"/>
  <c r="L349" i="28" s="1" a="1"/>
  <c r="L349" i="28" s="1"/>
  <c r="M349" i="28" s="1" a="1"/>
  <c r="M349" i="28" s="1"/>
  <c r="C350" i="28" a="1"/>
  <c r="C350" i="28" s="1"/>
  <c r="L350" i="28" s="1" a="1"/>
  <c r="L350" i="28" s="1"/>
  <c r="M350" i="28" s="1" a="1"/>
  <c r="M350" i="28" s="1"/>
  <c r="C351" i="28" a="1"/>
  <c r="C351" i="28" s="1"/>
  <c r="L351" i="28" s="1" a="1"/>
  <c r="L351" i="28" s="1"/>
  <c r="M351" i="28" s="1" a="1"/>
  <c r="M351" i="28" s="1"/>
  <c r="C352" i="28" a="1"/>
  <c r="C352" i="28" s="1"/>
  <c r="L352" i="28" s="1" a="1"/>
  <c r="L352" i="28" s="1"/>
  <c r="M352" i="28" s="1" a="1"/>
  <c r="M352" i="28" s="1"/>
  <c r="C353" i="28" a="1"/>
  <c r="C353" i="28" s="1"/>
  <c r="L353" i="28" s="1" a="1"/>
  <c r="L353" i="28" s="1"/>
  <c r="M353" i="28" s="1" a="1"/>
  <c r="M353" i="28" s="1"/>
  <c r="C354" i="28" a="1"/>
  <c r="C354" i="28" s="1"/>
  <c r="L354" i="28" s="1" a="1"/>
  <c r="L354" i="28" s="1"/>
  <c r="M354" i="28" s="1" a="1"/>
  <c r="M354" i="28" s="1"/>
  <c r="C355" i="28" a="1"/>
  <c r="C355" i="28" s="1"/>
  <c r="L355" i="28" s="1" a="1"/>
  <c r="L355" i="28" s="1"/>
  <c r="M355" i="28" s="1" a="1"/>
  <c r="M355" i="28" s="1"/>
  <c r="C356" i="28" a="1"/>
  <c r="C356" i="28" s="1"/>
  <c r="L356" i="28" s="1" a="1"/>
  <c r="L356" i="28" s="1"/>
  <c r="M356" i="28" s="1" a="1"/>
  <c r="M356" i="28" s="1"/>
  <c r="C357" i="28" a="1"/>
  <c r="C357" i="28" s="1"/>
  <c r="L357" i="28" s="1" a="1"/>
  <c r="L357" i="28" s="1"/>
  <c r="M357" i="28" s="1" a="1"/>
  <c r="M357" i="28" s="1"/>
  <c r="C358" i="28" a="1"/>
  <c r="C358" i="28" s="1"/>
  <c r="L358" i="28" s="1" a="1"/>
  <c r="L358" i="28" s="1"/>
  <c r="M358" i="28" s="1" a="1"/>
  <c r="M358" i="28" s="1"/>
  <c r="C359" i="28" a="1"/>
  <c r="C359" i="28" s="1"/>
  <c r="L359" i="28" s="1" a="1"/>
  <c r="L359" i="28" s="1"/>
  <c r="M359" i="28" s="1" a="1"/>
  <c r="M359" i="28" s="1"/>
  <c r="C360" i="28" a="1"/>
  <c r="C360" i="28" s="1"/>
  <c r="L360" i="28" s="1" a="1"/>
  <c r="L360" i="28" s="1"/>
  <c r="M360" i="28" s="1" a="1"/>
  <c r="M360" i="28" s="1"/>
  <c r="C361" i="28" a="1"/>
  <c r="C361" i="28" s="1"/>
  <c r="L361" i="28" s="1" a="1"/>
  <c r="L361" i="28" s="1"/>
  <c r="M361" i="28" s="1" a="1"/>
  <c r="M361" i="28" s="1"/>
  <c r="C362" i="28" a="1"/>
  <c r="C362" i="28" s="1"/>
  <c r="L362" i="28" s="1" a="1"/>
  <c r="L362" i="28" s="1"/>
  <c r="M362" i="28" s="1" a="1"/>
  <c r="M362" i="28" s="1"/>
  <c r="C363" i="28" a="1"/>
  <c r="C363" i="28" s="1"/>
  <c r="L363" i="28" s="1" a="1"/>
  <c r="L363" i="28" s="1"/>
  <c r="M363" i="28" s="1" a="1"/>
  <c r="M363" i="28" s="1"/>
  <c r="C364" i="28" a="1"/>
  <c r="C364" i="28" s="1"/>
  <c r="L364" i="28" s="1" a="1"/>
  <c r="L364" i="28" s="1"/>
  <c r="M364" i="28" s="1" a="1"/>
  <c r="M364" i="28" s="1"/>
  <c r="C365" i="28" a="1"/>
  <c r="C365" i="28" s="1"/>
  <c r="L365" i="28" s="1" a="1"/>
  <c r="L365" i="28" s="1"/>
  <c r="M365" i="28" s="1" a="1"/>
  <c r="M365" i="28" s="1"/>
  <c r="C366" i="28" a="1"/>
  <c r="C366" i="28" s="1"/>
  <c r="L366" i="28" s="1" a="1"/>
  <c r="L366" i="28" s="1"/>
  <c r="M366" i="28" s="1" a="1"/>
  <c r="M366" i="28" s="1"/>
  <c r="C367" i="28" a="1"/>
  <c r="C367" i="28" s="1"/>
  <c r="L367" i="28" s="1" a="1"/>
  <c r="L367" i="28" s="1"/>
  <c r="M367" i="28" s="1" a="1"/>
  <c r="M367" i="28" s="1"/>
  <c r="C368" i="28" a="1"/>
  <c r="C368" i="28" s="1"/>
  <c r="L368" i="28" s="1" a="1"/>
  <c r="L368" i="28" s="1"/>
  <c r="M368" i="28" s="1" a="1"/>
  <c r="M368" i="28" s="1"/>
  <c r="C369" i="28" a="1"/>
  <c r="C369" i="28" s="1"/>
  <c r="L369" i="28" s="1" a="1"/>
  <c r="L369" i="28" s="1"/>
  <c r="M369" i="28" s="1" a="1"/>
  <c r="M369" i="28" s="1"/>
  <c r="C370" i="28" a="1"/>
  <c r="C370" i="28" s="1"/>
  <c r="L370" i="28" s="1" a="1"/>
  <c r="L370" i="28" s="1"/>
  <c r="M370" i="28" s="1" a="1"/>
  <c r="M370" i="28" s="1"/>
  <c r="C371" i="28" a="1"/>
  <c r="C371" i="28" s="1"/>
  <c r="L371" i="28" s="1" a="1"/>
  <c r="L371" i="28" s="1"/>
  <c r="M371" i="28" s="1" a="1"/>
  <c r="M371" i="28" s="1"/>
  <c r="C372" i="28" a="1"/>
  <c r="C372" i="28" s="1"/>
  <c r="L372" i="28" s="1" a="1"/>
  <c r="L372" i="28" s="1"/>
  <c r="M372" i="28" s="1" a="1"/>
  <c r="M372" i="28" s="1"/>
  <c r="C373" i="28" a="1"/>
  <c r="C373" i="28" s="1"/>
  <c r="L373" i="28" s="1" a="1"/>
  <c r="L373" i="28" s="1"/>
  <c r="M373" i="28" s="1" a="1"/>
  <c r="M373" i="28" s="1"/>
  <c r="C374" i="28" a="1"/>
  <c r="C374" i="28" s="1"/>
  <c r="L374" i="28" s="1" a="1"/>
  <c r="L374" i="28" s="1"/>
  <c r="M374" i="28" s="1" a="1"/>
  <c r="M374" i="28" s="1"/>
  <c r="C375" i="28" a="1"/>
  <c r="C375" i="28" s="1"/>
  <c r="L375" i="28" s="1" a="1"/>
  <c r="L375" i="28" s="1"/>
  <c r="M375" i="28" s="1" a="1"/>
  <c r="M375" i="28" s="1"/>
  <c r="C376" i="28" a="1"/>
  <c r="C376" i="28" s="1"/>
  <c r="L376" i="28" s="1" a="1"/>
  <c r="L376" i="28" s="1"/>
  <c r="M376" i="28" s="1" a="1"/>
  <c r="M376" i="28" s="1"/>
  <c r="C377" i="28" a="1"/>
  <c r="C377" i="28" s="1"/>
  <c r="L377" i="28" s="1" a="1"/>
  <c r="L377" i="28" s="1"/>
  <c r="M377" i="28" s="1" a="1"/>
  <c r="M377" i="28" s="1"/>
  <c r="C378" i="28" a="1"/>
  <c r="C378" i="28" s="1"/>
  <c r="L378" i="28" s="1" a="1"/>
  <c r="L378" i="28" s="1"/>
  <c r="M378" i="28" s="1" a="1"/>
  <c r="M378" i="28" s="1"/>
  <c r="C379" i="28" a="1"/>
  <c r="C379" i="28" s="1"/>
  <c r="L379" i="28" s="1" a="1"/>
  <c r="L379" i="28" s="1"/>
  <c r="M379" i="28" s="1" a="1"/>
  <c r="M379" i="28" s="1"/>
  <c r="C380" i="28" a="1"/>
  <c r="C380" i="28" s="1"/>
  <c r="L380" i="28" s="1" a="1"/>
  <c r="L380" i="28" s="1"/>
  <c r="M380" i="28" s="1" a="1"/>
  <c r="M380" i="28" s="1"/>
  <c r="C381" i="28" a="1"/>
  <c r="C381" i="28" s="1"/>
  <c r="L381" i="28" s="1" a="1"/>
  <c r="L381" i="28" s="1"/>
  <c r="M381" i="28" s="1" a="1"/>
  <c r="M381" i="28" s="1"/>
  <c r="C382" i="28" a="1"/>
  <c r="C382" i="28" s="1"/>
  <c r="L382" i="28" s="1" a="1"/>
  <c r="L382" i="28" s="1"/>
  <c r="M382" i="28" s="1" a="1"/>
  <c r="M382" i="28" s="1"/>
  <c r="C383" i="28" a="1"/>
  <c r="C383" i="28" s="1"/>
  <c r="L383" i="28" s="1" a="1"/>
  <c r="L383" i="28" s="1"/>
  <c r="M383" i="28" s="1" a="1"/>
  <c r="M383" i="28" s="1"/>
  <c r="C384" i="28" a="1"/>
  <c r="C384" i="28" s="1"/>
  <c r="L384" i="28" s="1" a="1"/>
  <c r="L384" i="28" s="1"/>
  <c r="M384" i="28" s="1" a="1"/>
  <c r="M384" i="28" s="1"/>
  <c r="C385" i="28" a="1"/>
  <c r="C385" i="28" s="1"/>
  <c r="L385" i="28" s="1" a="1"/>
  <c r="L385" i="28" s="1"/>
  <c r="M385" i="28" s="1" a="1"/>
  <c r="M385" i="28" s="1"/>
  <c r="C386" i="28" a="1"/>
  <c r="C386" i="28" s="1"/>
  <c r="L386" i="28" s="1" a="1"/>
  <c r="L386" i="28" s="1"/>
  <c r="M386" i="28" s="1" a="1"/>
  <c r="M386" i="28" s="1"/>
  <c r="C387" i="28" a="1"/>
  <c r="C387" i="28" s="1"/>
  <c r="L387" i="28" s="1" a="1"/>
  <c r="L387" i="28" s="1"/>
  <c r="M387" i="28" s="1" a="1"/>
  <c r="M387" i="28" s="1"/>
  <c r="C388" i="28" a="1"/>
  <c r="C388" i="28" s="1"/>
  <c r="L388" i="28" s="1" a="1"/>
  <c r="L388" i="28" s="1"/>
  <c r="M388" i="28" s="1" a="1"/>
  <c r="M388" i="28" s="1"/>
  <c r="C389" i="28" a="1"/>
  <c r="C389" i="28" s="1"/>
  <c r="L389" i="28" s="1" a="1"/>
  <c r="L389" i="28" s="1"/>
  <c r="M389" i="28" s="1" a="1"/>
  <c r="M389" i="28" s="1"/>
  <c r="C390" i="28" a="1"/>
  <c r="C390" i="28" s="1"/>
  <c r="L390" i="28" s="1" a="1"/>
  <c r="L390" i="28" s="1"/>
  <c r="M390" i="28" s="1" a="1"/>
  <c r="M390" i="28" s="1"/>
  <c r="C391" i="28" a="1"/>
  <c r="C391" i="28" s="1"/>
  <c r="L391" i="28" s="1" a="1"/>
  <c r="L391" i="28" s="1"/>
  <c r="M391" i="28" s="1" a="1"/>
  <c r="M391" i="28" s="1"/>
  <c r="C392" i="28" a="1"/>
  <c r="C392" i="28" s="1"/>
  <c r="L392" i="28" s="1" a="1"/>
  <c r="L392" i="28" s="1"/>
  <c r="M392" i="28" s="1" a="1"/>
  <c r="M392" i="28" s="1"/>
  <c r="C393" i="28" a="1"/>
  <c r="C393" i="28" s="1"/>
  <c r="L393" i="28" s="1" a="1"/>
  <c r="L393" i="28" s="1"/>
  <c r="M393" i="28" s="1" a="1"/>
  <c r="M393" i="28" s="1"/>
  <c r="C394" i="28" a="1"/>
  <c r="C394" i="28" s="1"/>
  <c r="L394" i="28" s="1" a="1"/>
  <c r="L394" i="28" s="1"/>
  <c r="M394" i="28" s="1" a="1"/>
  <c r="M394" i="28" s="1"/>
  <c r="C395" i="28" a="1"/>
  <c r="C395" i="28" s="1"/>
  <c r="L395" i="28" s="1" a="1"/>
  <c r="L395" i="28" s="1"/>
  <c r="M395" i="28" s="1" a="1"/>
  <c r="M395" i="28" s="1"/>
  <c r="C396" i="28" a="1"/>
  <c r="C396" i="28" s="1"/>
  <c r="L396" i="28" s="1" a="1"/>
  <c r="L396" i="28" s="1"/>
  <c r="M396" i="28" s="1" a="1"/>
  <c r="M396" i="28" s="1"/>
  <c r="C397" i="28" a="1"/>
  <c r="C397" i="28" s="1"/>
  <c r="L397" i="28" s="1" a="1"/>
  <c r="L397" i="28" s="1"/>
  <c r="M397" i="28" s="1" a="1"/>
  <c r="M397" i="28" s="1"/>
  <c r="C398" i="28" a="1"/>
  <c r="C398" i="28" s="1"/>
  <c r="L398" i="28" s="1" a="1"/>
  <c r="L398" i="28" s="1"/>
  <c r="M398" i="28" s="1" a="1"/>
  <c r="M398" i="28" s="1"/>
  <c r="C399" i="28" a="1"/>
  <c r="C399" i="28" s="1"/>
  <c r="L399" i="28" s="1" a="1"/>
  <c r="L399" i="28" s="1"/>
  <c r="M399" i="28" s="1" a="1"/>
  <c r="M399" i="28" s="1"/>
  <c r="C400" i="28" a="1"/>
  <c r="C400" i="28" s="1"/>
  <c r="L400" i="28" s="1" a="1"/>
  <c r="L400" i="28" s="1"/>
  <c r="M400" i="28" s="1" a="1"/>
  <c r="M400" i="28" s="1"/>
  <c r="C401" i="28" a="1"/>
  <c r="C401" i="28" s="1"/>
  <c r="L401" i="28" s="1" a="1"/>
  <c r="L401" i="28" s="1"/>
  <c r="M401" i="28" s="1" a="1"/>
  <c r="M401" i="28" s="1"/>
  <c r="C402" i="28" a="1"/>
  <c r="C402" i="28" s="1"/>
  <c r="L402" i="28" s="1" a="1"/>
  <c r="L402" i="28" s="1"/>
  <c r="M402" i="28" s="1" a="1"/>
  <c r="M402" i="28" s="1"/>
  <c r="C403" i="28" a="1"/>
  <c r="C403" i="28" s="1"/>
  <c r="L403" i="28" s="1" a="1"/>
  <c r="L403" i="28" s="1"/>
  <c r="M403" i="28" s="1" a="1"/>
  <c r="M403" i="28" s="1"/>
  <c r="C404" i="28" a="1"/>
  <c r="C404" i="28" s="1"/>
  <c r="L404" i="28" s="1" a="1"/>
  <c r="L404" i="28" s="1"/>
  <c r="M404" i="28" s="1" a="1"/>
  <c r="M404" i="28" s="1"/>
  <c r="C405" i="28" a="1"/>
  <c r="C405" i="28" s="1"/>
  <c r="L405" i="28" s="1" a="1"/>
  <c r="L405" i="28" s="1"/>
  <c r="M405" i="28" s="1" a="1"/>
  <c r="M405" i="28" s="1"/>
  <c r="C406" i="28" a="1"/>
  <c r="C406" i="28" s="1"/>
  <c r="L406" i="28" s="1" a="1"/>
  <c r="L406" i="28" s="1"/>
  <c r="M406" i="28" s="1" a="1"/>
  <c r="M406" i="28" s="1"/>
  <c r="C407" i="28" a="1"/>
  <c r="C407" i="28" s="1"/>
  <c r="L407" i="28" s="1" a="1"/>
  <c r="L407" i="28" s="1"/>
  <c r="M407" i="28" s="1" a="1"/>
  <c r="M407" i="28" s="1"/>
  <c r="C408" i="28" a="1"/>
  <c r="C408" i="28" s="1"/>
  <c r="L408" i="28" s="1" a="1"/>
  <c r="L408" i="28" s="1"/>
  <c r="M408" i="28" s="1" a="1"/>
  <c r="M408" i="28" s="1"/>
  <c r="C409" i="28" a="1"/>
  <c r="C409" i="28" s="1"/>
  <c r="L409" i="28" s="1" a="1"/>
  <c r="L409" i="28" s="1"/>
  <c r="M409" i="28" s="1" a="1"/>
  <c r="M409" i="28" s="1"/>
  <c r="C410" i="28" a="1"/>
  <c r="C410" i="28" s="1"/>
  <c r="L410" i="28" s="1" a="1"/>
  <c r="L410" i="28" s="1"/>
  <c r="M410" i="28" s="1" a="1"/>
  <c r="M410" i="28" s="1"/>
  <c r="C411" i="28" a="1"/>
  <c r="C411" i="28" s="1"/>
  <c r="L411" i="28" s="1" a="1"/>
  <c r="L411" i="28" s="1"/>
  <c r="M411" i="28" s="1" a="1"/>
  <c r="M411" i="28" s="1"/>
  <c r="C412" i="28" a="1"/>
  <c r="C412" i="28" s="1"/>
  <c r="L412" i="28" s="1" a="1"/>
  <c r="L412" i="28" s="1"/>
  <c r="M412" i="28" s="1" a="1"/>
  <c r="M412" i="28" s="1"/>
  <c r="C413" i="28" a="1"/>
  <c r="C413" i="28" s="1"/>
  <c r="L413" i="28" s="1" a="1"/>
  <c r="L413" i="28" s="1"/>
  <c r="M413" i="28" s="1" a="1"/>
  <c r="M413" i="28" s="1"/>
  <c r="C414" i="28" a="1"/>
  <c r="C414" i="28" s="1"/>
  <c r="L414" i="28" s="1" a="1"/>
  <c r="L414" i="28" s="1"/>
  <c r="M414" i="28" s="1" a="1"/>
  <c r="M414" i="28" s="1"/>
  <c r="C415" i="28" a="1"/>
  <c r="C415" i="28" s="1"/>
  <c r="L415" i="28" s="1" a="1"/>
  <c r="L415" i="28" s="1"/>
  <c r="M415" i="28" s="1" a="1"/>
  <c r="M415" i="28" s="1"/>
  <c r="C416" i="28" a="1"/>
  <c r="C416" i="28" s="1"/>
  <c r="L416" i="28" s="1" a="1"/>
  <c r="L416" i="28" s="1"/>
  <c r="M416" i="28" s="1" a="1"/>
  <c r="M416" i="28" s="1"/>
  <c r="C417" i="28" a="1"/>
  <c r="C417" i="28" s="1"/>
  <c r="L417" i="28" s="1" a="1"/>
  <c r="L417" i="28" s="1"/>
  <c r="M417" i="28" s="1" a="1"/>
  <c r="M417" i="28" s="1"/>
  <c r="C418" i="28" a="1"/>
  <c r="C418" i="28" s="1"/>
  <c r="L418" i="28" s="1" a="1"/>
  <c r="L418" i="28" s="1"/>
  <c r="M418" i="28" s="1" a="1"/>
  <c r="M418" i="28" s="1"/>
  <c r="C419" i="28" a="1"/>
  <c r="C419" i="28" s="1"/>
  <c r="L419" i="28" s="1" a="1"/>
  <c r="L419" i="28" s="1"/>
  <c r="M419" i="28" s="1" a="1"/>
  <c r="M419" i="28" s="1"/>
  <c r="C420" i="28" a="1"/>
  <c r="C420" i="28" s="1"/>
  <c r="L420" i="28" s="1" a="1"/>
  <c r="L420" i="28" s="1"/>
  <c r="M420" i="28" s="1" a="1"/>
  <c r="M420" i="28" s="1"/>
  <c r="C421" i="28" a="1"/>
  <c r="C421" i="28" s="1"/>
  <c r="L421" i="28" s="1" a="1"/>
  <c r="L421" i="28" s="1"/>
  <c r="M421" i="28" s="1" a="1"/>
  <c r="M421" i="28" s="1"/>
  <c r="C422" i="28" a="1"/>
  <c r="C422" i="28" s="1"/>
  <c r="L422" i="28" s="1" a="1"/>
  <c r="L422" i="28" s="1"/>
  <c r="M422" i="28" s="1" a="1"/>
  <c r="M422" i="28" s="1"/>
  <c r="C423" i="28" a="1"/>
  <c r="C423" i="28" s="1"/>
  <c r="L423" i="28" s="1" a="1"/>
  <c r="L423" i="28" s="1"/>
  <c r="M423" i="28" s="1" a="1"/>
  <c r="M423" i="28" s="1"/>
  <c r="C424" i="28" a="1"/>
  <c r="C424" i="28" s="1"/>
  <c r="L424" i="28" s="1" a="1"/>
  <c r="L424" i="28" s="1"/>
  <c r="M424" i="28" s="1" a="1"/>
  <c r="M424" i="28" s="1"/>
  <c r="C425" i="28" a="1"/>
  <c r="C425" i="28" s="1"/>
  <c r="L425" i="28" s="1" a="1"/>
  <c r="L425" i="28" s="1"/>
  <c r="M425" i="28" s="1" a="1"/>
  <c r="M425" i="28" s="1"/>
  <c r="C426" i="28" a="1"/>
  <c r="C426" i="28" s="1"/>
  <c r="L426" i="28" s="1" a="1"/>
  <c r="L426" i="28" s="1"/>
  <c r="M426" i="28" s="1" a="1"/>
  <c r="M426" i="28" s="1"/>
  <c r="C427" i="28" a="1"/>
  <c r="C427" i="28" s="1"/>
  <c r="L427" i="28" s="1" a="1"/>
  <c r="L427" i="28" s="1"/>
  <c r="M427" i="28" s="1" a="1"/>
  <c r="M427" i="28" s="1"/>
  <c r="C428" i="28" a="1"/>
  <c r="C428" i="28" s="1"/>
  <c r="L428" i="28" s="1" a="1"/>
  <c r="L428" i="28" s="1"/>
  <c r="M428" i="28" s="1" a="1"/>
  <c r="M428" i="28" s="1"/>
  <c r="C429" i="28" a="1"/>
  <c r="C429" i="28" s="1"/>
  <c r="L429" i="28" s="1" a="1"/>
  <c r="L429" i="28" s="1"/>
  <c r="M429" i="28" s="1" a="1"/>
  <c r="M429" i="28" s="1"/>
  <c r="C430" i="28" a="1"/>
  <c r="C430" i="28" s="1"/>
  <c r="L430" i="28" s="1" a="1"/>
  <c r="L430" i="28" s="1"/>
  <c r="M430" i="28" s="1" a="1"/>
  <c r="M430" i="28" s="1"/>
  <c r="C431" i="28" a="1"/>
  <c r="C431" i="28" s="1"/>
  <c r="L431" i="28" s="1" a="1"/>
  <c r="L431" i="28" s="1"/>
  <c r="M431" i="28" s="1" a="1"/>
  <c r="M431" i="28" s="1"/>
  <c r="C432" i="28" a="1"/>
  <c r="C432" i="28" s="1"/>
  <c r="L432" i="28" s="1" a="1"/>
  <c r="L432" i="28" s="1"/>
  <c r="M432" i="28" s="1" a="1"/>
  <c r="M432" i="28" s="1"/>
  <c r="C433" i="28" a="1"/>
  <c r="C433" i="28" s="1"/>
  <c r="L433" i="28" s="1" a="1"/>
  <c r="L433" i="28" s="1"/>
  <c r="M433" i="28" s="1" a="1"/>
  <c r="M433" i="28" s="1"/>
  <c r="C434" i="28" a="1"/>
  <c r="C434" i="28" s="1"/>
  <c r="L434" i="28" s="1" a="1"/>
  <c r="L434" i="28" s="1"/>
  <c r="M434" i="28" s="1" a="1"/>
  <c r="M434" i="28" s="1"/>
  <c r="C435" i="28" a="1"/>
  <c r="C435" i="28" s="1"/>
  <c r="L435" i="28" s="1" a="1"/>
  <c r="L435" i="28" s="1"/>
  <c r="M435" i="28" s="1" a="1"/>
  <c r="M435" i="28" s="1"/>
  <c r="C436" i="28" a="1"/>
  <c r="C436" i="28" s="1"/>
  <c r="L436" i="28" s="1" a="1"/>
  <c r="L436" i="28" s="1"/>
  <c r="M436" i="28" s="1" a="1"/>
  <c r="M436" i="28" s="1"/>
  <c r="C437" i="28" a="1"/>
  <c r="C437" i="28" s="1"/>
  <c r="L437" i="28" s="1" a="1"/>
  <c r="L437" i="28" s="1"/>
  <c r="M437" i="28" s="1" a="1"/>
  <c r="M437" i="28" s="1"/>
  <c r="C438" i="28" a="1"/>
  <c r="C438" i="28" s="1"/>
  <c r="L438" i="28" s="1" a="1"/>
  <c r="L438" i="28" s="1"/>
  <c r="M438" i="28" s="1" a="1"/>
  <c r="M438" i="28" s="1"/>
  <c r="C439" i="28" a="1"/>
  <c r="C439" i="28" s="1"/>
  <c r="L439" i="28" s="1" a="1"/>
  <c r="L439" i="28" s="1"/>
  <c r="M439" i="28" s="1" a="1"/>
  <c r="M439" i="28" s="1"/>
  <c r="C440" i="28" a="1"/>
  <c r="C440" i="28" s="1"/>
  <c r="L440" i="28" s="1" a="1"/>
  <c r="L440" i="28" s="1"/>
  <c r="M440" i="28" s="1" a="1"/>
  <c r="M440" i="28" s="1"/>
  <c r="C441" i="28" a="1"/>
  <c r="C441" i="28" s="1"/>
  <c r="L441" i="28" s="1" a="1"/>
  <c r="L441" i="28" s="1"/>
  <c r="M441" i="28" s="1" a="1"/>
  <c r="M441" i="28" s="1"/>
  <c r="C442" i="28" a="1"/>
  <c r="C442" i="28" s="1"/>
  <c r="L442" i="28" s="1" a="1"/>
  <c r="L442" i="28" s="1"/>
  <c r="M442" i="28" s="1" a="1"/>
  <c r="M442" i="28" s="1"/>
  <c r="C443" i="28" a="1"/>
  <c r="C443" i="28" s="1"/>
  <c r="L443" i="28" s="1" a="1"/>
  <c r="L443" i="28" s="1"/>
  <c r="M443" i="28" s="1" a="1"/>
  <c r="M443" i="28" s="1"/>
  <c r="C444" i="28" a="1"/>
  <c r="C444" i="28" s="1"/>
  <c r="L444" i="28" s="1" a="1"/>
  <c r="L444" i="28" s="1"/>
  <c r="M444" i="28" s="1" a="1"/>
  <c r="M444" i="28" s="1"/>
  <c r="C445" i="28" a="1"/>
  <c r="C445" i="28" s="1"/>
  <c r="L445" i="28" s="1" a="1"/>
  <c r="L445" i="28" s="1"/>
  <c r="M445" i="28" s="1" a="1"/>
  <c r="M445" i="28" s="1"/>
  <c r="C446" i="28" a="1"/>
  <c r="C446" i="28" s="1"/>
  <c r="L446" i="28" s="1" a="1"/>
  <c r="L446" i="28" s="1"/>
  <c r="M446" i="28" s="1" a="1"/>
  <c r="M446" i="28" s="1"/>
  <c r="C447" i="28" a="1"/>
  <c r="C447" i="28" s="1"/>
  <c r="L447" i="28" s="1" a="1"/>
  <c r="L447" i="28" s="1"/>
  <c r="M447" i="28" s="1" a="1"/>
  <c r="M447" i="28" s="1"/>
  <c r="C448" i="28" a="1"/>
  <c r="C448" i="28" s="1"/>
  <c r="L448" i="28" s="1" a="1"/>
  <c r="L448" i="28" s="1"/>
  <c r="M448" i="28" s="1" a="1"/>
  <c r="M448" i="28" s="1"/>
  <c r="C449" i="28" a="1"/>
  <c r="C449" i="28" s="1"/>
  <c r="L449" i="28" s="1" a="1"/>
  <c r="L449" i="28" s="1"/>
  <c r="M449" i="28" s="1" a="1"/>
  <c r="M449" i="28" s="1"/>
  <c r="C450" i="28" a="1"/>
  <c r="C450" i="28" s="1"/>
  <c r="L450" i="28" s="1" a="1"/>
  <c r="L450" i="28" s="1"/>
  <c r="M450" i="28" s="1" a="1"/>
  <c r="M450" i="28" s="1"/>
  <c r="C451" i="28" a="1"/>
  <c r="C451" i="28" s="1"/>
  <c r="L451" i="28" s="1" a="1"/>
  <c r="L451" i="28" s="1"/>
  <c r="M451" i="28" s="1" a="1"/>
  <c r="M451" i="28" s="1"/>
  <c r="C452" i="28" a="1"/>
  <c r="C452" i="28" s="1"/>
  <c r="L452" i="28" s="1" a="1"/>
  <c r="L452" i="28" s="1"/>
  <c r="M452" i="28" s="1" a="1"/>
  <c r="M452" i="28" s="1"/>
  <c r="C453" i="28" a="1"/>
  <c r="C453" i="28" s="1"/>
  <c r="L453" i="28" s="1" a="1"/>
  <c r="L453" i="28" s="1"/>
  <c r="M453" i="28" s="1" a="1"/>
  <c r="M453" i="28" s="1"/>
  <c r="C454" i="28" a="1"/>
  <c r="C454" i="28" s="1"/>
  <c r="L454" i="28" s="1" a="1"/>
  <c r="L454" i="28" s="1"/>
  <c r="M454" i="28" s="1" a="1"/>
  <c r="M454" i="28" s="1"/>
  <c r="C455" i="28" a="1"/>
  <c r="C455" i="28" s="1"/>
  <c r="L455" i="28" s="1" a="1"/>
  <c r="L455" i="28" s="1"/>
  <c r="M455" i="28" s="1" a="1"/>
  <c r="M455" i="28" s="1"/>
  <c r="C456" i="28" a="1"/>
  <c r="C456" i="28" s="1"/>
  <c r="L456" i="28" s="1" a="1"/>
  <c r="L456" i="28" s="1"/>
  <c r="M456" i="28" s="1" a="1"/>
  <c r="M456" i="28" s="1"/>
  <c r="C457" i="28" a="1"/>
  <c r="C457" i="28" s="1"/>
  <c r="L457" i="28" s="1" a="1"/>
  <c r="L457" i="28" s="1"/>
  <c r="M457" i="28" s="1" a="1"/>
  <c r="M457" i="28" s="1"/>
  <c r="C458" i="28" a="1"/>
  <c r="C458" i="28" s="1"/>
  <c r="L458" i="28" s="1" a="1"/>
  <c r="L458" i="28" s="1"/>
  <c r="M458" i="28" s="1" a="1"/>
  <c r="M458" i="28" s="1"/>
  <c r="C459" i="28" a="1"/>
  <c r="C459" i="28" s="1"/>
  <c r="L459" i="28" s="1" a="1"/>
  <c r="L459" i="28" s="1"/>
  <c r="M459" i="28" s="1" a="1"/>
  <c r="M459" i="28" s="1"/>
  <c r="C460" i="28" a="1"/>
  <c r="C460" i="28" s="1"/>
  <c r="L460" i="28" s="1" a="1"/>
  <c r="L460" i="28" s="1"/>
  <c r="M460" i="28" s="1" a="1"/>
  <c r="M460" i="28" s="1"/>
  <c r="C461" i="28" a="1"/>
  <c r="C461" i="28" s="1"/>
  <c r="L461" i="28" s="1" a="1"/>
  <c r="L461" i="28" s="1"/>
  <c r="M461" i="28" s="1" a="1"/>
  <c r="M461" i="28" s="1"/>
  <c r="C462" i="28" a="1"/>
  <c r="C462" i="28" s="1"/>
  <c r="L462" i="28" s="1" a="1"/>
  <c r="L462" i="28" s="1"/>
  <c r="M462" i="28" s="1" a="1"/>
  <c r="M462" i="28" s="1"/>
  <c r="C463" i="28" a="1"/>
  <c r="C463" i="28" s="1"/>
  <c r="L463" i="28" s="1" a="1"/>
  <c r="L463" i="28" s="1"/>
  <c r="M463" i="28" s="1" a="1"/>
  <c r="M463" i="28" s="1"/>
  <c r="C464" i="28" a="1"/>
  <c r="C464" i="28" s="1"/>
  <c r="L464" i="28" s="1" a="1"/>
  <c r="L464" i="28" s="1"/>
  <c r="M464" i="28" s="1" a="1"/>
  <c r="M464" i="28" s="1"/>
  <c r="C465" i="28" a="1"/>
  <c r="C465" i="28" s="1"/>
  <c r="L465" i="28" s="1" a="1"/>
  <c r="L465" i="28" s="1"/>
  <c r="M465" i="28" s="1" a="1"/>
  <c r="M465" i="28" s="1"/>
  <c r="C466" i="28" a="1"/>
  <c r="C466" i="28" s="1"/>
  <c r="L466" i="28" s="1" a="1"/>
  <c r="L466" i="28" s="1"/>
  <c r="M466" i="28" s="1" a="1"/>
  <c r="M466" i="28" s="1"/>
  <c r="C467" i="28" a="1"/>
  <c r="C467" i="28" s="1"/>
  <c r="L467" i="28" s="1" a="1"/>
  <c r="L467" i="28" s="1"/>
  <c r="M467" i="28" s="1" a="1"/>
  <c r="M467" i="28" s="1"/>
  <c r="C468" i="28" a="1"/>
  <c r="C468" i="28" s="1"/>
  <c r="L468" i="28" s="1" a="1"/>
  <c r="L468" i="28" s="1"/>
  <c r="M468" i="28" s="1" a="1"/>
  <c r="M468" i="28" s="1"/>
  <c r="C469" i="28" a="1"/>
  <c r="C469" i="28" s="1"/>
  <c r="L469" i="28" s="1" a="1"/>
  <c r="L469" i="28" s="1"/>
  <c r="M469" i="28" s="1" a="1"/>
  <c r="M469" i="28" s="1"/>
  <c r="C470" i="28" a="1"/>
  <c r="C470" i="28" s="1"/>
  <c r="L470" i="28" s="1" a="1"/>
  <c r="L470" i="28" s="1"/>
  <c r="M470" i="28" s="1" a="1"/>
  <c r="M470" i="28" s="1"/>
  <c r="C471" i="28" a="1"/>
  <c r="C471" i="28" s="1"/>
  <c r="L471" i="28" s="1" a="1"/>
  <c r="L471" i="28" s="1"/>
  <c r="M471" i="28" s="1" a="1"/>
  <c r="M471" i="28" s="1"/>
  <c r="C472" i="28" a="1"/>
  <c r="C472" i="28" s="1"/>
  <c r="L472" i="28" s="1" a="1"/>
  <c r="L472" i="28" s="1"/>
  <c r="M472" i="28" s="1" a="1"/>
  <c r="M472" i="28" s="1"/>
  <c r="C473" i="28" a="1"/>
  <c r="C473" i="28" s="1"/>
  <c r="L473" i="28" s="1" a="1"/>
  <c r="L473" i="28" s="1"/>
  <c r="M473" i="28" s="1" a="1"/>
  <c r="M473" i="28" s="1"/>
  <c r="C474" i="28" a="1"/>
  <c r="C474" i="28" s="1"/>
  <c r="L474" i="28" s="1" a="1"/>
  <c r="L474" i="28" s="1"/>
  <c r="M474" i="28" s="1" a="1"/>
  <c r="M474" i="28" s="1"/>
  <c r="C475" i="28" a="1"/>
  <c r="C475" i="28" s="1"/>
  <c r="L475" i="28" s="1" a="1"/>
  <c r="L475" i="28" s="1"/>
  <c r="M475" i="28" s="1" a="1"/>
  <c r="M475" i="28" s="1"/>
  <c r="C476" i="28" a="1"/>
  <c r="C476" i="28" s="1"/>
  <c r="L476" i="28" s="1" a="1"/>
  <c r="L476" i="28" s="1"/>
  <c r="M476" i="28" s="1" a="1"/>
  <c r="M476" i="28" s="1"/>
  <c r="C477" i="28" a="1"/>
  <c r="C477" i="28" s="1"/>
  <c r="L477" i="28" s="1" a="1"/>
  <c r="L477" i="28" s="1"/>
  <c r="M477" i="28" s="1" a="1"/>
  <c r="M477" i="28" s="1"/>
  <c r="C478" i="28" a="1"/>
  <c r="C478" i="28" s="1"/>
  <c r="L478" i="28" s="1" a="1"/>
  <c r="L478" i="28" s="1"/>
  <c r="M478" i="28" s="1" a="1"/>
  <c r="M478" i="28" s="1"/>
  <c r="C479" i="28" a="1"/>
  <c r="C479" i="28" s="1"/>
  <c r="L479" i="28" s="1" a="1"/>
  <c r="L479" i="28" s="1"/>
  <c r="M479" i="28" s="1" a="1"/>
  <c r="M479" i="28" s="1"/>
  <c r="C480" i="28" a="1"/>
  <c r="C480" i="28" s="1"/>
  <c r="L480" i="28" s="1" a="1"/>
  <c r="L480" i="28" s="1"/>
  <c r="M480" i="28" s="1" a="1"/>
  <c r="M480" i="28" s="1"/>
  <c r="C481" i="28" a="1"/>
  <c r="C481" i="28" s="1"/>
  <c r="L481" i="28" s="1" a="1"/>
  <c r="L481" i="28" s="1"/>
  <c r="M481" i="28" s="1" a="1"/>
  <c r="M481" i="28" s="1"/>
  <c r="C482" i="28" a="1"/>
  <c r="C482" i="28" s="1"/>
  <c r="L482" i="28" s="1" a="1"/>
  <c r="L482" i="28" s="1"/>
  <c r="M482" i="28" s="1" a="1"/>
  <c r="M482" i="28" s="1"/>
  <c r="C483" i="28" a="1"/>
  <c r="C483" i="28" s="1"/>
  <c r="L483" i="28" s="1" a="1"/>
  <c r="L483" i="28" s="1"/>
  <c r="M483" i="28" s="1" a="1"/>
  <c r="M483" i="28" s="1"/>
  <c r="C484" i="28" a="1"/>
  <c r="C484" i="28"/>
  <c r="L484" i="28" s="1" a="1"/>
  <c r="L484" i="28" s="1"/>
  <c r="M484" i="28" s="1" a="1"/>
  <c r="M484" i="28" s="1"/>
  <c r="C485" i="28" a="1"/>
  <c r="C485" i="28" s="1"/>
  <c r="L485" i="28" s="1" a="1"/>
  <c r="L485" i="28" s="1"/>
  <c r="M485" i="28" s="1" a="1"/>
  <c r="M485" i="28" s="1"/>
  <c r="C486" i="28" a="1"/>
  <c r="C486" i="28" s="1"/>
  <c r="L486" i="28" s="1" a="1"/>
  <c r="L486" i="28" s="1"/>
  <c r="M486" i="28" s="1" a="1"/>
  <c r="M486" i="28" s="1"/>
  <c r="C487" i="28" a="1"/>
  <c r="C487" i="28" s="1"/>
  <c r="L487" i="28" s="1" a="1"/>
  <c r="L487" i="28" s="1"/>
  <c r="M487" i="28" s="1" a="1"/>
  <c r="M487" i="28" s="1"/>
  <c r="C488" i="28" a="1"/>
  <c r="C488" i="28" s="1"/>
  <c r="L488" i="28" s="1" a="1"/>
  <c r="L488" i="28" s="1"/>
  <c r="M488" i="28" s="1" a="1"/>
  <c r="M488" i="28" s="1"/>
  <c r="C489" i="28" a="1"/>
  <c r="C489" i="28" s="1"/>
  <c r="L489" i="28" s="1" a="1"/>
  <c r="L489" i="28" s="1"/>
  <c r="M489" i="28" s="1" a="1"/>
  <c r="M489" i="28" s="1"/>
  <c r="C490" i="28" a="1"/>
  <c r="C490" i="28" s="1"/>
  <c r="L490" i="28" s="1" a="1"/>
  <c r="L490" i="28" s="1"/>
  <c r="M490" i="28" s="1" a="1"/>
  <c r="M490" i="28" s="1"/>
  <c r="C491" i="28" a="1"/>
  <c r="C491" i="28"/>
  <c r="L491" i="28" s="1" a="1"/>
  <c r="L491" i="28" s="1"/>
  <c r="M491" i="28" s="1" a="1"/>
  <c r="M491" i="28" s="1"/>
  <c r="C492" i="28" a="1"/>
  <c r="C492" i="28"/>
  <c r="L492" i="28" s="1" a="1"/>
  <c r="L492" i="28" s="1"/>
  <c r="M492" i="28" s="1" a="1"/>
  <c r="M492" i="28" s="1"/>
  <c r="C493" i="28" a="1"/>
  <c r="C493" i="28" s="1"/>
  <c r="L493" i="28" s="1" a="1"/>
  <c r="L493" i="28" s="1"/>
  <c r="M493" i="28" s="1" a="1"/>
  <c r="M493" i="28" s="1"/>
  <c r="C494" i="28" a="1"/>
  <c r="C494" i="28" s="1"/>
  <c r="L494" i="28" s="1" a="1"/>
  <c r="L494" i="28" s="1"/>
  <c r="M494" i="28" s="1" a="1"/>
  <c r="M494" i="28" s="1"/>
  <c r="C495" i="28" a="1"/>
  <c r="C495" i="28" s="1"/>
  <c r="L495" i="28" s="1" a="1"/>
  <c r="L495" i="28" s="1"/>
  <c r="M495" i="28" s="1" a="1"/>
  <c r="M495" i="28" s="1"/>
  <c r="C496" i="28" a="1"/>
  <c r="C496" i="28" s="1"/>
  <c r="L496" i="28" s="1" a="1"/>
  <c r="L496" i="28" s="1"/>
  <c r="M496" i="28" s="1" a="1"/>
  <c r="M496" i="28" s="1"/>
  <c r="C497" i="28" a="1"/>
  <c r="C497" i="28" s="1"/>
  <c r="L497" i="28" s="1" a="1"/>
  <c r="L497" i="28" s="1"/>
  <c r="M497" i="28" s="1" a="1"/>
  <c r="M497" i="28" s="1"/>
  <c r="C498" i="28" a="1"/>
  <c r="C498" i="28" s="1"/>
  <c r="L498" i="28" s="1" a="1"/>
  <c r="L498" i="28" s="1"/>
  <c r="M498" i="28" s="1" a="1"/>
  <c r="M498" i="28" s="1"/>
  <c r="C499" i="28" a="1"/>
  <c r="C499" i="28" s="1"/>
  <c r="L499" i="28" s="1" a="1"/>
  <c r="L499" i="28" s="1"/>
  <c r="M499" i="28" s="1" a="1"/>
  <c r="M499" i="28" s="1"/>
  <c r="C500" i="28" a="1"/>
  <c r="C500" i="28" s="1"/>
  <c r="L500" i="28" s="1" a="1"/>
  <c r="L500" i="28" s="1"/>
  <c r="M500" i="28" s="1" a="1"/>
  <c r="M500" i="28" s="1"/>
  <c r="C501" i="28" a="1"/>
  <c r="C501" i="28" s="1"/>
  <c r="L501" i="28" s="1" a="1"/>
  <c r="L501" i="28" s="1"/>
  <c r="M501" i="28" s="1" a="1"/>
  <c r="M501" i="28" s="1"/>
  <c r="C502" i="28" a="1"/>
  <c r="C502" i="28" s="1"/>
  <c r="L502" i="28" s="1" a="1"/>
  <c r="L502" i="28" s="1"/>
  <c r="M502" i="28" s="1" a="1"/>
  <c r="M502" i="28" s="1"/>
  <c r="C503" i="28" a="1"/>
  <c r="C503" i="28" s="1"/>
  <c r="L503" i="28" s="1" a="1"/>
  <c r="L503" i="28" s="1"/>
  <c r="M503" i="28" s="1" a="1"/>
  <c r="M503" i="28" s="1"/>
  <c r="C504" i="28" a="1"/>
  <c r="C504" i="28" s="1"/>
  <c r="L504" i="28" s="1" a="1"/>
  <c r="L504" i="28" s="1"/>
  <c r="M504" i="28" s="1" a="1"/>
  <c r="M504" i="28" s="1"/>
  <c r="C505" i="28" a="1"/>
  <c r="C505" i="28" s="1"/>
  <c r="L505" i="28" s="1" a="1"/>
  <c r="L505" i="28" s="1"/>
  <c r="M505" i="28" s="1" a="1"/>
  <c r="M505" i="28" s="1"/>
  <c r="C506" i="28" a="1"/>
  <c r="C506" i="28" s="1"/>
  <c r="L506" i="28" s="1" a="1"/>
  <c r="L506" i="28" s="1"/>
  <c r="M506" i="28" s="1" a="1"/>
  <c r="M506" i="28" s="1"/>
  <c r="C507" i="28" a="1"/>
  <c r="C507" i="28" s="1"/>
  <c r="L507" i="28" s="1" a="1"/>
  <c r="L507" i="28" s="1"/>
  <c r="M507" i="28" s="1" a="1"/>
  <c r="M507" i="28" s="1"/>
  <c r="C508" i="28" a="1"/>
  <c r="C508" i="28" s="1"/>
  <c r="L508" i="28" s="1" a="1"/>
  <c r="L508" i="28" s="1"/>
  <c r="M508" i="28" s="1" a="1"/>
  <c r="M508" i="28" s="1"/>
  <c r="C509" i="28" a="1"/>
  <c r="C509" i="28" s="1"/>
  <c r="L509" i="28" s="1" a="1"/>
  <c r="L509" i="28" s="1"/>
  <c r="M509" i="28" s="1" a="1"/>
  <c r="M509" i="28" s="1"/>
  <c r="C510" i="28" a="1"/>
  <c r="C510" i="28" s="1"/>
  <c r="L510" i="28" s="1" a="1"/>
  <c r="L510" i="28" s="1"/>
  <c r="M510" i="28" s="1" a="1"/>
  <c r="M510" i="28" s="1"/>
  <c r="C511" i="28" a="1"/>
  <c r="C511" i="28" s="1"/>
  <c r="L511" i="28" s="1" a="1"/>
  <c r="L511" i="28" s="1"/>
  <c r="M511" i="28" s="1" a="1"/>
  <c r="M511" i="28" s="1"/>
  <c r="C512" i="28" a="1"/>
  <c r="C512" i="28" s="1"/>
  <c r="L512" i="28" s="1" a="1"/>
  <c r="L512" i="28" s="1"/>
  <c r="M512" i="28" s="1" a="1"/>
  <c r="M512" i="28" s="1"/>
  <c r="C513" i="28" a="1"/>
  <c r="C513" i="28" s="1"/>
  <c r="L513" i="28" s="1" a="1"/>
  <c r="L513" i="28" s="1"/>
  <c r="M513" i="28" s="1" a="1"/>
  <c r="M513" i="28" s="1"/>
  <c r="C514" i="28" a="1"/>
  <c r="C514" i="28" s="1"/>
  <c r="L514" i="28" s="1" a="1"/>
  <c r="L514" i="28" s="1"/>
  <c r="M514" i="28" s="1" a="1"/>
  <c r="M514" i="28" s="1"/>
  <c r="C515" i="28" a="1"/>
  <c r="C515" i="28" s="1"/>
  <c r="L515" i="28" s="1" a="1"/>
  <c r="L515" i="28" s="1"/>
  <c r="M515" i="28" s="1" a="1"/>
  <c r="M515" i="28" s="1"/>
  <c r="C516" i="28" a="1"/>
  <c r="C516" i="28" s="1"/>
  <c r="L516" i="28" s="1" a="1"/>
  <c r="L516" i="28" s="1"/>
  <c r="M516" i="28" s="1" a="1"/>
  <c r="M516" i="28" s="1"/>
  <c r="C517" i="28" a="1"/>
  <c r="C517" i="28" s="1"/>
  <c r="L517" i="28" s="1" a="1"/>
  <c r="L517" i="28" s="1"/>
  <c r="M517" i="28" s="1" a="1"/>
  <c r="M517" i="28" s="1"/>
  <c r="C518" i="28" a="1"/>
  <c r="C518" i="28" s="1"/>
  <c r="L518" i="28" s="1" a="1"/>
  <c r="L518" i="28" s="1"/>
  <c r="M518" i="28" s="1" a="1"/>
  <c r="M518" i="28" s="1"/>
  <c r="C519" i="28" a="1"/>
  <c r="C519" i="28" s="1"/>
  <c r="L519" i="28" s="1" a="1"/>
  <c r="L519" i="28" s="1"/>
  <c r="M519" i="28" s="1" a="1"/>
  <c r="M519" i="28" s="1"/>
  <c r="C520" i="28" a="1"/>
  <c r="C520" i="28" s="1"/>
  <c r="L520" i="28" s="1" a="1"/>
  <c r="L520" i="28" s="1"/>
  <c r="M520" i="28" s="1" a="1"/>
  <c r="M520" i="28" s="1"/>
  <c r="C521" i="28" a="1"/>
  <c r="C521" i="28" s="1"/>
  <c r="L521" i="28" s="1" a="1"/>
  <c r="L521" i="28" s="1"/>
  <c r="M521" i="28" s="1" a="1"/>
  <c r="M521" i="28" s="1"/>
  <c r="C522" i="28" a="1"/>
  <c r="C522" i="28" s="1"/>
  <c r="L522" i="28" s="1" a="1"/>
  <c r="L522" i="28" s="1"/>
  <c r="M522" i="28" s="1" a="1"/>
  <c r="M522" i="28" s="1"/>
  <c r="C523" i="28" a="1"/>
  <c r="C523" i="28" s="1"/>
  <c r="L523" i="28" s="1" a="1"/>
  <c r="L523" i="28" s="1"/>
  <c r="M523" i="28" s="1" a="1"/>
  <c r="M523" i="28" s="1"/>
  <c r="C524" i="28" a="1"/>
  <c r="C524" i="28" s="1"/>
  <c r="L524" i="28" s="1" a="1"/>
  <c r="L524" i="28" s="1"/>
  <c r="M524" i="28" s="1" a="1"/>
  <c r="M524" i="28" s="1"/>
  <c r="C525" i="28" a="1"/>
  <c r="C525" i="28" s="1"/>
  <c r="L525" i="28" s="1" a="1"/>
  <c r="L525" i="28" s="1"/>
  <c r="M525" i="28" s="1" a="1"/>
  <c r="M525" i="28" s="1"/>
  <c r="C526" i="28" a="1"/>
  <c r="C526" i="28" s="1"/>
  <c r="L526" i="28" s="1" a="1"/>
  <c r="L526" i="28" s="1"/>
  <c r="M526" i="28" s="1" a="1"/>
  <c r="M526" i="28" s="1"/>
  <c r="L229" i="28" a="1"/>
  <c r="L229" i="28" s="1"/>
  <c r="M229" i="28" s="1" a="1"/>
  <c r="M229" i="28" s="1"/>
  <c r="L139" i="28" a="1"/>
  <c r="L139" i="28" s="1"/>
  <c r="M139" i="28" s="1" a="1"/>
  <c r="M139" i="28" s="1"/>
  <c r="L91" i="28" a="1"/>
  <c r="L91" i="28" s="1"/>
  <c r="M91" i="28" s="1" a="1"/>
  <c r="M91" i="28" s="1"/>
  <c r="L73" i="28" a="1"/>
  <c r="L73" i="28" s="1"/>
  <c r="M73" i="28" s="1" a="1"/>
  <c r="M73" i="28" s="1"/>
  <c r="L67" i="28" a="1"/>
  <c r="L67" i="28" s="1"/>
  <c r="M67" i="28" s="1" a="1"/>
  <c r="M67" i="28" s="1"/>
  <c r="L66" i="28" a="1"/>
  <c r="L66" i="28" s="1"/>
  <c r="M66" i="28" s="1" a="1"/>
  <c r="M66" i="28" s="1"/>
  <c r="L55" i="28" a="1"/>
  <c r="L55" i="28" s="1"/>
  <c r="M55" i="28" s="1" a="1"/>
  <c r="M55" i="28" s="1"/>
  <c r="L32" i="28" a="1"/>
  <c r="L32" i="28" s="1"/>
  <c r="M32" i="28" s="1" a="1"/>
  <c r="M32" i="28" s="1"/>
  <c r="L13" i="28" a="1"/>
  <c r="L13" i="28" s="1"/>
  <c r="M13" i="28" s="1" a="1"/>
  <c r="M13" i="28" s="1"/>
  <c r="L45" i="28" a="1"/>
  <c r="L45" i="28" s="1"/>
  <c r="M45" i="28" s="1" a="1"/>
  <c r="M45" i="28" s="1"/>
  <c r="L125" i="28" a="1"/>
  <c r="L125" i="28" s="1"/>
  <c r="M125" i="28" s="1" a="1"/>
  <c r="M125" i="28" s="1"/>
  <c r="L158" i="28" a="1"/>
  <c r="L158" i="28" s="1"/>
  <c r="M158" i="28" s="1" a="1"/>
  <c r="M158" i="28" s="1"/>
  <c r="L184" i="28" a="1"/>
  <c r="L184" i="28" s="1"/>
  <c r="M184" i="28" s="1" a="1"/>
  <c r="M184" i="28" s="1"/>
  <c r="L189" i="28" a="1"/>
  <c r="L189" i="28" s="1"/>
  <c r="M189" i="28" s="1" a="1"/>
  <c r="M189" i="28" s="1"/>
  <c r="L315" i="28" a="1"/>
  <c r="L315" i="28" s="1"/>
  <c r="M315" i="28" s="1" a="1"/>
  <c r="M315" i="28" s="1"/>
  <c r="L84" i="28" a="1"/>
  <c r="L84" i="28" s="1"/>
  <c r="M84" i="28" s="1" a="1"/>
  <c r="M84" i="28" s="1"/>
  <c r="L215" i="28" a="1"/>
  <c r="L215" i="28" s="1"/>
  <c r="M215" i="28" s="1" a="1"/>
  <c r="M215" i="28" s="1"/>
  <c r="L19" i="28" a="1"/>
  <c r="L19" i="28" s="1"/>
  <c r="M19" i="28" s="1" a="1"/>
  <c r="M19" i="28" s="1"/>
  <c r="S2" i="28"/>
  <c r="H190" i="24" a="1"/>
  <c r="H190" i="24" s="1"/>
  <c r="H189" i="24" a="1"/>
  <c r="H189" i="24" s="1"/>
  <c r="H183" i="24" a="1"/>
  <c r="H183" i="24" s="1"/>
  <c r="H177" i="24" a="1"/>
  <c r="H177" i="24" s="1"/>
  <c r="H160" i="24" a="1"/>
  <c r="H160" i="24" s="1"/>
  <c r="H156" i="24" a="1"/>
  <c r="H156" i="24" s="1"/>
  <c r="H151" i="24" a="1"/>
  <c r="H151" i="24" s="1"/>
  <c r="H145" i="24" a="1"/>
  <c r="H145" i="24" s="1"/>
  <c r="H138" i="24" a="1"/>
  <c r="H138" i="24" s="1"/>
  <c r="H131" i="24" a="1"/>
  <c r="H131" i="24" s="1"/>
  <c r="AA32" i="25"/>
  <c r="AC32" i="25"/>
  <c r="AD32" i="25"/>
  <c r="AE32" i="25"/>
  <c r="AF32" i="25"/>
  <c r="AB32" i="25"/>
  <c r="AB31" i="25"/>
  <c r="AF31" i="25"/>
  <c r="AE31" i="25"/>
  <c r="AD31" i="25"/>
  <c r="AC31" i="25"/>
  <c r="K8" i="25" a="1"/>
  <c r="K8" i="25"/>
  <c r="K9" i="25" a="1"/>
  <c r="K9" i="25"/>
  <c r="K10" i="25" a="1"/>
  <c r="K10" i="25"/>
  <c r="K11" i="25" a="1"/>
  <c r="K11" i="25" s="1"/>
  <c r="K12" i="25" a="1"/>
  <c r="K12" i="25"/>
  <c r="K13" i="25" a="1"/>
  <c r="K13" i="25" s="1"/>
  <c r="K14" i="25" a="1"/>
  <c r="K14" i="25" s="1"/>
  <c r="K15" i="25" a="1"/>
  <c r="K15" i="25"/>
  <c r="K16" i="25" a="1"/>
  <c r="K16" i="25"/>
  <c r="K17" i="25" a="1"/>
  <c r="K17" i="25" s="1"/>
  <c r="K18" i="25" a="1"/>
  <c r="K18" i="25" s="1"/>
  <c r="K19" i="25" a="1"/>
  <c r="K19" i="25"/>
  <c r="K20" i="25" a="1"/>
  <c r="K20" i="25" s="1"/>
  <c r="K21" i="25" a="1"/>
  <c r="K21" i="25"/>
  <c r="K22" i="25" a="1"/>
  <c r="K22" i="25"/>
  <c r="K23" i="25" a="1"/>
  <c r="K23" i="25"/>
  <c r="K24" i="25" a="1"/>
  <c r="K24" i="25"/>
  <c r="K25" i="25" a="1"/>
  <c r="K25" i="25" s="1"/>
  <c r="K26" i="25" a="1"/>
  <c r="K26" i="25" s="1"/>
  <c r="K27" i="25" a="1"/>
  <c r="K27" i="25"/>
  <c r="K28" i="25" a="1"/>
  <c r="K28" i="25"/>
  <c r="K29" i="25" a="1"/>
  <c r="K29" i="25" s="1"/>
  <c r="K30" i="25" a="1"/>
  <c r="K30" i="25"/>
  <c r="K31" i="25" a="1"/>
  <c r="K31" i="25"/>
  <c r="K32" i="25" a="1"/>
  <c r="K32" i="25" s="1"/>
  <c r="K33" i="25" a="1"/>
  <c r="K33" i="25"/>
  <c r="K34" i="25" a="1"/>
  <c r="K34" i="25"/>
  <c r="K35" i="25" a="1"/>
  <c r="K35" i="25"/>
  <c r="K36" i="25" a="1"/>
  <c r="K36" i="25"/>
  <c r="K37" i="25" a="1"/>
  <c r="K37" i="25" s="1"/>
  <c r="K38" i="25" a="1"/>
  <c r="K38" i="25" s="1"/>
  <c r="K39" i="25" a="1"/>
  <c r="K39" i="25" s="1"/>
  <c r="K40" i="25" a="1"/>
  <c r="K40" i="25"/>
  <c r="K41" i="25" a="1"/>
  <c r="K41" i="25" s="1"/>
  <c r="K42" i="25" a="1"/>
  <c r="K42" i="25" s="1"/>
  <c r="K43" i="25" a="1"/>
  <c r="K43" i="25"/>
  <c r="K44" i="25" a="1"/>
  <c r="K44" i="25" s="1"/>
  <c r="K45" i="25" a="1"/>
  <c r="K45" i="25" s="1"/>
  <c r="K46" i="25" a="1"/>
  <c r="K46" i="25"/>
  <c r="K47" i="25" a="1"/>
  <c r="K47" i="25"/>
  <c r="K48" i="25" a="1"/>
  <c r="K48" i="25"/>
  <c r="K49" i="25" a="1"/>
  <c r="K49" i="25"/>
  <c r="K50" i="25" a="1"/>
  <c r="K50" i="25" s="1"/>
  <c r="K51" i="25" a="1"/>
  <c r="K51" i="25"/>
  <c r="K52" i="25" a="1"/>
  <c r="K52" i="25"/>
  <c r="K53" i="25" a="1"/>
  <c r="K53" i="25" s="1"/>
  <c r="K54" i="25" a="1"/>
  <c r="K54" i="25" s="1"/>
  <c r="K55" i="25" a="1"/>
  <c r="K55" i="25" s="1"/>
  <c r="K56" i="25" a="1"/>
  <c r="K56" i="25" s="1"/>
  <c r="K57" i="25" a="1"/>
  <c r="K57" i="25" s="1"/>
  <c r="K58" i="25" a="1"/>
  <c r="K58" i="25"/>
  <c r="K59" i="25" a="1"/>
  <c r="K59" i="25"/>
  <c r="K60" i="25" a="1"/>
  <c r="K60" i="25"/>
  <c r="K61" i="25" a="1"/>
  <c r="K61" i="25"/>
  <c r="K62" i="25" a="1"/>
  <c r="K62" i="25" s="1"/>
  <c r="K63" i="25" a="1"/>
  <c r="K63" i="25"/>
  <c r="K64" i="25" a="1"/>
  <c r="K64" i="25" s="1"/>
  <c r="K65" i="25" a="1"/>
  <c r="K65" i="25" s="1"/>
  <c r="K66" i="25" a="1"/>
  <c r="K66" i="25" s="1"/>
  <c r="K67" i="25" a="1"/>
  <c r="K67" i="25" s="1"/>
  <c r="K68" i="25" a="1"/>
  <c r="K68" i="25" s="1"/>
  <c r="K69" i="25" a="1"/>
  <c r="K69" i="25"/>
  <c r="K70" i="25" a="1"/>
  <c r="K70" i="25"/>
  <c r="K71" i="25" a="1"/>
  <c r="K71" i="25" s="1"/>
  <c r="K72" i="25" a="1"/>
  <c r="K72" i="25"/>
  <c r="K73" i="25" a="1"/>
  <c r="K73" i="25"/>
  <c r="K74" i="25" a="1"/>
  <c r="K74" i="25" s="1"/>
  <c r="K75" i="25" a="1"/>
  <c r="K75" i="25" s="1"/>
  <c r="K76" i="25" a="1"/>
  <c r="K76" i="25" s="1"/>
  <c r="K77" i="25" a="1"/>
  <c r="K77" i="25"/>
  <c r="K78" i="25" a="1"/>
  <c r="K78" i="25" s="1"/>
  <c r="K79" i="25" a="1"/>
  <c r="K79" i="25" s="1"/>
  <c r="K80" i="25" a="1"/>
  <c r="K80" i="25" s="1"/>
  <c r="K81" i="25" a="1"/>
  <c r="K81" i="25"/>
  <c r="K82" i="25" a="1"/>
  <c r="K82" i="25"/>
  <c r="K83" i="25" a="1"/>
  <c r="K83" i="25" s="1"/>
  <c r="K84" i="25" a="1"/>
  <c r="K84" i="25"/>
  <c r="K85" i="25" a="1"/>
  <c r="K85" i="25" s="1"/>
  <c r="K86" i="25" a="1"/>
  <c r="K86" i="25" s="1"/>
  <c r="K87" i="25" a="1"/>
  <c r="K87" i="25"/>
  <c r="K88" i="25" a="1"/>
  <c r="K88" i="25" s="1"/>
  <c r="K89" i="25" a="1"/>
  <c r="K89" i="25"/>
  <c r="K90" i="25" a="1"/>
  <c r="K90" i="25" s="1"/>
  <c r="K91" i="25" a="1"/>
  <c r="K91" i="25"/>
  <c r="K92" i="25" a="1"/>
  <c r="K92" i="25" s="1"/>
  <c r="K93" i="25" a="1"/>
  <c r="K93" i="25" s="1"/>
  <c r="K94" i="25" a="1"/>
  <c r="K94" i="25"/>
  <c r="K95" i="25" a="1"/>
  <c r="K95" i="25"/>
  <c r="K96" i="25" a="1"/>
  <c r="K96" i="25"/>
  <c r="K97" i="25" a="1"/>
  <c r="K97" i="25" s="1"/>
  <c r="K98" i="25" a="1"/>
  <c r="K98" i="25" s="1"/>
  <c r="K99" i="25" a="1"/>
  <c r="K99" i="25" s="1"/>
  <c r="K100" i="25" a="1"/>
  <c r="K100" i="25" s="1"/>
  <c r="K101" i="25" a="1"/>
  <c r="K101" i="25" s="1"/>
  <c r="K102" i="25" a="1"/>
  <c r="K102" i="25"/>
  <c r="K103" i="25" a="1"/>
  <c r="K103" i="25"/>
  <c r="K104" i="25" a="1"/>
  <c r="K104" i="25" s="1"/>
  <c r="K105" i="25" a="1"/>
  <c r="K105" i="25" s="1"/>
  <c r="K106" i="25" a="1"/>
  <c r="K106" i="25"/>
  <c r="K107" i="25" a="1"/>
  <c r="K107" i="25"/>
  <c r="K108" i="25" a="1"/>
  <c r="K108" i="25"/>
  <c r="K109" i="25" a="1"/>
  <c r="K109" i="25" s="1"/>
  <c r="K110" i="25" a="1"/>
  <c r="K110" i="25" s="1"/>
  <c r="K111" i="25" a="1"/>
  <c r="K111" i="25"/>
  <c r="K112" i="25" a="1"/>
  <c r="K112" i="25" s="1"/>
  <c r="K113" i="25" a="1"/>
  <c r="K113" i="25" s="1"/>
  <c r="K114" i="25" a="1"/>
  <c r="K114" i="25" s="1"/>
  <c r="K115" i="25" a="1"/>
  <c r="K115" i="25"/>
  <c r="K116" i="25" a="1"/>
  <c r="K116" i="25" s="1"/>
  <c r="K117" i="25" a="1"/>
  <c r="K117" i="25"/>
  <c r="K118" i="25" a="1"/>
  <c r="K118" i="25"/>
  <c r="K119" i="25" a="1"/>
  <c r="K119" i="25"/>
  <c r="K120" i="25" a="1"/>
  <c r="K120" i="25"/>
  <c r="K121" i="25" a="1"/>
  <c r="K121" i="25"/>
  <c r="K122" i="25" a="1"/>
  <c r="K122" i="25" s="1"/>
  <c r="K123" i="25" a="1"/>
  <c r="K123" i="25" s="1"/>
  <c r="K124" i="25" a="1"/>
  <c r="K124" i="25" s="1"/>
  <c r="K125" i="25" a="1"/>
  <c r="K125" i="25" s="1"/>
  <c r="K126" i="25" a="1"/>
  <c r="K126" i="25" s="1"/>
  <c r="K127" i="25" a="1"/>
  <c r="K127" i="25" s="1"/>
  <c r="K128" i="25" a="1"/>
  <c r="K128" i="25" s="1"/>
  <c r="K129" i="25" a="1"/>
  <c r="K129" i="25"/>
  <c r="K130" i="25" a="1"/>
  <c r="K130" i="25"/>
  <c r="K131" i="25" a="1"/>
  <c r="K131" i="25" s="1"/>
  <c r="K132" i="25" a="1"/>
  <c r="K132" i="25"/>
  <c r="K133" i="25" a="1"/>
  <c r="K133" i="25"/>
  <c r="K134" i="25" a="1"/>
  <c r="K134" i="25" s="1"/>
  <c r="K135" i="25" a="1"/>
  <c r="K135" i="25" s="1"/>
  <c r="K136" i="25" a="1"/>
  <c r="K136" i="25"/>
  <c r="K137" i="25" a="1"/>
  <c r="K137" i="25" s="1"/>
  <c r="K138" i="25" a="1"/>
  <c r="K138" i="25" s="1"/>
  <c r="K139" i="25" a="1"/>
  <c r="K139" i="25" s="1"/>
  <c r="K140" i="25" a="1"/>
  <c r="K140" i="25" s="1"/>
  <c r="K141" i="25" a="1"/>
  <c r="K141" i="25"/>
  <c r="K142" i="25" a="1"/>
  <c r="K142" i="25" s="1"/>
  <c r="K143" i="25" a="1"/>
  <c r="K143" i="25"/>
  <c r="K144" i="25" a="1"/>
  <c r="K144" i="25"/>
  <c r="K145" i="25" a="1"/>
  <c r="K145" i="25"/>
  <c r="K146" i="25" a="1"/>
  <c r="K146" i="25" s="1"/>
  <c r="K147" i="25" a="1"/>
  <c r="K147" i="25" s="1"/>
  <c r="K148" i="25" a="1"/>
  <c r="K148" i="25" s="1"/>
  <c r="K149" i="25" a="1"/>
  <c r="K149" i="25" s="1"/>
  <c r="K150" i="25" a="1"/>
  <c r="K150" i="25"/>
  <c r="K151" i="25" a="1"/>
  <c r="K151" i="25" s="1"/>
  <c r="K152" i="25" a="1"/>
  <c r="K152" i="25" s="1"/>
  <c r="K153" i="25" a="1"/>
  <c r="K153" i="25"/>
  <c r="K154" i="25" a="1"/>
  <c r="K154" i="25"/>
  <c r="K155" i="25" a="1"/>
  <c r="K155" i="25" s="1"/>
  <c r="K156" i="25" a="1"/>
  <c r="K156" i="25" s="1"/>
  <c r="K157" i="25" a="1"/>
  <c r="K157" i="25"/>
  <c r="K158" i="25" a="1"/>
  <c r="K158" i="25" s="1"/>
  <c r="K159" i="25" a="1"/>
  <c r="K159" i="25" s="1"/>
  <c r="K160" i="25" a="1"/>
  <c r="K160" i="25" s="1"/>
  <c r="K161" i="25" a="1"/>
  <c r="K161" i="25"/>
  <c r="K162" i="25" a="1"/>
  <c r="K162" i="25"/>
  <c r="K163" i="25" a="1"/>
  <c r="K163" i="25"/>
  <c r="K164" i="25" a="1"/>
  <c r="K164" i="25" s="1"/>
  <c r="K165" i="25" a="1"/>
  <c r="K165" i="25"/>
  <c r="K166" i="25" a="1"/>
  <c r="K166" i="25"/>
  <c r="K167" i="25" a="1"/>
  <c r="K167" i="25"/>
  <c r="K168" i="25" a="1"/>
  <c r="K168" i="25" s="1"/>
  <c r="K169" i="25" a="1"/>
  <c r="K169" i="25" s="1"/>
  <c r="K170" i="25" a="1"/>
  <c r="K170" i="25" s="1"/>
  <c r="K171" i="25" a="1"/>
  <c r="K171" i="25" s="1"/>
  <c r="K172" i="25" a="1"/>
  <c r="K172" i="25"/>
  <c r="K173" i="25" a="1"/>
  <c r="K173" i="25" s="1"/>
  <c r="K174" i="25" a="1"/>
  <c r="K174" i="25" s="1"/>
  <c r="K175" i="25" a="1"/>
  <c r="K175" i="25"/>
  <c r="K176" i="25" a="1"/>
  <c r="K176" i="25" s="1"/>
  <c r="K177" i="25" a="1"/>
  <c r="K177" i="25" s="1"/>
  <c r="K178" i="25" a="1"/>
  <c r="K178" i="25" s="1"/>
  <c r="K179" i="25" a="1"/>
  <c r="K179" i="25"/>
  <c r="K180" i="25" a="1"/>
  <c r="K180" i="25"/>
  <c r="K181" i="25" a="1"/>
  <c r="K181" i="25" s="1"/>
  <c r="K182" i="25" a="1"/>
  <c r="K182" i="25" s="1"/>
  <c r="K183" i="25" a="1"/>
  <c r="K183" i="25" s="1"/>
  <c r="K184" i="25" a="1"/>
  <c r="K184" i="25" s="1"/>
  <c r="K185" i="25" a="1"/>
  <c r="K185" i="25"/>
  <c r="K186" i="25" a="1"/>
  <c r="K186" i="25" s="1"/>
  <c r="K187" i="25" a="1"/>
  <c r="K187" i="25"/>
  <c r="K188" i="25" a="1"/>
  <c r="K188" i="25" s="1"/>
  <c r="K189" i="25" a="1"/>
  <c r="K189" i="25" s="1"/>
  <c r="K190" i="25" a="1"/>
  <c r="K190" i="25"/>
  <c r="K191" i="25" a="1"/>
  <c r="K191" i="25" s="1"/>
  <c r="K192" i="25" a="1"/>
  <c r="K192" i="25" s="1"/>
  <c r="K193" i="25" a="1"/>
  <c r="K193" i="25"/>
  <c r="K194" i="25" a="1"/>
  <c r="K194" i="25" s="1"/>
  <c r="K195" i="25" a="1"/>
  <c r="K195" i="25"/>
  <c r="K196" i="25" a="1"/>
  <c r="K196" i="25" s="1"/>
  <c r="K197" i="25" a="1"/>
  <c r="K197" i="25"/>
  <c r="K198" i="25" a="1"/>
  <c r="K198" i="25"/>
  <c r="K199" i="25" a="1"/>
  <c r="K199" i="25" s="1"/>
  <c r="K200" i="25" a="1"/>
  <c r="K200" i="25" s="1"/>
  <c r="K201" i="25" a="1"/>
  <c r="K201" i="25" s="1"/>
  <c r="K202" i="25" a="1"/>
  <c r="K202" i="25"/>
  <c r="K203" i="25" a="1"/>
  <c r="K203" i="25" s="1"/>
  <c r="K204" i="25" a="1"/>
  <c r="K204" i="25" s="1"/>
  <c r="K205" i="25" a="1"/>
  <c r="K205" i="25" s="1"/>
  <c r="K206" i="25" a="1"/>
  <c r="K206" i="25" s="1"/>
  <c r="K207" i="25" a="1"/>
  <c r="K207" i="25"/>
  <c r="K208" i="25" a="1"/>
  <c r="K208" i="25" s="1"/>
  <c r="K209" i="25" a="1"/>
  <c r="K209" i="25"/>
  <c r="K210" i="25" a="1"/>
  <c r="K210" i="25" s="1"/>
  <c r="K211" i="25" a="1"/>
  <c r="K211" i="25"/>
  <c r="K212" i="25" a="1"/>
  <c r="K212" i="25" s="1"/>
  <c r="K213" i="25" a="1"/>
  <c r="K213" i="25"/>
  <c r="K214" i="25" a="1"/>
  <c r="K214" i="25" s="1"/>
  <c r="K215" i="25" a="1"/>
  <c r="K215" i="25"/>
  <c r="K216" i="25" a="1"/>
  <c r="K216" i="25"/>
  <c r="K217" i="25" a="1"/>
  <c r="K217" i="25" s="1"/>
  <c r="K218" i="25" a="1"/>
  <c r="K218" i="25" s="1"/>
  <c r="K219" i="25" a="1"/>
  <c r="K219" i="25" s="1"/>
  <c r="K220" i="25" a="1"/>
  <c r="K220" i="25"/>
  <c r="K221" i="25" a="1"/>
  <c r="K221" i="25"/>
  <c r="K222" i="25" a="1"/>
  <c r="K222" i="25" s="1"/>
  <c r="K223" i="25" a="1"/>
  <c r="K223" i="25"/>
  <c r="K224" i="25" a="1"/>
  <c r="K224" i="25" s="1"/>
  <c r="K225" i="25" a="1"/>
  <c r="K225" i="25"/>
  <c r="K226" i="25" a="1"/>
  <c r="K226" i="25"/>
  <c r="K227" i="25" a="1"/>
  <c r="K227" i="25" s="1"/>
  <c r="K228" i="25" a="1"/>
  <c r="K228" i="25" s="1"/>
  <c r="K229" i="25" a="1"/>
  <c r="K229" i="25"/>
  <c r="K230" i="25" a="1"/>
  <c r="K230" i="25" s="1"/>
  <c r="K231" i="25" a="1"/>
  <c r="K231" i="25" s="1"/>
  <c r="K232" i="25" a="1"/>
  <c r="K232" i="25" s="1"/>
  <c r="K233" i="25" a="1"/>
  <c r="K233" i="25" s="1"/>
  <c r="K234" i="25" a="1"/>
  <c r="K234" i="25" s="1"/>
  <c r="K235" i="25" a="1"/>
  <c r="K235" i="25" s="1"/>
  <c r="K236" i="25" a="1"/>
  <c r="K236" i="25" s="1"/>
  <c r="K237" i="25" a="1"/>
  <c r="K237" i="25"/>
  <c r="K238" i="25" a="1"/>
  <c r="K238" i="25" s="1"/>
  <c r="K239" i="25" a="1"/>
  <c r="K239" i="25"/>
  <c r="K240" i="25" a="1"/>
  <c r="K240" i="25"/>
  <c r="K241" i="25" a="1"/>
  <c r="K241" i="25"/>
  <c r="K242" i="25" a="1"/>
  <c r="K242" i="25" s="1"/>
  <c r="K243" i="25" a="1"/>
  <c r="K243" i="25"/>
  <c r="K244" i="25" a="1"/>
  <c r="K244" i="25"/>
  <c r="K245" i="25" a="1"/>
  <c r="K245" i="25" s="1"/>
  <c r="K246" i="25" a="1"/>
  <c r="K246" i="25" s="1"/>
  <c r="K247" i="25" a="1"/>
  <c r="K247" i="25"/>
  <c r="K248" i="25" a="1"/>
  <c r="K248" i="25" s="1"/>
  <c r="K249" i="25" a="1"/>
  <c r="K249" i="25" s="1"/>
  <c r="K250" i="25" a="1"/>
  <c r="K250" i="25"/>
  <c r="K251" i="25" a="1"/>
  <c r="K251" i="25"/>
  <c r="K252" i="25" a="1"/>
  <c r="K252" i="25"/>
  <c r="K253" i="25" a="1"/>
  <c r="K253" i="25" s="1"/>
  <c r="K254" i="25" a="1"/>
  <c r="K254" i="25" s="1"/>
  <c r="K255" i="25" a="1"/>
  <c r="K255" i="25"/>
  <c r="K256" i="25" a="1"/>
  <c r="K256" i="25" s="1"/>
  <c r="K257" i="25" a="1"/>
  <c r="K257" i="25"/>
  <c r="K258" i="25" a="1"/>
  <c r="K258" i="25" s="1"/>
  <c r="K259" i="25" a="1"/>
  <c r="K259" i="25"/>
  <c r="K260" i="25" a="1"/>
  <c r="K260" i="25" s="1"/>
  <c r="K261" i="25" a="1"/>
  <c r="K261" i="25"/>
  <c r="K262" i="25" a="1"/>
  <c r="K262" i="25"/>
  <c r="K263" i="25" a="1"/>
  <c r="K263" i="25" s="1"/>
  <c r="K264" i="25" a="1"/>
  <c r="K264" i="25"/>
  <c r="K265" i="25" a="1"/>
  <c r="K265" i="25"/>
  <c r="K266" i="25" a="1"/>
  <c r="K266" i="25" s="1"/>
  <c r="K267" i="25" a="1"/>
  <c r="K267" i="25" s="1"/>
  <c r="K268" i="25" a="1"/>
  <c r="K268" i="25" s="1"/>
  <c r="K269" i="25" a="1"/>
  <c r="K269" i="25"/>
  <c r="K270" i="25" a="1"/>
  <c r="K270" i="25"/>
  <c r="K271" i="25" a="1"/>
  <c r="K271" i="25" s="1"/>
  <c r="K272" i="25" a="1"/>
  <c r="K272" i="25" s="1"/>
  <c r="K273" i="25" a="1"/>
  <c r="K273" i="25"/>
  <c r="K274" i="25" a="1"/>
  <c r="K274" i="25" s="1"/>
  <c r="K275" i="25" a="1"/>
  <c r="K275" i="25" s="1"/>
  <c r="K276" i="25" a="1"/>
  <c r="K276" i="25"/>
  <c r="K277" i="25" a="1"/>
  <c r="K277" i="25"/>
  <c r="K278" i="25" a="1"/>
  <c r="K278" i="25" s="1"/>
  <c r="K279" i="25" a="1"/>
  <c r="K279" i="25" s="1"/>
  <c r="K280" i="25" a="1"/>
  <c r="K280" i="25" s="1"/>
  <c r="K281" i="25" a="1"/>
  <c r="K281" i="25"/>
  <c r="K282" i="25" a="1"/>
  <c r="K282" i="25"/>
  <c r="K283" i="25" a="1"/>
  <c r="K283" i="25" s="1"/>
  <c r="K284" i="25" a="1"/>
  <c r="K284" i="25" s="1"/>
  <c r="K285" i="25" a="1"/>
  <c r="K285" i="25"/>
  <c r="K286" i="25" a="1"/>
  <c r="K286" i="25"/>
  <c r="K287" i="25" a="1"/>
  <c r="K287" i="25" s="1"/>
  <c r="K288" i="25" a="1"/>
  <c r="K288" i="25" s="1"/>
  <c r="K289" i="25" a="1"/>
  <c r="K289" i="25"/>
  <c r="K290" i="25" a="1"/>
  <c r="K290" i="25" s="1"/>
  <c r="K291" i="25" a="1"/>
  <c r="K291" i="25" s="1"/>
  <c r="K292" i="25" a="1"/>
  <c r="K292" i="25"/>
  <c r="K293" i="25" a="1"/>
  <c r="K293" i="25"/>
  <c r="K294" i="25" a="1"/>
  <c r="K294" i="25" s="1"/>
  <c r="K295" i="25" a="1"/>
  <c r="K295" i="25" s="1"/>
  <c r="K296" i="25" a="1"/>
  <c r="K296" i="25" s="1"/>
  <c r="K297" i="25" a="1"/>
  <c r="K297" i="25" s="1"/>
  <c r="K298" i="25" a="1"/>
  <c r="K298" i="25"/>
  <c r="K299" i="25" a="1"/>
  <c r="K299" i="25" s="1"/>
  <c r="K300" i="25" a="1"/>
  <c r="K300" i="25"/>
  <c r="K301" i="25" a="1"/>
  <c r="K301" i="25"/>
  <c r="K302" i="25" a="1"/>
  <c r="K302" i="25" s="1"/>
  <c r="K303" i="25" a="1"/>
  <c r="K303" i="25"/>
  <c r="K304" i="25" a="1"/>
  <c r="K304" i="25" s="1"/>
  <c r="K305" i="25" a="1"/>
  <c r="K305" i="25"/>
  <c r="K306" i="25" a="1"/>
  <c r="K306" i="25" s="1"/>
  <c r="K307" i="25" a="1"/>
  <c r="K307" i="25" s="1"/>
  <c r="K308" i="25" a="1"/>
  <c r="K308" i="25" s="1"/>
  <c r="K309" i="25" a="1"/>
  <c r="K309" i="25" s="1"/>
  <c r="K310" i="25" a="1"/>
  <c r="K310" i="25"/>
  <c r="K311" i="25" a="1"/>
  <c r="K311" i="25"/>
  <c r="K312" i="25" a="1"/>
  <c r="K312" i="25"/>
  <c r="K313" i="25" a="1"/>
  <c r="K313" i="25"/>
  <c r="K314" i="25" a="1"/>
  <c r="K314" i="25" s="1"/>
  <c r="K315" i="25" a="1"/>
  <c r="K315" i="25"/>
  <c r="K316" i="25" a="1"/>
  <c r="K316" i="25"/>
  <c r="K317" i="25" a="1"/>
  <c r="K317" i="25" s="1"/>
  <c r="K318" i="25" a="1"/>
  <c r="K318" i="25"/>
  <c r="K319" i="25" a="1"/>
  <c r="K319" i="25"/>
  <c r="K320" i="25" a="1"/>
  <c r="K320" i="25" s="1"/>
  <c r="K321" i="25" a="1"/>
  <c r="K321" i="25" s="1"/>
  <c r="K322" i="25" a="1"/>
  <c r="K322" i="25"/>
  <c r="K323" i="25" a="1"/>
  <c r="K323" i="25"/>
  <c r="K324" i="25" a="1"/>
  <c r="K324" i="25"/>
  <c r="K325" i="25" a="1"/>
  <c r="K325" i="25"/>
  <c r="K326" i="25" a="1"/>
  <c r="K326" i="25" s="1"/>
  <c r="K327" i="25" a="1"/>
  <c r="K327" i="25"/>
  <c r="K328" i="25" a="1"/>
  <c r="K328" i="25" s="1"/>
  <c r="K329" i="25" a="1"/>
  <c r="K329" i="25" s="1"/>
  <c r="K330" i="25" a="1"/>
  <c r="K330" i="25" s="1"/>
  <c r="K331" i="25" a="1"/>
  <c r="K331" i="25" s="1"/>
  <c r="K332" i="25" a="1"/>
  <c r="K332" i="25" s="1"/>
  <c r="K333" i="25" a="1"/>
  <c r="K333" i="25"/>
  <c r="K334" i="25" a="1"/>
  <c r="K334" i="25"/>
  <c r="K335" i="25" a="1"/>
  <c r="K335" i="25" s="1"/>
  <c r="K336" i="25" a="1"/>
  <c r="K336" i="25" s="1"/>
  <c r="K337" i="25" a="1"/>
  <c r="K337" i="25"/>
  <c r="K338" i="25" a="1"/>
  <c r="K338" i="25" s="1"/>
  <c r="K339" i="25" a="1"/>
  <c r="K339" i="25"/>
  <c r="K340" i="25" a="1"/>
  <c r="K340" i="25" s="1"/>
  <c r="K341" i="25" a="1"/>
  <c r="K341" i="25" s="1"/>
  <c r="K342" i="25" a="1"/>
  <c r="K342" i="25"/>
  <c r="K343" i="25" a="1"/>
  <c r="K343" i="25" s="1"/>
  <c r="K344" i="25" a="1"/>
  <c r="K344" i="25" s="1"/>
  <c r="K345" i="25" a="1"/>
  <c r="K345" i="25" s="1"/>
  <c r="K346" i="25" a="1"/>
  <c r="K346" i="25"/>
  <c r="K347" i="25" a="1"/>
  <c r="K347" i="25" s="1"/>
  <c r="K348" i="25" a="1"/>
  <c r="K348" i="25" s="1"/>
  <c r="K349" i="25" a="1"/>
  <c r="K349" i="25"/>
  <c r="K350" i="25" a="1"/>
  <c r="K350" i="25" s="1"/>
  <c r="K351" i="25" a="1"/>
  <c r="K351" i="25" s="1"/>
  <c r="K352" i="25" a="1"/>
  <c r="K352" i="25"/>
  <c r="K353" i="25" a="1"/>
  <c r="K353" i="25"/>
  <c r="K354" i="25" a="1"/>
  <c r="K354" i="25"/>
  <c r="K355" i="25" a="1"/>
  <c r="K355" i="25" s="1"/>
  <c r="K356" i="25" a="1"/>
  <c r="K356" i="25" s="1"/>
  <c r="K357" i="25" a="1"/>
  <c r="K357" i="25"/>
  <c r="K358" i="25" a="1"/>
  <c r="K358" i="25" s="1"/>
  <c r="K359" i="25" a="1"/>
  <c r="K359" i="25"/>
  <c r="K360" i="25" a="1"/>
  <c r="K360" i="25" s="1"/>
  <c r="K361" i="25" a="1"/>
  <c r="K361" i="25" s="1"/>
  <c r="K362" i="25" a="1"/>
  <c r="K362" i="25" s="1"/>
  <c r="K363" i="25" a="1"/>
  <c r="K363" i="25" s="1"/>
  <c r="K364" i="25" a="1"/>
  <c r="K364" i="25"/>
  <c r="K365" i="25" a="1"/>
  <c r="K365" i="25" s="1"/>
  <c r="K366" i="25" a="1"/>
  <c r="K366" i="25"/>
  <c r="K367" i="25" a="1"/>
  <c r="K367" i="25" s="1"/>
  <c r="K368" i="25" a="1"/>
  <c r="K368" i="25" s="1"/>
  <c r="K369" i="25" a="1"/>
  <c r="K369" i="25" s="1"/>
  <c r="K370" i="25" a="1"/>
  <c r="K370" i="25"/>
  <c r="K371" i="25" a="1"/>
  <c r="K371" i="25" s="1"/>
  <c r="K372" i="25" a="1"/>
  <c r="K372" i="25"/>
  <c r="K373" i="25" a="1"/>
  <c r="K373" i="25"/>
  <c r="K374" i="25" a="1"/>
  <c r="K374" i="25" s="1"/>
  <c r="K375" i="25" a="1"/>
  <c r="K375" i="25" s="1"/>
  <c r="K376" i="25" a="1"/>
  <c r="K376" i="25" s="1"/>
  <c r="K377" i="25" a="1"/>
  <c r="K377" i="25" s="1"/>
  <c r="K378" i="25" a="1"/>
  <c r="K378" i="25" s="1"/>
  <c r="K379" i="25" a="1"/>
  <c r="K379" i="25"/>
  <c r="K380" i="25" a="1"/>
  <c r="K380" i="25" s="1"/>
  <c r="K381" i="25" a="1"/>
  <c r="K381" i="25" s="1"/>
  <c r="K382" i="25" a="1"/>
  <c r="K382" i="25" s="1"/>
  <c r="K383" i="25" a="1"/>
  <c r="K383" i="25"/>
  <c r="K384" i="25" a="1"/>
  <c r="K384" i="25"/>
  <c r="K385" i="25" a="1"/>
  <c r="K385" i="25" s="1"/>
  <c r="K386" i="25" a="1"/>
  <c r="K386" i="25" s="1"/>
  <c r="K387" i="25" a="1"/>
  <c r="K387" i="25"/>
  <c r="K388" i="25" a="1"/>
  <c r="K388" i="25"/>
  <c r="K389" i="25" a="1"/>
  <c r="K389" i="25" s="1"/>
  <c r="K390" i="25" a="1"/>
  <c r="K390" i="25"/>
  <c r="K391" i="25" a="1"/>
  <c r="K391" i="25"/>
  <c r="K392" i="25" a="1"/>
  <c r="K392" i="25" s="1"/>
  <c r="K393" i="25" a="1"/>
  <c r="K393" i="25"/>
  <c r="K394" i="25" a="1"/>
  <c r="K394" i="25"/>
  <c r="K395" i="25" a="1"/>
  <c r="K395" i="25"/>
  <c r="K396" i="25" a="1"/>
  <c r="K396" i="25"/>
  <c r="K397" i="25" a="1"/>
  <c r="K397" i="25" s="1"/>
  <c r="K398" i="25" a="1"/>
  <c r="K398" i="25" s="1"/>
  <c r="K399" i="25" a="1"/>
  <c r="K399" i="25" s="1"/>
  <c r="K400" i="25" a="1"/>
  <c r="K400" i="25"/>
  <c r="K401" i="25" a="1"/>
  <c r="K401" i="25" s="1"/>
  <c r="K402" i="25" a="1"/>
  <c r="K402" i="25" s="1"/>
  <c r="K403" i="25" a="1"/>
  <c r="K403" i="25" s="1"/>
  <c r="K404" i="25" a="1"/>
  <c r="K404" i="25" s="1"/>
  <c r="K405" i="25" a="1"/>
  <c r="K405" i="25"/>
  <c r="K406" i="25" a="1"/>
  <c r="K406" i="25" s="1"/>
  <c r="K407" i="25" a="1"/>
  <c r="K407" i="25"/>
  <c r="K408" i="25" a="1"/>
  <c r="K408" i="25" s="1"/>
  <c r="K409" i="25" a="1"/>
  <c r="K409" i="25"/>
  <c r="K410" i="25" a="1"/>
  <c r="K410" i="25" s="1"/>
  <c r="K411" i="25" a="1"/>
  <c r="K411" i="25" s="1"/>
  <c r="K412" i="25" a="1"/>
  <c r="K412" i="25" s="1"/>
  <c r="K413" i="25" a="1"/>
  <c r="K413" i="25"/>
  <c r="K414" i="25" a="1"/>
  <c r="K414" i="25"/>
  <c r="K415" i="25" a="1"/>
  <c r="K415" i="25" s="1"/>
  <c r="K416" i="25" a="1"/>
  <c r="K416" i="25" s="1"/>
  <c r="K417" i="25" a="1"/>
  <c r="K417" i="25" s="1"/>
  <c r="K418" i="25" a="1"/>
  <c r="K418" i="25" s="1"/>
  <c r="K419" i="25" a="1"/>
  <c r="K419" i="25" s="1"/>
  <c r="K420" i="25" a="1"/>
  <c r="K420" i="25"/>
  <c r="K421" i="25" a="1"/>
  <c r="K421" i="25"/>
  <c r="K422" i="25" a="1"/>
  <c r="K422" i="25" s="1"/>
  <c r="K423" i="25" a="1"/>
  <c r="K423" i="25" s="1"/>
  <c r="K424" i="25" a="1"/>
  <c r="K424" i="25"/>
  <c r="K425" i="25" a="1"/>
  <c r="K425" i="25"/>
  <c r="K426" i="25" a="1"/>
  <c r="K426" i="25" s="1"/>
  <c r="K427" i="25" a="1"/>
  <c r="K427" i="25"/>
  <c r="K428" i="25" a="1"/>
  <c r="K428" i="25" s="1"/>
  <c r="K429" i="25" a="1"/>
  <c r="K429" i="25"/>
  <c r="K430" i="25" a="1"/>
  <c r="K430" i="25" s="1"/>
  <c r="K431" i="25" a="1"/>
  <c r="K431" i="25" s="1"/>
  <c r="K432" i="25" a="1"/>
  <c r="K432" i="25" s="1"/>
  <c r="K433" i="25" a="1"/>
  <c r="K433" i="25"/>
  <c r="K434" i="25" a="1"/>
  <c r="K434" i="25" s="1"/>
  <c r="K435" i="25" a="1"/>
  <c r="K435" i="25" s="1"/>
  <c r="K436" i="25" a="1"/>
  <c r="K436" i="25"/>
  <c r="K437" i="25" a="1"/>
  <c r="K437" i="25" s="1"/>
  <c r="K438" i="25" a="1"/>
  <c r="K438" i="25" s="1"/>
  <c r="K439" i="25" a="1"/>
  <c r="K439" i="25" s="1"/>
  <c r="K440" i="25" a="1"/>
  <c r="K440" i="25" s="1"/>
  <c r="K441" i="25" a="1"/>
  <c r="K441" i="25"/>
  <c r="K442" i="25" a="1"/>
  <c r="K442" i="25"/>
  <c r="K443" i="25" a="1"/>
  <c r="K443" i="25"/>
  <c r="K444" i="25" a="1"/>
  <c r="K444" i="25"/>
  <c r="K445" i="25" a="1"/>
  <c r="K445" i="25"/>
  <c r="K446" i="25" a="1"/>
  <c r="K446" i="25" s="1"/>
  <c r="K447" i="25" a="1"/>
  <c r="K447" i="25"/>
  <c r="K448" i="25" a="1"/>
  <c r="K448" i="25" s="1"/>
  <c r="K449" i="25" a="1"/>
  <c r="K449" i="25" s="1"/>
  <c r="K450" i="25" a="1"/>
  <c r="K450" i="25"/>
  <c r="K451" i="25" a="1"/>
  <c r="K451" i="25"/>
  <c r="K452" i="25" a="1"/>
  <c r="K452" i="25" s="1"/>
  <c r="K453" i="25" a="1"/>
  <c r="K453" i="25" s="1"/>
  <c r="K454" i="25" a="1"/>
  <c r="K454" i="25"/>
  <c r="K455" i="25" a="1"/>
  <c r="K455" i="25"/>
  <c r="K456" i="25" a="1"/>
  <c r="K456" i="25"/>
  <c r="K457" i="25" a="1"/>
  <c r="K457" i="25" s="1"/>
  <c r="K458" i="25" a="1"/>
  <c r="K458" i="25" s="1"/>
  <c r="K459" i="25" a="1"/>
  <c r="K459" i="25"/>
  <c r="K460" i="25" a="1"/>
  <c r="K460" i="25" s="1"/>
  <c r="K461" i="25" a="1"/>
  <c r="K461" i="25" s="1"/>
  <c r="K462" i="25" a="1"/>
  <c r="K462" i="25"/>
  <c r="K463" i="25" a="1"/>
  <c r="K463" i="25"/>
  <c r="K464" i="25" a="1"/>
  <c r="K464" i="25" s="1"/>
  <c r="K465" i="25" a="1"/>
  <c r="K465" i="25"/>
  <c r="K466" i="25" a="1"/>
  <c r="K466" i="25"/>
  <c r="K467" i="25" a="1"/>
  <c r="K467" i="25" s="1"/>
  <c r="K468" i="25" a="1"/>
  <c r="K468" i="25"/>
  <c r="K469" i="25" a="1"/>
  <c r="K469" i="25" s="1"/>
  <c r="K470" i="25" a="1"/>
  <c r="K470" i="25" s="1"/>
  <c r="K471" i="25" a="1"/>
  <c r="K471" i="25" s="1"/>
  <c r="K472" i="25" a="1"/>
  <c r="K472" i="25" s="1"/>
  <c r="K473" i="25" a="1"/>
  <c r="K473" i="25" s="1"/>
  <c r="K474" i="25" a="1"/>
  <c r="K474" i="25" s="1"/>
  <c r="K475" i="25" a="1"/>
  <c r="K475" i="25"/>
  <c r="K476" i="25" a="1"/>
  <c r="K476" i="25" s="1"/>
  <c r="K477" i="25" a="1"/>
  <c r="K477" i="25"/>
  <c r="K478" i="25" a="1"/>
  <c r="K478" i="25" s="1"/>
  <c r="K479" i="25" a="1"/>
  <c r="K479" i="25" s="1"/>
  <c r="K480" i="25" a="1"/>
  <c r="K480" i="25" s="1"/>
  <c r="K481" i="25" a="1"/>
  <c r="K481" i="25"/>
  <c r="K482" i="25" a="1"/>
  <c r="K482" i="25" s="1"/>
  <c r="K483" i="25" a="1"/>
  <c r="K483" i="25" s="1"/>
  <c r="K484" i="25" a="1"/>
  <c r="K484" i="25"/>
  <c r="K485" i="25" a="1"/>
  <c r="K485" i="25"/>
  <c r="K486" i="25" a="1"/>
  <c r="K486" i="25"/>
  <c r="K487" i="25" a="1"/>
  <c r="K487" i="25" s="1"/>
  <c r="K488" i="25" a="1"/>
  <c r="K488" i="25" s="1"/>
  <c r="K489" i="25" a="1"/>
  <c r="K489" i="25"/>
  <c r="K490" i="25" a="1"/>
  <c r="K490" i="25" s="1"/>
  <c r="K491" i="25" a="1"/>
  <c r="K491" i="25"/>
  <c r="K492" i="25" a="1"/>
  <c r="K492" i="25"/>
  <c r="K493" i="25" a="1"/>
  <c r="K493" i="25"/>
  <c r="K494" i="25" a="1"/>
  <c r="K494" i="25" s="1"/>
  <c r="K495" i="25" a="1"/>
  <c r="K495" i="25"/>
  <c r="K496" i="25" a="1"/>
  <c r="K496" i="25"/>
  <c r="K497" i="25" a="1"/>
  <c r="K497" i="25"/>
  <c r="K498" i="25" a="1"/>
  <c r="K498" i="25" s="1"/>
  <c r="K499" i="25" a="1"/>
  <c r="K499" i="25" s="1"/>
  <c r="K500" i="25" a="1"/>
  <c r="K500" i="25" s="1"/>
  <c r="K501" i="25" a="1"/>
  <c r="K501" i="25"/>
  <c r="K502" i="25" a="1"/>
  <c r="K502" i="25"/>
  <c r="K503" i="25" a="1"/>
  <c r="K503" i="25" s="1"/>
  <c r="K504" i="25" a="1"/>
  <c r="K504" i="25"/>
  <c r="K505" i="25" a="1"/>
  <c r="K505" i="25"/>
  <c r="K506" i="25" a="1"/>
  <c r="K506" i="25" s="1"/>
  <c r="K507" i="25" a="1"/>
  <c r="K507" i="25" s="1"/>
  <c r="K508" i="25" a="1"/>
  <c r="K508" i="25" s="1"/>
  <c r="K509" i="25" a="1"/>
  <c r="K509" i="25"/>
  <c r="K510" i="25" a="1"/>
  <c r="K510" i="25" s="1"/>
  <c r="K511" i="25" a="1"/>
  <c r="K511" i="25"/>
  <c r="K512" i="25" a="1"/>
  <c r="K512" i="25" s="1"/>
  <c r="K513" i="25" a="1"/>
  <c r="K513" i="25" s="1"/>
  <c r="K514" i="25" a="1"/>
  <c r="K514" i="25"/>
  <c r="K515" i="25" a="1"/>
  <c r="K515" i="25"/>
  <c r="K516" i="25" a="1"/>
  <c r="K516" i="25"/>
  <c r="K517" i="25" a="1"/>
  <c r="K517" i="25"/>
  <c r="K518" i="25" a="1"/>
  <c r="K518" i="25" s="1"/>
  <c r="K519" i="25" a="1"/>
  <c r="K519" i="25"/>
  <c r="K520" i="25" a="1"/>
  <c r="K520" i="25" s="1"/>
  <c r="K521" i="25" a="1"/>
  <c r="K521" i="25" s="1"/>
  <c r="K522" i="25" a="1"/>
  <c r="K522" i="25"/>
  <c r="K523" i="25" a="1"/>
  <c r="K523" i="25"/>
  <c r="K524" i="25" a="1"/>
  <c r="K524" i="25"/>
  <c r="K525" i="25" a="1"/>
  <c r="K525" i="25" s="1"/>
  <c r="K526" i="25" a="1"/>
  <c r="K526" i="25" s="1"/>
  <c r="K527" i="25" a="1"/>
  <c r="K527" i="25"/>
  <c r="K528" i="25" a="1"/>
  <c r="K528" i="25" s="1"/>
  <c r="K529" i="25" a="1"/>
  <c r="K529" i="25"/>
  <c r="K530" i="25" a="1"/>
  <c r="K530" i="25" s="1"/>
  <c r="K531" i="25" a="1"/>
  <c r="K531" i="25"/>
  <c r="K532" i="25" a="1"/>
  <c r="K532" i="25" s="1"/>
  <c r="K533" i="25" a="1"/>
  <c r="K533" i="25" s="1"/>
  <c r="K534" i="25" a="1"/>
  <c r="K534" i="25" s="1"/>
  <c r="K535" i="25" a="1"/>
  <c r="K535" i="25"/>
  <c r="K536" i="25" a="1"/>
  <c r="K536" i="25"/>
  <c r="K537" i="25" a="1"/>
  <c r="K537" i="25"/>
  <c r="K538" i="25" a="1"/>
  <c r="K538" i="25" s="1"/>
  <c r="K539" i="25" a="1"/>
  <c r="K539" i="25"/>
  <c r="K540" i="25" a="1"/>
  <c r="K540" i="25"/>
  <c r="K541" i="25" a="1"/>
  <c r="K541" i="25" s="1"/>
  <c r="K542" i="25" a="1"/>
  <c r="K542" i="25"/>
  <c r="K543" i="25" a="1"/>
  <c r="K543" i="25" s="1"/>
  <c r="K544" i="25" a="1"/>
  <c r="K544" i="25" s="1"/>
  <c r="K545" i="25" a="1"/>
  <c r="K545" i="25" s="1"/>
  <c r="K546" i="25" a="1"/>
  <c r="K546" i="25" s="1"/>
  <c r="K547" i="25" a="1"/>
  <c r="K547" i="25" s="1"/>
  <c r="K548" i="25" a="1"/>
  <c r="K548" i="25"/>
  <c r="K549" i="25" a="1"/>
  <c r="K549" i="25"/>
  <c r="K550" i="25" a="1"/>
  <c r="K550" i="25" s="1"/>
  <c r="K551" i="25" a="1"/>
  <c r="K551" i="25"/>
  <c r="K552" i="25" a="1"/>
  <c r="K552" i="25"/>
  <c r="K553" i="25" a="1"/>
  <c r="K553" i="25"/>
  <c r="K554" i="25" a="1"/>
  <c r="K554" i="25" s="1"/>
  <c r="K555" i="25" a="1"/>
  <c r="K555" i="25"/>
  <c r="K556" i="25" a="1"/>
  <c r="K556" i="25" s="1"/>
  <c r="K557" i="25" a="1"/>
  <c r="K557" i="25"/>
  <c r="K558" i="25" a="1"/>
  <c r="K558" i="25" s="1"/>
  <c r="K559" i="25" a="1"/>
  <c r="K559" i="25" s="1"/>
  <c r="K560" i="25" a="1"/>
  <c r="K560" i="25" s="1"/>
  <c r="K561" i="25" a="1"/>
  <c r="K561" i="25"/>
  <c r="K562" i="25" a="1"/>
  <c r="K562" i="25" s="1"/>
  <c r="K563" i="25" a="1"/>
  <c r="K563" i="25" s="1"/>
  <c r="K564" i="25" a="1"/>
  <c r="K564" i="25" s="1"/>
  <c r="K565" i="25" a="1"/>
  <c r="K565" i="25"/>
  <c r="K566" i="25" a="1"/>
  <c r="K566" i="25"/>
  <c r="K567" i="25" a="1"/>
  <c r="K567" i="25" s="1"/>
  <c r="K568" i="25" a="1"/>
  <c r="K568" i="25" s="1"/>
  <c r="K569" i="25" a="1"/>
  <c r="K569" i="25"/>
  <c r="K570" i="25" a="1"/>
  <c r="K570" i="25"/>
  <c r="K571" i="25" a="1"/>
  <c r="K571" i="25" s="1"/>
  <c r="K572" i="25" a="1"/>
  <c r="K572" i="25" s="1"/>
  <c r="K573" i="25" a="1"/>
  <c r="K573" i="25" s="1"/>
  <c r="K574" i="25" a="1"/>
  <c r="K574" i="25" s="1"/>
  <c r="K575" i="25" a="1"/>
  <c r="K575" i="25"/>
  <c r="K576" i="25" a="1"/>
  <c r="K576" i="25" s="1"/>
  <c r="K577" i="25" a="1"/>
  <c r="K577" i="25" s="1"/>
  <c r="K578" i="25" a="1"/>
  <c r="K578" i="25"/>
  <c r="K579" i="25" a="1"/>
  <c r="K579" i="25"/>
  <c r="K580" i="25" a="1"/>
  <c r="K580" i="25" s="1"/>
  <c r="K581" i="25" a="1"/>
  <c r="K581" i="25"/>
  <c r="K582" i="25" a="1"/>
  <c r="K582" i="25"/>
  <c r="K583" i="25" a="1"/>
  <c r="K583" i="25"/>
  <c r="K584" i="25" a="1"/>
  <c r="K584" i="25" s="1"/>
  <c r="K585" i="25" a="1"/>
  <c r="K585" i="25" s="1"/>
  <c r="K586" i="25" a="1"/>
  <c r="K586" i="25" s="1"/>
  <c r="K587" i="25" a="1"/>
  <c r="K587" i="25" s="1"/>
  <c r="K588" i="25" a="1"/>
  <c r="K588" i="25"/>
  <c r="K589" i="25" a="1"/>
  <c r="K589" i="25" s="1"/>
  <c r="K590" i="25" a="1"/>
  <c r="K590" i="25" s="1"/>
  <c r="K591" i="25" a="1"/>
  <c r="K591" i="25"/>
  <c r="K592" i="25" a="1"/>
  <c r="K592" i="25" s="1"/>
  <c r="K593" i="25" a="1"/>
  <c r="K593" i="25" s="1"/>
  <c r="K594" i="25" a="1"/>
  <c r="K594" i="25"/>
  <c r="K595" i="25" a="1"/>
  <c r="K595" i="25"/>
  <c r="K596" i="25" a="1"/>
  <c r="K596" i="25"/>
  <c r="K597" i="25" a="1"/>
  <c r="K597" i="25" s="1"/>
  <c r="K598" i="25" a="1"/>
  <c r="K598" i="25" s="1"/>
  <c r="K599" i="25" a="1"/>
  <c r="K599" i="25"/>
  <c r="K600" i="25" a="1"/>
  <c r="K600" i="25" s="1"/>
  <c r="K601" i="25" a="1"/>
  <c r="K601" i="25"/>
  <c r="K602" i="25" a="1"/>
  <c r="K602" i="25" s="1"/>
  <c r="K603" i="25" a="1"/>
  <c r="K603" i="25" s="1"/>
  <c r="K604" i="25" a="1"/>
  <c r="K604" i="25" s="1"/>
  <c r="K605" i="25" a="1"/>
  <c r="K605" i="25" s="1"/>
  <c r="K606" i="25" a="1"/>
  <c r="K606" i="25" s="1"/>
  <c r="K607" i="25" a="1"/>
  <c r="K607" i="25"/>
  <c r="K608" i="25" a="1"/>
  <c r="K608" i="25"/>
  <c r="K609" i="25" a="1"/>
  <c r="K609" i="25"/>
  <c r="K610" i="25" a="1"/>
  <c r="K610" i="25" s="1"/>
  <c r="K611" i="25" a="1"/>
  <c r="K611" i="25"/>
  <c r="K612" i="25" a="1"/>
  <c r="K612" i="25"/>
  <c r="K613" i="25" a="1"/>
  <c r="K613" i="25" s="1"/>
  <c r="K614" i="25" a="1"/>
  <c r="K614" i="25"/>
  <c r="K615" i="25" a="1"/>
  <c r="K615" i="25" s="1"/>
  <c r="K616" i="25" a="1"/>
  <c r="K616" i="25" s="1"/>
  <c r="K617" i="25" a="1"/>
  <c r="K617" i="25" s="1"/>
  <c r="K618" i="25" a="1"/>
  <c r="K618" i="25" s="1"/>
  <c r="K619" i="25" a="1"/>
  <c r="K619" i="25" s="1"/>
  <c r="K620" i="25" a="1"/>
  <c r="K620" i="25"/>
  <c r="K621" i="25" a="1"/>
  <c r="K621" i="25"/>
  <c r="K622" i="25" a="1"/>
  <c r="K622" i="25" s="1"/>
  <c r="K623" i="25" a="1"/>
  <c r="K623" i="25"/>
  <c r="K624" i="25" a="1"/>
  <c r="K624" i="25"/>
  <c r="K625" i="25" a="1"/>
  <c r="K625" i="25"/>
  <c r="K626" i="25" a="1"/>
  <c r="K626" i="25" s="1"/>
  <c r="K627" i="25" a="1"/>
  <c r="K627" i="25"/>
  <c r="K628" i="25" a="1"/>
  <c r="K628" i="25" s="1"/>
  <c r="K629" i="25" a="1"/>
  <c r="K629" i="25"/>
  <c r="K630" i="25" a="1"/>
  <c r="K630" i="25" s="1"/>
  <c r="K631" i="25" a="1"/>
  <c r="K631" i="25" s="1"/>
  <c r="K632" i="25" a="1"/>
  <c r="K632" i="25" s="1"/>
  <c r="K633" i="25" a="1"/>
  <c r="K633" i="25"/>
  <c r="K634" i="25" a="1"/>
  <c r="K634" i="25" s="1"/>
  <c r="K635" i="25" a="1"/>
  <c r="K635" i="25" s="1"/>
  <c r="K636" i="25" a="1"/>
  <c r="K636" i="25" s="1"/>
  <c r="K637" i="25" a="1"/>
  <c r="K637" i="25"/>
  <c r="K638" i="25" a="1"/>
  <c r="K638" i="25"/>
  <c r="K639" i="25" a="1"/>
  <c r="K639" i="25" s="1"/>
  <c r="K640" i="25" a="1"/>
  <c r="K640" i="25" s="1"/>
  <c r="K641" i="25" a="1"/>
  <c r="K641" i="25"/>
  <c r="K642" i="25" a="1"/>
  <c r="K642" i="25"/>
  <c r="K643" i="25" a="1"/>
  <c r="K643" i="25" s="1"/>
  <c r="K644" i="25" a="1"/>
  <c r="K644" i="25" s="1"/>
  <c r="K645" i="25" a="1"/>
  <c r="K645" i="25" s="1"/>
  <c r="K646" i="25" a="1"/>
  <c r="K646" i="25" s="1"/>
  <c r="K647" i="25" a="1"/>
  <c r="K647" i="25"/>
  <c r="K648" i="25" a="1"/>
  <c r="K648" i="25" s="1"/>
  <c r="K649" i="25" a="1"/>
  <c r="K649" i="25"/>
  <c r="K650" i="25" a="1"/>
  <c r="K650" i="25"/>
  <c r="K651" i="25" a="1"/>
  <c r="K651" i="25"/>
  <c r="K652" i="25" a="1"/>
  <c r="K652" i="25" s="1"/>
  <c r="K653" i="25" a="1"/>
  <c r="K653" i="25"/>
  <c r="K654" i="25" a="1"/>
  <c r="K654" i="25"/>
  <c r="K655" i="25" a="1"/>
  <c r="K655" i="25"/>
  <c r="K656" i="25" a="1"/>
  <c r="K656" i="25" s="1"/>
  <c r="K657" i="25" a="1"/>
  <c r="K657" i="25" s="1"/>
  <c r="K658" i="25" a="1"/>
  <c r="K658" i="25" s="1"/>
  <c r="K659" i="25" a="1"/>
  <c r="K659" i="25" s="1"/>
  <c r="K660" i="25" a="1"/>
  <c r="K660" i="25"/>
  <c r="K661" i="25" a="1"/>
  <c r="K661" i="25" s="1"/>
  <c r="K662" i="25" a="1"/>
  <c r="K662" i="25"/>
  <c r="K663" i="25" a="1"/>
  <c r="K663" i="25"/>
  <c r="K664" i="25" a="1"/>
  <c r="K664" i="25" s="1"/>
  <c r="K665" i="25" a="1"/>
  <c r="K665" i="25" s="1"/>
  <c r="K666" i="25" a="1"/>
  <c r="K666" i="25"/>
  <c r="K667" i="25" a="1"/>
  <c r="K667" i="25"/>
  <c r="K668" i="25" a="1"/>
  <c r="K668" i="25"/>
  <c r="K669" i="25" a="1"/>
  <c r="K669" i="25" s="1"/>
  <c r="K670" i="25" a="1"/>
  <c r="K670" i="25" s="1"/>
  <c r="K671" i="25" a="1"/>
  <c r="K671" i="25"/>
  <c r="K672" i="25" a="1"/>
  <c r="K672" i="25" s="1"/>
  <c r="K673" i="25" a="1"/>
  <c r="K673" i="25"/>
  <c r="K674" i="25" a="1"/>
  <c r="K674" i="25" s="1"/>
  <c r="K675" i="25" a="1"/>
  <c r="K675" i="25"/>
  <c r="K676" i="25" a="1"/>
  <c r="K676" i="25" s="1"/>
  <c r="K677" i="25" a="1"/>
  <c r="K677" i="25" s="1"/>
  <c r="K678" i="25" a="1"/>
  <c r="K678" i="25" s="1"/>
  <c r="K679" i="25" a="1"/>
  <c r="K679" i="25"/>
  <c r="K680" i="25" a="1"/>
  <c r="K680" i="25"/>
  <c r="K681" i="25" a="1"/>
  <c r="K681" i="25"/>
  <c r="K682" i="25" a="1"/>
  <c r="K682" i="25" s="1"/>
  <c r="K683" i="25" a="1"/>
  <c r="K683" i="25"/>
  <c r="K684" i="25" a="1"/>
  <c r="K684" i="25"/>
  <c r="K685" i="25" a="1"/>
  <c r="K685" i="25" s="1"/>
  <c r="K686" i="25" a="1"/>
  <c r="K686" i="25"/>
  <c r="K687" i="25" a="1"/>
  <c r="K687" i="25" s="1"/>
  <c r="K688" i="25" a="1"/>
  <c r="K688" i="25" s="1"/>
  <c r="K689" i="25" a="1"/>
  <c r="K689" i="25" s="1"/>
  <c r="K690" i="25" a="1"/>
  <c r="K690" i="25" s="1"/>
  <c r="K691" i="25" a="1"/>
  <c r="K691" i="25" s="1"/>
  <c r="K692" i="25" a="1"/>
  <c r="K692" i="25"/>
  <c r="K693" i="25" a="1"/>
  <c r="K693" i="25"/>
  <c r="K694" i="25" a="1"/>
  <c r="K694" i="25" s="1"/>
  <c r="K695" i="25" a="1"/>
  <c r="K695" i="25"/>
  <c r="K696" i="25" a="1"/>
  <c r="K696" i="25"/>
  <c r="K697" i="25" a="1"/>
  <c r="K697" i="25"/>
  <c r="K698" i="25" a="1"/>
  <c r="K698" i="25" s="1"/>
  <c r="K699" i="25" a="1"/>
  <c r="K699" i="25"/>
  <c r="K700" i="25" a="1"/>
  <c r="K700" i="25" s="1"/>
  <c r="K701" i="25" a="1"/>
  <c r="K701" i="25" s="1"/>
  <c r="K702" i="25" a="1"/>
  <c r="K702" i="25" s="1"/>
  <c r="K703" i="25" a="1"/>
  <c r="K703" i="25" s="1"/>
  <c r="K704" i="25" a="1"/>
  <c r="K704" i="25" s="1"/>
  <c r="K705" i="25" a="1"/>
  <c r="K705" i="25"/>
  <c r="K706" i="25" a="1"/>
  <c r="K706" i="25" s="1"/>
  <c r="K707" i="25" a="1"/>
  <c r="K707" i="25" s="1"/>
  <c r="K708" i="25" a="1"/>
  <c r="K708" i="25"/>
  <c r="K709" i="25" a="1"/>
  <c r="K709" i="25"/>
  <c r="K710" i="25" a="1"/>
  <c r="K710" i="25"/>
  <c r="K711" i="25" a="1"/>
  <c r="K711" i="25" s="1"/>
  <c r="K712" i="25" a="1"/>
  <c r="K712" i="25" s="1"/>
  <c r="K713" i="25" a="1"/>
  <c r="K713" i="25"/>
  <c r="K714" i="25" a="1"/>
  <c r="K714" i="25" s="1"/>
  <c r="K715" i="25" a="1"/>
  <c r="K715" i="25" s="1"/>
  <c r="K716" i="25" a="1"/>
  <c r="K716" i="25" s="1"/>
  <c r="K717" i="25" a="1"/>
  <c r="K717" i="25" s="1"/>
  <c r="K718" i="25" a="1"/>
  <c r="K718" i="25" s="1"/>
  <c r="K719" i="25" a="1"/>
  <c r="K719" i="25"/>
  <c r="K720" i="25" a="1"/>
  <c r="K720" i="25"/>
  <c r="K721" i="25" a="1"/>
  <c r="K721" i="25"/>
  <c r="K722" i="25" a="1"/>
  <c r="K722" i="25"/>
  <c r="K723" i="25" a="1"/>
  <c r="K723" i="25"/>
  <c r="K724" i="25" a="1"/>
  <c r="K724" i="25" s="1"/>
  <c r="K725" i="25" a="1"/>
  <c r="K725" i="25"/>
  <c r="K726" i="25" a="1"/>
  <c r="K726" i="25"/>
  <c r="K727" i="25" a="1"/>
  <c r="K727" i="25" s="1"/>
  <c r="K728" i="25" a="1"/>
  <c r="K728" i="25" s="1"/>
  <c r="K729" i="25" a="1"/>
  <c r="K729" i="25" s="1"/>
  <c r="K730" i="25" a="1"/>
  <c r="K730" i="25" s="1"/>
  <c r="K731" i="25" a="1"/>
  <c r="K731" i="25" s="1"/>
  <c r="K732" i="25" a="1"/>
  <c r="K732" i="25"/>
  <c r="K733" i="25" a="1"/>
  <c r="K733" i="25"/>
  <c r="K734" i="25" a="1"/>
  <c r="K734" i="25"/>
  <c r="K735" i="25" a="1"/>
  <c r="K735" i="25"/>
  <c r="K736" i="25" a="1"/>
  <c r="K736" i="25" s="1"/>
  <c r="K737" i="25" a="1"/>
  <c r="K737" i="25" s="1"/>
  <c r="K738" i="25" a="1"/>
  <c r="K738" i="25"/>
  <c r="K739" i="25" a="1"/>
  <c r="K739" i="25"/>
  <c r="K740" i="25" a="1"/>
  <c r="K740" i="25" s="1"/>
  <c r="K741" i="25" a="1"/>
  <c r="K741" i="25" s="1"/>
  <c r="K742" i="25" a="1"/>
  <c r="K742" i="25" s="1"/>
  <c r="K743" i="25" a="1"/>
  <c r="K743" i="25"/>
  <c r="K744" i="25" a="1"/>
  <c r="K744" i="25" s="1"/>
  <c r="K745" i="25" a="1"/>
  <c r="K745" i="25"/>
  <c r="K746" i="25" a="1"/>
  <c r="K746" i="25"/>
  <c r="K747" i="25" a="1"/>
  <c r="K747" i="25"/>
  <c r="K748" i="25" a="1"/>
  <c r="K748" i="25" s="1"/>
  <c r="K749" i="25" a="1"/>
  <c r="K749" i="25"/>
  <c r="K750" i="25" a="1"/>
  <c r="K750" i="25" s="1"/>
  <c r="K751" i="25" a="1"/>
  <c r="K751" i="25"/>
  <c r="K752" i="25" a="1"/>
  <c r="K752" i="25"/>
  <c r="K753" i="25" a="1"/>
  <c r="K753" i="25" s="1"/>
  <c r="K754" i="25" a="1"/>
  <c r="K754" i="25" s="1"/>
  <c r="K755" i="25" a="1"/>
  <c r="K755" i="25"/>
  <c r="K756" i="25" a="1"/>
  <c r="K756" i="25"/>
  <c r="K757" i="25" a="1"/>
  <c r="K757" i="25" s="1"/>
  <c r="K758" i="25" a="1"/>
  <c r="K758" i="25"/>
  <c r="K759" i="25" a="1"/>
  <c r="K759" i="25"/>
  <c r="K760" i="25" a="1"/>
  <c r="K760" i="25" s="1"/>
  <c r="K761" i="25" a="1"/>
  <c r="K761" i="25" s="1"/>
  <c r="K762" i="25" a="1"/>
  <c r="K762" i="25"/>
  <c r="K763" i="25" a="1"/>
  <c r="K763" i="25"/>
  <c r="K764" i="25" a="1"/>
  <c r="K764" i="25"/>
  <c r="K765" i="25" a="1"/>
  <c r="K765" i="25"/>
  <c r="K766" i="25" a="1"/>
  <c r="K766" i="25" s="1"/>
  <c r="K767" i="25" a="1"/>
  <c r="K767" i="25"/>
  <c r="K768" i="25" a="1"/>
  <c r="K768" i="25"/>
  <c r="K769" i="25" a="1"/>
  <c r="K769" i="25" s="1"/>
  <c r="K770" i="25" a="1"/>
  <c r="K770" i="25" s="1"/>
  <c r="K771" i="25" a="1"/>
  <c r="K771" i="25"/>
  <c r="K772" i="25" a="1"/>
  <c r="K772" i="25" s="1"/>
  <c r="K773" i="25" a="1"/>
  <c r="K773" i="25" s="1"/>
  <c r="K774" i="25" a="1"/>
  <c r="K774" i="25" s="1"/>
  <c r="K775" i="25" a="1"/>
  <c r="K775" i="25"/>
  <c r="K776" i="25" a="1"/>
  <c r="K776" i="25"/>
  <c r="K777" i="25" a="1"/>
  <c r="K777" i="25"/>
  <c r="K778" i="25" a="1"/>
  <c r="K778" i="25" s="1"/>
  <c r="K779" i="25" a="1"/>
  <c r="K779" i="25"/>
  <c r="K780" i="25" a="1"/>
  <c r="K780" i="25"/>
  <c r="K781" i="25" a="1"/>
  <c r="K781" i="25"/>
  <c r="K782" i="25" a="1"/>
  <c r="K782" i="25" s="1"/>
  <c r="K783" i="25" a="1"/>
  <c r="K783" i="25" s="1"/>
  <c r="K784" i="25" a="1"/>
  <c r="K784" i="25" s="1"/>
  <c r="K785" i="25" a="1"/>
  <c r="K785" i="25" s="1"/>
  <c r="K786" i="25" a="1"/>
  <c r="K786" i="25" s="1"/>
  <c r="K787" i="25" a="1"/>
  <c r="K787" i="25" s="1"/>
  <c r="K788" i="25" a="1"/>
  <c r="K788" i="25"/>
  <c r="K789" i="25" a="1"/>
  <c r="K789" i="25"/>
  <c r="K790" i="25" a="1"/>
  <c r="K790" i="25" s="1"/>
  <c r="K791" i="25" a="1"/>
  <c r="K791" i="25"/>
  <c r="K792" i="25" a="1"/>
  <c r="K792" i="25"/>
  <c r="K793" i="25" a="1"/>
  <c r="K793" i="25"/>
  <c r="K794" i="25" a="1"/>
  <c r="K794" i="25"/>
  <c r="K795" i="25" a="1"/>
  <c r="K795" i="25" s="1"/>
  <c r="K796" i="25" a="1"/>
  <c r="K796" i="25" s="1"/>
  <c r="K797" i="25" a="1"/>
  <c r="K797" i="25" s="1"/>
  <c r="K798" i="25" a="1"/>
  <c r="K798" i="25"/>
  <c r="K799" i="25" a="1"/>
  <c r="K799" i="25" s="1"/>
  <c r="K800" i="25" a="1"/>
  <c r="K800" i="25" s="1"/>
  <c r="K801" i="25" a="1"/>
  <c r="K801" i="25"/>
  <c r="K802" i="25" a="1"/>
  <c r="K802" i="25" s="1"/>
  <c r="K803" i="25" a="1"/>
  <c r="K803" i="25"/>
  <c r="K804" i="25" a="1"/>
  <c r="K804" i="25"/>
  <c r="K805" i="25" a="1"/>
  <c r="K805" i="25"/>
  <c r="K806" i="25" a="1"/>
  <c r="K806" i="25"/>
  <c r="K807" i="25" a="1"/>
  <c r="K807" i="25"/>
  <c r="K808" i="25" a="1"/>
  <c r="K808" i="25" s="1"/>
  <c r="K809" i="25" a="1"/>
  <c r="K809" i="25" s="1"/>
  <c r="K810" i="25" a="1"/>
  <c r="K810" i="25" s="1"/>
  <c r="K811" i="25" a="1"/>
  <c r="K811" i="25"/>
  <c r="K812" i="25" a="1"/>
  <c r="K812" i="25" s="1"/>
  <c r="K813" i="25" a="1"/>
  <c r="K813" i="25" s="1"/>
  <c r="K814" i="25" a="1"/>
  <c r="K814" i="25" s="1"/>
  <c r="K815" i="25" a="1"/>
  <c r="K815" i="25" s="1"/>
  <c r="K816" i="25" a="1"/>
  <c r="K816" i="25"/>
  <c r="K817" i="25" a="1"/>
  <c r="K817" i="25"/>
  <c r="K818" i="25" a="1"/>
  <c r="K818" i="25"/>
  <c r="K819" i="25" a="1"/>
  <c r="K819" i="25"/>
  <c r="K820" i="25" a="1"/>
  <c r="K820" i="25" s="1"/>
  <c r="K821" i="25" a="1"/>
  <c r="K821" i="25"/>
  <c r="K822" i="25" a="1"/>
  <c r="K822" i="25"/>
  <c r="K823" i="25" a="1"/>
  <c r="K823" i="25" s="1"/>
  <c r="K824" i="25" a="1"/>
  <c r="K824" i="25"/>
  <c r="K825" i="25" a="1"/>
  <c r="K825" i="25" s="1"/>
  <c r="K826" i="25" a="1"/>
  <c r="K826" i="25" s="1"/>
  <c r="K827" i="25" a="1"/>
  <c r="K827" i="25" s="1"/>
  <c r="K828" i="25" a="1"/>
  <c r="K828" i="25"/>
  <c r="K829" i="25" a="1"/>
  <c r="K829" i="25" s="1"/>
  <c r="K830" i="25" a="1"/>
  <c r="K830" i="25"/>
  <c r="K831" i="25" a="1"/>
  <c r="K831" i="25" s="1"/>
  <c r="K832" i="25" a="1"/>
  <c r="K832" i="25" s="1"/>
  <c r="K833" i="25" a="1"/>
  <c r="K833" i="25"/>
  <c r="K834" i="25" a="1"/>
  <c r="K834" i="25"/>
  <c r="K835" i="25" a="1"/>
  <c r="K835" i="25" s="1"/>
  <c r="K836" i="25" a="1"/>
  <c r="K836" i="25" s="1"/>
  <c r="K837" i="25" a="1"/>
  <c r="K837" i="25" s="1"/>
  <c r="K838" i="25" a="1"/>
  <c r="K838" i="25" s="1"/>
  <c r="K839" i="25" a="1"/>
  <c r="K839" i="25"/>
  <c r="K840" i="25" a="1"/>
  <c r="K840" i="25"/>
  <c r="K841" i="25" a="1"/>
  <c r="K841" i="25" s="1"/>
  <c r="K842" i="25" a="1"/>
  <c r="K842" i="25"/>
  <c r="K843" i="25" a="1"/>
  <c r="K843" i="25" s="1"/>
  <c r="K844" i="25" a="1"/>
  <c r="K844" i="25" s="1"/>
  <c r="K845" i="25" a="1"/>
  <c r="K845" i="25"/>
  <c r="K846" i="25" a="1"/>
  <c r="K846" i="25" s="1"/>
  <c r="K847" i="25" a="1"/>
  <c r="K847" i="25" s="1"/>
  <c r="K848" i="25" a="1"/>
  <c r="K848" i="25"/>
  <c r="K849" i="25" a="1"/>
  <c r="K849" i="25" s="1"/>
  <c r="K850" i="25" a="1"/>
  <c r="K850" i="25" s="1"/>
  <c r="K851" i="25" a="1"/>
  <c r="K851" i="25"/>
  <c r="K852" i="25" a="1"/>
  <c r="K852" i="25" s="1"/>
  <c r="K853" i="25" a="1"/>
  <c r="K853" i="25" s="1"/>
  <c r="K854" i="25" a="1"/>
  <c r="K854" i="25"/>
  <c r="K855" i="25" a="1"/>
  <c r="K855" i="25" s="1"/>
  <c r="K856" i="25" a="1"/>
  <c r="K856" i="25" s="1"/>
  <c r="K857" i="25" a="1"/>
  <c r="K857" i="25" s="1"/>
  <c r="K858" i="25" a="1"/>
  <c r="K858" i="25" s="1"/>
  <c r="K859" i="25" a="1"/>
  <c r="K859" i="25" s="1"/>
  <c r="K860" i="25" a="1"/>
  <c r="K860" i="25"/>
  <c r="K861" i="25" a="1"/>
  <c r="K861" i="25" s="1"/>
  <c r="K862" i="25" a="1"/>
  <c r="K862" i="25" s="1"/>
  <c r="K863" i="25" a="1"/>
  <c r="K863" i="25" s="1"/>
  <c r="K864" i="25" a="1"/>
  <c r="K864" i="25" s="1"/>
  <c r="K865" i="25" a="1"/>
  <c r="K865" i="25" s="1"/>
  <c r="K866" i="25" a="1"/>
  <c r="K866" i="25"/>
  <c r="K867" i="25" a="1"/>
  <c r="K867" i="25" s="1"/>
  <c r="K868" i="25" a="1"/>
  <c r="K868" i="25" s="1"/>
  <c r="K869" i="25" a="1"/>
  <c r="K869" i="25" s="1"/>
  <c r="K870" i="25" a="1"/>
  <c r="K870" i="25" s="1"/>
  <c r="K871" i="25" a="1"/>
  <c r="K871" i="25" s="1"/>
  <c r="K872" i="25" a="1"/>
  <c r="K872" i="25"/>
  <c r="K873" i="25" a="1"/>
  <c r="K873" i="25" s="1"/>
  <c r="K874" i="25" a="1"/>
  <c r="K874" i="25" s="1"/>
  <c r="K875" i="25" a="1"/>
  <c r="K875" i="25" s="1"/>
  <c r="K876" i="25" a="1"/>
  <c r="K876" i="25" s="1"/>
  <c r="K877" i="25" a="1"/>
  <c r="K877" i="25" s="1"/>
  <c r="K878" i="25" a="1"/>
  <c r="K878" i="25"/>
  <c r="K879" i="25" a="1"/>
  <c r="K879" i="25" s="1"/>
  <c r="K880" i="25" a="1"/>
  <c r="K880" i="25" s="1"/>
  <c r="K881" i="25" a="1"/>
  <c r="K881" i="25" s="1"/>
  <c r="K882" i="25" a="1"/>
  <c r="K882" i="25" s="1"/>
  <c r="K883" i="25" a="1"/>
  <c r="K883" i="25" s="1"/>
  <c r="K884" i="25" a="1"/>
  <c r="K884" i="25"/>
  <c r="K885" i="25" a="1"/>
  <c r="K885" i="25" s="1"/>
  <c r="K886" i="25" a="1"/>
  <c r="K886" i="25" s="1"/>
  <c r="K887" i="25" a="1"/>
  <c r="K887" i="25" s="1"/>
  <c r="K888" i="25" a="1"/>
  <c r="K888" i="25" s="1"/>
  <c r="K889" i="25" a="1"/>
  <c r="K889" i="25" s="1"/>
  <c r="K890" i="25" a="1"/>
  <c r="K890" i="25"/>
  <c r="K891" i="25" a="1"/>
  <c r="K891" i="25" s="1"/>
  <c r="K892" i="25" a="1"/>
  <c r="K892" i="25" s="1"/>
  <c r="K893" i="25" a="1"/>
  <c r="K893" i="25" s="1"/>
  <c r="K894" i="25" a="1"/>
  <c r="K894" i="25" s="1"/>
  <c r="K895" i="25" a="1"/>
  <c r="K895" i="25" s="1"/>
  <c r="K896" i="25" a="1"/>
  <c r="K896" i="25"/>
  <c r="K897" i="25" a="1"/>
  <c r="K897" i="25" s="1"/>
  <c r="K898" i="25" a="1"/>
  <c r="K898" i="25" s="1"/>
  <c r="K899" i="25" a="1"/>
  <c r="K899" i="25" s="1"/>
  <c r="K900" i="25" a="1"/>
  <c r="K900" i="25" s="1"/>
  <c r="K901" i="25" a="1"/>
  <c r="K901" i="25" s="1"/>
  <c r="K902" i="25" a="1"/>
  <c r="K902" i="25"/>
  <c r="K903" i="25" a="1"/>
  <c r="K903" i="25" s="1"/>
  <c r="K904" i="25" a="1"/>
  <c r="K904" i="25" s="1"/>
  <c r="K905" i="25" a="1"/>
  <c r="K905" i="25" s="1"/>
  <c r="K906" i="25" a="1"/>
  <c r="K906" i="25" s="1"/>
  <c r="K907" i="25" a="1"/>
  <c r="K907" i="25" s="1"/>
  <c r="K908" i="25" a="1"/>
  <c r="K908" i="25"/>
  <c r="K909" i="25" a="1"/>
  <c r="K909" i="25" s="1"/>
  <c r="K910" i="25" a="1"/>
  <c r="K910" i="25" s="1"/>
  <c r="K911" i="25" a="1"/>
  <c r="K911" i="25" s="1"/>
  <c r="K912" i="25" a="1"/>
  <c r="K912" i="25" s="1"/>
  <c r="K913" i="25" a="1"/>
  <c r="K913" i="25" s="1"/>
  <c r="K914" i="25" a="1"/>
  <c r="K914" i="25"/>
  <c r="K915" i="25" a="1"/>
  <c r="K915" i="25" s="1"/>
  <c r="K916" i="25" a="1"/>
  <c r="K916" i="25" s="1"/>
  <c r="K917" i="25" a="1"/>
  <c r="K917" i="25" s="1"/>
  <c r="K918" i="25" a="1"/>
  <c r="K918" i="25" s="1"/>
  <c r="K919" i="25" a="1"/>
  <c r="K919" i="25" s="1"/>
  <c r="K920" i="25" a="1"/>
  <c r="K920" i="25"/>
  <c r="K921" i="25" a="1"/>
  <c r="K921" i="25" s="1"/>
  <c r="K922" i="25" a="1"/>
  <c r="K922" i="25" s="1"/>
  <c r="D11" i="29" l="1"/>
  <c r="I11" i="29" s="1"/>
  <c r="I4" i="29"/>
  <c r="M4" i="29" s="1"/>
  <c r="B11" i="29"/>
  <c r="AV15" i="9"/>
  <c r="AD4" i="29" a="1"/>
  <c r="Q209" i="28"/>
  <c r="Q168" i="28"/>
  <c r="Q137" i="28"/>
  <c r="Q29" i="28"/>
  <c r="Q205" i="28"/>
  <c r="Q167" i="28"/>
  <c r="Q133" i="28"/>
  <c r="Q97" i="28"/>
  <c r="Q72" i="28"/>
  <c r="Q50" i="28"/>
  <c r="Q28" i="28"/>
  <c r="Q204" i="28"/>
  <c r="Q161" i="28"/>
  <c r="Q132" i="28"/>
  <c r="Q96" i="28"/>
  <c r="Q71" i="28"/>
  <c r="Q49" i="28"/>
  <c r="Q27" i="28"/>
  <c r="Q197" i="28"/>
  <c r="Q160" i="28"/>
  <c r="Q131" i="28"/>
  <c r="Q65" i="28"/>
  <c r="Q26" i="28"/>
  <c r="Q196" i="28"/>
  <c r="Q157" i="28"/>
  <c r="Q121" i="28"/>
  <c r="Q89" i="28"/>
  <c r="Q64" i="28"/>
  <c r="Q25" i="28"/>
  <c r="Q275" i="28"/>
  <c r="Q185" i="28"/>
  <c r="Q155" i="28"/>
  <c r="Q112" i="28"/>
  <c r="Q86" i="28"/>
  <c r="Q62" i="28"/>
  <c r="Q40" i="28"/>
  <c r="Q23" i="28"/>
  <c r="Q263" i="28"/>
  <c r="Q181" i="28"/>
  <c r="Q149" i="28"/>
  <c r="Q110" i="28"/>
  <c r="Q85" i="28"/>
  <c r="Q61" i="28"/>
  <c r="Q39" i="28"/>
  <c r="Q17" i="28"/>
  <c r="Q287" i="28"/>
  <c r="Q192" i="28"/>
  <c r="Q156" i="28"/>
  <c r="Q120" i="28"/>
  <c r="Q88" i="28"/>
  <c r="Q41" i="28"/>
  <c r="Q24" i="28"/>
  <c r="Q251" i="28"/>
  <c r="Q180" i="28"/>
  <c r="Q148" i="28"/>
  <c r="Q109" i="28"/>
  <c r="Q83" i="28"/>
  <c r="Q60" i="28"/>
  <c r="Q38" i="28"/>
  <c r="Q16" i="28"/>
  <c r="Q228" i="28"/>
  <c r="Q173" i="28"/>
  <c r="Q145" i="28"/>
  <c r="Q108" i="28"/>
  <c r="Q77" i="28"/>
  <c r="Q59" i="28"/>
  <c r="Q37" i="28"/>
  <c r="Q15" i="28"/>
  <c r="Q217" i="28"/>
  <c r="Q172" i="28"/>
  <c r="Q144" i="28"/>
  <c r="Q107" i="28"/>
  <c r="Q76" i="28"/>
  <c r="Q53" i="28"/>
  <c r="Q36" i="28"/>
  <c r="Q12" i="28"/>
  <c r="Q216" i="28"/>
  <c r="Q169" i="28"/>
  <c r="Q143" i="28"/>
  <c r="Q100" i="28"/>
  <c r="Q75" i="28"/>
  <c r="Q52" i="28"/>
  <c r="Q35" i="28"/>
  <c r="Q11" i="28"/>
  <c r="M119" i="28" a="1"/>
  <c r="M119" i="28" s="1"/>
  <c r="Q119" i="28"/>
  <c r="M142" i="28" a="1"/>
  <c r="M142" i="28" s="1"/>
  <c r="Q142" i="28" s="1"/>
  <c r="M239" i="28" a="1"/>
  <c r="M239" i="28" s="1"/>
  <c r="Q239" i="28" s="1"/>
  <c r="M296" i="28" a="1"/>
  <c r="M296" i="28" s="1"/>
  <c r="Q296" i="28" s="1"/>
  <c r="M235" i="28" a="1"/>
  <c r="M235" i="28" s="1"/>
  <c r="Q235" i="28"/>
  <c r="Q485" i="28"/>
  <c r="Q473" i="28"/>
  <c r="Q461" i="28"/>
  <c r="Q449" i="28"/>
  <c r="Q437" i="28"/>
  <c r="Q425" i="28"/>
  <c r="Q413" i="28"/>
  <c r="Q401" i="28"/>
  <c r="Q389" i="28"/>
  <c r="Q377" i="28"/>
  <c r="Q365" i="28"/>
  <c r="Q353" i="28"/>
  <c r="Q341" i="28"/>
  <c r="Q329" i="28"/>
  <c r="Q317" i="28"/>
  <c r="Q305" i="28"/>
  <c r="Q293" i="28"/>
  <c r="Q281" i="28"/>
  <c r="Q269" i="28"/>
  <c r="Q257" i="28"/>
  <c r="Q245" i="28"/>
  <c r="Q233" i="28"/>
  <c r="Q221" i="28"/>
  <c r="Q125" i="28"/>
  <c r="Q113" i="28"/>
  <c r="Q101" i="28"/>
  <c r="Q520" i="28"/>
  <c r="Q508" i="28"/>
  <c r="Q496" i="28"/>
  <c r="Q484" i="28"/>
  <c r="Q472" i="28"/>
  <c r="Q460" i="28"/>
  <c r="Q448" i="28"/>
  <c r="Q436" i="28"/>
  <c r="Q424" i="28"/>
  <c r="Q412" i="28"/>
  <c r="Q400" i="28"/>
  <c r="Q388" i="28"/>
  <c r="Q376" i="28"/>
  <c r="Q364" i="28"/>
  <c r="Q352" i="28"/>
  <c r="Q340" i="28"/>
  <c r="Q328" i="28"/>
  <c r="Q316" i="28"/>
  <c r="Q304" i="28"/>
  <c r="Q292" i="28"/>
  <c r="Q280" i="28"/>
  <c r="Q268" i="28"/>
  <c r="Q256" i="28"/>
  <c r="Q244" i="28"/>
  <c r="Q232" i="28"/>
  <c r="Q220" i="28"/>
  <c r="Q208" i="28"/>
  <c r="Q184" i="28"/>
  <c r="Q136" i="28"/>
  <c r="Q124" i="28"/>
  <c r="Q519" i="28"/>
  <c r="Q507" i="28"/>
  <c r="Q495" i="28"/>
  <c r="Q483" i="28"/>
  <c r="Q471" i="28"/>
  <c r="Q459" i="28"/>
  <c r="Q447" i="28"/>
  <c r="Q435" i="28"/>
  <c r="Q423" i="28"/>
  <c r="Q411" i="28"/>
  <c r="Q399" i="28"/>
  <c r="Q387" i="28"/>
  <c r="Q375" i="28"/>
  <c r="Q363" i="28"/>
  <c r="Q351" i="28"/>
  <c r="Q339" i="28"/>
  <c r="Q327" i="28"/>
  <c r="Q315" i="28"/>
  <c r="Q303" i="28"/>
  <c r="Q291" i="28"/>
  <c r="Q279" i="28"/>
  <c r="Q267" i="28"/>
  <c r="Q255" i="28"/>
  <c r="Q243" i="28"/>
  <c r="Q231" i="28"/>
  <c r="Q219" i="28"/>
  <c r="Q207" i="28"/>
  <c r="Q195" i="28"/>
  <c r="Q183" i="28"/>
  <c r="Q171" i="28"/>
  <c r="Q159" i="28"/>
  <c r="Q147" i="28"/>
  <c r="Q135" i="28"/>
  <c r="Q123" i="28"/>
  <c r="Q111" i="28"/>
  <c r="Q99" i="28"/>
  <c r="Q87" i="28"/>
  <c r="Q518" i="28"/>
  <c r="Q506" i="28"/>
  <c r="Q494" i="28"/>
  <c r="Q482" i="28"/>
  <c r="Q470" i="28"/>
  <c r="Q458" i="28"/>
  <c r="Q446" i="28"/>
  <c r="Q434" i="28"/>
  <c r="Q422" i="28"/>
  <c r="Q410" i="28"/>
  <c r="Q398" i="28"/>
  <c r="Q386" i="28"/>
  <c r="Q374" i="28"/>
  <c r="Q362" i="28"/>
  <c r="Q350" i="28"/>
  <c r="Q338" i="28"/>
  <c r="Q326" i="28"/>
  <c r="Q314" i="28"/>
  <c r="Q302" i="28"/>
  <c r="Q290" i="28"/>
  <c r="Q278" i="28"/>
  <c r="Q266" i="28"/>
  <c r="Q254" i="28"/>
  <c r="Q242" i="28"/>
  <c r="Q230" i="28"/>
  <c r="Q218" i="28"/>
  <c r="Q206" i="28"/>
  <c r="Q194" i="28"/>
  <c r="Q182" i="28"/>
  <c r="Q170" i="28"/>
  <c r="Q158" i="28"/>
  <c r="Q146" i="28"/>
  <c r="Q134" i="28"/>
  <c r="Q122" i="28"/>
  <c r="Q14" i="28"/>
  <c r="Q517" i="28"/>
  <c r="Q505" i="28"/>
  <c r="Q493" i="28"/>
  <c r="Q481" i="28"/>
  <c r="Q469" i="28"/>
  <c r="Q457" i="28"/>
  <c r="Q445" i="28"/>
  <c r="Q433" i="28"/>
  <c r="Q421" i="28"/>
  <c r="Q409" i="28"/>
  <c r="Q397" i="28"/>
  <c r="Q385" i="28"/>
  <c r="Q373" i="28"/>
  <c r="Q361" i="28"/>
  <c r="Q349" i="28"/>
  <c r="Q337" i="28"/>
  <c r="Q325" i="28"/>
  <c r="Q313" i="28"/>
  <c r="Q301" i="28"/>
  <c r="Q289" i="28"/>
  <c r="Q277" i="28"/>
  <c r="Q265" i="28"/>
  <c r="Q253" i="28"/>
  <c r="Q241" i="28"/>
  <c r="Q229" i="28"/>
  <c r="Q73" i="28"/>
  <c r="Q13" i="28"/>
  <c r="Q516" i="28"/>
  <c r="Q504" i="28"/>
  <c r="Q492" i="28"/>
  <c r="Q480" i="28"/>
  <c r="Q468" i="28"/>
  <c r="Q456" i="28"/>
  <c r="Q444" i="28"/>
  <c r="Q432" i="28"/>
  <c r="Q420" i="28"/>
  <c r="Q408" i="28"/>
  <c r="Q396" i="28"/>
  <c r="Q384" i="28"/>
  <c r="Q372" i="28"/>
  <c r="Q360" i="28"/>
  <c r="Q348" i="28"/>
  <c r="Q336" i="28"/>
  <c r="Q324" i="28"/>
  <c r="Q312" i="28"/>
  <c r="Q300" i="28"/>
  <c r="Q288" i="28"/>
  <c r="Q276" i="28"/>
  <c r="Q264" i="28"/>
  <c r="Q252" i="28"/>
  <c r="Q240" i="28"/>
  <c r="Q84" i="28"/>
  <c r="T5" i="28"/>
  <c r="Q515" i="28"/>
  <c r="Q503" i="28"/>
  <c r="Q491" i="28"/>
  <c r="Q479" i="28"/>
  <c r="Q467" i="28"/>
  <c r="Q455" i="28"/>
  <c r="Q443" i="28"/>
  <c r="Q431" i="28"/>
  <c r="Q419" i="28"/>
  <c r="Q407" i="28"/>
  <c r="Q395" i="28"/>
  <c r="Q383" i="28"/>
  <c r="Q371" i="28"/>
  <c r="Q359" i="28"/>
  <c r="Q347" i="28"/>
  <c r="Q335" i="28"/>
  <c r="Q323" i="28"/>
  <c r="Q311" i="28"/>
  <c r="Q299" i="28"/>
  <c r="Q227" i="28"/>
  <c r="Q215" i="28"/>
  <c r="Q203" i="28"/>
  <c r="Q191" i="28"/>
  <c r="Q526" i="28"/>
  <c r="Q514" i="28"/>
  <c r="Q502" i="28"/>
  <c r="Q490" i="28"/>
  <c r="Q478" i="28"/>
  <c r="Q466" i="28"/>
  <c r="Q454" i="28"/>
  <c r="Q442" i="28"/>
  <c r="Q430" i="28"/>
  <c r="Q418" i="28"/>
  <c r="Q406" i="28"/>
  <c r="Q394" i="28"/>
  <c r="Q382" i="28"/>
  <c r="Q370" i="28"/>
  <c r="Q358" i="28"/>
  <c r="Q346" i="28"/>
  <c r="Q334" i="28"/>
  <c r="Q322" i="28"/>
  <c r="Q310" i="28"/>
  <c r="Q298" i="28"/>
  <c r="Q286" i="28"/>
  <c r="Q274" i="28"/>
  <c r="Q262" i="28"/>
  <c r="Q250" i="28"/>
  <c r="Q238" i="28"/>
  <c r="Q226" i="28"/>
  <c r="Q214" i="28"/>
  <c r="Q202" i="28"/>
  <c r="Q190" i="28"/>
  <c r="Q178" i="28"/>
  <c r="Q166" i="28"/>
  <c r="Q154" i="28"/>
  <c r="Q130" i="28"/>
  <c r="Q118" i="28"/>
  <c r="Q106" i="28"/>
  <c r="Q94" i="28"/>
  <c r="Q82" i="28"/>
  <c r="Q70" i="28"/>
  <c r="Q58" i="28"/>
  <c r="Q46" i="28"/>
  <c r="Q34" i="28"/>
  <c r="Q22" i="28"/>
  <c r="Q10" i="28"/>
  <c r="Q525" i="28"/>
  <c r="Q513" i="28"/>
  <c r="Q501" i="28"/>
  <c r="Q489" i="28"/>
  <c r="Q477" i="28"/>
  <c r="Q465" i="28"/>
  <c r="Q453" i="28"/>
  <c r="Q441" i="28"/>
  <c r="Q429" i="28"/>
  <c r="Q417" i="28"/>
  <c r="Q405" i="28"/>
  <c r="Q393" i="28"/>
  <c r="Q381" i="28"/>
  <c r="Q369" i="28"/>
  <c r="Q357" i="28"/>
  <c r="Q345" i="28"/>
  <c r="Q333" i="28"/>
  <c r="Q321" i="28"/>
  <c r="Q309" i="28"/>
  <c r="Q297" i="28"/>
  <c r="Q285" i="28"/>
  <c r="Q273" i="28"/>
  <c r="Q261" i="28"/>
  <c r="Q249" i="28"/>
  <c r="Q237" i="28"/>
  <c r="Q225" i="28"/>
  <c r="Q213" i="28"/>
  <c r="Q201" i="28"/>
  <c r="Q189" i="28"/>
  <c r="Q177" i="28"/>
  <c r="Q165" i="28"/>
  <c r="Q153" i="28"/>
  <c r="Q141" i="28"/>
  <c r="Q129" i="28"/>
  <c r="Q117" i="28"/>
  <c r="Q105" i="28"/>
  <c r="Q93" i="28"/>
  <c r="Q81" i="28"/>
  <c r="Q69" i="28"/>
  <c r="Q57" i="28"/>
  <c r="Q45" i="28"/>
  <c r="Q33" i="28"/>
  <c r="Q21" i="28"/>
  <c r="Q9" i="28"/>
  <c r="Q524" i="28"/>
  <c r="Q512" i="28"/>
  <c r="Q500" i="28"/>
  <c r="Q488" i="28"/>
  <c r="Q476" i="28"/>
  <c r="Q464" i="28"/>
  <c r="Q452" i="28"/>
  <c r="Q440" i="28"/>
  <c r="Q428" i="28"/>
  <c r="Q416" i="28"/>
  <c r="Q404" i="28"/>
  <c r="Q392" i="28"/>
  <c r="Q380" i="28"/>
  <c r="Q368" i="28"/>
  <c r="Q356" i="28"/>
  <c r="Q344" i="28"/>
  <c r="Q332" i="28"/>
  <c r="Q320" i="28"/>
  <c r="Q308" i="28"/>
  <c r="Q284" i="28"/>
  <c r="Q272" i="28"/>
  <c r="Q260" i="28"/>
  <c r="Q248" i="28"/>
  <c r="Q236" i="28"/>
  <c r="Q224" i="28"/>
  <c r="Q212" i="28"/>
  <c r="Q200" i="28"/>
  <c r="Q188" i="28"/>
  <c r="Q176" i="28"/>
  <c r="Q164" i="28"/>
  <c r="Q152" i="28"/>
  <c r="Q140" i="28"/>
  <c r="Q128" i="28"/>
  <c r="Q116" i="28"/>
  <c r="Q104" i="28"/>
  <c r="Q92" i="28"/>
  <c r="Q80" i="28"/>
  <c r="Q68" i="28"/>
  <c r="Q56" i="28"/>
  <c r="Q44" i="28"/>
  <c r="Q32" i="28"/>
  <c r="Q20" i="28"/>
  <c r="Q8" i="28"/>
  <c r="Q523" i="28"/>
  <c r="Q511" i="28"/>
  <c r="Q499" i="28"/>
  <c r="Q487" i="28"/>
  <c r="Q475" i="28"/>
  <c r="Q463" i="28"/>
  <c r="Q451" i="28"/>
  <c r="Q439" i="28"/>
  <c r="Q427" i="28"/>
  <c r="Q415" i="28"/>
  <c r="Q403" i="28"/>
  <c r="Q391" i="28"/>
  <c r="Q379" i="28"/>
  <c r="Q367" i="28"/>
  <c r="Q355" i="28"/>
  <c r="Q343" i="28"/>
  <c r="Q331" i="28"/>
  <c r="Q319" i="28"/>
  <c r="Q307" i="28"/>
  <c r="Q295" i="28"/>
  <c r="Q283" i="28"/>
  <c r="Q271" i="28"/>
  <c r="Q259" i="28"/>
  <c r="Q247" i="28"/>
  <c r="Q223" i="28"/>
  <c r="Q211" i="28"/>
  <c r="Q199" i="28"/>
  <c r="Q187" i="28"/>
  <c r="Q175" i="28"/>
  <c r="Q163" i="28"/>
  <c r="Q151" i="28"/>
  <c r="Q139" i="28"/>
  <c r="Q127" i="28"/>
  <c r="Q115" i="28"/>
  <c r="Q103" i="28"/>
  <c r="Q91" i="28"/>
  <c r="Q79" i="28"/>
  <c r="Q67" i="28"/>
  <c r="Q55" i="28"/>
  <c r="Q43" i="28"/>
  <c r="Q31" i="28"/>
  <c r="Q19" i="28"/>
  <c r="Q7" i="28"/>
  <c r="Q522" i="28"/>
  <c r="Q510" i="28"/>
  <c r="Q498" i="28"/>
  <c r="Q486" i="28"/>
  <c r="Q474" i="28"/>
  <c r="Q462" i="28"/>
  <c r="Q450" i="28"/>
  <c r="Q438" i="28"/>
  <c r="Q426" i="28"/>
  <c r="Q414" i="28"/>
  <c r="Q402" i="28"/>
  <c r="Q390" i="28"/>
  <c r="Q378" i="28"/>
  <c r="Q366" i="28"/>
  <c r="Q354" i="28"/>
  <c r="Q342" i="28"/>
  <c r="Q330" i="28"/>
  <c r="Q318" i="28"/>
  <c r="Q306" i="28"/>
  <c r="Q294" i="28"/>
  <c r="Q282" i="28"/>
  <c r="Q270" i="28"/>
  <c r="Q258" i="28"/>
  <c r="Q246" i="28"/>
  <c r="Q234" i="28"/>
  <c r="Q222" i="28"/>
  <c r="Q210" i="28"/>
  <c r="Q198" i="28"/>
  <c r="Q186" i="28"/>
  <c r="Q174" i="28"/>
  <c r="Q162" i="28"/>
  <c r="Q150" i="28"/>
  <c r="Q138" i="28"/>
  <c r="Q126" i="28"/>
  <c r="Q114" i="28"/>
  <c r="Q102" i="28"/>
  <c r="Q90" i="28"/>
  <c r="Q78" i="28"/>
  <c r="Q66" i="28"/>
  <c r="Q54" i="28"/>
  <c r="Q42" i="28"/>
  <c r="Q30" i="28"/>
  <c r="Q18" i="28"/>
  <c r="M6" i="28" a="1"/>
  <c r="M6" i="28" s="1"/>
  <c r="Q6" i="28" s="1"/>
  <c r="U3" i="28" a="1"/>
  <c r="U3" i="28" s="1"/>
  <c r="V3" i="28" s="1"/>
  <c r="M11" i="29" l="1"/>
  <c r="AD4" i="29"/>
  <c r="AD11" i="29"/>
  <c r="U4" i="28" a="1"/>
  <c r="U4" i="28" s="1"/>
  <c r="V4" i="28" s="1"/>
  <c r="S4" i="28"/>
  <c r="T4" i="28" s="1"/>
  <c r="I12" i="29" l="1"/>
  <c r="N10" i="29"/>
  <c r="K12" i="29"/>
  <c r="N7" i="29"/>
  <c r="N9" i="29"/>
  <c r="N5" i="29"/>
  <c r="J12" i="29"/>
  <c r="L12" i="29"/>
  <c r="B12" i="29"/>
  <c r="N6" i="29"/>
  <c r="N4" i="29"/>
  <c r="N8" i="29"/>
  <c r="J8" i="25" a="1"/>
  <c r="J8" i="25" s="1"/>
  <c r="J9" i="25" a="1"/>
  <c r="J9" i="25"/>
  <c r="J10" i="25" a="1"/>
  <c r="J10" i="25"/>
  <c r="J11" i="25" a="1"/>
  <c r="J11" i="25"/>
  <c r="J12" i="25" a="1"/>
  <c r="J12" i="25"/>
  <c r="J13" i="25" a="1"/>
  <c r="J13" i="25"/>
  <c r="J14" i="25" a="1"/>
  <c r="J14" i="25" s="1"/>
  <c r="J15" i="25" a="1"/>
  <c r="J15" i="25"/>
  <c r="J16" i="25" a="1"/>
  <c r="J16" i="25"/>
  <c r="J17" i="25" a="1"/>
  <c r="J17" i="25"/>
  <c r="J18" i="25" a="1"/>
  <c r="J18" i="25"/>
  <c r="J19" i="25" a="1"/>
  <c r="J19" i="25"/>
  <c r="J20" i="25" a="1"/>
  <c r="J20" i="25" s="1"/>
  <c r="J21" i="25" a="1"/>
  <c r="J21" i="25" s="1"/>
  <c r="J22" i="25" a="1"/>
  <c r="J22" i="25"/>
  <c r="J23" i="25" a="1"/>
  <c r="J23" i="25" s="1"/>
  <c r="J24" i="25" a="1"/>
  <c r="J24" i="25" s="1"/>
  <c r="J25" i="25" a="1"/>
  <c r="J25" i="25"/>
  <c r="J26" i="25" a="1"/>
  <c r="J26" i="25" s="1"/>
  <c r="J27" i="25" a="1"/>
  <c r="J27" i="25"/>
  <c r="J28" i="25" a="1"/>
  <c r="J28" i="25" s="1"/>
  <c r="J29" i="25" a="1"/>
  <c r="J29" i="25"/>
  <c r="J30" i="25" a="1"/>
  <c r="J30" i="25"/>
  <c r="J31" i="25" a="1"/>
  <c r="J31" i="25"/>
  <c r="J32" i="25" a="1"/>
  <c r="J32" i="25" s="1"/>
  <c r="J33" i="25" a="1"/>
  <c r="J33" i="25" s="1"/>
  <c r="J34" i="25" a="1"/>
  <c r="J34" i="25" s="1"/>
  <c r="J35" i="25" a="1"/>
  <c r="J35" i="25"/>
  <c r="J36" i="25" a="1"/>
  <c r="J36" i="25" s="1"/>
  <c r="J37" i="25" a="1"/>
  <c r="J37" i="25" s="1"/>
  <c r="J38" i="25" a="1"/>
  <c r="J38" i="25" s="1"/>
  <c r="J39" i="25" a="1"/>
  <c r="J39" i="25"/>
  <c r="J40" i="25" a="1"/>
  <c r="J40" i="25" s="1"/>
  <c r="J41" i="25" a="1"/>
  <c r="J41" i="25" s="1"/>
  <c r="J42" i="25" a="1"/>
  <c r="J42" i="25"/>
  <c r="J43" i="25" a="1"/>
  <c r="J43" i="25"/>
  <c r="J44" i="25" a="1"/>
  <c r="J44" i="25" s="1"/>
  <c r="J45" i="25" a="1"/>
  <c r="J45" i="25" s="1"/>
  <c r="J46" i="25" a="1"/>
  <c r="J46" i="25" s="1"/>
  <c r="J47" i="25" a="1"/>
  <c r="J47" i="25" s="1"/>
  <c r="J48" i="25" a="1"/>
  <c r="J48" i="25"/>
  <c r="J49" i="25" a="1"/>
  <c r="J49" i="25" s="1"/>
  <c r="J50" i="25" a="1"/>
  <c r="J50" i="25" s="1"/>
  <c r="J51" i="25" a="1"/>
  <c r="J51" i="25"/>
  <c r="J52" i="25" a="1"/>
  <c r="J52" i="25" s="1"/>
  <c r="J53" i="25" a="1"/>
  <c r="J53" i="25" s="1"/>
  <c r="J54" i="25" a="1"/>
  <c r="J54" i="25" s="1"/>
  <c r="J55" i="25" a="1"/>
  <c r="J55" i="25"/>
  <c r="J56" i="25" a="1"/>
  <c r="J56" i="25" s="1"/>
  <c r="J57" i="25" a="1"/>
  <c r="J57" i="25" s="1"/>
  <c r="J58" i="25" a="1"/>
  <c r="J58" i="25" s="1"/>
  <c r="J59" i="25" a="1"/>
  <c r="J59" i="25"/>
  <c r="J60" i="25" a="1"/>
  <c r="J60" i="25" s="1"/>
  <c r="J61" i="25" a="1"/>
  <c r="J61" i="25"/>
  <c r="J62" i="25" a="1"/>
  <c r="J62" i="25" s="1"/>
  <c r="J63" i="25" a="1"/>
  <c r="J63" i="25"/>
  <c r="J64" i="25" a="1"/>
  <c r="J64" i="25"/>
  <c r="J65" i="25" a="1"/>
  <c r="J65" i="25" s="1"/>
  <c r="J66" i="25" a="1"/>
  <c r="J66" i="25"/>
  <c r="J67" i="25" a="1"/>
  <c r="J67" i="25" s="1"/>
  <c r="J68" i="25" a="1"/>
  <c r="J68" i="25" s="1"/>
  <c r="J69" i="25" a="1"/>
  <c r="J69" i="25" s="1"/>
  <c r="J70" i="25" a="1"/>
  <c r="J70" i="25" s="1"/>
  <c r="J71" i="25" a="1"/>
  <c r="J71" i="25" s="1"/>
  <c r="J72" i="25" a="1"/>
  <c r="J72" i="25" s="1"/>
  <c r="J73" i="25" a="1"/>
  <c r="J73" i="25" s="1"/>
  <c r="J74" i="25" a="1"/>
  <c r="J74" i="25" s="1"/>
  <c r="J75" i="25" a="1"/>
  <c r="J75" i="25"/>
  <c r="J76" i="25" a="1"/>
  <c r="J76" i="25"/>
  <c r="J77" i="25" a="1"/>
  <c r="J77" i="25"/>
  <c r="J78" i="25" a="1"/>
  <c r="J78" i="25" s="1"/>
  <c r="J79" i="25" a="1"/>
  <c r="J79" i="25" s="1"/>
  <c r="J80" i="25" a="1"/>
  <c r="J80" i="25" s="1"/>
  <c r="J81" i="25" a="1"/>
  <c r="J81" i="25"/>
  <c r="J82" i="25" a="1"/>
  <c r="J82" i="25" s="1"/>
  <c r="J83" i="25" a="1"/>
  <c r="J83" i="25" s="1"/>
  <c r="J84" i="25" a="1"/>
  <c r="J84" i="25"/>
  <c r="J85" i="25" a="1"/>
  <c r="J85" i="25"/>
  <c r="J86" i="25" a="1"/>
  <c r="J86" i="25" s="1"/>
  <c r="J87" i="25" a="1"/>
  <c r="J87" i="25" s="1"/>
  <c r="J88" i="25" a="1"/>
  <c r="J88" i="25"/>
  <c r="J89" i="25" a="1"/>
  <c r="J89" i="25"/>
  <c r="J90" i="25" a="1"/>
  <c r="J90" i="25"/>
  <c r="J91" i="25" a="1"/>
  <c r="J91" i="25" s="1"/>
  <c r="J92" i="25" a="1"/>
  <c r="J92" i="25" s="1"/>
  <c r="J93" i="25" a="1"/>
  <c r="J93" i="25" s="1"/>
  <c r="J94" i="25" a="1"/>
  <c r="J94" i="25"/>
  <c r="J95" i="25" a="1"/>
  <c r="J95" i="25" s="1"/>
  <c r="J96" i="25" a="1"/>
  <c r="J96" i="25" s="1"/>
  <c r="J97" i="25" a="1"/>
  <c r="J97" i="25"/>
  <c r="J98" i="25" a="1"/>
  <c r="J98" i="25" s="1"/>
  <c r="J99" i="25" a="1"/>
  <c r="J99" i="25" s="1"/>
  <c r="J100" i="25" a="1"/>
  <c r="J100" i="25" s="1"/>
  <c r="J101" i="25" a="1"/>
  <c r="J101" i="25"/>
  <c r="J102" i="25" a="1"/>
  <c r="J102" i="25"/>
  <c r="J103" i="25" a="1"/>
  <c r="J103" i="25"/>
  <c r="J104" i="25" a="1"/>
  <c r="J104" i="25" s="1"/>
  <c r="J105" i="25" a="1"/>
  <c r="J105" i="25"/>
  <c r="J106" i="25" a="1"/>
  <c r="J106" i="25" s="1"/>
  <c r="J107" i="25" a="1"/>
  <c r="J107" i="25"/>
  <c r="J108" i="25" a="1"/>
  <c r="J108" i="25" s="1"/>
  <c r="J109" i="25" a="1"/>
  <c r="J109" i="25" s="1"/>
  <c r="J110" i="25" a="1"/>
  <c r="J110" i="25" s="1"/>
  <c r="J111" i="25" a="1"/>
  <c r="J111" i="25" s="1"/>
  <c r="J112" i="25" a="1"/>
  <c r="J112" i="25" s="1"/>
  <c r="J113" i="25" a="1"/>
  <c r="J113" i="25" s="1"/>
  <c r="J114" i="25" a="1"/>
  <c r="J114" i="25"/>
  <c r="J115" i="25" a="1"/>
  <c r="J115" i="25"/>
  <c r="J116" i="25" a="1"/>
  <c r="J116" i="25" s="1"/>
  <c r="J117" i="25" a="1"/>
  <c r="J117" i="25" s="1"/>
  <c r="J118" i="25" a="1"/>
  <c r="J118" i="25" s="1"/>
  <c r="J119" i="25" a="1"/>
  <c r="J119" i="25" s="1"/>
  <c r="J120" i="25" a="1"/>
  <c r="J120" i="25"/>
  <c r="J121" i="25" a="1"/>
  <c r="J121" i="25" s="1"/>
  <c r="J122" i="25" a="1"/>
  <c r="J122" i="25" s="1"/>
  <c r="J123" i="25" a="1"/>
  <c r="J123" i="25"/>
  <c r="J124" i="25" a="1"/>
  <c r="J124" i="25"/>
  <c r="J125" i="25" a="1"/>
  <c r="J125" i="25"/>
  <c r="J126" i="25" a="1"/>
  <c r="J126" i="25" s="1"/>
  <c r="J127" i="25" a="1"/>
  <c r="J127" i="25"/>
  <c r="J128" i="25" a="1"/>
  <c r="J128" i="25" s="1"/>
  <c r="J129" i="25" a="1"/>
  <c r="J129" i="25" s="1"/>
  <c r="J130" i="25" a="1"/>
  <c r="J130" i="25" s="1"/>
  <c r="J131" i="25" a="1"/>
  <c r="J131" i="25"/>
  <c r="J132" i="25" a="1"/>
  <c r="J132" i="25" s="1"/>
  <c r="J133" i="25" a="1"/>
  <c r="J133" i="25"/>
  <c r="J134" i="25" a="1"/>
  <c r="J134" i="25" s="1"/>
  <c r="J135" i="25" a="1"/>
  <c r="J135" i="25"/>
  <c r="J136" i="25" a="1"/>
  <c r="J136" i="25"/>
  <c r="J137" i="25" a="1"/>
  <c r="J137" i="25" s="1"/>
  <c r="J138" i="25" a="1"/>
  <c r="J138" i="25"/>
  <c r="J139" i="25" a="1"/>
  <c r="J139" i="25" s="1"/>
  <c r="J140" i="25" a="1"/>
  <c r="J140" i="25" s="1"/>
  <c r="J141" i="25" a="1"/>
  <c r="J141" i="25" s="1"/>
  <c r="J142" i="25" a="1"/>
  <c r="J142" i="25" s="1"/>
  <c r="J143" i="25" a="1"/>
  <c r="J143" i="25" s="1"/>
  <c r="J144" i="25" a="1"/>
  <c r="J144" i="25"/>
  <c r="J145" i="25" a="1"/>
  <c r="J145" i="25" s="1"/>
  <c r="J146" i="25" a="1"/>
  <c r="J146" i="25" s="1"/>
  <c r="J147" i="25" a="1"/>
  <c r="J147" i="25"/>
  <c r="J148" i="25" a="1"/>
  <c r="J148" i="25"/>
  <c r="J149" i="25" a="1"/>
  <c r="J149" i="25"/>
  <c r="J150" i="25" a="1"/>
  <c r="J150" i="25" s="1"/>
  <c r="J151" i="25" a="1"/>
  <c r="J151" i="25"/>
  <c r="J152" i="25" a="1"/>
  <c r="J152" i="25" s="1"/>
  <c r="J153" i="25" a="1"/>
  <c r="J153" i="25"/>
  <c r="J154" i="25" a="1"/>
  <c r="J154" i="25" s="1"/>
  <c r="J155" i="25" a="1"/>
  <c r="J155" i="25" s="1"/>
  <c r="J156" i="25" a="1"/>
  <c r="J156" i="25"/>
  <c r="J157" i="25" a="1"/>
  <c r="J157" i="25"/>
  <c r="J158" i="25" a="1"/>
  <c r="J158" i="25" s="1"/>
  <c r="J159" i="25" a="1"/>
  <c r="J159" i="25" s="1"/>
  <c r="J160" i="25" a="1"/>
  <c r="J160" i="25"/>
  <c r="J161" i="25" a="1"/>
  <c r="J161" i="25"/>
  <c r="J162" i="25" a="1"/>
  <c r="J162" i="25"/>
  <c r="J163" i="25" a="1"/>
  <c r="J163" i="25"/>
  <c r="J164" i="25" a="1"/>
  <c r="J164" i="25" s="1"/>
  <c r="J165" i="25" a="1"/>
  <c r="J165" i="25" s="1"/>
  <c r="J166" i="25" a="1"/>
  <c r="J166" i="25"/>
  <c r="J167" i="25" a="1"/>
  <c r="J167" i="25" s="1"/>
  <c r="J168" i="25" a="1"/>
  <c r="J168" i="25" s="1"/>
  <c r="J169" i="25" a="1"/>
  <c r="J169" i="25"/>
  <c r="J170" i="25" a="1"/>
  <c r="J170" i="25" s="1"/>
  <c r="J171" i="25" a="1"/>
  <c r="J171" i="25" s="1"/>
  <c r="J172" i="25" a="1"/>
  <c r="J172" i="25" s="1"/>
  <c r="J173" i="25" a="1"/>
  <c r="J173" i="25"/>
  <c r="J174" i="25" a="1"/>
  <c r="J174" i="25"/>
  <c r="J175" i="25" a="1"/>
  <c r="J175" i="25"/>
  <c r="J176" i="25" a="1"/>
  <c r="J176" i="25" s="1"/>
  <c r="J177" i="25" a="1"/>
  <c r="J177" i="25" s="1"/>
  <c r="J178" i="25" a="1"/>
  <c r="J178" i="25" s="1"/>
  <c r="J179" i="25" a="1"/>
  <c r="J179" i="25"/>
  <c r="J180" i="25" a="1"/>
  <c r="J180" i="25" s="1"/>
  <c r="J181" i="25" a="1"/>
  <c r="J181" i="25" s="1"/>
  <c r="J182" i="25" a="1"/>
  <c r="J182" i="25" s="1"/>
  <c r="J183" i="25" a="1"/>
  <c r="J183" i="25"/>
  <c r="J184" i="25" a="1"/>
  <c r="J184" i="25" s="1"/>
  <c r="J185" i="25" a="1"/>
  <c r="J185" i="25" s="1"/>
  <c r="J186" i="25" a="1"/>
  <c r="J186" i="25"/>
  <c r="J187" i="25" a="1"/>
  <c r="J187" i="25"/>
  <c r="J188" i="25" a="1"/>
  <c r="J188" i="25" s="1"/>
  <c r="J189" i="25" a="1"/>
  <c r="J189" i="25" s="1"/>
  <c r="J190" i="25" a="1"/>
  <c r="J190" i="25"/>
  <c r="J191" i="25" a="1"/>
  <c r="J191" i="25" s="1"/>
  <c r="J192" i="25" a="1"/>
  <c r="J192" i="25"/>
  <c r="J193" i="25" a="1"/>
  <c r="J193" i="25" s="1"/>
  <c r="J194" i="25" a="1"/>
  <c r="J194" i="25" s="1"/>
  <c r="J195" i="25" a="1"/>
  <c r="J195" i="25"/>
  <c r="J196" i="25" a="1"/>
  <c r="J196" i="25" s="1"/>
  <c r="J197" i="25" a="1"/>
  <c r="J197" i="25"/>
  <c r="J198" i="25" a="1"/>
  <c r="J198" i="25" s="1"/>
  <c r="J199" i="25" a="1"/>
  <c r="J199" i="25"/>
  <c r="J200" i="25" a="1"/>
  <c r="J200" i="25" s="1"/>
  <c r="J201" i="25" a="1"/>
  <c r="J201" i="25" s="1"/>
  <c r="J202" i="25" a="1"/>
  <c r="J202" i="25" s="1"/>
  <c r="J203" i="25" a="1"/>
  <c r="J203" i="25"/>
  <c r="J204" i="25" a="1"/>
  <c r="J204" i="25" s="1"/>
  <c r="J205" i="25" a="1"/>
  <c r="J205" i="25"/>
  <c r="J206" i="25" a="1"/>
  <c r="J206" i="25" s="1"/>
  <c r="J207" i="25" a="1"/>
  <c r="J207" i="25"/>
  <c r="J208" i="25" a="1"/>
  <c r="J208" i="25"/>
  <c r="J209" i="25" a="1"/>
  <c r="J209" i="25" s="1"/>
  <c r="J210" i="25" a="1"/>
  <c r="J210" i="25"/>
  <c r="J211" i="25" a="1"/>
  <c r="J211" i="25" s="1"/>
  <c r="J212" i="25" a="1"/>
  <c r="J212" i="25" s="1"/>
  <c r="J213" i="25" a="1"/>
  <c r="J213" i="25" s="1"/>
  <c r="J214" i="25" a="1"/>
  <c r="J214" i="25" s="1"/>
  <c r="J215" i="25" a="1"/>
  <c r="J215" i="25" s="1"/>
  <c r="J216" i="25" a="1"/>
  <c r="J216" i="25" s="1"/>
  <c r="J217" i="25" a="1"/>
  <c r="J217" i="25" s="1"/>
  <c r="J218" i="25" a="1"/>
  <c r="J218" i="25" s="1"/>
  <c r="J219" i="25" a="1"/>
  <c r="J219" i="25"/>
  <c r="J220" i="25" a="1"/>
  <c r="J220" i="25"/>
  <c r="J221" i="25" a="1"/>
  <c r="J221" i="25"/>
  <c r="J222" i="25" a="1"/>
  <c r="J222" i="25" s="1"/>
  <c r="J223" i="25" a="1"/>
  <c r="J223" i="25" s="1"/>
  <c r="J224" i="25" a="1"/>
  <c r="J224" i="25" s="1"/>
  <c r="J225" i="25" a="1"/>
  <c r="J225" i="25"/>
  <c r="J226" i="25" a="1"/>
  <c r="J226" i="25" s="1"/>
  <c r="J227" i="25" a="1"/>
  <c r="J227" i="25" s="1"/>
  <c r="J228" i="25" a="1"/>
  <c r="J228" i="25"/>
  <c r="J229" i="25" a="1"/>
  <c r="J229" i="25" s="1"/>
  <c r="J230" i="25" a="1"/>
  <c r="J230" i="25" s="1"/>
  <c r="J231" i="25" a="1"/>
  <c r="J231" i="25"/>
  <c r="J232" i="25" a="1"/>
  <c r="J232" i="25"/>
  <c r="J233" i="25" a="1"/>
  <c r="J233" i="25"/>
  <c r="J234" i="25" a="1"/>
  <c r="J234" i="25"/>
  <c r="J235" i="25" a="1"/>
  <c r="J235" i="25"/>
  <c r="J236" i="25" a="1"/>
  <c r="J236" i="25" s="1"/>
  <c r="J237" i="25" a="1"/>
  <c r="J237" i="25" s="1"/>
  <c r="J238" i="25" a="1"/>
  <c r="J238" i="25"/>
  <c r="J239" i="25" a="1"/>
  <c r="J239" i="25" s="1"/>
  <c r="J240" i="25" a="1"/>
  <c r="J240" i="25" s="1"/>
  <c r="J241" i="25" a="1"/>
  <c r="J241" i="25"/>
  <c r="J242" i="25" a="1"/>
  <c r="J242" i="25" s="1"/>
  <c r="J243" i="25" a="1"/>
  <c r="J243" i="25"/>
  <c r="J244" i="25" a="1"/>
  <c r="J244" i="25"/>
  <c r="J245" i="25" a="1"/>
  <c r="J245" i="25"/>
  <c r="J246" i="25" a="1"/>
  <c r="J246" i="25"/>
  <c r="J247" i="25" a="1"/>
  <c r="J247" i="25"/>
  <c r="J248" i="25" a="1"/>
  <c r="J248" i="25" s="1"/>
  <c r="J249" i="25" a="1"/>
  <c r="J249" i="25" s="1"/>
  <c r="J250" i="25" a="1"/>
  <c r="J250" i="25" s="1"/>
  <c r="J251" i="25" a="1"/>
  <c r="J251" i="25"/>
  <c r="J252" i="25" a="1"/>
  <c r="J252" i="25" s="1"/>
  <c r="J253" i="25" a="1"/>
  <c r="J253" i="25" s="1"/>
  <c r="J254" i="25" a="1"/>
  <c r="J254" i="25" s="1"/>
  <c r="J255" i="25" a="1"/>
  <c r="J255" i="25" s="1"/>
  <c r="J256" i="25" a="1"/>
  <c r="J256" i="25"/>
  <c r="J257" i="25" a="1"/>
  <c r="J257" i="25" s="1"/>
  <c r="J258" i="25" a="1"/>
  <c r="J258" i="25"/>
  <c r="J259" i="25" a="1"/>
  <c r="J259" i="25"/>
  <c r="J260" i="25" a="1"/>
  <c r="J260" i="25" s="1"/>
  <c r="J261" i="25" a="1"/>
  <c r="J261" i="25" s="1"/>
  <c r="J262" i="25" a="1"/>
  <c r="J262" i="25" s="1"/>
  <c r="J263" i="25" a="1"/>
  <c r="J263" i="25" s="1"/>
  <c r="J264" i="25" a="1"/>
  <c r="J264" i="25"/>
  <c r="J265" i="25" a="1"/>
  <c r="J265" i="25" s="1"/>
  <c r="J266" i="25" a="1"/>
  <c r="J266" i="25" s="1"/>
  <c r="J267" i="25" a="1"/>
  <c r="J267" i="25"/>
  <c r="J268" i="25" a="1"/>
  <c r="J268" i="25"/>
  <c r="J269" i="25" a="1"/>
  <c r="J269" i="25" s="1"/>
  <c r="J270" i="25" a="1"/>
  <c r="J270" i="25" s="1"/>
  <c r="J271" i="25" a="1"/>
  <c r="J271" i="25"/>
  <c r="J272" i="25" a="1"/>
  <c r="J272" i="25" s="1"/>
  <c r="J273" i="25" a="1"/>
  <c r="J273" i="25" s="1"/>
  <c r="J274" i="25" a="1"/>
  <c r="J274" i="25"/>
  <c r="J275" i="25" a="1"/>
  <c r="J275" i="25" s="1"/>
  <c r="J276" i="25" a="1"/>
  <c r="J276" i="25" s="1"/>
  <c r="J277" i="25" a="1"/>
  <c r="J277" i="25"/>
  <c r="J278" i="25" a="1"/>
  <c r="J278" i="25" s="1"/>
  <c r="J279" i="25" a="1"/>
  <c r="J279" i="25"/>
  <c r="J280" i="25" a="1"/>
  <c r="J280" i="25"/>
  <c r="J281" i="25" a="1"/>
  <c r="J281" i="25"/>
  <c r="J282" i="25" a="1"/>
  <c r="J282" i="25" s="1"/>
  <c r="J283" i="25" a="1"/>
  <c r="J283" i="25" s="1"/>
  <c r="J284" i="25" a="1"/>
  <c r="J284" i="25" s="1"/>
  <c r="J285" i="25" a="1"/>
  <c r="J285" i="25" s="1"/>
  <c r="J286" i="25" a="1"/>
  <c r="J286" i="25" s="1"/>
  <c r="J287" i="25" a="1"/>
  <c r="J287" i="25"/>
  <c r="J288" i="25" a="1"/>
  <c r="J288" i="25" s="1"/>
  <c r="J289" i="25" a="1"/>
  <c r="J289" i="25" s="1"/>
  <c r="J290" i="25" a="1"/>
  <c r="J290" i="25" s="1"/>
  <c r="J291" i="25" a="1"/>
  <c r="J291" i="25" s="1"/>
  <c r="J292" i="25" a="1"/>
  <c r="J292" i="25"/>
  <c r="J293" i="25" a="1"/>
  <c r="J293" i="25"/>
  <c r="J294" i="25" a="1"/>
  <c r="J294" i="25"/>
  <c r="J295" i="25" a="1"/>
  <c r="J295" i="25" s="1"/>
  <c r="J296" i="25" a="1"/>
  <c r="J296" i="25" s="1"/>
  <c r="J297" i="25" a="1"/>
  <c r="J297" i="25"/>
  <c r="J298" i="25" a="1"/>
  <c r="J298" i="25" s="1"/>
  <c r="J299" i="25" a="1"/>
  <c r="J299" i="25" s="1"/>
  <c r="J300" i="25" a="1"/>
  <c r="J300" i="25" s="1"/>
  <c r="J301" i="25" a="1"/>
  <c r="J301" i="25"/>
  <c r="J302" i="25" a="1"/>
  <c r="J302" i="25" s="1"/>
  <c r="J303" i="25" a="1"/>
  <c r="J303" i="25" s="1"/>
  <c r="J304" i="25" a="1"/>
  <c r="J304" i="25"/>
  <c r="J305" i="25" a="1"/>
  <c r="J305" i="25"/>
  <c r="J306" i="25" a="1"/>
  <c r="J306" i="25"/>
  <c r="J307" i="25" a="1"/>
  <c r="J307" i="25" s="1"/>
  <c r="J308" i="25" a="1"/>
  <c r="J308" i="25" s="1"/>
  <c r="J309" i="25" a="1"/>
  <c r="J309" i="25" s="1"/>
  <c r="J310" i="25" a="1"/>
  <c r="J310" i="25"/>
  <c r="J311" i="25" a="1"/>
  <c r="J311" i="25" s="1"/>
  <c r="J312" i="25" a="1"/>
  <c r="J312" i="25" s="1"/>
  <c r="J313" i="25" a="1"/>
  <c r="J313" i="25"/>
  <c r="J314" i="25" a="1"/>
  <c r="J314" i="25" s="1"/>
  <c r="J315" i="25" a="1"/>
  <c r="J315" i="25" s="1"/>
  <c r="J316" i="25" a="1"/>
  <c r="J316" i="25"/>
  <c r="J317" i="25" a="1"/>
  <c r="J317" i="25" s="1"/>
  <c r="J318" i="25" a="1"/>
  <c r="J318" i="25"/>
  <c r="J319" i="25" a="1"/>
  <c r="J319" i="25"/>
  <c r="J320" i="25" a="1"/>
  <c r="J320" i="25" s="1"/>
  <c r="J321" i="25" a="1"/>
  <c r="J321" i="25" s="1"/>
  <c r="J322" i="25" a="1"/>
  <c r="J322" i="25"/>
  <c r="J323" i="25" a="1"/>
  <c r="J323" i="25" s="1"/>
  <c r="J324" i="25" a="1"/>
  <c r="J324" i="25" s="1"/>
  <c r="J325" i="25" a="1"/>
  <c r="J325" i="25" s="1"/>
  <c r="J326" i="25" a="1"/>
  <c r="J326" i="25" s="1"/>
  <c r="J327" i="25" a="1"/>
  <c r="J327" i="25" s="1"/>
  <c r="J328" i="25" a="1"/>
  <c r="J328" i="25" s="1"/>
  <c r="J329" i="25" a="1"/>
  <c r="J329" i="25" s="1"/>
  <c r="J330" i="25" a="1"/>
  <c r="J330" i="25"/>
  <c r="J331" i="25" a="1"/>
  <c r="J331" i="25"/>
  <c r="J332" i="25" a="1"/>
  <c r="J332" i="25" s="1"/>
  <c r="J333" i="25" a="1"/>
  <c r="J333" i="25"/>
  <c r="J334" i="25" a="1"/>
  <c r="J334" i="25"/>
  <c r="J335" i="25" a="1"/>
  <c r="J335" i="25" s="1"/>
  <c r="J336" i="25" a="1"/>
  <c r="J336" i="25"/>
  <c r="J337" i="25" a="1"/>
  <c r="J337" i="25" s="1"/>
  <c r="J338" i="25" a="1"/>
  <c r="J338" i="25" s="1"/>
  <c r="J339" i="25" a="1"/>
  <c r="J339" i="25"/>
  <c r="J340" i="25" a="1"/>
  <c r="J340" i="25" s="1"/>
  <c r="J341" i="25" a="1"/>
  <c r="J341" i="25"/>
  <c r="J342" i="25" a="1"/>
  <c r="J342" i="25" s="1"/>
  <c r="J343" i="25" a="1"/>
  <c r="J343" i="25"/>
  <c r="J344" i="25" a="1"/>
  <c r="J344" i="25" s="1"/>
  <c r="J345" i="25" a="1"/>
  <c r="J345" i="25" s="1"/>
  <c r="J346" i="25" a="1"/>
  <c r="J346" i="25"/>
  <c r="J347" i="25" a="1"/>
  <c r="J347" i="25" s="1"/>
  <c r="J348" i="25" a="1"/>
  <c r="J348" i="25"/>
  <c r="J349" i="25" a="1"/>
  <c r="J349" i="25" s="1"/>
  <c r="J350" i="25" a="1"/>
  <c r="J350" i="25" s="1"/>
  <c r="J351" i="25" a="1"/>
  <c r="J351" i="25"/>
  <c r="J352" i="25" a="1"/>
  <c r="J352" i="25"/>
  <c r="J353" i="25" a="1"/>
  <c r="J353" i="25"/>
  <c r="J354" i="25" a="1"/>
  <c r="J354" i="25" s="1"/>
  <c r="J355" i="25" a="1"/>
  <c r="J355" i="25" s="1"/>
  <c r="J356" i="25" a="1"/>
  <c r="J356" i="25" s="1"/>
  <c r="J357" i="25" a="1"/>
  <c r="J357" i="25" s="1"/>
  <c r="J358" i="25" a="1"/>
  <c r="J358" i="25" s="1"/>
  <c r="J359" i="25" a="1"/>
  <c r="J359" i="25" s="1"/>
  <c r="J360" i="25" a="1"/>
  <c r="J360" i="25"/>
  <c r="J361" i="25" a="1"/>
  <c r="J361" i="25" s="1"/>
  <c r="J362" i="25" a="1"/>
  <c r="J362" i="25" s="1"/>
  <c r="J363" i="25" a="1"/>
  <c r="J363" i="25" s="1"/>
  <c r="J364" i="25" a="1"/>
  <c r="J364" i="25"/>
  <c r="J365" i="25" a="1"/>
  <c r="J365" i="25"/>
  <c r="J366" i="25" a="1"/>
  <c r="J366" i="25"/>
  <c r="J367" i="25" a="1"/>
  <c r="J367" i="25"/>
  <c r="J368" i="25" a="1"/>
  <c r="J368" i="25" s="1"/>
  <c r="J369" i="25" a="1"/>
  <c r="J369" i="25"/>
  <c r="J370" i="25" a="1"/>
  <c r="J370" i="25" s="1"/>
  <c r="J371" i="25" a="1"/>
  <c r="J371" i="25" s="1"/>
  <c r="J372" i="25" a="1"/>
  <c r="J372" i="25"/>
  <c r="J373" i="25" a="1"/>
  <c r="J373" i="25" s="1"/>
  <c r="J374" i="25" a="1"/>
  <c r="J374" i="25" s="1"/>
  <c r="J375" i="25" a="1"/>
  <c r="J375" i="25"/>
  <c r="J376" i="25" a="1"/>
  <c r="J376" i="25" s="1"/>
  <c r="J377" i="25" a="1"/>
  <c r="J377" i="25"/>
  <c r="J378" i="25" a="1"/>
  <c r="J378" i="25"/>
  <c r="J379" i="25" a="1"/>
  <c r="J379" i="25"/>
  <c r="J380" i="25" a="1"/>
  <c r="J380" i="25" s="1"/>
  <c r="J381" i="25" a="1"/>
  <c r="J381" i="25"/>
  <c r="J382" i="25" a="1"/>
  <c r="J382" i="25"/>
  <c r="J383" i="25" a="1"/>
  <c r="J383" i="25" s="1"/>
  <c r="J384" i="25" a="1"/>
  <c r="J384" i="25" s="1"/>
  <c r="J385" i="25" a="1"/>
  <c r="J385" i="25" s="1"/>
  <c r="J386" i="25" a="1"/>
  <c r="J386" i="25" s="1"/>
  <c r="J387" i="25" a="1"/>
  <c r="J387" i="25"/>
  <c r="J388" i="25" a="1"/>
  <c r="J388" i="25"/>
  <c r="J389" i="25" a="1"/>
  <c r="J389" i="25"/>
  <c r="J390" i="25" a="1"/>
  <c r="J390" i="25"/>
  <c r="J391" i="25" a="1"/>
  <c r="J391" i="25"/>
  <c r="J392" i="25" a="1"/>
  <c r="J392" i="25" s="1"/>
  <c r="J393" i="25" a="1"/>
  <c r="J393" i="25"/>
  <c r="J394" i="25" a="1"/>
  <c r="J394" i="25" s="1"/>
  <c r="J395" i="25" a="1"/>
  <c r="J395" i="25"/>
  <c r="J396" i="25" a="1"/>
  <c r="J396" i="25" s="1"/>
  <c r="J397" i="25" a="1"/>
  <c r="J397" i="25" s="1"/>
  <c r="J398" i="25" a="1"/>
  <c r="J398" i="25" s="1"/>
  <c r="J399" i="25" a="1"/>
  <c r="J399" i="25" s="1"/>
  <c r="J400" i="25" a="1"/>
  <c r="J400" i="25" s="1"/>
  <c r="J401" i="25" a="1"/>
  <c r="J401" i="25"/>
  <c r="J402" i="25" a="1"/>
  <c r="J402" i="25"/>
  <c r="J403" i="25" a="1"/>
  <c r="J403" i="25"/>
  <c r="J404" i="25" a="1"/>
  <c r="J404" i="25" s="1"/>
  <c r="J405" i="25" a="1"/>
  <c r="J405" i="25"/>
  <c r="J406" i="25" a="1"/>
  <c r="J406" i="25" s="1"/>
  <c r="J407" i="25" a="1"/>
  <c r="J407" i="25"/>
  <c r="J408" i="25" a="1"/>
  <c r="J408" i="25" s="1"/>
  <c r="J409" i="25" a="1"/>
  <c r="J409" i="25" s="1"/>
  <c r="J410" i="25" a="1"/>
  <c r="J410" i="25" s="1"/>
  <c r="J411" i="25" a="1"/>
  <c r="J411" i="25"/>
  <c r="J412" i="25" a="1"/>
  <c r="J412" i="25"/>
  <c r="J413" i="25" a="1"/>
  <c r="J413" i="25" s="1"/>
  <c r="J414" i="25" a="1"/>
  <c r="J414" i="25"/>
  <c r="J415" i="25" a="1"/>
  <c r="J415" i="25" s="1"/>
  <c r="J416" i="25" a="1"/>
  <c r="J416" i="25" s="1"/>
  <c r="J417" i="25" a="1"/>
  <c r="J417" i="25" s="1"/>
  <c r="J418" i="25" a="1"/>
  <c r="J418" i="25" s="1"/>
  <c r="J419" i="25" a="1"/>
  <c r="J419" i="25" s="1"/>
  <c r="J420" i="25" a="1"/>
  <c r="J420" i="25" s="1"/>
  <c r="J421" i="25" a="1"/>
  <c r="J421" i="25"/>
  <c r="J422" i="25" a="1"/>
  <c r="J422" i="25" s="1"/>
  <c r="J423" i="25" a="1"/>
  <c r="J423" i="25"/>
  <c r="J424" i="25" a="1"/>
  <c r="J424" i="25"/>
  <c r="J425" i="25" a="1"/>
  <c r="J425" i="25"/>
  <c r="J426" i="25" a="1"/>
  <c r="J426" i="25" s="1"/>
  <c r="J427" i="25" a="1"/>
  <c r="J427" i="25" s="1"/>
  <c r="J428" i="25" a="1"/>
  <c r="J428" i="25" s="1"/>
  <c r="J429" i="25" a="1"/>
  <c r="J429" i="25" s="1"/>
  <c r="J430" i="25" a="1"/>
  <c r="J430" i="25" s="1"/>
  <c r="J431" i="25" a="1"/>
  <c r="J431" i="25"/>
  <c r="J432" i="25" a="1"/>
  <c r="J432" i="25" s="1"/>
  <c r="J433" i="25" a="1"/>
  <c r="J433" i="25" s="1"/>
  <c r="J434" i="25" a="1"/>
  <c r="J434" i="25" s="1"/>
  <c r="J435" i="25" a="1"/>
  <c r="J435" i="25" s="1"/>
  <c r="J436" i="25" a="1"/>
  <c r="J436" i="25"/>
  <c r="J437" i="25" a="1"/>
  <c r="J437" i="25"/>
  <c r="J438" i="25" a="1"/>
  <c r="J438" i="25"/>
  <c r="J439" i="25" a="1"/>
  <c r="J439" i="25"/>
  <c r="J440" i="25" a="1"/>
  <c r="J440" i="25" s="1"/>
  <c r="J441" i="25" a="1"/>
  <c r="J441" i="25" s="1"/>
  <c r="J442" i="25" a="1"/>
  <c r="J442" i="25" s="1"/>
  <c r="J443" i="25" a="1"/>
  <c r="J443" i="25" s="1"/>
  <c r="J444" i="25" a="1"/>
  <c r="J444" i="25" s="1"/>
  <c r="J445" i="25" a="1"/>
  <c r="J445" i="25"/>
  <c r="J446" i="25" a="1"/>
  <c r="J446" i="25" s="1"/>
  <c r="J447" i="25" a="1"/>
  <c r="J447" i="25"/>
  <c r="J448" i="25" a="1"/>
  <c r="J448" i="25" s="1"/>
  <c r="J449" i="25" a="1"/>
  <c r="J449" i="25"/>
  <c r="J450" i="25" a="1"/>
  <c r="J450" i="25"/>
  <c r="J451" i="25" a="1"/>
  <c r="J451" i="25"/>
  <c r="J452" i="25" a="1"/>
  <c r="J452" i="25" s="1"/>
  <c r="J453" i="25" a="1"/>
  <c r="J453" i="25" s="1"/>
  <c r="J454" i="25" a="1"/>
  <c r="J454" i="25" s="1"/>
  <c r="J455" i="25" a="1"/>
  <c r="J455" i="25" s="1"/>
  <c r="J456" i="25" a="1"/>
  <c r="J456" i="25" s="1"/>
  <c r="J457" i="25" a="1"/>
  <c r="J457" i="25"/>
  <c r="J458" i="25" a="1"/>
  <c r="J458" i="25" s="1"/>
  <c r="J459" i="25" a="1"/>
  <c r="J459" i="25"/>
  <c r="J460" i="25" a="1"/>
  <c r="J460" i="25"/>
  <c r="J461" i="25" a="1"/>
  <c r="J461" i="25"/>
  <c r="J462" i="25" a="1"/>
  <c r="J462" i="25"/>
  <c r="J463" i="25" a="1"/>
  <c r="J463" i="25"/>
  <c r="J464" i="25" a="1"/>
  <c r="J464" i="25" s="1"/>
  <c r="J465" i="25" a="1"/>
  <c r="J465" i="25" s="1"/>
  <c r="J466" i="25" a="1"/>
  <c r="J466" i="25"/>
  <c r="J467" i="25" a="1"/>
  <c r="J467" i="25" s="1"/>
  <c r="J468" i="25" a="1"/>
  <c r="J468" i="25" s="1"/>
  <c r="J469" i="25" a="1"/>
  <c r="J469" i="25" s="1"/>
  <c r="J470" i="25" a="1"/>
  <c r="J470" i="25" s="1"/>
  <c r="J471" i="25" a="1"/>
  <c r="J471" i="25" s="1"/>
  <c r="J472" i="25" a="1"/>
  <c r="J472" i="25"/>
  <c r="J473" i="25" a="1"/>
  <c r="J473" i="25"/>
  <c r="J474" i="25" a="1"/>
  <c r="J474" i="25"/>
  <c r="J475" i="25" a="1"/>
  <c r="J475" i="25"/>
  <c r="J476" i="25" a="1"/>
  <c r="J476" i="25" s="1"/>
  <c r="J477" i="25" a="1"/>
  <c r="J477" i="25"/>
  <c r="J478" i="25" a="1"/>
  <c r="J478" i="25"/>
  <c r="J479" i="25" a="1"/>
  <c r="J479" i="25" s="1"/>
  <c r="J480" i="25" a="1"/>
  <c r="J480" i="25"/>
  <c r="J481" i="25" a="1"/>
  <c r="J481" i="25" s="1"/>
  <c r="J482" i="25" a="1"/>
  <c r="J482" i="25" s="1"/>
  <c r="J483" i="25" a="1"/>
  <c r="J483" i="25"/>
  <c r="J484" i="25" a="1"/>
  <c r="J484" i="25"/>
  <c r="J485" i="25" a="1"/>
  <c r="J485" i="25"/>
  <c r="J486" i="25" a="1"/>
  <c r="J486" i="25" s="1"/>
  <c r="J487" i="25" a="1"/>
  <c r="J487" i="25"/>
  <c r="J488" i="25" a="1"/>
  <c r="J488" i="25" s="1"/>
  <c r="J489" i="25" a="1"/>
  <c r="J489" i="25" s="1"/>
  <c r="J490" i="25" a="1"/>
  <c r="J490" i="25" s="1"/>
  <c r="J491" i="25" a="1"/>
  <c r="J491" i="25"/>
  <c r="J492" i="25" a="1"/>
  <c r="J492" i="25"/>
  <c r="J493" i="25" a="1"/>
  <c r="J493" i="25" s="1"/>
  <c r="J494" i="25" a="1"/>
  <c r="J494" i="25" s="1"/>
  <c r="J495" i="25" a="1"/>
  <c r="J495" i="25"/>
  <c r="J496" i="25" a="1"/>
  <c r="J496" i="25"/>
  <c r="J497" i="25" a="1"/>
  <c r="J497" i="25"/>
  <c r="J498" i="25" a="1"/>
  <c r="J498" i="25" s="1"/>
  <c r="J499" i="25" a="1"/>
  <c r="J499" i="25"/>
  <c r="J500" i="25" a="1"/>
  <c r="J500" i="25" s="1"/>
  <c r="J501" i="25" a="1"/>
  <c r="J501" i="25" s="1"/>
  <c r="J502" i="25" a="1"/>
  <c r="J502" i="25" s="1"/>
  <c r="J503" i="25" a="1"/>
  <c r="J503" i="25" s="1"/>
  <c r="J504" i="25" a="1"/>
  <c r="J504" i="25" s="1"/>
  <c r="J505" i="25" a="1"/>
  <c r="J505" i="25"/>
  <c r="J506" i="25" a="1"/>
  <c r="J506" i="25" s="1"/>
  <c r="J507" i="25" a="1"/>
  <c r="J507" i="25"/>
  <c r="J508" i="25" a="1"/>
  <c r="J508" i="25"/>
  <c r="J509" i="25" a="1"/>
  <c r="J509" i="25"/>
  <c r="J510" i="25" a="1"/>
  <c r="J510" i="25"/>
  <c r="J511" i="25" a="1"/>
  <c r="J511" i="25"/>
  <c r="J512" i="25" a="1"/>
  <c r="J512" i="25" s="1"/>
  <c r="J513" i="25" a="1"/>
  <c r="J513" i="25"/>
  <c r="J514" i="25" a="1"/>
  <c r="J514" i="25" s="1"/>
  <c r="J515" i="25" a="1"/>
  <c r="J515" i="25" s="1"/>
  <c r="J516" i="25" a="1"/>
  <c r="J516" i="25"/>
  <c r="J517" i="25" a="1"/>
  <c r="J517" i="25"/>
  <c r="J518" i="25" a="1"/>
  <c r="J518" i="25"/>
  <c r="J519" i="25" a="1"/>
  <c r="J519" i="25" s="1"/>
  <c r="J520" i="25" a="1"/>
  <c r="J520" i="25"/>
  <c r="J521" i="25" a="1"/>
  <c r="J521" i="25" s="1"/>
  <c r="J522" i="25" a="1"/>
  <c r="J522" i="25"/>
  <c r="J523" i="25" a="1"/>
  <c r="J523" i="25"/>
  <c r="J524" i="25" a="1"/>
  <c r="J524" i="25" s="1"/>
  <c r="J525" i="25" a="1"/>
  <c r="J525" i="25"/>
  <c r="J526" i="25" a="1"/>
  <c r="J526" i="25"/>
  <c r="J527" i="25" a="1"/>
  <c r="J527" i="25" s="1"/>
  <c r="J528" i="25" a="1"/>
  <c r="J528" i="25"/>
  <c r="J529" i="25" a="1"/>
  <c r="J529" i="25"/>
  <c r="J530" i="25" a="1"/>
  <c r="J530" i="25"/>
  <c r="J531" i="25" a="1"/>
  <c r="J531" i="25"/>
  <c r="J532" i="25" a="1"/>
  <c r="J532" i="25" s="1"/>
  <c r="J533" i="25" a="1"/>
  <c r="J533" i="25" s="1"/>
  <c r="J534" i="25" a="1"/>
  <c r="J534" i="25" s="1"/>
  <c r="J535" i="25" a="1"/>
  <c r="J535" i="25"/>
  <c r="J536" i="25" a="1"/>
  <c r="J536" i="25"/>
  <c r="J537" i="25" a="1"/>
  <c r="J537" i="25" s="1"/>
  <c r="J538" i="25" a="1"/>
  <c r="J538" i="25"/>
  <c r="J539" i="25" a="1"/>
  <c r="J539" i="25" s="1"/>
  <c r="J540" i="25" a="1"/>
  <c r="J540" i="25"/>
  <c r="J541" i="25" a="1"/>
  <c r="J541" i="25"/>
  <c r="J542" i="25" a="1"/>
  <c r="J542" i="25"/>
  <c r="J543" i="25" a="1"/>
  <c r="J543" i="25"/>
  <c r="J544" i="25" a="1"/>
  <c r="J544" i="25"/>
  <c r="J545" i="25" a="1"/>
  <c r="J545" i="25" s="1"/>
  <c r="J546" i="25" a="1"/>
  <c r="J546" i="25"/>
  <c r="J547" i="25" a="1"/>
  <c r="J547" i="25" s="1"/>
  <c r="J548" i="25" a="1"/>
  <c r="J548" i="25"/>
  <c r="J549" i="25" a="1"/>
  <c r="J549" i="25" s="1"/>
  <c r="J550" i="25" a="1"/>
  <c r="J550" i="25" s="1"/>
  <c r="J551" i="25" a="1"/>
  <c r="J551" i="25" s="1"/>
  <c r="J552" i="25" a="1"/>
  <c r="J552" i="25" s="1"/>
  <c r="J553" i="25" a="1"/>
  <c r="J553" i="25"/>
  <c r="J554" i="25" a="1"/>
  <c r="J554" i="25"/>
  <c r="J555" i="25" a="1"/>
  <c r="J555" i="25"/>
  <c r="J556" i="25" a="1"/>
  <c r="J556" i="25"/>
  <c r="J557" i="25" a="1"/>
  <c r="J557" i="25" s="1"/>
  <c r="J558" i="25" a="1"/>
  <c r="J558" i="25"/>
  <c r="J559" i="25" a="1"/>
  <c r="J559" i="25"/>
  <c r="J560" i="25" a="1"/>
  <c r="J560" i="25" s="1"/>
  <c r="J561" i="25" a="1"/>
  <c r="J561" i="25"/>
  <c r="J562" i="25" a="1"/>
  <c r="J562" i="25"/>
  <c r="J563" i="25" a="1"/>
  <c r="J563" i="25" s="1"/>
  <c r="J564" i="25" a="1"/>
  <c r="J564" i="25"/>
  <c r="J565" i="25" a="1"/>
  <c r="J565" i="25" s="1"/>
  <c r="J566" i="25" a="1"/>
  <c r="J566" i="25"/>
  <c r="J567" i="25" a="1"/>
  <c r="J567" i="25"/>
  <c r="J568" i="25" a="1"/>
  <c r="J568" i="25"/>
  <c r="J569" i="25" a="1"/>
  <c r="J569" i="25" s="1"/>
  <c r="J570" i="25" a="1"/>
  <c r="J570" i="25" s="1"/>
  <c r="J571" i="25" a="1"/>
  <c r="J571" i="25"/>
  <c r="J572" i="25" a="1"/>
  <c r="J572" i="25"/>
  <c r="J573" i="25" a="1"/>
  <c r="J573" i="25" s="1"/>
  <c r="J574" i="25" a="1"/>
  <c r="J574" i="25"/>
  <c r="J575" i="25" a="1"/>
  <c r="J575" i="25" s="1"/>
  <c r="J576" i="25" a="1"/>
  <c r="J576" i="25"/>
  <c r="J577" i="25" a="1"/>
  <c r="J577" i="25"/>
  <c r="J578" i="25" a="1"/>
  <c r="J578" i="25" s="1"/>
  <c r="J579" i="25" a="1"/>
  <c r="J579" i="25"/>
  <c r="J580" i="25" a="1"/>
  <c r="J580" i="25"/>
  <c r="J581" i="25" a="1"/>
  <c r="J581" i="25" s="1"/>
  <c r="J582" i="25" a="1"/>
  <c r="J582" i="25"/>
  <c r="J583" i="25" a="1"/>
  <c r="J583" i="25" s="1"/>
  <c r="J584" i="25" a="1"/>
  <c r="J584" i="25"/>
  <c r="J585" i="25" a="1"/>
  <c r="J585" i="25"/>
  <c r="J586" i="25" a="1"/>
  <c r="J586" i="25" s="1"/>
  <c r="J587" i="25" a="1"/>
  <c r="J587" i="25" s="1"/>
  <c r="J588" i="25" a="1"/>
  <c r="J588" i="25"/>
  <c r="J589" i="25" a="1"/>
  <c r="J589" i="25"/>
  <c r="J590" i="25" a="1"/>
  <c r="J590" i="25"/>
  <c r="J591" i="25" a="1"/>
  <c r="J591" i="25" s="1"/>
  <c r="J592" i="25" a="1"/>
  <c r="J592" i="25"/>
  <c r="J593" i="25" a="1"/>
  <c r="J593" i="25" s="1"/>
  <c r="J594" i="25" a="1"/>
  <c r="J594" i="25"/>
  <c r="J595" i="25" a="1"/>
  <c r="J595" i="25"/>
  <c r="J596" i="25" a="1"/>
  <c r="J596" i="25" s="1"/>
  <c r="J597" i="25" a="1"/>
  <c r="J597" i="25" s="1"/>
  <c r="J598" i="25" a="1"/>
  <c r="J598" i="25"/>
  <c r="J599" i="25" a="1"/>
  <c r="J599" i="25" s="1"/>
  <c r="J600" i="25" a="1"/>
  <c r="J600" i="25"/>
  <c r="J601" i="25" a="1"/>
  <c r="J601" i="25"/>
  <c r="J602" i="25" a="1"/>
  <c r="J602" i="25"/>
  <c r="J603" i="25" a="1"/>
  <c r="J603" i="25"/>
  <c r="J604" i="25" a="1"/>
  <c r="J604" i="25" s="1"/>
  <c r="J605" i="25" a="1"/>
  <c r="J605" i="25" s="1"/>
  <c r="J606" i="25" a="1"/>
  <c r="J606" i="25" s="1"/>
  <c r="J607" i="25" a="1"/>
  <c r="J607" i="25"/>
  <c r="J608" i="25" a="1"/>
  <c r="J608" i="25"/>
  <c r="J609" i="25" a="1"/>
  <c r="J609" i="25" s="1"/>
  <c r="J610" i="25" a="1"/>
  <c r="J610" i="25" s="1"/>
  <c r="J611" i="25" a="1"/>
  <c r="J611" i="25" s="1"/>
  <c r="J612" i="25" a="1"/>
  <c r="J612" i="25" s="1"/>
  <c r="J613" i="25" a="1"/>
  <c r="J613" i="25"/>
  <c r="J614" i="25" a="1"/>
  <c r="J614" i="25"/>
  <c r="J615" i="25" a="1"/>
  <c r="J615" i="25"/>
  <c r="J616" i="25" a="1"/>
  <c r="J616" i="25"/>
  <c r="J617" i="25" a="1"/>
  <c r="J617" i="25" s="1"/>
  <c r="J618" i="25" a="1"/>
  <c r="J618" i="25"/>
  <c r="J619" i="25" a="1"/>
  <c r="J619" i="25" s="1"/>
  <c r="J620" i="25" a="1"/>
  <c r="J620" i="25"/>
  <c r="J621" i="25" a="1"/>
  <c r="J621" i="25"/>
  <c r="J622" i="25" a="1"/>
  <c r="J622" i="25" s="1"/>
  <c r="J623" i="25" a="1"/>
  <c r="J623" i="25" s="1"/>
  <c r="J624" i="25" a="1"/>
  <c r="J624" i="25" s="1"/>
  <c r="J625" i="25" a="1"/>
  <c r="J625" i="25"/>
  <c r="J626" i="25" a="1"/>
  <c r="J626" i="25"/>
  <c r="J627" i="25" a="1"/>
  <c r="J627" i="25"/>
  <c r="J628" i="25" a="1"/>
  <c r="J628" i="25"/>
  <c r="J629" i="25" a="1"/>
  <c r="J629" i="25" s="1"/>
  <c r="J630" i="25" a="1"/>
  <c r="J630" i="25" s="1"/>
  <c r="J631" i="25" a="1"/>
  <c r="J631" i="25"/>
  <c r="J632" i="25" a="1"/>
  <c r="J632" i="25" s="1"/>
  <c r="J633" i="25" a="1"/>
  <c r="J633" i="25"/>
  <c r="J634" i="25" a="1"/>
  <c r="J634" i="25"/>
  <c r="J635" i="25" a="1"/>
  <c r="J635" i="25" s="1"/>
  <c r="J636" i="25" a="1"/>
  <c r="J636" i="25"/>
  <c r="J637" i="25" a="1"/>
  <c r="J637" i="25" s="1"/>
  <c r="J638" i="25" a="1"/>
  <c r="J638" i="25"/>
  <c r="J639" i="25" a="1"/>
  <c r="J639" i="25"/>
  <c r="J640" i="25" a="1"/>
  <c r="J640" i="25"/>
  <c r="J641" i="25" a="1"/>
  <c r="J641" i="25" s="1"/>
  <c r="J642" i="25" a="1"/>
  <c r="J642" i="25" s="1"/>
  <c r="J643" i="25" a="1"/>
  <c r="J643" i="25" s="1"/>
  <c r="J644" i="25" a="1"/>
  <c r="J644" i="25"/>
  <c r="J645" i="25" a="1"/>
  <c r="J645" i="25" s="1"/>
  <c r="J646" i="25" a="1"/>
  <c r="J646" i="25"/>
  <c r="J647" i="25" a="1"/>
  <c r="J647" i="25" s="1"/>
  <c r="J648" i="25" a="1"/>
  <c r="J648" i="25"/>
  <c r="J649" i="25" a="1"/>
  <c r="J649" i="25"/>
  <c r="J650" i="25" a="1"/>
  <c r="J650" i="25" s="1"/>
  <c r="J651" i="25" a="1"/>
  <c r="J651" i="25"/>
  <c r="J652" i="25" a="1"/>
  <c r="J652" i="25"/>
  <c r="J653" i="25" a="1"/>
  <c r="J653" i="25" s="1"/>
  <c r="J654" i="25" a="1"/>
  <c r="J654" i="25"/>
  <c r="J655" i="25" a="1"/>
  <c r="J655" i="25" s="1"/>
  <c r="J656" i="25" a="1"/>
  <c r="J656" i="25" s="1"/>
  <c r="J657" i="25" a="1"/>
  <c r="J657" i="25"/>
  <c r="J658" i="25" a="1"/>
  <c r="J658" i="25" s="1"/>
  <c r="J659" i="25" a="1"/>
  <c r="J659" i="25" s="1"/>
  <c r="J660" i="25" a="1"/>
  <c r="J660" i="25"/>
  <c r="J661" i="25" a="1"/>
  <c r="J661" i="25"/>
  <c r="J662" i="25" a="1"/>
  <c r="J662" i="25"/>
  <c r="J663" i="25" a="1"/>
  <c r="J663" i="25" s="1"/>
  <c r="J664" i="25" a="1"/>
  <c r="J664" i="25"/>
  <c r="J665" i="25" a="1"/>
  <c r="J665" i="25" s="1"/>
  <c r="J666" i="25" a="1"/>
  <c r="J666" i="25"/>
  <c r="J667" i="25" a="1"/>
  <c r="J667" i="25"/>
  <c r="J668" i="25" a="1"/>
  <c r="J668" i="25" s="1"/>
  <c r="J669" i="25" a="1"/>
  <c r="J669" i="25"/>
  <c r="J670" i="25" a="1"/>
  <c r="J670" i="25"/>
  <c r="J671" i="25" a="1"/>
  <c r="J671" i="25" s="1"/>
  <c r="J672" i="25" a="1"/>
  <c r="J672" i="25"/>
  <c r="J673" i="25" a="1"/>
  <c r="J673" i="25"/>
  <c r="J674" i="25" a="1"/>
  <c r="J674" i="25"/>
  <c r="J675" i="25" a="1"/>
  <c r="J675" i="25"/>
  <c r="J676" i="25" a="1"/>
  <c r="J676" i="25" s="1"/>
  <c r="J677" i="25" a="1"/>
  <c r="J677" i="25" s="1"/>
  <c r="J678" i="25" a="1"/>
  <c r="J678" i="25" s="1"/>
  <c r="J679" i="25" a="1"/>
  <c r="J679" i="25"/>
  <c r="J680" i="25" a="1"/>
  <c r="J680" i="25"/>
  <c r="J681" i="25" a="1"/>
  <c r="J681" i="25" s="1"/>
  <c r="J682" i="25" a="1"/>
  <c r="J682" i="25"/>
  <c r="J683" i="25" a="1"/>
  <c r="J683" i="25" s="1"/>
  <c r="J684" i="25" a="1"/>
  <c r="J684" i="25"/>
  <c r="J685" i="25" a="1"/>
  <c r="J685" i="25"/>
  <c r="J686" i="25" a="1"/>
  <c r="J686" i="25"/>
  <c r="J687" i="25" a="1"/>
  <c r="J687" i="25"/>
  <c r="J688" i="25" a="1"/>
  <c r="J688" i="25"/>
  <c r="J689" i="25" a="1"/>
  <c r="J689" i="25" s="1"/>
  <c r="J690" i="25" a="1"/>
  <c r="J690" i="25"/>
  <c r="J691" i="25" a="1"/>
  <c r="J691" i="25" s="1"/>
  <c r="J692" i="25" a="1"/>
  <c r="J692" i="25"/>
  <c r="J693" i="25" a="1"/>
  <c r="J693" i="25"/>
  <c r="J694" i="25" a="1"/>
  <c r="J694" i="25" s="1"/>
  <c r="J695" i="25" a="1"/>
  <c r="J695" i="25" s="1"/>
  <c r="J696" i="25" a="1"/>
  <c r="J696" i="25" s="1"/>
  <c r="J697" i="25" a="1"/>
  <c r="J697" i="25"/>
  <c r="J698" i="25" a="1"/>
  <c r="J698" i="25"/>
  <c r="J699" i="25" a="1"/>
  <c r="J699" i="25"/>
  <c r="J700" i="25" a="1"/>
  <c r="J700" i="25"/>
  <c r="J701" i="25" a="1"/>
  <c r="J701" i="25" s="1"/>
  <c r="J702" i="25" a="1"/>
  <c r="J702" i="25"/>
  <c r="J703" i="25" a="1"/>
  <c r="J703" i="25"/>
  <c r="J704" i="25" a="1"/>
  <c r="J704" i="25" s="1"/>
  <c r="J705" i="25" a="1"/>
  <c r="J705" i="25"/>
  <c r="J706" i="25" a="1"/>
  <c r="J706" i="25"/>
  <c r="J707" i="25" a="1"/>
  <c r="J707" i="25" s="1"/>
  <c r="J708" i="25" a="1"/>
  <c r="J708" i="25"/>
  <c r="J709" i="25" a="1"/>
  <c r="J709" i="25" s="1"/>
  <c r="J710" i="25" a="1"/>
  <c r="J710" i="25"/>
  <c r="J711" i="25" a="1"/>
  <c r="J711" i="25"/>
  <c r="J712" i="25" a="1"/>
  <c r="J712" i="25"/>
  <c r="J713" i="25" a="1"/>
  <c r="J713" i="25" s="1"/>
  <c r="J714" i="25" a="1"/>
  <c r="J714" i="25"/>
  <c r="J715" i="25" a="1"/>
  <c r="J715" i="25" s="1"/>
  <c r="J716" i="25" a="1"/>
  <c r="J716" i="25"/>
  <c r="J717" i="25" a="1"/>
  <c r="J717" i="25" s="1"/>
  <c r="J718" i="25" a="1"/>
  <c r="J718" i="25"/>
  <c r="J719" i="25" a="1"/>
  <c r="J719" i="25" s="1"/>
  <c r="J720" i="25" a="1"/>
  <c r="J720" i="25"/>
  <c r="J721" i="25" a="1"/>
  <c r="J721" i="25"/>
  <c r="J722" i="25" a="1"/>
  <c r="J722" i="25" s="1"/>
  <c r="J723" i="25" a="1"/>
  <c r="J723" i="25"/>
  <c r="J724" i="25" a="1"/>
  <c r="J724" i="25"/>
  <c r="J725" i="25" a="1"/>
  <c r="J725" i="25" s="1"/>
  <c r="J726" i="25" a="1"/>
  <c r="J726" i="25"/>
  <c r="J727" i="25" a="1"/>
  <c r="J727" i="25"/>
  <c r="J728" i="25" a="1"/>
  <c r="J728" i="25"/>
  <c r="J729" i="25" a="1"/>
  <c r="J729" i="25"/>
  <c r="J730" i="25" a="1"/>
  <c r="J730" i="25" s="1"/>
  <c r="J731" i="25" a="1"/>
  <c r="J731" i="25" s="1"/>
  <c r="J732" i="25" a="1"/>
  <c r="J732" i="25"/>
  <c r="J733" i="25" a="1"/>
  <c r="J733" i="25" s="1"/>
  <c r="J734" i="25" a="1"/>
  <c r="J734" i="25"/>
  <c r="J735" i="25" a="1"/>
  <c r="J735" i="25" s="1"/>
  <c r="J736" i="25" a="1"/>
  <c r="J736" i="25"/>
  <c r="J737" i="25" a="1"/>
  <c r="J737" i="25" s="1"/>
  <c r="J738" i="25" a="1"/>
  <c r="J738" i="25"/>
  <c r="J739" i="25" a="1"/>
  <c r="J739" i="25"/>
  <c r="J740" i="25" a="1"/>
  <c r="J740" i="25"/>
  <c r="J741" i="25" a="1"/>
  <c r="J741" i="25"/>
  <c r="J742" i="25" a="1"/>
  <c r="J742" i="25"/>
  <c r="J743" i="25" a="1"/>
  <c r="J743" i="25" s="1"/>
  <c r="J744" i="25" a="1"/>
  <c r="J744" i="25"/>
  <c r="J745" i="25" a="1"/>
  <c r="J745" i="25"/>
  <c r="J746" i="25" a="1"/>
  <c r="J746" i="25"/>
  <c r="J747" i="25" a="1"/>
  <c r="J747" i="25"/>
  <c r="J748" i="25" a="1"/>
  <c r="J748" i="25" s="1"/>
  <c r="J749" i="25" a="1"/>
  <c r="J749" i="25" s="1"/>
  <c r="J750" i="25" a="1"/>
  <c r="J750" i="25"/>
  <c r="J751" i="25" a="1"/>
  <c r="J751" i="25"/>
  <c r="J752" i="25" a="1"/>
  <c r="J752" i="25"/>
  <c r="J753" i="25" a="1"/>
  <c r="J753" i="25"/>
  <c r="J754" i="25" a="1"/>
  <c r="J754" i="25"/>
  <c r="J755" i="25" a="1"/>
  <c r="J755" i="25" s="1"/>
  <c r="J756" i="25" a="1"/>
  <c r="J756" i="25"/>
  <c r="J757" i="25" a="1"/>
  <c r="J757" i="25"/>
  <c r="J758" i="25" a="1"/>
  <c r="J758" i="25"/>
  <c r="J759" i="25" a="1"/>
  <c r="J759" i="25"/>
  <c r="J760" i="25" a="1"/>
  <c r="J760" i="25"/>
  <c r="J761" i="25" a="1"/>
  <c r="J761" i="25" s="1"/>
  <c r="J762" i="25" a="1"/>
  <c r="J762" i="25"/>
  <c r="J763" i="25" a="1"/>
  <c r="J763" i="25"/>
  <c r="J764" i="25" a="1"/>
  <c r="J764" i="25"/>
  <c r="J765" i="25" a="1"/>
  <c r="J765" i="25"/>
  <c r="J766" i="25" a="1"/>
  <c r="J766" i="25"/>
  <c r="J767" i="25" a="1"/>
  <c r="J767" i="25" s="1"/>
  <c r="J768" i="25" a="1"/>
  <c r="J768" i="25" s="1"/>
  <c r="J769" i="25" a="1"/>
  <c r="J769" i="25"/>
  <c r="J770" i="25" a="1"/>
  <c r="J770" i="25"/>
  <c r="J771" i="25" a="1"/>
  <c r="J771" i="25"/>
  <c r="J772" i="25" a="1"/>
  <c r="J772" i="25"/>
  <c r="J773" i="25" a="1"/>
  <c r="J773" i="25" s="1"/>
  <c r="J774" i="25" a="1"/>
  <c r="J774" i="25"/>
  <c r="J775" i="25" a="1"/>
  <c r="J775" i="25"/>
  <c r="J776" i="25" a="1"/>
  <c r="J776" i="25"/>
  <c r="J777" i="25" a="1"/>
  <c r="J777" i="25"/>
  <c r="J778" i="25" a="1"/>
  <c r="J778" i="25"/>
  <c r="J779" i="25" a="1"/>
  <c r="J779" i="25" s="1"/>
  <c r="J780" i="25" a="1"/>
  <c r="J780" i="25"/>
  <c r="J781" i="25" a="1"/>
  <c r="J781" i="25" s="1"/>
  <c r="J782" i="25" a="1"/>
  <c r="J782" i="25"/>
  <c r="J783" i="25" a="1"/>
  <c r="J783" i="25"/>
  <c r="J784" i="25" a="1"/>
  <c r="J784" i="25"/>
  <c r="J785" i="25" a="1"/>
  <c r="J785" i="25" s="1"/>
  <c r="J786" i="25" a="1"/>
  <c r="J786" i="25"/>
  <c r="J787" i="25" a="1"/>
  <c r="J787" i="25"/>
  <c r="J788" i="25" a="1"/>
  <c r="J788" i="25"/>
  <c r="J789" i="25" a="1"/>
  <c r="J789" i="25"/>
  <c r="J790" i="25" a="1"/>
  <c r="J790" i="25"/>
  <c r="J791" i="25" a="1"/>
  <c r="J791" i="25" s="1"/>
  <c r="J792" i="25" a="1"/>
  <c r="J792" i="25" s="1"/>
  <c r="J793" i="25" a="1"/>
  <c r="J793" i="25"/>
  <c r="J794" i="25" a="1"/>
  <c r="J794" i="25" s="1"/>
  <c r="J795" i="25" a="1"/>
  <c r="J795" i="25"/>
  <c r="J796" i="25" a="1"/>
  <c r="J796" i="25"/>
  <c r="J797" i="25" a="1"/>
  <c r="J797" i="25" s="1"/>
  <c r="J798" i="25" a="1"/>
  <c r="J798" i="25"/>
  <c r="J799" i="25" a="1"/>
  <c r="J799" i="25"/>
  <c r="J800" i="25" a="1"/>
  <c r="J800" i="25"/>
  <c r="J801" i="25" a="1"/>
  <c r="J801" i="25"/>
  <c r="J802" i="25" a="1"/>
  <c r="J802" i="25"/>
  <c r="J803" i="25" a="1"/>
  <c r="J803" i="25" s="1"/>
  <c r="J804" i="25" a="1"/>
  <c r="J804" i="25"/>
  <c r="J805" i="25" a="1"/>
  <c r="J805" i="25"/>
  <c r="J806" i="25" a="1"/>
  <c r="J806" i="25"/>
  <c r="J807" i="25" a="1"/>
  <c r="J807" i="25" s="1"/>
  <c r="J808" i="25" a="1"/>
  <c r="J808" i="25"/>
  <c r="J809" i="25" a="1"/>
  <c r="J809" i="25" s="1"/>
  <c r="J810" i="25" a="1"/>
  <c r="J810" i="25"/>
  <c r="J811" i="25" a="1"/>
  <c r="J811" i="25"/>
  <c r="J812" i="25" a="1"/>
  <c r="J812" i="25"/>
  <c r="J813" i="25" a="1"/>
  <c r="J813" i="25"/>
  <c r="J814" i="25" a="1"/>
  <c r="J814" i="25"/>
  <c r="J815" i="25" a="1"/>
  <c r="J815" i="25" s="1"/>
  <c r="J816" i="25" a="1"/>
  <c r="J816" i="25"/>
  <c r="J817" i="25" a="1"/>
  <c r="J817" i="25"/>
  <c r="J818" i="25" a="1"/>
  <c r="J818" i="25"/>
  <c r="J819" i="25" a="1"/>
  <c r="J819" i="25"/>
  <c r="J820" i="25" a="1"/>
  <c r="J820" i="25" s="1"/>
  <c r="J821" i="25" a="1"/>
  <c r="J821" i="25"/>
  <c r="J822" i="25" a="1"/>
  <c r="J822" i="25"/>
  <c r="J823" i="25" a="1"/>
  <c r="J823" i="25"/>
  <c r="J824" i="25" a="1"/>
  <c r="J824" i="25"/>
  <c r="J825" i="25" a="1"/>
  <c r="J825" i="25"/>
  <c r="J826" i="25" a="1"/>
  <c r="J826" i="25" s="1"/>
  <c r="J827" i="25" a="1"/>
  <c r="J827" i="25"/>
  <c r="J828" i="25" a="1"/>
  <c r="J828" i="25"/>
  <c r="J829" i="25" a="1"/>
  <c r="J829" i="25"/>
  <c r="J830" i="25" a="1"/>
  <c r="J830" i="25"/>
  <c r="J831" i="25" a="1"/>
  <c r="J831" i="25"/>
  <c r="J832" i="25" a="1"/>
  <c r="J832" i="25" s="1"/>
  <c r="J833" i="25" a="1"/>
  <c r="J833" i="25"/>
  <c r="J834" i="25" a="1"/>
  <c r="J834" i="25"/>
  <c r="J835" i="25" a="1"/>
  <c r="J835" i="25"/>
  <c r="J836" i="25" a="1"/>
  <c r="J836" i="25"/>
  <c r="J837" i="25" a="1"/>
  <c r="J837" i="25"/>
  <c r="J838" i="25" a="1"/>
  <c r="J838" i="25" s="1"/>
  <c r="J839" i="25" a="1"/>
  <c r="J839" i="25"/>
  <c r="J840" i="25" a="1"/>
  <c r="J840" i="25"/>
  <c r="J841" i="25" a="1"/>
  <c r="J841" i="25"/>
  <c r="J842" i="25" a="1"/>
  <c r="J842" i="25"/>
  <c r="J843" i="25" a="1"/>
  <c r="J843" i="25"/>
  <c r="J844" i="25" a="1"/>
  <c r="J844" i="25" s="1"/>
  <c r="J845" i="25" a="1"/>
  <c r="J845" i="25"/>
  <c r="J846" i="25" a="1"/>
  <c r="J846" i="25"/>
  <c r="J847" i="25" a="1"/>
  <c r="J847" i="25"/>
  <c r="J848" i="25" a="1"/>
  <c r="J848" i="25"/>
  <c r="J849" i="25" a="1"/>
  <c r="J849" i="25"/>
  <c r="J850" i="25" a="1"/>
  <c r="J850" i="25" s="1"/>
  <c r="J851" i="25" a="1"/>
  <c r="J851" i="25"/>
  <c r="J852" i="25" a="1"/>
  <c r="J852" i="25"/>
  <c r="J853" i="25" a="1"/>
  <c r="J853" i="25"/>
  <c r="J854" i="25" a="1"/>
  <c r="J854" i="25"/>
  <c r="J855" i="25" a="1"/>
  <c r="J855" i="25"/>
  <c r="J856" i="25" a="1"/>
  <c r="J856" i="25" s="1"/>
  <c r="J857" i="25" a="1"/>
  <c r="J857" i="25"/>
  <c r="J858" i="25" a="1"/>
  <c r="J858" i="25"/>
  <c r="J859" i="25" a="1"/>
  <c r="J859" i="25"/>
  <c r="J860" i="25" a="1"/>
  <c r="J860" i="25"/>
  <c r="J861" i="25" a="1"/>
  <c r="J861" i="25" s="1"/>
  <c r="J862" i="25" a="1"/>
  <c r="J862" i="25" s="1"/>
  <c r="J863" i="25" a="1"/>
  <c r="J863" i="25"/>
  <c r="J864" i="25" a="1"/>
  <c r="J864" i="25"/>
  <c r="J865" i="25" a="1"/>
  <c r="J865" i="25"/>
  <c r="J866" i="25" a="1"/>
  <c r="J866" i="25"/>
  <c r="J867" i="25" a="1"/>
  <c r="J867" i="25"/>
  <c r="J868" i="25" a="1"/>
  <c r="J868" i="25" s="1"/>
  <c r="J869" i="25" a="1"/>
  <c r="J869" i="25"/>
  <c r="J870" i="25" a="1"/>
  <c r="J870" i="25"/>
  <c r="J871" i="25" a="1"/>
  <c r="J871" i="25"/>
  <c r="J872" i="25" a="1"/>
  <c r="J872" i="25"/>
  <c r="J873" i="25" a="1"/>
  <c r="J873" i="25"/>
  <c r="J874" i="25" a="1"/>
  <c r="J874" i="25" s="1"/>
  <c r="J875" i="25" a="1"/>
  <c r="J875" i="25"/>
  <c r="J876" i="25" a="1"/>
  <c r="J876" i="25"/>
  <c r="J877" i="25" a="1"/>
  <c r="J877" i="25"/>
  <c r="J878" i="25" a="1"/>
  <c r="J878" i="25"/>
  <c r="J879" i="25" a="1"/>
  <c r="J879" i="25"/>
  <c r="J880" i="25" a="1"/>
  <c r="J880" i="25" s="1"/>
  <c r="J881" i="25" a="1"/>
  <c r="J881" i="25"/>
  <c r="J882" i="25" a="1"/>
  <c r="J882" i="25"/>
  <c r="J883" i="25" a="1"/>
  <c r="J883" i="25"/>
  <c r="J884" i="25" a="1"/>
  <c r="J884" i="25"/>
  <c r="J885" i="25" a="1"/>
  <c r="J885" i="25"/>
  <c r="J886" i="25" a="1"/>
  <c r="J886" i="25" s="1"/>
  <c r="J887" i="25" a="1"/>
  <c r="J887" i="25"/>
  <c r="J888" i="25" a="1"/>
  <c r="J888" i="25"/>
  <c r="J889" i="25" a="1"/>
  <c r="J889" i="25"/>
  <c r="J890" i="25" a="1"/>
  <c r="J890" i="25"/>
  <c r="J891" i="25" a="1"/>
  <c r="J891" i="25"/>
  <c r="J892" i="25" a="1"/>
  <c r="J892" i="25" s="1"/>
  <c r="J893" i="25" a="1"/>
  <c r="J893" i="25"/>
  <c r="J894" i="25" a="1"/>
  <c r="J894" i="25"/>
  <c r="J895" i="25" a="1"/>
  <c r="J895" i="25"/>
  <c r="J896" i="25" a="1"/>
  <c r="J896" i="25"/>
  <c r="J897" i="25" a="1"/>
  <c r="J897" i="25"/>
  <c r="J898" i="25" a="1"/>
  <c r="J898" i="25" s="1"/>
  <c r="J899" i="25" a="1"/>
  <c r="J899" i="25"/>
  <c r="J900" i="25" a="1"/>
  <c r="J900" i="25"/>
  <c r="J901" i="25" a="1"/>
  <c r="J901" i="25"/>
  <c r="J902" i="25" a="1"/>
  <c r="J902" i="25"/>
  <c r="J903" i="25" a="1"/>
  <c r="J903" i="25"/>
  <c r="J904" i="25" a="1"/>
  <c r="J904" i="25" s="1"/>
  <c r="J905" i="25" a="1"/>
  <c r="J905" i="25"/>
  <c r="J906" i="25" a="1"/>
  <c r="J906" i="25"/>
  <c r="J907" i="25" a="1"/>
  <c r="J907" i="25"/>
  <c r="J908" i="25" a="1"/>
  <c r="J908" i="25"/>
  <c r="J909" i="25" a="1"/>
  <c r="J909" i="25"/>
  <c r="J910" i="25" a="1"/>
  <c r="J910" i="25" s="1"/>
  <c r="J911" i="25" a="1"/>
  <c r="J911" i="25"/>
  <c r="J912" i="25" a="1"/>
  <c r="J912" i="25"/>
  <c r="J913" i="25" a="1"/>
  <c r="J913" i="25"/>
  <c r="J914" i="25" a="1"/>
  <c r="J914" i="25"/>
  <c r="J915" i="25" a="1"/>
  <c r="J915" i="25"/>
  <c r="J916" i="25" a="1"/>
  <c r="J916" i="25" s="1"/>
  <c r="J917" i="25" a="1"/>
  <c r="J917" i="25"/>
  <c r="J918" i="25" a="1"/>
  <c r="J918" i="25"/>
  <c r="J919" i="25" a="1"/>
  <c r="J919" i="25"/>
  <c r="J920" i="25" a="1"/>
  <c r="J920" i="25"/>
  <c r="J921" i="25" a="1"/>
  <c r="J921" i="25"/>
  <c r="J922" i="25" a="1"/>
  <c r="J922" i="25" s="1"/>
  <c r="S3" i="28" l="1"/>
  <c r="Q1019" i="25"/>
  <c r="L1019" i="25"/>
  <c r="C922" i="25" a="1"/>
  <c r="C922" i="25" s="1"/>
  <c r="E921" i="25"/>
  <c r="C921" i="25" a="1"/>
  <c r="C921" i="25" s="1"/>
  <c r="E920" i="25"/>
  <c r="C920" i="25" a="1"/>
  <c r="C920" i="25" s="1"/>
  <c r="E919" i="25"/>
  <c r="C919" i="25" a="1"/>
  <c r="C919" i="25" s="1"/>
  <c r="E918" i="25"/>
  <c r="C918" i="25" a="1"/>
  <c r="C918" i="25" s="1"/>
  <c r="E917" i="25"/>
  <c r="C917" i="25" a="1"/>
  <c r="C917" i="25" s="1"/>
  <c r="E916" i="25"/>
  <c r="C916" i="25" a="1"/>
  <c r="C916" i="25" s="1"/>
  <c r="C915" i="25" a="1"/>
  <c r="C915" i="25" s="1"/>
  <c r="C914" i="25" a="1"/>
  <c r="C914" i="25" s="1"/>
  <c r="C913" i="25" a="1"/>
  <c r="C913" i="25" s="1"/>
  <c r="C912" i="25" a="1"/>
  <c r="C912" i="25" s="1"/>
  <c r="C911" i="25" a="1"/>
  <c r="C911" i="25" s="1"/>
  <c r="C910" i="25" a="1"/>
  <c r="C910" i="25" s="1"/>
  <c r="C909" i="25" a="1"/>
  <c r="C909" i="25" s="1"/>
  <c r="C908" i="25" a="1"/>
  <c r="C908" i="25" s="1"/>
  <c r="C907" i="25" a="1"/>
  <c r="C907" i="25" s="1"/>
  <c r="C906" i="25" a="1"/>
  <c r="C906" i="25" s="1"/>
  <c r="C905" i="25" a="1"/>
  <c r="C905" i="25" s="1"/>
  <c r="C904" i="25" a="1"/>
  <c r="C904" i="25" s="1"/>
  <c r="C903" i="25" a="1"/>
  <c r="C903" i="25" s="1"/>
  <c r="C902" i="25" a="1"/>
  <c r="C902" i="25" s="1"/>
  <c r="C901" i="25" a="1"/>
  <c r="C901" i="25" s="1"/>
  <c r="C900" i="25" a="1"/>
  <c r="C900" i="25" s="1"/>
  <c r="C899" i="25" a="1"/>
  <c r="C899" i="25" s="1"/>
  <c r="C898" i="25" a="1"/>
  <c r="C898" i="25" s="1"/>
  <c r="C897" i="25" a="1"/>
  <c r="C897" i="25" s="1"/>
  <c r="C896" i="25" a="1"/>
  <c r="C896" i="25" s="1"/>
  <c r="C895" i="25" a="1"/>
  <c r="C895" i="25" s="1"/>
  <c r="C894" i="25" a="1"/>
  <c r="C894" i="25" s="1"/>
  <c r="C893" i="25" a="1"/>
  <c r="C893" i="25" s="1"/>
  <c r="C892" i="25" a="1"/>
  <c r="C892" i="25" s="1"/>
  <c r="C891" i="25" a="1"/>
  <c r="C891" i="25" s="1"/>
  <c r="C890" i="25" a="1"/>
  <c r="C890" i="25" s="1"/>
  <c r="C889" i="25" a="1"/>
  <c r="C889" i="25" s="1"/>
  <c r="C888" i="25" a="1"/>
  <c r="C888" i="25" s="1"/>
  <c r="C887" i="25" a="1"/>
  <c r="C887" i="25" s="1"/>
  <c r="C886" i="25" a="1"/>
  <c r="C886" i="25" s="1"/>
  <c r="C885" i="25" a="1"/>
  <c r="C885" i="25" s="1"/>
  <c r="C884" i="25" a="1"/>
  <c r="C884" i="25" s="1"/>
  <c r="C883" i="25" a="1"/>
  <c r="C883" i="25" s="1"/>
  <c r="C882" i="25" a="1"/>
  <c r="C882" i="25" s="1"/>
  <c r="E881" i="25"/>
  <c r="C881" i="25" a="1"/>
  <c r="C881" i="25" s="1"/>
  <c r="E880" i="25"/>
  <c r="C880" i="25" a="1"/>
  <c r="C880" i="25" s="1"/>
  <c r="E879" i="25"/>
  <c r="C879" i="25" a="1"/>
  <c r="C879" i="25" s="1"/>
  <c r="E878" i="25"/>
  <c r="C878" i="25" a="1"/>
  <c r="C878" i="25" s="1"/>
  <c r="E877" i="25"/>
  <c r="C877" i="25" a="1"/>
  <c r="C877" i="25" s="1"/>
  <c r="E876" i="25"/>
  <c r="C876" i="25" a="1"/>
  <c r="C876" i="25" s="1"/>
  <c r="E875" i="25"/>
  <c r="C875" i="25" a="1"/>
  <c r="C875" i="25" s="1"/>
  <c r="E874" i="25"/>
  <c r="C874" i="25" a="1"/>
  <c r="C874" i="25" s="1"/>
  <c r="E873" i="25"/>
  <c r="C873" i="25" a="1"/>
  <c r="C873" i="25" s="1"/>
  <c r="N873" i="25" s="1"/>
  <c r="O873" i="25" s="1"/>
  <c r="E872" i="25"/>
  <c r="C872" i="25" a="1"/>
  <c r="C872" i="25" s="1"/>
  <c r="E871" i="25"/>
  <c r="C871" i="25" a="1"/>
  <c r="C871" i="25" s="1"/>
  <c r="E870" i="25"/>
  <c r="C870" i="25" a="1"/>
  <c r="C870" i="25" s="1"/>
  <c r="E869" i="25"/>
  <c r="C869" i="25" a="1"/>
  <c r="C869" i="25" s="1"/>
  <c r="E868" i="25"/>
  <c r="C868" i="25" a="1"/>
  <c r="C868" i="25" s="1"/>
  <c r="E867" i="25"/>
  <c r="C867" i="25" a="1"/>
  <c r="C867" i="25" s="1"/>
  <c r="E866" i="25"/>
  <c r="C866" i="25" a="1"/>
  <c r="C866" i="25" s="1"/>
  <c r="C865" i="25" a="1"/>
  <c r="C865" i="25" s="1"/>
  <c r="C864" i="25" a="1"/>
  <c r="C864" i="25" s="1"/>
  <c r="C863" i="25" a="1"/>
  <c r="C863" i="25" s="1"/>
  <c r="C862" i="25" a="1"/>
  <c r="C862" i="25" s="1"/>
  <c r="C861" i="25" a="1"/>
  <c r="C861" i="25" s="1"/>
  <c r="C860" i="25" a="1"/>
  <c r="C860" i="25" s="1"/>
  <c r="C859" i="25" a="1"/>
  <c r="C859" i="25" s="1"/>
  <c r="C858" i="25" a="1"/>
  <c r="C858" i="25" s="1"/>
  <c r="C857" i="25" a="1"/>
  <c r="C857" i="25" s="1"/>
  <c r="C856" i="25" a="1"/>
  <c r="C856" i="25" s="1"/>
  <c r="C855" i="25" a="1"/>
  <c r="C855" i="25" s="1"/>
  <c r="C854" i="25" a="1"/>
  <c r="C854" i="25" s="1"/>
  <c r="C853" i="25" a="1"/>
  <c r="C853" i="25" s="1"/>
  <c r="C852" i="25" a="1"/>
  <c r="C852" i="25" s="1"/>
  <c r="C851" i="25" a="1"/>
  <c r="C851" i="25" s="1"/>
  <c r="C850" i="25" a="1"/>
  <c r="C850" i="25" s="1"/>
  <c r="C849" i="25" a="1"/>
  <c r="C849" i="25" s="1"/>
  <c r="C848" i="25" a="1"/>
  <c r="C848" i="25" s="1"/>
  <c r="C847" i="25" a="1"/>
  <c r="C847" i="25" s="1"/>
  <c r="C846" i="25" a="1"/>
  <c r="C846" i="25" s="1"/>
  <c r="N846" i="25" s="1"/>
  <c r="O846" i="25" s="1"/>
  <c r="C845" i="25" a="1"/>
  <c r="C845" i="25" s="1"/>
  <c r="C844" i="25" a="1"/>
  <c r="C844" i="25" s="1"/>
  <c r="C843" i="25" a="1"/>
  <c r="C843" i="25" s="1"/>
  <c r="N843" i="25" s="1"/>
  <c r="O843" i="25" s="1"/>
  <c r="C842" i="25" a="1"/>
  <c r="C842" i="25" s="1"/>
  <c r="C841" i="25" a="1"/>
  <c r="C841" i="25" s="1"/>
  <c r="N841" i="25" s="1"/>
  <c r="O841" i="25" s="1"/>
  <c r="C840" i="25" a="1"/>
  <c r="C840" i="25" s="1"/>
  <c r="C839" i="25" a="1"/>
  <c r="C839" i="25" s="1"/>
  <c r="C838" i="25" a="1"/>
  <c r="C838" i="25" s="1"/>
  <c r="N838" i="25" s="1"/>
  <c r="O838" i="25" s="1"/>
  <c r="C837" i="25" a="1"/>
  <c r="C837" i="25" s="1"/>
  <c r="C836" i="25" a="1"/>
  <c r="C836" i="25" s="1"/>
  <c r="C835" i="25" a="1"/>
  <c r="C835" i="25" s="1"/>
  <c r="C834" i="25" a="1"/>
  <c r="C834" i="25" s="1"/>
  <c r="C833" i="25" a="1"/>
  <c r="C833" i="25" s="1"/>
  <c r="C832" i="25" a="1"/>
  <c r="C832" i="25" s="1"/>
  <c r="C831" i="25" a="1"/>
  <c r="C831" i="25" s="1"/>
  <c r="C830" i="25" a="1"/>
  <c r="C830" i="25" s="1"/>
  <c r="C829" i="25" a="1"/>
  <c r="C829" i="25" s="1"/>
  <c r="C828" i="25" a="1"/>
  <c r="C828" i="25" s="1"/>
  <c r="C827" i="25" a="1"/>
  <c r="C827" i="25" s="1"/>
  <c r="C826" i="25" a="1"/>
  <c r="C826" i="25" s="1"/>
  <c r="N826" i="25" s="1"/>
  <c r="O826" i="25" s="1"/>
  <c r="C825" i="25" a="1"/>
  <c r="C825" i="25" s="1"/>
  <c r="C824" i="25" a="1"/>
  <c r="C824" i="25" s="1"/>
  <c r="C823" i="25" a="1"/>
  <c r="C823" i="25" s="1"/>
  <c r="C822" i="25" a="1"/>
  <c r="C822" i="25" s="1"/>
  <c r="C821" i="25" a="1"/>
  <c r="C821" i="25" s="1"/>
  <c r="C820" i="25" a="1"/>
  <c r="C820" i="25" s="1"/>
  <c r="N820" i="25" s="1"/>
  <c r="O820" i="25" s="1"/>
  <c r="C819" i="25" a="1"/>
  <c r="C819" i="25" s="1"/>
  <c r="C818" i="25" a="1"/>
  <c r="C818" i="25" s="1"/>
  <c r="C817" i="25" a="1"/>
  <c r="C817" i="25" s="1"/>
  <c r="C816" i="25" a="1"/>
  <c r="C816" i="25" s="1"/>
  <c r="N816" i="25" s="1"/>
  <c r="O816" i="25" s="1"/>
  <c r="C815" i="25" a="1"/>
  <c r="C815" i="25" s="1"/>
  <c r="C814" i="25" a="1"/>
  <c r="C814" i="25" s="1"/>
  <c r="C813" i="25" a="1"/>
  <c r="C813" i="25" s="1"/>
  <c r="C812" i="25" a="1"/>
  <c r="C812" i="25" s="1"/>
  <c r="C811" i="25" a="1"/>
  <c r="C811" i="25" s="1"/>
  <c r="C810" i="25" a="1"/>
  <c r="C810" i="25" s="1"/>
  <c r="N810" i="25" s="1"/>
  <c r="O810" i="25" s="1"/>
  <c r="C809" i="25" a="1"/>
  <c r="C809" i="25" s="1"/>
  <c r="C808" i="25" a="1"/>
  <c r="C808" i="25" s="1"/>
  <c r="C807" i="25" a="1"/>
  <c r="C807" i="25" s="1"/>
  <c r="C806" i="25" a="1"/>
  <c r="C806" i="25" s="1"/>
  <c r="C805" i="25" a="1"/>
  <c r="C805" i="25" s="1"/>
  <c r="C804" i="25"/>
  <c r="C804" i="25" a="1"/>
  <c r="C803" i="25" a="1"/>
  <c r="C803" i="25" s="1"/>
  <c r="C802" i="25" a="1"/>
  <c r="C802" i="25" s="1"/>
  <c r="C801" i="25" a="1"/>
  <c r="C801" i="25" s="1"/>
  <c r="C800" i="25" a="1"/>
  <c r="C800" i="25" s="1"/>
  <c r="C799" i="25" a="1"/>
  <c r="C799" i="25" s="1"/>
  <c r="C798" i="25" a="1"/>
  <c r="C798" i="25" s="1"/>
  <c r="C797" i="25" a="1"/>
  <c r="C797" i="25" s="1"/>
  <c r="C796" i="25" a="1"/>
  <c r="C796" i="25" s="1"/>
  <c r="C795" i="25" a="1"/>
  <c r="C795" i="25" s="1"/>
  <c r="C794" i="25" a="1"/>
  <c r="C794" i="25" s="1"/>
  <c r="C793" i="25" a="1"/>
  <c r="C793" i="25" s="1"/>
  <c r="C792" i="25" a="1"/>
  <c r="C792" i="25" s="1"/>
  <c r="C791" i="25" a="1"/>
  <c r="C791" i="25" s="1"/>
  <c r="C790" i="25" a="1"/>
  <c r="C790" i="25" s="1"/>
  <c r="C789" i="25" a="1"/>
  <c r="C789" i="25" s="1"/>
  <c r="C788" i="25" a="1"/>
  <c r="C788" i="25" s="1"/>
  <c r="C787" i="25" a="1"/>
  <c r="C787" i="25" s="1"/>
  <c r="C786" i="25" a="1"/>
  <c r="C786" i="25" s="1"/>
  <c r="C785" i="25" a="1"/>
  <c r="C785" i="25" s="1"/>
  <c r="C784" i="25" a="1"/>
  <c r="C784" i="25" s="1"/>
  <c r="C783" i="25" a="1"/>
  <c r="C783" i="25" s="1"/>
  <c r="C782" i="25" a="1"/>
  <c r="C782" i="25" s="1"/>
  <c r="C781" i="25" a="1"/>
  <c r="C781" i="25" s="1"/>
  <c r="N781" i="25" s="1"/>
  <c r="O781" i="25" s="1"/>
  <c r="C780" i="25" a="1"/>
  <c r="C780" i="25" s="1"/>
  <c r="C779" i="25" a="1"/>
  <c r="C779" i="25" s="1"/>
  <c r="C778" i="25" a="1"/>
  <c r="C778" i="25" s="1"/>
  <c r="C777" i="25" a="1"/>
  <c r="C777" i="25" s="1"/>
  <c r="C776" i="25" a="1"/>
  <c r="C776" i="25" s="1"/>
  <c r="C775" i="25" a="1"/>
  <c r="C775" i="25" s="1"/>
  <c r="C774" i="25" a="1"/>
  <c r="C774" i="25" s="1"/>
  <c r="C773" i="25" a="1"/>
  <c r="C773" i="25" s="1"/>
  <c r="N773" i="25" s="1"/>
  <c r="O773" i="25" s="1"/>
  <c r="C772" i="25"/>
  <c r="C772" i="25" a="1"/>
  <c r="C771" i="25" a="1"/>
  <c r="C771" i="25" s="1"/>
  <c r="C770" i="25" a="1"/>
  <c r="C770" i="25" s="1"/>
  <c r="C769" i="25" a="1"/>
  <c r="C769" i="25" s="1"/>
  <c r="C768" i="25" a="1"/>
  <c r="C768" i="25" s="1"/>
  <c r="C767" i="25" a="1"/>
  <c r="C767" i="25" s="1"/>
  <c r="C766" i="25" a="1"/>
  <c r="C766" i="25" s="1"/>
  <c r="C765" i="25" a="1"/>
  <c r="C765" i="25" s="1"/>
  <c r="C764" i="25" a="1"/>
  <c r="C764" i="25" s="1"/>
  <c r="N764" i="25" s="1"/>
  <c r="O764" i="25" s="1"/>
  <c r="C763" i="25" a="1"/>
  <c r="C763" i="25" s="1"/>
  <c r="C762" i="25" a="1"/>
  <c r="C762" i="25" s="1"/>
  <c r="C761" i="25" a="1"/>
  <c r="C761" i="25" s="1"/>
  <c r="C760" i="25" a="1"/>
  <c r="C760" i="25" s="1"/>
  <c r="C759" i="25" a="1"/>
  <c r="C759" i="25" s="1"/>
  <c r="C758" i="25" a="1"/>
  <c r="C758" i="25" s="1"/>
  <c r="C757" i="25" a="1"/>
  <c r="C757" i="25" s="1"/>
  <c r="C756" i="25" a="1"/>
  <c r="C756" i="25" s="1"/>
  <c r="C755" i="25" a="1"/>
  <c r="C755" i="25" s="1"/>
  <c r="C754" i="25" a="1"/>
  <c r="C754" i="25" s="1"/>
  <c r="C753" i="25" a="1"/>
  <c r="C753" i="25" s="1"/>
  <c r="C752" i="25" a="1"/>
  <c r="C752" i="25" s="1"/>
  <c r="N752" i="25" s="1"/>
  <c r="O752" i="25" s="1"/>
  <c r="C751" i="25" a="1"/>
  <c r="C751" i="25" s="1"/>
  <c r="C750" i="25" a="1"/>
  <c r="C750" i="25" s="1"/>
  <c r="C749" i="25" a="1"/>
  <c r="C749" i="25" s="1"/>
  <c r="C748" i="25" a="1"/>
  <c r="C748" i="25" s="1"/>
  <c r="C747" i="25" a="1"/>
  <c r="C747" i="25" s="1"/>
  <c r="C746" i="25" a="1"/>
  <c r="C746" i="25" s="1"/>
  <c r="C745" i="25" a="1"/>
  <c r="C745" i="25" s="1"/>
  <c r="C744" i="25" a="1"/>
  <c r="C744" i="25" s="1"/>
  <c r="C743" i="25" a="1"/>
  <c r="C743" i="25" s="1"/>
  <c r="C742" i="25" a="1"/>
  <c r="C742" i="25" s="1"/>
  <c r="C741" i="25" a="1"/>
  <c r="C741" i="25" s="1"/>
  <c r="C740" i="25" a="1"/>
  <c r="C740" i="25" s="1"/>
  <c r="C739" i="25" a="1"/>
  <c r="C739" i="25" s="1"/>
  <c r="C738" i="25" a="1"/>
  <c r="C738" i="25" s="1"/>
  <c r="C737" i="25" a="1"/>
  <c r="C737" i="25" s="1"/>
  <c r="C736" i="25" a="1"/>
  <c r="C736" i="25" s="1"/>
  <c r="C735" i="25" a="1"/>
  <c r="C735" i="25" s="1"/>
  <c r="C734" i="25" a="1"/>
  <c r="C734" i="25" s="1"/>
  <c r="C733" i="25" a="1"/>
  <c r="C733" i="25" s="1"/>
  <c r="C732" i="25" a="1"/>
  <c r="C732" i="25" s="1"/>
  <c r="C731" i="25" a="1"/>
  <c r="C731" i="25" s="1"/>
  <c r="C730" i="25" a="1"/>
  <c r="C730" i="25" s="1"/>
  <c r="C729" i="25" a="1"/>
  <c r="C729" i="25" s="1"/>
  <c r="C728" i="25" a="1"/>
  <c r="C728" i="25" s="1"/>
  <c r="C727" i="25" a="1"/>
  <c r="C727" i="25" s="1"/>
  <c r="C726" i="25" a="1"/>
  <c r="C726" i="25" s="1"/>
  <c r="C725" i="25" a="1"/>
  <c r="C725" i="25" s="1"/>
  <c r="C724" i="25" a="1"/>
  <c r="C724" i="25" s="1"/>
  <c r="C723" i="25" a="1"/>
  <c r="C723" i="25" s="1"/>
  <c r="N723" i="25" s="1"/>
  <c r="O723" i="25" s="1"/>
  <c r="C722" i="25" a="1"/>
  <c r="C722" i="25" s="1"/>
  <c r="C721" i="25" a="1"/>
  <c r="C721" i="25" s="1"/>
  <c r="C720" i="25" a="1"/>
  <c r="C720" i="25" s="1"/>
  <c r="C719" i="25" a="1"/>
  <c r="C719" i="25" s="1"/>
  <c r="C718" i="25" a="1"/>
  <c r="C718" i="25" s="1"/>
  <c r="C717" i="25" a="1"/>
  <c r="C717" i="25" s="1"/>
  <c r="C716" i="25" a="1"/>
  <c r="C716" i="25" s="1"/>
  <c r="C715" i="25" a="1"/>
  <c r="C715" i="25" s="1"/>
  <c r="C714" i="25" a="1"/>
  <c r="C714" i="25" s="1"/>
  <c r="C713" i="25" a="1"/>
  <c r="C713" i="25" s="1"/>
  <c r="C712" i="25" a="1"/>
  <c r="C712" i="25" s="1"/>
  <c r="C711" i="25" a="1"/>
  <c r="C711" i="25" s="1"/>
  <c r="C710" i="25" a="1"/>
  <c r="C710" i="25" s="1"/>
  <c r="C709" i="25" a="1"/>
  <c r="C709" i="25" s="1"/>
  <c r="C708" i="25" a="1"/>
  <c r="C708" i="25" s="1"/>
  <c r="C707" i="25" a="1"/>
  <c r="C707" i="25" s="1"/>
  <c r="C706" i="25" a="1"/>
  <c r="C706" i="25" s="1"/>
  <c r="C705" i="25" a="1"/>
  <c r="C705" i="25" s="1"/>
  <c r="C704" i="25" a="1"/>
  <c r="C704" i="25" s="1"/>
  <c r="C703" i="25" a="1"/>
  <c r="C703" i="25" s="1"/>
  <c r="C702" i="25" a="1"/>
  <c r="C702" i="25" s="1"/>
  <c r="C701" i="25" a="1"/>
  <c r="C701" i="25" s="1"/>
  <c r="C700" i="25" a="1"/>
  <c r="C700" i="25" s="1"/>
  <c r="C699" i="25"/>
  <c r="N699" i="25" s="1"/>
  <c r="O699" i="25" s="1"/>
  <c r="C699" i="25" a="1"/>
  <c r="C698" i="25" a="1"/>
  <c r="C698" i="25" s="1"/>
  <c r="C697" i="25"/>
  <c r="C697" i="25" a="1"/>
  <c r="C696" i="25" a="1"/>
  <c r="C696" i="25" s="1"/>
  <c r="N696" i="25" s="1"/>
  <c r="O696" i="25" s="1"/>
  <c r="C695" i="25" a="1"/>
  <c r="C695" i="25" s="1"/>
  <c r="C694" i="25" a="1"/>
  <c r="C694" i="25" s="1"/>
  <c r="N694" i="25" s="1"/>
  <c r="O694" i="25" s="1"/>
  <c r="C693" i="25" a="1"/>
  <c r="C693" i="25" s="1"/>
  <c r="C692" i="25" a="1"/>
  <c r="C692" i="25" s="1"/>
  <c r="C691" i="25" a="1"/>
  <c r="C691" i="25" s="1"/>
  <c r="C690" i="25" a="1"/>
  <c r="C690" i="25" s="1"/>
  <c r="C689" i="25" a="1"/>
  <c r="C689" i="25" s="1"/>
  <c r="C688" i="25" a="1"/>
  <c r="C688" i="25" s="1"/>
  <c r="C687" i="25" a="1"/>
  <c r="C687" i="25" s="1"/>
  <c r="C686" i="25" a="1"/>
  <c r="C686" i="25" s="1"/>
  <c r="C685" i="25" a="1"/>
  <c r="C685" i="25" s="1"/>
  <c r="C684" i="25" a="1"/>
  <c r="C684" i="25" s="1"/>
  <c r="C683" i="25" a="1"/>
  <c r="C683" i="25" s="1"/>
  <c r="C682" i="25" a="1"/>
  <c r="C682" i="25" s="1"/>
  <c r="N682" i="25" s="1"/>
  <c r="O682" i="25" s="1"/>
  <c r="C681" i="25" a="1"/>
  <c r="C681" i="25" s="1"/>
  <c r="C680" i="25" a="1"/>
  <c r="C680" i="25" s="1"/>
  <c r="C679" i="25" a="1"/>
  <c r="C679" i="25" s="1"/>
  <c r="C678" i="25" a="1"/>
  <c r="C678" i="25" s="1"/>
  <c r="N678" i="25" s="1"/>
  <c r="O678" i="25" s="1"/>
  <c r="C677" i="25" a="1"/>
  <c r="C677" i="25" s="1"/>
  <c r="C676" i="25" a="1"/>
  <c r="C676" i="25" s="1"/>
  <c r="C675" i="25" a="1"/>
  <c r="C675" i="25" s="1"/>
  <c r="C674" i="25" a="1"/>
  <c r="C674" i="25" s="1"/>
  <c r="C673" i="25" a="1"/>
  <c r="C673" i="25" s="1"/>
  <c r="C672" i="25" a="1"/>
  <c r="C672" i="25" s="1"/>
  <c r="C671" i="25" a="1"/>
  <c r="C671" i="25" s="1"/>
  <c r="C670" i="25" a="1"/>
  <c r="C670" i="25" s="1"/>
  <c r="C669" i="25" a="1"/>
  <c r="C669" i="25" s="1"/>
  <c r="C668" i="25" a="1"/>
  <c r="C668" i="25" s="1"/>
  <c r="C667" i="25" a="1"/>
  <c r="C667" i="25" s="1"/>
  <c r="C666" i="25" a="1"/>
  <c r="C666" i="25" s="1"/>
  <c r="C665" i="25" a="1"/>
  <c r="C665" i="25" s="1"/>
  <c r="C664" i="25" a="1"/>
  <c r="C664" i="25" s="1"/>
  <c r="C663" i="25" a="1"/>
  <c r="C663" i="25" s="1"/>
  <c r="C662" i="25" a="1"/>
  <c r="C662" i="25" s="1"/>
  <c r="C661" i="25" a="1"/>
  <c r="C661" i="25" s="1"/>
  <c r="C660" i="25" a="1"/>
  <c r="C660" i="25" s="1"/>
  <c r="C659" i="25" a="1"/>
  <c r="C659" i="25" s="1"/>
  <c r="C658" i="25" a="1"/>
  <c r="C658" i="25" s="1"/>
  <c r="C657" i="25" a="1"/>
  <c r="C657" i="25" s="1"/>
  <c r="C656" i="25" a="1"/>
  <c r="C656" i="25" s="1"/>
  <c r="C655" i="25" a="1"/>
  <c r="C655" i="25" s="1"/>
  <c r="C654" i="25" a="1"/>
  <c r="C654" i="25" s="1"/>
  <c r="C653" i="25" a="1"/>
  <c r="C653" i="25" s="1"/>
  <c r="C652" i="25" a="1"/>
  <c r="C652" i="25" s="1"/>
  <c r="C651" i="25" a="1"/>
  <c r="C651" i="25" s="1"/>
  <c r="C650" i="25" a="1"/>
  <c r="C650" i="25" s="1"/>
  <c r="C649" i="25" a="1"/>
  <c r="C649" i="25" s="1"/>
  <c r="C648" i="25" a="1"/>
  <c r="C648" i="25" s="1"/>
  <c r="C647" i="25" a="1"/>
  <c r="C647" i="25" s="1"/>
  <c r="C646" i="25" a="1"/>
  <c r="C646" i="25" s="1"/>
  <c r="C645" i="25" a="1"/>
  <c r="C645" i="25" s="1"/>
  <c r="N645" i="25" s="1"/>
  <c r="O645" i="25" s="1"/>
  <c r="C644" i="25" a="1"/>
  <c r="C644" i="25" s="1"/>
  <c r="C643" i="25" a="1"/>
  <c r="C643" i="25" s="1"/>
  <c r="C642" i="25" a="1"/>
  <c r="C642" i="25" s="1"/>
  <c r="C641" i="25" a="1"/>
  <c r="C641" i="25" s="1"/>
  <c r="C640" i="25" a="1"/>
  <c r="C640" i="25" s="1"/>
  <c r="C639" i="25" a="1"/>
  <c r="C639" i="25" s="1"/>
  <c r="C638" i="25" a="1"/>
  <c r="C638" i="25" s="1"/>
  <c r="C637" i="25" a="1"/>
  <c r="C637" i="25" s="1"/>
  <c r="C636" i="25" a="1"/>
  <c r="C636" i="25" s="1"/>
  <c r="C635" i="25" a="1"/>
  <c r="C635" i="25" s="1"/>
  <c r="C634" i="25" a="1"/>
  <c r="C634" i="25" s="1"/>
  <c r="C633" i="25" a="1"/>
  <c r="C633" i="25" s="1"/>
  <c r="C632" i="25" a="1"/>
  <c r="C632" i="25" s="1"/>
  <c r="C631" i="25" a="1"/>
  <c r="C631" i="25" s="1"/>
  <c r="C630" i="25" a="1"/>
  <c r="C630" i="25" s="1"/>
  <c r="C629" i="25" a="1"/>
  <c r="C629" i="25" s="1"/>
  <c r="C628" i="25" a="1"/>
  <c r="C628" i="25" s="1"/>
  <c r="C627" i="25" a="1"/>
  <c r="C627" i="25" s="1"/>
  <c r="C626" i="25" a="1"/>
  <c r="C626" i="25" s="1"/>
  <c r="C625" i="25" a="1"/>
  <c r="C625" i="25" s="1"/>
  <c r="C624" i="25" a="1"/>
  <c r="C624" i="25" s="1"/>
  <c r="N624" i="25" s="1"/>
  <c r="O624" i="25" s="1"/>
  <c r="C623" i="25" a="1"/>
  <c r="C623" i="25" s="1"/>
  <c r="C622" i="25" a="1"/>
  <c r="C622" i="25" s="1"/>
  <c r="C621" i="25" a="1"/>
  <c r="C621" i="25" s="1"/>
  <c r="C620" i="25" a="1"/>
  <c r="C620" i="25" s="1"/>
  <c r="C619" i="25" a="1"/>
  <c r="C619" i="25" s="1"/>
  <c r="C618" i="25" a="1"/>
  <c r="C618" i="25" s="1"/>
  <c r="C617" i="25" a="1"/>
  <c r="C617" i="25" s="1"/>
  <c r="N617" i="25" s="1"/>
  <c r="O617" i="25" s="1"/>
  <c r="C616" i="25" a="1"/>
  <c r="C616" i="25" s="1"/>
  <c r="C615" i="25" a="1"/>
  <c r="C615" i="25" s="1"/>
  <c r="C614" i="25" a="1"/>
  <c r="C614" i="25" s="1"/>
  <c r="C613" i="25" a="1"/>
  <c r="C613" i="25" s="1"/>
  <c r="C612" i="25" a="1"/>
  <c r="C612" i="25" s="1"/>
  <c r="C611" i="25" a="1"/>
  <c r="C611" i="25" s="1"/>
  <c r="C610" i="25" a="1"/>
  <c r="C610" i="25" s="1"/>
  <c r="C609" i="25" a="1"/>
  <c r="C609" i="25" s="1"/>
  <c r="C608" i="25" a="1"/>
  <c r="C608" i="25" s="1"/>
  <c r="C607" i="25" a="1"/>
  <c r="C607" i="25" s="1"/>
  <c r="C606" i="25" a="1"/>
  <c r="C606" i="25" s="1"/>
  <c r="C605" i="25" a="1"/>
  <c r="C605" i="25" s="1"/>
  <c r="C604" i="25" a="1"/>
  <c r="C604" i="25" s="1"/>
  <c r="C603" i="25" a="1"/>
  <c r="C603" i="25" s="1"/>
  <c r="C602" i="25" a="1"/>
  <c r="C602" i="25" s="1"/>
  <c r="C601" i="25" a="1"/>
  <c r="C601" i="25" s="1"/>
  <c r="C600" i="25" a="1"/>
  <c r="C600" i="25" s="1"/>
  <c r="C599" i="25" a="1"/>
  <c r="C599" i="25" s="1"/>
  <c r="C598" i="25" a="1"/>
  <c r="C598" i="25" s="1"/>
  <c r="C597" i="25" a="1"/>
  <c r="C597" i="25" s="1"/>
  <c r="N597" i="25" s="1"/>
  <c r="O597" i="25" s="1"/>
  <c r="C596" i="25" a="1"/>
  <c r="C596" i="25" s="1"/>
  <c r="C595" i="25" a="1"/>
  <c r="C595" i="25" s="1"/>
  <c r="C594" i="25" a="1"/>
  <c r="C594" i="25" s="1"/>
  <c r="C593" i="25" a="1"/>
  <c r="C593" i="25" s="1"/>
  <c r="C592" i="25" a="1"/>
  <c r="C592" i="25" s="1"/>
  <c r="C591" i="25" a="1"/>
  <c r="C591" i="25" s="1"/>
  <c r="C590" i="25" a="1"/>
  <c r="C590" i="25" s="1"/>
  <c r="C589" i="25" a="1"/>
  <c r="C589" i="25" s="1"/>
  <c r="C588" i="25" a="1"/>
  <c r="C588" i="25" s="1"/>
  <c r="C587" i="25" a="1"/>
  <c r="C587" i="25" s="1"/>
  <c r="C586" i="25" a="1"/>
  <c r="C586" i="25" s="1"/>
  <c r="N586" i="25" s="1"/>
  <c r="O586" i="25" s="1"/>
  <c r="C585" i="25" a="1"/>
  <c r="C585" i="25" s="1"/>
  <c r="C584" i="25" a="1"/>
  <c r="C584" i="25" s="1"/>
  <c r="C583" i="25" a="1"/>
  <c r="C583" i="25" s="1"/>
  <c r="C582" i="25" a="1"/>
  <c r="C582" i="25" s="1"/>
  <c r="C581" i="25" a="1"/>
  <c r="C581" i="25" s="1"/>
  <c r="C580" i="25" a="1"/>
  <c r="C580" i="25" s="1"/>
  <c r="C579" i="25" a="1"/>
  <c r="C579" i="25" s="1"/>
  <c r="C578" i="25" a="1"/>
  <c r="C578" i="25" s="1"/>
  <c r="C577" i="25" a="1"/>
  <c r="C577" i="25" s="1"/>
  <c r="C576" i="25"/>
  <c r="C576" i="25" a="1"/>
  <c r="C575" i="25" a="1"/>
  <c r="C575" i="25" s="1"/>
  <c r="C574" i="25" a="1"/>
  <c r="C574" i="25" s="1"/>
  <c r="C573" i="25" a="1"/>
  <c r="C573" i="25" s="1"/>
  <c r="C572" i="25" a="1"/>
  <c r="C572" i="25" s="1"/>
  <c r="C571" i="25" a="1"/>
  <c r="C571" i="25" s="1"/>
  <c r="C570" i="25" a="1"/>
  <c r="C570" i="25" s="1"/>
  <c r="C569" i="25" a="1"/>
  <c r="C569" i="25" s="1"/>
  <c r="C568" i="25" a="1"/>
  <c r="C568" i="25" s="1"/>
  <c r="C567" i="25"/>
  <c r="C567" i="25" a="1"/>
  <c r="C566" i="25" a="1"/>
  <c r="C566" i="25" s="1"/>
  <c r="N566" i="25" s="1"/>
  <c r="O566" i="25" s="1"/>
  <c r="C565" i="25" a="1"/>
  <c r="C565" i="25" s="1"/>
  <c r="C564" i="25" a="1"/>
  <c r="C564" i="25" s="1"/>
  <c r="C563" i="25" a="1"/>
  <c r="C563" i="25" s="1"/>
  <c r="C562" i="25" a="1"/>
  <c r="C562" i="25" s="1"/>
  <c r="C561" i="25" a="1"/>
  <c r="C561" i="25" s="1"/>
  <c r="N561" i="25" s="1"/>
  <c r="O561" i="25" s="1"/>
  <c r="C560" i="25" a="1"/>
  <c r="C560" i="25" s="1"/>
  <c r="C559" i="25" a="1"/>
  <c r="C559" i="25" s="1"/>
  <c r="C558" i="25" a="1"/>
  <c r="C558" i="25" s="1"/>
  <c r="C557" i="25" a="1"/>
  <c r="C557" i="25" s="1"/>
  <c r="C556" i="25" a="1"/>
  <c r="C556" i="25" s="1"/>
  <c r="C555" i="25" a="1"/>
  <c r="C555" i="25" s="1"/>
  <c r="C554" i="25" a="1"/>
  <c r="C554" i="25" s="1"/>
  <c r="C553" i="25" a="1"/>
  <c r="C553" i="25" s="1"/>
  <c r="C552" i="25"/>
  <c r="C552" i="25" a="1"/>
  <c r="C551" i="25" a="1"/>
  <c r="C551" i="25" s="1"/>
  <c r="C550" i="25" a="1"/>
  <c r="C550" i="25" s="1"/>
  <c r="N550" i="25" s="1"/>
  <c r="O550" i="25" s="1"/>
  <c r="C549" i="25" a="1"/>
  <c r="C549" i="25" s="1"/>
  <c r="C548" i="25" a="1"/>
  <c r="C548" i="25" s="1"/>
  <c r="C547" i="25" a="1"/>
  <c r="C547" i="25" s="1"/>
  <c r="C546" i="25" a="1"/>
  <c r="C546" i="25" s="1"/>
  <c r="C545" i="25" a="1"/>
  <c r="C545" i="25" s="1"/>
  <c r="N545" i="25" s="1"/>
  <c r="O545" i="25" s="1"/>
  <c r="C544" i="25" a="1"/>
  <c r="C544" i="25" s="1"/>
  <c r="C543" i="25" a="1"/>
  <c r="C543" i="25" s="1"/>
  <c r="C542" i="25" a="1"/>
  <c r="C542" i="25" s="1"/>
  <c r="C541" i="25" a="1"/>
  <c r="C541" i="25" s="1"/>
  <c r="C540" i="25" a="1"/>
  <c r="C540" i="25" s="1"/>
  <c r="C539" i="25" a="1"/>
  <c r="C539" i="25" s="1"/>
  <c r="C538" i="25" a="1"/>
  <c r="C538" i="25" s="1"/>
  <c r="C537" i="25" a="1"/>
  <c r="C537" i="25" s="1"/>
  <c r="C536" i="25" a="1"/>
  <c r="C536" i="25" s="1"/>
  <c r="C535" i="25" a="1"/>
  <c r="C535" i="25" s="1"/>
  <c r="C534" i="25" a="1"/>
  <c r="C534" i="25" s="1"/>
  <c r="C533" i="25" a="1"/>
  <c r="C533" i="25" s="1"/>
  <c r="C532" i="25" a="1"/>
  <c r="C532" i="25" s="1"/>
  <c r="C531" i="25" a="1"/>
  <c r="C531" i="25" s="1"/>
  <c r="C530" i="25" a="1"/>
  <c r="C530" i="25" s="1"/>
  <c r="C529" i="25" a="1"/>
  <c r="C529" i="25" s="1"/>
  <c r="N529" i="25" s="1"/>
  <c r="O529" i="25" s="1"/>
  <c r="C528" i="25" a="1"/>
  <c r="C528" i="25" s="1"/>
  <c r="C527" i="25" a="1"/>
  <c r="C527" i="25" s="1"/>
  <c r="C526" i="25" a="1"/>
  <c r="C526" i="25" s="1"/>
  <c r="C525" i="25" a="1"/>
  <c r="C525" i="25" s="1"/>
  <c r="N525" i="25" s="1"/>
  <c r="O525" i="25" s="1"/>
  <c r="C524" i="25" a="1"/>
  <c r="C524" i="25" s="1"/>
  <c r="C523" i="25" a="1"/>
  <c r="C523" i="25" s="1"/>
  <c r="C522" i="25" a="1"/>
  <c r="C522" i="25" s="1"/>
  <c r="C521" i="25"/>
  <c r="C521" i="25" a="1"/>
  <c r="C520" i="25" a="1"/>
  <c r="C520" i="25" s="1"/>
  <c r="C519" i="25" a="1"/>
  <c r="C519" i="25" s="1"/>
  <c r="N519" i="25" s="1"/>
  <c r="O519" i="25" s="1"/>
  <c r="C518" i="25" a="1"/>
  <c r="C518" i="25" s="1"/>
  <c r="C517" i="25" a="1"/>
  <c r="C517" i="25" s="1"/>
  <c r="N517" i="25" s="1"/>
  <c r="O517" i="25" s="1"/>
  <c r="C516" i="25" a="1"/>
  <c r="C516" i="25" s="1"/>
  <c r="C515" i="25" a="1"/>
  <c r="C515" i="25" s="1"/>
  <c r="N515" i="25" s="1"/>
  <c r="O515" i="25" s="1"/>
  <c r="C514" i="25" a="1"/>
  <c r="C514" i="25" s="1"/>
  <c r="C513" i="25" a="1"/>
  <c r="C513" i="25" s="1"/>
  <c r="C512" i="25" a="1"/>
  <c r="C512" i="25" s="1"/>
  <c r="C511" i="25" a="1"/>
  <c r="C511" i="25" s="1"/>
  <c r="N511" i="25" s="1"/>
  <c r="O511" i="25" s="1"/>
  <c r="C510" i="25" a="1"/>
  <c r="C510" i="25" s="1"/>
  <c r="C509" i="25" a="1"/>
  <c r="C509" i="25" s="1"/>
  <c r="C508" i="25" a="1"/>
  <c r="C508" i="25" s="1"/>
  <c r="C507" i="25" a="1"/>
  <c r="C507" i="25" s="1"/>
  <c r="C506" i="25" a="1"/>
  <c r="C506" i="25" s="1"/>
  <c r="C505" i="25" a="1"/>
  <c r="C505" i="25" s="1"/>
  <c r="N505" i="25" s="1"/>
  <c r="O505" i="25" s="1"/>
  <c r="C504" i="25" a="1"/>
  <c r="C504" i="25" s="1"/>
  <c r="C503" i="25" a="1"/>
  <c r="C503" i="25" s="1"/>
  <c r="C502" i="25" a="1"/>
  <c r="C502" i="25" s="1"/>
  <c r="C501" i="25" a="1"/>
  <c r="C501" i="25" s="1"/>
  <c r="C500" i="25" a="1"/>
  <c r="C500" i="25" s="1"/>
  <c r="C499" i="25" a="1"/>
  <c r="C499" i="25" s="1"/>
  <c r="C498" i="25" a="1"/>
  <c r="C498" i="25" s="1"/>
  <c r="N498" i="25" s="1"/>
  <c r="O498" i="25" s="1"/>
  <c r="C497" i="25" a="1"/>
  <c r="C497" i="25" s="1"/>
  <c r="N497" i="25" s="1"/>
  <c r="O497" i="25" s="1"/>
  <c r="C496" i="25" a="1"/>
  <c r="C496" i="25" s="1"/>
  <c r="C495" i="25" a="1"/>
  <c r="C495" i="25" s="1"/>
  <c r="C494" i="25" a="1"/>
  <c r="C494" i="25" s="1"/>
  <c r="C493" i="25" a="1"/>
  <c r="C493" i="25" s="1"/>
  <c r="C492" i="25" a="1"/>
  <c r="C492" i="25" s="1"/>
  <c r="C491" i="25" a="1"/>
  <c r="C491" i="25" s="1"/>
  <c r="C490" i="25" a="1"/>
  <c r="C490" i="25" s="1"/>
  <c r="C489" i="25"/>
  <c r="C489" i="25" a="1"/>
  <c r="C488" i="25" a="1"/>
  <c r="C488" i="25" s="1"/>
  <c r="C487" i="25" a="1"/>
  <c r="C487" i="25" s="1"/>
  <c r="C486" i="25" a="1"/>
  <c r="C486" i="25" s="1"/>
  <c r="C485" i="25" a="1"/>
  <c r="C485" i="25" s="1"/>
  <c r="C484" i="25" a="1"/>
  <c r="C484" i="25" s="1"/>
  <c r="N484" i="25" s="1"/>
  <c r="O484" i="25" s="1"/>
  <c r="C483" i="25" a="1"/>
  <c r="C483" i="25" s="1"/>
  <c r="C482" i="25" a="1"/>
  <c r="C482" i="25" s="1"/>
  <c r="C481" i="25" a="1"/>
  <c r="C481" i="25" s="1"/>
  <c r="C480" i="25" a="1"/>
  <c r="C480" i="25" s="1"/>
  <c r="C479" i="25" a="1"/>
  <c r="C479" i="25" s="1"/>
  <c r="C478" i="25" a="1"/>
  <c r="C478" i="25" s="1"/>
  <c r="C477" i="25" a="1"/>
  <c r="C477" i="25" s="1"/>
  <c r="C476" i="25" a="1"/>
  <c r="C476" i="25" s="1"/>
  <c r="N475" i="25"/>
  <c r="O475" i="25" s="1"/>
  <c r="C475" i="25" a="1"/>
  <c r="C475" i="25" s="1"/>
  <c r="C474" i="25" a="1"/>
  <c r="C474" i="25" s="1"/>
  <c r="C473" i="25" a="1"/>
  <c r="C473" i="25" s="1"/>
  <c r="C472" i="25" a="1"/>
  <c r="C472" i="25" s="1"/>
  <c r="C471" i="25" a="1"/>
  <c r="C471" i="25" s="1"/>
  <c r="C470" i="25" a="1"/>
  <c r="C470" i="25" s="1"/>
  <c r="C469" i="25" a="1"/>
  <c r="C469" i="25" s="1"/>
  <c r="C468" i="25" a="1"/>
  <c r="C468" i="25" s="1"/>
  <c r="N468" i="25" s="1"/>
  <c r="O468" i="25" s="1"/>
  <c r="C467" i="25" a="1"/>
  <c r="C467" i="25" s="1"/>
  <c r="C466" i="25" a="1"/>
  <c r="C466" i="25" s="1"/>
  <c r="N466" i="25" s="1"/>
  <c r="O466" i="25" s="1"/>
  <c r="C465" i="25" a="1"/>
  <c r="C465" i="25" s="1"/>
  <c r="C464" i="25" a="1"/>
  <c r="C464" i="25" s="1"/>
  <c r="N464" i="25" s="1"/>
  <c r="O464" i="25" s="1"/>
  <c r="C463" i="25" a="1"/>
  <c r="C463" i="25" s="1"/>
  <c r="C462" i="25" a="1"/>
  <c r="C462" i="25" s="1"/>
  <c r="C461" i="25" a="1"/>
  <c r="C461" i="25" s="1"/>
  <c r="C460" i="25" a="1"/>
  <c r="C460" i="25" s="1"/>
  <c r="C459" i="25" a="1"/>
  <c r="C459" i="25" s="1"/>
  <c r="C458" i="25" a="1"/>
  <c r="C458" i="25" s="1"/>
  <c r="C457" i="25" a="1"/>
  <c r="C457" i="25" s="1"/>
  <c r="C456" i="25" a="1"/>
  <c r="C456" i="25" s="1"/>
  <c r="C455" i="25" a="1"/>
  <c r="C455" i="25" s="1"/>
  <c r="C454" i="25" a="1"/>
  <c r="C454" i="25" s="1"/>
  <c r="C453" i="25" a="1"/>
  <c r="C453" i="25" s="1"/>
  <c r="C452" i="25" a="1"/>
  <c r="C452" i="25" s="1"/>
  <c r="C451" i="25" a="1"/>
  <c r="C451" i="25" s="1"/>
  <c r="C450" i="25" a="1"/>
  <c r="C450" i="25" s="1"/>
  <c r="N450" i="25" s="1"/>
  <c r="O450" i="25" s="1"/>
  <c r="C449" i="25" a="1"/>
  <c r="C449" i="25" s="1"/>
  <c r="C448" i="25" a="1"/>
  <c r="C448" i="25" s="1"/>
  <c r="C447" i="25" a="1"/>
  <c r="C447" i="25" s="1"/>
  <c r="N447" i="25" s="1"/>
  <c r="O447" i="25" s="1"/>
  <c r="C446" i="25" a="1"/>
  <c r="C446" i="25" s="1"/>
  <c r="C445" i="25" a="1"/>
  <c r="C445" i="25" s="1"/>
  <c r="C444" i="25" a="1"/>
  <c r="C444" i="25" s="1"/>
  <c r="N444" i="25" s="1"/>
  <c r="O444" i="25" s="1"/>
  <c r="C443" i="25" a="1"/>
  <c r="C443" i="25" s="1"/>
  <c r="C442" i="25" a="1"/>
  <c r="C442" i="25" s="1"/>
  <c r="C441" i="25" a="1"/>
  <c r="C441" i="25" s="1"/>
  <c r="C440" i="25" a="1"/>
  <c r="C440" i="25" s="1"/>
  <c r="C439" i="25" a="1"/>
  <c r="C439" i="25" s="1"/>
  <c r="C438" i="25" a="1"/>
  <c r="C438" i="25" s="1"/>
  <c r="C437" i="25" a="1"/>
  <c r="C437" i="25" s="1"/>
  <c r="C436" i="25" a="1"/>
  <c r="C436" i="25" s="1"/>
  <c r="C435" i="25" a="1"/>
  <c r="C435" i="25" s="1"/>
  <c r="C434" i="25"/>
  <c r="N434" i="25" s="1"/>
  <c r="O434" i="25" s="1"/>
  <c r="C434" i="25" a="1"/>
  <c r="C433" i="25" a="1"/>
  <c r="C433" i="25" s="1"/>
  <c r="C432" i="25" a="1"/>
  <c r="C432" i="25" s="1"/>
  <c r="N432" i="25" s="1"/>
  <c r="O432" i="25" s="1"/>
  <c r="C431" i="25" a="1"/>
  <c r="C431" i="25" s="1"/>
  <c r="C430" i="25" a="1"/>
  <c r="C430" i="25" s="1"/>
  <c r="C429" i="25" a="1"/>
  <c r="C429" i="25" s="1"/>
  <c r="C428" i="25" a="1"/>
  <c r="C428" i="25" s="1"/>
  <c r="C427" i="25" a="1"/>
  <c r="C427" i="25" s="1"/>
  <c r="C426" i="25" a="1"/>
  <c r="C426" i="25" s="1"/>
  <c r="C425" i="25" a="1"/>
  <c r="C425" i="25" s="1"/>
  <c r="C424" i="25" a="1"/>
  <c r="C424" i="25" s="1"/>
  <c r="C423" i="25" a="1"/>
  <c r="C423" i="25" s="1"/>
  <c r="C422" i="25" a="1"/>
  <c r="C422" i="25" s="1"/>
  <c r="C421" i="25" a="1"/>
  <c r="C421" i="25" s="1"/>
  <c r="C420" i="25" a="1"/>
  <c r="C420" i="25" s="1"/>
  <c r="C419" i="25" a="1"/>
  <c r="C419" i="25" s="1"/>
  <c r="C418" i="25" a="1"/>
  <c r="C418" i="25" s="1"/>
  <c r="C417" i="25" a="1"/>
  <c r="C417" i="25" s="1"/>
  <c r="C416" i="25" a="1"/>
  <c r="C416" i="25" s="1"/>
  <c r="C415" i="25" a="1"/>
  <c r="C415" i="25" s="1"/>
  <c r="C414" i="25"/>
  <c r="C414" i="25" a="1"/>
  <c r="C413" i="25" a="1"/>
  <c r="C413" i="25" s="1"/>
  <c r="C412" i="25" a="1"/>
  <c r="C412" i="25" s="1"/>
  <c r="C411" i="25" a="1"/>
  <c r="C411" i="25" s="1"/>
  <c r="C410" i="25" a="1"/>
  <c r="C410" i="25" s="1"/>
  <c r="C409" i="25" a="1"/>
  <c r="C409" i="25" s="1"/>
  <c r="C408" i="25" a="1"/>
  <c r="C408" i="25" s="1"/>
  <c r="C407" i="25" a="1"/>
  <c r="C407" i="25" s="1"/>
  <c r="C406" i="25" a="1"/>
  <c r="C406" i="25" s="1"/>
  <c r="C405" i="25" a="1"/>
  <c r="C405" i="25" s="1"/>
  <c r="C404" i="25" a="1"/>
  <c r="C404" i="25" s="1"/>
  <c r="C403" i="25"/>
  <c r="N403" i="25" s="1"/>
  <c r="O403" i="25" s="1"/>
  <c r="C403" i="25" a="1"/>
  <c r="C402" i="25" a="1"/>
  <c r="C402" i="25" s="1"/>
  <c r="C401" i="25" a="1"/>
  <c r="C401" i="25" s="1"/>
  <c r="C400" i="25" a="1"/>
  <c r="C400" i="25" s="1"/>
  <c r="C399" i="25" a="1"/>
  <c r="C399" i="25" s="1"/>
  <c r="C398" i="25" a="1"/>
  <c r="C398" i="25" s="1"/>
  <c r="C397" i="25" a="1"/>
  <c r="C397" i="25" s="1"/>
  <c r="C396" i="25" a="1"/>
  <c r="C396" i="25" s="1"/>
  <c r="C395" i="25" a="1"/>
  <c r="C395" i="25" s="1"/>
  <c r="C394" i="25" a="1"/>
  <c r="C394" i="25" s="1"/>
  <c r="C393" i="25" a="1"/>
  <c r="C393" i="25" s="1"/>
  <c r="N393" i="25" s="1"/>
  <c r="O393" i="25" s="1"/>
  <c r="C392" i="25" a="1"/>
  <c r="C392" i="25" s="1"/>
  <c r="C391" i="25" a="1"/>
  <c r="C391" i="25" s="1"/>
  <c r="N391" i="25" s="1"/>
  <c r="O391" i="25" s="1"/>
  <c r="C390" i="25" a="1"/>
  <c r="C390" i="25" s="1"/>
  <c r="C389" i="25" a="1"/>
  <c r="C389" i="25" s="1"/>
  <c r="C388" i="25" a="1"/>
  <c r="C388" i="25" s="1"/>
  <c r="C387" i="25" a="1"/>
  <c r="C387" i="25" s="1"/>
  <c r="C386" i="25" a="1"/>
  <c r="C386" i="25" s="1"/>
  <c r="C385" i="25" a="1"/>
  <c r="C385" i="25" s="1"/>
  <c r="C384" i="25" a="1"/>
  <c r="C384" i="25" s="1"/>
  <c r="C383" i="25" a="1"/>
  <c r="C383" i="25" s="1"/>
  <c r="N383" i="25" s="1"/>
  <c r="O383" i="25" s="1"/>
  <c r="C382" i="25" a="1"/>
  <c r="C382" i="25" s="1"/>
  <c r="C381" i="25" a="1"/>
  <c r="C381" i="25" s="1"/>
  <c r="C380" i="25" a="1"/>
  <c r="C380" i="25" s="1"/>
  <c r="N380" i="25" s="1"/>
  <c r="O380" i="25" s="1"/>
  <c r="C379" i="25" a="1"/>
  <c r="C379" i="25" s="1"/>
  <c r="C378" i="25" a="1"/>
  <c r="C378" i="25" s="1"/>
  <c r="C377" i="25" a="1"/>
  <c r="C377" i="25" s="1"/>
  <c r="C376" i="25" a="1"/>
  <c r="C376" i="25" s="1"/>
  <c r="N376" i="25" s="1"/>
  <c r="O376" i="25" s="1"/>
  <c r="C375" i="25" a="1"/>
  <c r="C375" i="25" s="1"/>
  <c r="C374" i="25" a="1"/>
  <c r="C374" i="25" s="1"/>
  <c r="C373" i="25"/>
  <c r="C373" i="25" a="1"/>
  <c r="C372" i="25" a="1"/>
  <c r="C372" i="25" s="1"/>
  <c r="C371" i="25" a="1"/>
  <c r="C371" i="25" s="1"/>
  <c r="C370" i="25" a="1"/>
  <c r="C370" i="25" s="1"/>
  <c r="C369" i="25" a="1"/>
  <c r="C369" i="25" s="1"/>
  <c r="C368" i="25" a="1"/>
  <c r="C368" i="25" s="1"/>
  <c r="C367" i="25" a="1"/>
  <c r="C367" i="25" s="1"/>
  <c r="C366" i="25" a="1"/>
  <c r="C366" i="25" s="1"/>
  <c r="N366" i="25" s="1"/>
  <c r="O366" i="25" s="1"/>
  <c r="C365" i="25" a="1"/>
  <c r="C365" i="25" s="1"/>
  <c r="C364" i="25" a="1"/>
  <c r="C364" i="25" s="1"/>
  <c r="C363" i="25" a="1"/>
  <c r="C363" i="25" s="1"/>
  <c r="C362" i="25" a="1"/>
  <c r="C362" i="25" s="1"/>
  <c r="C361" i="25" a="1"/>
  <c r="C361" i="25" s="1"/>
  <c r="C360" i="25" a="1"/>
  <c r="C360" i="25" s="1"/>
  <c r="C359" i="25" a="1"/>
  <c r="C359" i="25" s="1"/>
  <c r="C358" i="25" a="1"/>
  <c r="C358" i="25" s="1"/>
  <c r="C357" i="25" a="1"/>
  <c r="C357" i="25" s="1"/>
  <c r="C356" i="25" a="1"/>
  <c r="C356" i="25" s="1"/>
  <c r="C355" i="25" a="1"/>
  <c r="C355" i="25" s="1"/>
  <c r="C354" i="25" a="1"/>
  <c r="C354" i="25" s="1"/>
  <c r="C353" i="25"/>
  <c r="C353" i="25" a="1"/>
  <c r="C352" i="25" a="1"/>
  <c r="C352" i="25" s="1"/>
  <c r="C351" i="25" a="1"/>
  <c r="C351" i="25" s="1"/>
  <c r="C350" i="25" a="1"/>
  <c r="C350" i="25" s="1"/>
  <c r="C349" i="25" a="1"/>
  <c r="C349" i="25" s="1"/>
  <c r="C348" i="25" a="1"/>
  <c r="C348" i="25" s="1"/>
  <c r="C347" i="25" a="1"/>
  <c r="C347" i="25" s="1"/>
  <c r="C346" i="25" a="1"/>
  <c r="C346" i="25" s="1"/>
  <c r="C345" i="25" a="1"/>
  <c r="C345" i="25" s="1"/>
  <c r="C344" i="25" a="1"/>
  <c r="C344" i="25" s="1"/>
  <c r="C343" i="25" a="1"/>
  <c r="C343" i="25" s="1"/>
  <c r="C342" i="25" a="1"/>
  <c r="C342" i="25" s="1"/>
  <c r="C341" i="25" a="1"/>
  <c r="C341" i="25" s="1"/>
  <c r="C340" i="25" a="1"/>
  <c r="C340" i="25" s="1"/>
  <c r="C339" i="25" a="1"/>
  <c r="C339" i="25" s="1"/>
  <c r="C338" i="25" a="1"/>
  <c r="C338" i="25" s="1"/>
  <c r="C337" i="25" a="1"/>
  <c r="C337" i="25" s="1"/>
  <c r="C336" i="25" a="1"/>
  <c r="C336" i="25" s="1"/>
  <c r="C335" i="25" a="1"/>
  <c r="C335" i="25" s="1"/>
  <c r="C334" i="25" a="1"/>
  <c r="C334" i="25" s="1"/>
  <c r="C333" i="25" a="1"/>
  <c r="C333" i="25" s="1"/>
  <c r="C332" i="25" a="1"/>
  <c r="C332" i="25" s="1"/>
  <c r="C331" i="25" a="1"/>
  <c r="C331" i="25" s="1"/>
  <c r="C330" i="25" a="1"/>
  <c r="C330" i="25" s="1"/>
  <c r="C329" i="25" a="1"/>
  <c r="C329" i="25" s="1"/>
  <c r="C328" i="25" a="1"/>
  <c r="C328" i="25" s="1"/>
  <c r="C327" i="25" a="1"/>
  <c r="C327" i="25" s="1"/>
  <c r="C326" i="25" a="1"/>
  <c r="C326" i="25" s="1"/>
  <c r="C325" i="25" a="1"/>
  <c r="C325" i="25" s="1"/>
  <c r="C324" i="25" a="1"/>
  <c r="C324" i="25" s="1"/>
  <c r="C323" i="25" a="1"/>
  <c r="C323" i="25" s="1"/>
  <c r="C322" i="25" a="1"/>
  <c r="C322" i="25" s="1"/>
  <c r="C321" i="25" a="1"/>
  <c r="C321" i="25" s="1"/>
  <c r="C320" i="25" a="1"/>
  <c r="C320" i="25" s="1"/>
  <c r="N320" i="25" s="1"/>
  <c r="O320" i="25" s="1"/>
  <c r="C319" i="25" a="1"/>
  <c r="C319" i="25" s="1"/>
  <c r="C318" i="25" a="1"/>
  <c r="C318" i="25" s="1"/>
  <c r="C317" i="25" a="1"/>
  <c r="C317" i="25" s="1"/>
  <c r="C316" i="25" a="1"/>
  <c r="C316" i="25" s="1"/>
  <c r="C315" i="25" a="1"/>
  <c r="C315" i="25" s="1"/>
  <c r="C314" i="25" a="1"/>
  <c r="C314" i="25" s="1"/>
  <c r="C313" i="25" a="1"/>
  <c r="C313" i="25" s="1"/>
  <c r="C312" i="25" a="1"/>
  <c r="C312" i="25" s="1"/>
  <c r="C311" i="25" a="1"/>
  <c r="C311" i="25" s="1"/>
  <c r="C310" i="25" a="1"/>
  <c r="C310" i="25" s="1"/>
  <c r="C309" i="25" a="1"/>
  <c r="C309" i="25" s="1"/>
  <c r="C308" i="25" a="1"/>
  <c r="C308" i="25" s="1"/>
  <c r="C307" i="25" a="1"/>
  <c r="C307" i="25" s="1"/>
  <c r="C306" i="25" a="1"/>
  <c r="C306" i="25" s="1"/>
  <c r="C305" i="25" a="1"/>
  <c r="C305" i="25" s="1"/>
  <c r="C304" i="25" a="1"/>
  <c r="C304" i="25" s="1"/>
  <c r="C303" i="25" a="1"/>
  <c r="C303" i="25" s="1"/>
  <c r="C302" i="25" a="1"/>
  <c r="C302" i="25" s="1"/>
  <c r="C301" i="25" a="1"/>
  <c r="C301" i="25" s="1"/>
  <c r="C300" i="25" a="1"/>
  <c r="C300" i="25" s="1"/>
  <c r="C299" i="25" a="1"/>
  <c r="C299" i="25" s="1"/>
  <c r="C298" i="25" a="1"/>
  <c r="C298" i="25" s="1"/>
  <c r="C297" i="25" a="1"/>
  <c r="C297" i="25" s="1"/>
  <c r="C296" i="25" a="1"/>
  <c r="C296" i="25" s="1"/>
  <c r="C295" i="25" a="1"/>
  <c r="C295" i="25" s="1"/>
  <c r="C294" i="25" a="1"/>
  <c r="C294" i="25" s="1"/>
  <c r="C293" i="25" a="1"/>
  <c r="C293" i="25" s="1"/>
  <c r="C292" i="25" a="1"/>
  <c r="C292" i="25" s="1"/>
  <c r="C291" i="25" a="1"/>
  <c r="C291" i="25" s="1"/>
  <c r="C290" i="25" a="1"/>
  <c r="C290" i="25" s="1"/>
  <c r="C289" i="25" a="1"/>
  <c r="C289" i="25" s="1"/>
  <c r="C288" i="25" a="1"/>
  <c r="C288" i="25" s="1"/>
  <c r="C287" i="25" a="1"/>
  <c r="C287" i="25" s="1"/>
  <c r="C286" i="25" a="1"/>
  <c r="C286" i="25" s="1"/>
  <c r="C285" i="25" a="1"/>
  <c r="C285" i="25" s="1"/>
  <c r="C284" i="25" a="1"/>
  <c r="C284" i="25" s="1"/>
  <c r="C283" i="25" a="1"/>
  <c r="C283" i="25" s="1"/>
  <c r="C282" i="25" a="1"/>
  <c r="C282" i="25" s="1"/>
  <c r="C281" i="25" a="1"/>
  <c r="C281" i="25" s="1"/>
  <c r="C280" i="25" a="1"/>
  <c r="C280" i="25" s="1"/>
  <c r="C279" i="25" a="1"/>
  <c r="C279" i="25" s="1"/>
  <c r="N279" i="25" s="1"/>
  <c r="O279" i="25" s="1"/>
  <c r="C278" i="25" a="1"/>
  <c r="C278" i="25" s="1"/>
  <c r="C277" i="25" a="1"/>
  <c r="C277" i="25" s="1"/>
  <c r="C276" i="25" a="1"/>
  <c r="C276" i="25" s="1"/>
  <c r="C275" i="25" a="1"/>
  <c r="C275" i="25" s="1"/>
  <c r="C274" i="25" a="1"/>
  <c r="C274" i="25" s="1"/>
  <c r="C273" i="25" a="1"/>
  <c r="C273" i="25" s="1"/>
  <c r="C272" i="25" a="1"/>
  <c r="C272" i="25" s="1"/>
  <c r="C271" i="25" a="1"/>
  <c r="C271" i="25" s="1"/>
  <c r="C270" i="25" a="1"/>
  <c r="C270" i="25" s="1"/>
  <c r="C269" i="25" a="1"/>
  <c r="C269" i="25" s="1"/>
  <c r="C268" i="25" a="1"/>
  <c r="C268" i="25" s="1"/>
  <c r="C267" i="25" a="1"/>
  <c r="C267" i="25" s="1"/>
  <c r="C266" i="25" a="1"/>
  <c r="C266" i="25" s="1"/>
  <c r="C265" i="25" a="1"/>
  <c r="C265" i="25" s="1"/>
  <c r="C264" i="25" a="1"/>
  <c r="C264" i="25" s="1"/>
  <c r="C263" i="25" a="1"/>
  <c r="C263" i="25" s="1"/>
  <c r="C262" i="25" a="1"/>
  <c r="C262" i="25" s="1"/>
  <c r="C261" i="25" a="1"/>
  <c r="C261" i="25" s="1"/>
  <c r="N261" i="25" s="1"/>
  <c r="O261" i="25" s="1"/>
  <c r="C260" i="25" a="1"/>
  <c r="C260" i="25" s="1"/>
  <c r="C259" i="25" a="1"/>
  <c r="C259" i="25" s="1"/>
  <c r="C258" i="25" a="1"/>
  <c r="C258" i="25" s="1"/>
  <c r="C257" i="25" a="1"/>
  <c r="C257" i="25" s="1"/>
  <c r="C256" i="25" a="1"/>
  <c r="C256" i="25" s="1"/>
  <c r="C255" i="25" a="1"/>
  <c r="C255" i="25" s="1"/>
  <c r="C254" i="25" a="1"/>
  <c r="C254" i="25" s="1"/>
  <c r="C253" i="25" a="1"/>
  <c r="C253" i="25" s="1"/>
  <c r="C252" i="25" a="1"/>
  <c r="C252" i="25" s="1"/>
  <c r="C251" i="25" a="1"/>
  <c r="C251" i="25" s="1"/>
  <c r="C250" i="25" a="1"/>
  <c r="C250" i="25" s="1"/>
  <c r="C249" i="25" a="1"/>
  <c r="C249" i="25" s="1"/>
  <c r="C248" i="25"/>
  <c r="C248" i="25" a="1"/>
  <c r="C247" i="25" a="1"/>
  <c r="C247" i="25" s="1"/>
  <c r="C246" i="25" a="1"/>
  <c r="C246" i="25" s="1"/>
  <c r="C245" i="25" a="1"/>
  <c r="C245" i="25" s="1"/>
  <c r="C244" i="25" a="1"/>
  <c r="C244" i="25" s="1"/>
  <c r="N244" i="25" s="1"/>
  <c r="O244" i="25" s="1"/>
  <c r="C243" i="25" a="1"/>
  <c r="C243" i="25" s="1"/>
  <c r="C242" i="25" a="1"/>
  <c r="C242" i="25" s="1"/>
  <c r="N242" i="25" s="1"/>
  <c r="O242" i="25" s="1"/>
  <c r="C241" i="25" a="1"/>
  <c r="C241" i="25" s="1"/>
  <c r="C240" i="25" a="1"/>
  <c r="C240" i="25" s="1"/>
  <c r="C239" i="25" a="1"/>
  <c r="C239" i="25" s="1"/>
  <c r="C238" i="25" a="1"/>
  <c r="C238" i="25" s="1"/>
  <c r="C237" i="25"/>
  <c r="C237" i="25" a="1"/>
  <c r="C236" i="25" a="1"/>
  <c r="C236" i="25" s="1"/>
  <c r="C235" i="25" a="1"/>
  <c r="C235" i="25" s="1"/>
  <c r="C234" i="25" a="1"/>
  <c r="C234" i="25" s="1"/>
  <c r="C233" i="25" a="1"/>
  <c r="C233" i="25" s="1"/>
  <c r="C232" i="25" a="1"/>
  <c r="C232" i="25" s="1"/>
  <c r="C231" i="25" a="1"/>
  <c r="C231" i="25" s="1"/>
  <c r="C230" i="25" a="1"/>
  <c r="C230" i="25" s="1"/>
  <c r="C229" i="25" a="1"/>
  <c r="C229" i="25" s="1"/>
  <c r="C228" i="25" a="1"/>
  <c r="C228" i="25" s="1"/>
  <c r="C227" i="25" a="1"/>
  <c r="C227" i="25" s="1"/>
  <c r="C226" i="25" a="1"/>
  <c r="C226" i="25" s="1"/>
  <c r="C225" i="25" a="1"/>
  <c r="C225" i="25" s="1"/>
  <c r="C224" i="25" a="1"/>
  <c r="C224" i="25" s="1"/>
  <c r="C223" i="25" a="1"/>
  <c r="C223" i="25" s="1"/>
  <c r="C222" i="25" a="1"/>
  <c r="C222" i="25" s="1"/>
  <c r="C221" i="25" a="1"/>
  <c r="C221" i="25" s="1"/>
  <c r="N221" i="25" s="1"/>
  <c r="O221" i="25" s="1"/>
  <c r="C220" i="25" a="1"/>
  <c r="C220" i="25" s="1"/>
  <c r="C219" i="25" a="1"/>
  <c r="C219" i="25" s="1"/>
  <c r="C218" i="25" a="1"/>
  <c r="C218" i="25" s="1"/>
  <c r="C217" i="25" a="1"/>
  <c r="C217" i="25" s="1"/>
  <c r="C216" i="25" a="1"/>
  <c r="C216" i="25" s="1"/>
  <c r="C215" i="25" a="1"/>
  <c r="C215" i="25" s="1"/>
  <c r="C214" i="25" a="1"/>
  <c r="C214" i="25" s="1"/>
  <c r="C213" i="25" a="1"/>
  <c r="C213" i="25" s="1"/>
  <c r="C212" i="25" a="1"/>
  <c r="C212" i="25" s="1"/>
  <c r="C211" i="25" a="1"/>
  <c r="C211" i="25" s="1"/>
  <c r="C210" i="25" a="1"/>
  <c r="C210" i="25" s="1"/>
  <c r="C209" i="25" a="1"/>
  <c r="C209" i="25" s="1"/>
  <c r="C208" i="25" a="1"/>
  <c r="C208" i="25" s="1"/>
  <c r="C207" i="25" a="1"/>
  <c r="C207" i="25" s="1"/>
  <c r="N207" i="25" s="1"/>
  <c r="O207" i="25" s="1"/>
  <c r="C206" i="25" a="1"/>
  <c r="C206" i="25" s="1"/>
  <c r="C205" i="25" a="1"/>
  <c r="C205" i="25" s="1"/>
  <c r="C204" i="25" a="1"/>
  <c r="C204" i="25" s="1"/>
  <c r="C203" i="25" a="1"/>
  <c r="C203" i="25" s="1"/>
  <c r="C202" i="25" a="1"/>
  <c r="C202" i="25" s="1"/>
  <c r="C201" i="25" a="1"/>
  <c r="C201" i="25" s="1"/>
  <c r="C200" i="25" a="1"/>
  <c r="C200" i="25" s="1"/>
  <c r="C199" i="25" a="1"/>
  <c r="C199" i="25" s="1"/>
  <c r="C198" i="25" a="1"/>
  <c r="C198" i="25" s="1"/>
  <c r="N198" i="25" s="1"/>
  <c r="O198" i="25" s="1"/>
  <c r="C197" i="25" a="1"/>
  <c r="C197" i="25" s="1"/>
  <c r="C196" i="25" a="1"/>
  <c r="C196" i="25" s="1"/>
  <c r="C195" i="25" a="1"/>
  <c r="C195" i="25" s="1"/>
  <c r="C194" i="25" a="1"/>
  <c r="C194" i="25" s="1"/>
  <c r="C193" i="25" a="1"/>
  <c r="C193" i="25" s="1"/>
  <c r="C192" i="25" a="1"/>
  <c r="C192" i="25" s="1"/>
  <c r="C191" i="25" a="1"/>
  <c r="C191" i="25" s="1"/>
  <c r="C190" i="25" a="1"/>
  <c r="C190" i="25" s="1"/>
  <c r="N190" i="25" s="1"/>
  <c r="O190" i="25" s="1"/>
  <c r="C189" i="25" a="1"/>
  <c r="C189" i="25" s="1"/>
  <c r="C188" i="25" a="1"/>
  <c r="C188" i="25" s="1"/>
  <c r="C187" i="25" a="1"/>
  <c r="C187" i="25" s="1"/>
  <c r="C186" i="25" a="1"/>
  <c r="C186" i="25" s="1"/>
  <c r="C185" i="25" a="1"/>
  <c r="C185" i="25" s="1"/>
  <c r="C184" i="25" a="1"/>
  <c r="C184" i="25" s="1"/>
  <c r="C183" i="25" a="1"/>
  <c r="C183" i="25" s="1"/>
  <c r="C182" i="25" a="1"/>
  <c r="C182" i="25" s="1"/>
  <c r="C181" i="25" a="1"/>
  <c r="C181" i="25" s="1"/>
  <c r="C180" i="25" a="1"/>
  <c r="C180" i="25" s="1"/>
  <c r="C179" i="25" a="1"/>
  <c r="C179" i="25" s="1"/>
  <c r="C178" i="25"/>
  <c r="C178" i="25" a="1"/>
  <c r="C177" i="25" a="1"/>
  <c r="C177" i="25" s="1"/>
  <c r="C176" i="25" a="1"/>
  <c r="C176" i="25" s="1"/>
  <c r="C175" i="25" a="1"/>
  <c r="C175" i="25" s="1"/>
  <c r="C174" i="25" a="1"/>
  <c r="C174" i="25" s="1"/>
  <c r="C173" i="25" a="1"/>
  <c r="C173" i="25" s="1"/>
  <c r="N173" i="25" s="1"/>
  <c r="O173" i="25" s="1"/>
  <c r="C172" i="25" a="1"/>
  <c r="C172" i="25" s="1"/>
  <c r="C171" i="25" a="1"/>
  <c r="C171" i="25" s="1"/>
  <c r="C170" i="25" a="1"/>
  <c r="C170" i="25" s="1"/>
  <c r="C169" i="25" a="1"/>
  <c r="C169" i="25" s="1"/>
  <c r="C168" i="25" a="1"/>
  <c r="C168" i="25" s="1"/>
  <c r="C167" i="25" a="1"/>
  <c r="C167" i="25" s="1"/>
  <c r="C166" i="25" a="1"/>
  <c r="C166" i="25" s="1"/>
  <c r="C165" i="25" a="1"/>
  <c r="C165" i="25" s="1"/>
  <c r="C164" i="25" a="1"/>
  <c r="C164" i="25" s="1"/>
  <c r="C163" i="25" a="1"/>
  <c r="C163" i="25" s="1"/>
  <c r="C162" i="25" a="1"/>
  <c r="C162" i="25" s="1"/>
  <c r="C161" i="25" a="1"/>
  <c r="C161" i="25" s="1"/>
  <c r="C160" i="25" a="1"/>
  <c r="C160" i="25" s="1"/>
  <c r="C159" i="25" a="1"/>
  <c r="C159" i="25" s="1"/>
  <c r="C158" i="25" a="1"/>
  <c r="C158" i="25" s="1"/>
  <c r="C157" i="25" a="1"/>
  <c r="C157" i="25" s="1"/>
  <c r="C156" i="25" a="1"/>
  <c r="C156" i="25" s="1"/>
  <c r="C155" i="25" a="1"/>
  <c r="C155" i="25" s="1"/>
  <c r="C154" i="25" a="1"/>
  <c r="C154" i="25" s="1"/>
  <c r="C153" i="25" a="1"/>
  <c r="C153" i="25" s="1"/>
  <c r="C152" i="25" a="1"/>
  <c r="C152" i="25" s="1"/>
  <c r="C151" i="25" a="1"/>
  <c r="C151" i="25" s="1"/>
  <c r="C150" i="25" a="1"/>
  <c r="C150" i="25" s="1"/>
  <c r="C149" i="25" a="1"/>
  <c r="C149" i="25" s="1"/>
  <c r="C148" i="25" a="1"/>
  <c r="C148" i="25" s="1"/>
  <c r="C147" i="25" a="1"/>
  <c r="C147" i="25" s="1"/>
  <c r="C146" i="25" a="1"/>
  <c r="C146" i="25" s="1"/>
  <c r="C145" i="25" a="1"/>
  <c r="C145" i="25" s="1"/>
  <c r="C144" i="25" a="1"/>
  <c r="C144" i="25" s="1"/>
  <c r="N144" i="25" s="1"/>
  <c r="O144" i="25" s="1"/>
  <c r="C143" i="25" a="1"/>
  <c r="C143" i="25" s="1"/>
  <c r="C142" i="25" a="1"/>
  <c r="C142" i="25" s="1"/>
  <c r="C141" i="25" a="1"/>
  <c r="C141" i="25" s="1"/>
  <c r="C140" i="25" a="1"/>
  <c r="C140" i="25" s="1"/>
  <c r="C139" i="25" a="1"/>
  <c r="C139" i="25" s="1"/>
  <c r="C138" i="25" a="1"/>
  <c r="C138" i="25" s="1"/>
  <c r="C137" i="25" a="1"/>
  <c r="C137" i="25" s="1"/>
  <c r="C136" i="25" a="1"/>
  <c r="C136" i="25" s="1"/>
  <c r="C135" i="25" a="1"/>
  <c r="C135" i="25" s="1"/>
  <c r="C134" i="25" a="1"/>
  <c r="C134" i="25" s="1"/>
  <c r="C133" i="25" a="1"/>
  <c r="C133" i="25" s="1"/>
  <c r="C132" i="25" a="1"/>
  <c r="C132" i="25" s="1"/>
  <c r="C131" i="25" a="1"/>
  <c r="C131" i="25" s="1"/>
  <c r="C130" i="25" a="1"/>
  <c r="C130" i="25" s="1"/>
  <c r="C129" i="25" a="1"/>
  <c r="C129" i="25" s="1"/>
  <c r="C128" i="25" a="1"/>
  <c r="C128" i="25" s="1"/>
  <c r="C127" i="25" a="1"/>
  <c r="C127" i="25" s="1"/>
  <c r="C126" i="25" a="1"/>
  <c r="C126" i="25" s="1"/>
  <c r="C125" i="25" a="1"/>
  <c r="C125" i="25" s="1"/>
  <c r="N125" i="25" s="1"/>
  <c r="O125" i="25" s="1"/>
  <c r="C124" i="25" a="1"/>
  <c r="C124" i="25" s="1"/>
  <c r="C123" i="25" a="1"/>
  <c r="C123" i="25" s="1"/>
  <c r="C122" i="25" a="1"/>
  <c r="C122" i="25" s="1"/>
  <c r="C121" i="25" a="1"/>
  <c r="C121" i="25" s="1"/>
  <c r="C120" i="25" a="1"/>
  <c r="C120" i="25" s="1"/>
  <c r="C119" i="25" a="1"/>
  <c r="C119" i="25" s="1"/>
  <c r="C118" i="25" a="1"/>
  <c r="C118" i="25" s="1"/>
  <c r="C117" i="25" a="1"/>
  <c r="C117" i="25" s="1"/>
  <c r="C116" i="25" a="1"/>
  <c r="C116" i="25" s="1"/>
  <c r="C115" i="25" a="1"/>
  <c r="C115" i="25" s="1"/>
  <c r="C114" i="25" a="1"/>
  <c r="C114" i="25" s="1"/>
  <c r="C113" i="25" a="1"/>
  <c r="C113" i="25" s="1"/>
  <c r="C112" i="25" a="1"/>
  <c r="C112" i="25" s="1"/>
  <c r="C111" i="25" a="1"/>
  <c r="C111" i="25" s="1"/>
  <c r="N111" i="25" s="1"/>
  <c r="O111" i="25" s="1"/>
  <c r="C110" i="25" a="1"/>
  <c r="C110" i="25" s="1"/>
  <c r="C109" i="25" a="1"/>
  <c r="C109" i="25" s="1"/>
  <c r="C108" i="25" a="1"/>
  <c r="C108" i="25" s="1"/>
  <c r="C107" i="25" a="1"/>
  <c r="C107" i="25" s="1"/>
  <c r="C106" i="25" a="1"/>
  <c r="C106" i="25" s="1"/>
  <c r="C105" i="25" a="1"/>
  <c r="C105" i="25" s="1"/>
  <c r="C104" i="25" a="1"/>
  <c r="C104" i="25" s="1"/>
  <c r="C103" i="25" a="1"/>
  <c r="C103" i="25" s="1"/>
  <c r="C102" i="25" a="1"/>
  <c r="C102" i="25" s="1"/>
  <c r="C101" i="25" a="1"/>
  <c r="C101" i="25" s="1"/>
  <c r="C100" i="25" a="1"/>
  <c r="C100" i="25" s="1"/>
  <c r="C99" i="25" a="1"/>
  <c r="C99" i="25" s="1"/>
  <c r="C98" i="25" a="1"/>
  <c r="C98" i="25" s="1"/>
  <c r="N98" i="25" s="1"/>
  <c r="O98" i="25" s="1"/>
  <c r="C97" i="25" a="1"/>
  <c r="C97" i="25" s="1"/>
  <c r="N97" i="25" s="1"/>
  <c r="O97" i="25" s="1"/>
  <c r="C96" i="25" a="1"/>
  <c r="C96" i="25" s="1"/>
  <c r="C95" i="25" a="1"/>
  <c r="C95" i="25" s="1"/>
  <c r="C94" i="25" a="1"/>
  <c r="C94" i="25" s="1"/>
  <c r="C93" i="25" a="1"/>
  <c r="C93" i="25" s="1"/>
  <c r="C92" i="25" a="1"/>
  <c r="C92" i="25" s="1"/>
  <c r="C91" i="25" a="1"/>
  <c r="C91" i="25" s="1"/>
  <c r="C90" i="25" a="1"/>
  <c r="C90" i="25" s="1"/>
  <c r="C89" i="25" a="1"/>
  <c r="C89" i="25" s="1"/>
  <c r="C88" i="25" a="1"/>
  <c r="C88" i="25" s="1"/>
  <c r="C87" i="25" a="1"/>
  <c r="C87" i="25" s="1"/>
  <c r="C86" i="25" a="1"/>
  <c r="C86" i="25" s="1"/>
  <c r="C85" i="25" a="1"/>
  <c r="C85" i="25" s="1"/>
  <c r="C84" i="25" a="1"/>
  <c r="C84" i="25" s="1"/>
  <c r="C83" i="25" a="1"/>
  <c r="C83" i="25" s="1"/>
  <c r="C82" i="25" a="1"/>
  <c r="C82" i="25" s="1"/>
  <c r="N82" i="25" s="1"/>
  <c r="O82" i="25" s="1"/>
  <c r="C81" i="25" a="1"/>
  <c r="C81" i="25" s="1"/>
  <c r="C80" i="25" a="1"/>
  <c r="C80" i="25" s="1"/>
  <c r="C79" i="25" a="1"/>
  <c r="C79" i="25" s="1"/>
  <c r="C78" i="25" a="1"/>
  <c r="C78" i="25" s="1"/>
  <c r="C77" i="25" a="1"/>
  <c r="C77" i="25" s="1"/>
  <c r="C76" i="25" a="1"/>
  <c r="C76" i="25" s="1"/>
  <c r="C75" i="25" a="1"/>
  <c r="C75" i="25" s="1"/>
  <c r="C74" i="25" a="1"/>
  <c r="C74" i="25" s="1"/>
  <c r="N74" i="25" s="1"/>
  <c r="O74" i="25" s="1"/>
  <c r="C73" i="25" a="1"/>
  <c r="C73" i="25" s="1"/>
  <c r="C72" i="25" a="1"/>
  <c r="C72" i="25" s="1"/>
  <c r="N72" i="25" s="1"/>
  <c r="O72" i="25" s="1"/>
  <c r="C71" i="25" a="1"/>
  <c r="C71" i="25" s="1"/>
  <c r="C70" i="25" a="1"/>
  <c r="C70" i="25" s="1"/>
  <c r="C69" i="25" a="1"/>
  <c r="C69" i="25" s="1"/>
  <c r="C68" i="25" a="1"/>
  <c r="C68" i="25" s="1"/>
  <c r="C67" i="25" a="1"/>
  <c r="C67" i="25" s="1"/>
  <c r="C66" i="25" a="1"/>
  <c r="C66" i="25" s="1"/>
  <c r="C65" i="25" a="1"/>
  <c r="C65" i="25" s="1"/>
  <c r="C64" i="25" a="1"/>
  <c r="C64" i="25" s="1"/>
  <c r="C63" i="25" a="1"/>
  <c r="C63" i="25" s="1"/>
  <c r="C62" i="25" a="1"/>
  <c r="C62" i="25" s="1"/>
  <c r="C61" i="25" a="1"/>
  <c r="C61" i="25" s="1"/>
  <c r="C60" i="25" a="1"/>
  <c r="C60" i="25" s="1"/>
  <c r="C59" i="25" a="1"/>
  <c r="C59" i="25" s="1"/>
  <c r="C58" i="25" a="1"/>
  <c r="C58" i="25" s="1"/>
  <c r="C57" i="25" a="1"/>
  <c r="C57" i="25" s="1"/>
  <c r="C56" i="25" a="1"/>
  <c r="C56" i="25" s="1"/>
  <c r="C55" i="25" a="1"/>
  <c r="C55" i="25" s="1"/>
  <c r="C54" i="25" a="1"/>
  <c r="C54" i="25" s="1"/>
  <c r="C53" i="25" a="1"/>
  <c r="C53" i="25" s="1"/>
  <c r="C52" i="25" a="1"/>
  <c r="C52" i="25" s="1"/>
  <c r="C51" i="25" a="1"/>
  <c r="C51" i="25" s="1"/>
  <c r="C50" i="25" a="1"/>
  <c r="C50" i="25" s="1"/>
  <c r="C49" i="25" a="1"/>
  <c r="C49" i="25" s="1"/>
  <c r="N49" i="25" s="1"/>
  <c r="O49" i="25" s="1"/>
  <c r="C48" i="25" a="1"/>
  <c r="C48" i="25" s="1"/>
  <c r="C47" i="25" a="1"/>
  <c r="C47" i="25" s="1"/>
  <c r="C46" i="25" a="1"/>
  <c r="C46" i="25" s="1"/>
  <c r="C45" i="25" a="1"/>
  <c r="C45" i="25" s="1"/>
  <c r="C44" i="25" a="1"/>
  <c r="C44" i="25" s="1"/>
  <c r="C43" i="25" a="1"/>
  <c r="C43" i="25" s="1"/>
  <c r="C42" i="25" a="1"/>
  <c r="C42" i="25" s="1"/>
  <c r="C41" i="25" a="1"/>
  <c r="C41" i="25" s="1"/>
  <c r="C40" i="25" a="1"/>
  <c r="C40" i="25" s="1"/>
  <c r="N40" i="25" s="1"/>
  <c r="O40" i="25" s="1"/>
  <c r="C39" i="25" a="1"/>
  <c r="C39" i="25" s="1"/>
  <c r="C38" i="25" a="1"/>
  <c r="C38" i="25" s="1"/>
  <c r="C37" i="25" a="1"/>
  <c r="C37" i="25" s="1"/>
  <c r="C36" i="25" a="1"/>
  <c r="C36" i="25" s="1"/>
  <c r="V35" i="25" a="1"/>
  <c r="V35" i="25" s="1"/>
  <c r="T35" i="25" a="1"/>
  <c r="T35" i="25" s="1"/>
  <c r="R35" i="25"/>
  <c r="C35" i="25" a="1"/>
  <c r="C35" i="25" s="1"/>
  <c r="C34" i="25" a="1"/>
  <c r="C34" i="25" s="1"/>
  <c r="C33" i="25" a="1"/>
  <c r="C33" i="25" s="1"/>
  <c r="AC33" i="25"/>
  <c r="C32" i="25" a="1"/>
  <c r="C32" i="25" s="1"/>
  <c r="V31" i="25"/>
  <c r="R31" i="25"/>
  <c r="C31" i="25" a="1"/>
  <c r="C31" i="25" s="1"/>
  <c r="C30" i="25" a="1"/>
  <c r="C30" i="25" s="1"/>
  <c r="C29" i="25" a="1"/>
  <c r="C29" i="25" s="1"/>
  <c r="C28" i="25" a="1"/>
  <c r="C28" i="25" s="1"/>
  <c r="C27" i="25" a="1"/>
  <c r="C27" i="25" s="1"/>
  <c r="C26" i="25" a="1"/>
  <c r="C26" i="25" s="1"/>
  <c r="C25" i="25" a="1"/>
  <c r="C25" i="25" s="1"/>
  <c r="C24" i="25" a="1"/>
  <c r="C24" i="25" s="1"/>
  <c r="C23" i="25" a="1"/>
  <c r="C23" i="25" s="1"/>
  <c r="C22" i="25" a="1"/>
  <c r="C22" i="25" s="1"/>
  <c r="C21" i="25" a="1"/>
  <c r="C21" i="25" s="1"/>
  <c r="C20" i="25" a="1"/>
  <c r="C20" i="25" s="1"/>
  <c r="C19" i="25" a="1"/>
  <c r="C19" i="25" s="1"/>
  <c r="C18" i="25" a="1"/>
  <c r="C18" i="25" s="1"/>
  <c r="C17" i="25" a="1"/>
  <c r="C17" i="25" s="1"/>
  <c r="C16" i="25" a="1"/>
  <c r="C16" i="25" s="1"/>
  <c r="C15" i="25" a="1"/>
  <c r="C15" i="25" s="1"/>
  <c r="C14" i="25" a="1"/>
  <c r="C14" i="25" s="1"/>
  <c r="C13" i="25" a="1"/>
  <c r="C13" i="25" s="1"/>
  <c r="C12" i="25" a="1"/>
  <c r="C12" i="25" s="1"/>
  <c r="C11" i="25" a="1"/>
  <c r="C11" i="25" s="1"/>
  <c r="C10" i="25" a="1"/>
  <c r="C10" i="25" s="1"/>
  <c r="C9" i="25" a="1"/>
  <c r="C9" i="25" s="1"/>
  <c r="C8" i="25" a="1"/>
  <c r="C8" i="25" s="1"/>
  <c r="T3" i="28" l="1"/>
  <c r="S6" i="28"/>
  <c r="T6" i="28" s="1"/>
  <c r="N643" i="25"/>
  <c r="O643" i="25" s="1"/>
  <c r="N332" i="25"/>
  <c r="O332" i="25" s="1"/>
  <c r="N228" i="25"/>
  <c r="O228" i="25" s="1"/>
  <c r="N419" i="25"/>
  <c r="O419" i="25" s="1"/>
  <c r="W35" i="25"/>
  <c r="N454" i="25"/>
  <c r="O454" i="25" s="1"/>
  <c r="N182" i="25"/>
  <c r="O182" i="25" s="1"/>
  <c r="U35" i="25"/>
  <c r="N337" i="25"/>
  <c r="O337" i="25" s="1"/>
  <c r="S35" i="25"/>
  <c r="N538" i="25"/>
  <c r="O538" i="25" s="1"/>
  <c r="N756" i="25"/>
  <c r="O756" i="25" s="1"/>
  <c r="N360" i="25"/>
  <c r="O360" i="25" s="1"/>
  <c r="N370" i="25"/>
  <c r="O370" i="25" s="1"/>
  <c r="N533" i="25"/>
  <c r="O533" i="25" s="1"/>
  <c r="N121" i="25"/>
  <c r="O121" i="25" s="1"/>
  <c r="N155" i="25"/>
  <c r="O155" i="25" s="1"/>
  <c r="N174" i="25"/>
  <c r="O174" i="25" s="1"/>
  <c r="N32" i="25"/>
  <c r="O32" i="25" s="1"/>
  <c r="N36" i="25"/>
  <c r="O36" i="25" s="1"/>
  <c r="N56" i="25"/>
  <c r="O56" i="25" s="1"/>
  <c r="N86" i="25"/>
  <c r="O86" i="25" s="1"/>
  <c r="N352" i="25"/>
  <c r="O352" i="25" s="1"/>
  <c r="N79" i="25"/>
  <c r="O79" i="25" s="1"/>
  <c r="N118" i="25"/>
  <c r="O118" i="25" s="1"/>
  <c r="N299" i="25"/>
  <c r="O299" i="25" s="1"/>
  <c r="N485" i="25"/>
  <c r="O485" i="25" s="1"/>
  <c r="N629" i="25"/>
  <c r="O629" i="25" s="1"/>
  <c r="N803" i="25"/>
  <c r="O803" i="25" s="1"/>
  <c r="N427" i="25"/>
  <c r="O427" i="25" s="1"/>
  <c r="AE33" i="25"/>
  <c r="N66" i="25"/>
  <c r="O66" i="25" s="1"/>
  <c r="N153" i="25"/>
  <c r="O153" i="25" s="1"/>
  <c r="N158" i="25"/>
  <c r="O158" i="25" s="1"/>
  <c r="N306" i="25"/>
  <c r="O306" i="25" s="1"/>
  <c r="N339" i="25"/>
  <c r="O339" i="25" s="1"/>
  <c r="N492" i="25"/>
  <c r="O492" i="25" s="1"/>
  <c r="N499" i="25"/>
  <c r="O499" i="25" s="1"/>
  <c r="AF33" i="25"/>
  <c r="N102" i="25"/>
  <c r="O102" i="25" s="1"/>
  <c r="N282" i="25"/>
  <c r="O282" i="25" s="1"/>
  <c r="N313" i="25"/>
  <c r="O313" i="25" s="1"/>
  <c r="N429" i="25"/>
  <c r="O429" i="25" s="1"/>
  <c r="N178" i="25"/>
  <c r="O178" i="25" s="1"/>
  <c r="N29" i="25"/>
  <c r="O29" i="25" s="1"/>
  <c r="N486" i="25"/>
  <c r="O486" i="25" s="1"/>
  <c r="N328" i="25"/>
  <c r="O328" i="25" s="1"/>
  <c r="N430" i="25"/>
  <c r="O430" i="25" s="1"/>
  <c r="N494" i="25"/>
  <c r="O494" i="25" s="1"/>
  <c r="N569" i="25"/>
  <c r="O569" i="25" s="1"/>
  <c r="N835" i="25"/>
  <c r="O835" i="25" s="1"/>
  <c r="N854" i="25"/>
  <c r="O854" i="25" s="1"/>
  <c r="N302" i="25"/>
  <c r="O302" i="25" s="1"/>
  <c r="N415" i="25"/>
  <c r="O415" i="25" s="1"/>
  <c r="N609" i="25"/>
  <c r="O609" i="25" s="1"/>
  <c r="N720" i="25"/>
  <c r="O720" i="25" s="1"/>
  <c r="N731" i="25"/>
  <c r="O731" i="25" s="1"/>
  <c r="N692" i="25"/>
  <c r="O692" i="25" s="1"/>
  <c r="N341" i="25"/>
  <c r="O341" i="25" s="1"/>
  <c r="N482" i="25"/>
  <c r="O482" i="25" s="1"/>
  <c r="N611" i="25"/>
  <c r="O611" i="25" s="1"/>
  <c r="N618" i="25"/>
  <c r="O618" i="25" s="1"/>
  <c r="N63" i="25"/>
  <c r="O63" i="25" s="1"/>
  <c r="N101" i="25"/>
  <c r="O101" i="25" s="1"/>
  <c r="N619" i="25"/>
  <c r="O619" i="25" s="1"/>
  <c r="N800" i="25"/>
  <c r="O800" i="25" s="1"/>
  <c r="AD33" i="25"/>
  <c r="N160" i="25"/>
  <c r="O160" i="25" s="1"/>
  <c r="N268" i="25"/>
  <c r="O268" i="25" s="1"/>
  <c r="N348" i="25"/>
  <c r="O348" i="25" s="1"/>
  <c r="N660" i="25"/>
  <c r="O660" i="25" s="1"/>
  <c r="N668" i="25"/>
  <c r="O668" i="25" s="1"/>
  <c r="N651" i="25"/>
  <c r="O651" i="25" s="1"/>
  <c r="N751" i="25"/>
  <c r="O751" i="25" s="1"/>
  <c r="N478" i="25"/>
  <c r="O478" i="25" s="1"/>
  <c r="N662" i="25"/>
  <c r="O662" i="25" s="1"/>
  <c r="N743" i="25"/>
  <c r="O743" i="25" s="1"/>
  <c r="N844" i="25"/>
  <c r="O844" i="25" s="1"/>
  <c r="N749" i="25"/>
  <c r="O749" i="25" s="1"/>
  <c r="N864" i="25"/>
  <c r="O864" i="25" s="1"/>
  <c r="N887" i="25"/>
  <c r="O887" i="25" s="1"/>
  <c r="N905" i="25"/>
  <c r="O905" i="25" s="1"/>
  <c r="T31" i="25"/>
  <c r="N156" i="25"/>
  <c r="O156" i="25" s="1"/>
  <c r="N14" i="25"/>
  <c r="O14" i="25" s="1"/>
  <c r="N50" i="25"/>
  <c r="O50" i="25" s="1"/>
  <c r="N84" i="25"/>
  <c r="O84" i="25" s="1"/>
  <c r="N33" i="25"/>
  <c r="O33" i="25" s="1"/>
  <c r="N59" i="25"/>
  <c r="O59" i="25" s="1"/>
  <c r="N27" i="25"/>
  <c r="O27" i="25" s="1"/>
  <c r="N34" i="25"/>
  <c r="O34" i="25" s="1"/>
  <c r="T33" i="25" a="1"/>
  <c r="T33" i="25" s="1"/>
  <c r="U33" i="25" s="1"/>
  <c r="N8" i="25"/>
  <c r="O8" i="25" s="1"/>
  <c r="V33" i="25" a="1"/>
  <c r="V33" i="25" s="1"/>
  <c r="W33" i="25" s="1"/>
  <c r="R33" i="25"/>
  <c r="S33" i="25" s="1"/>
  <c r="N25" i="25"/>
  <c r="O25" i="25" s="1"/>
  <c r="N55" i="25"/>
  <c r="O55" i="25" s="1"/>
  <c r="N46" i="25"/>
  <c r="O46" i="25" s="1"/>
  <c r="N122" i="25"/>
  <c r="O122" i="25" s="1"/>
  <c r="N108" i="25"/>
  <c r="O108" i="25" s="1"/>
  <c r="N26" i="25"/>
  <c r="O26" i="25" s="1"/>
  <c r="N16" i="25"/>
  <c r="O16" i="25" s="1"/>
  <c r="N47" i="25"/>
  <c r="O47" i="25" s="1"/>
  <c r="N106" i="25"/>
  <c r="O106" i="25" s="1"/>
  <c r="N163" i="25"/>
  <c r="O163" i="25" s="1"/>
  <c r="N53" i="25"/>
  <c r="O53" i="25" s="1"/>
  <c r="N95" i="25"/>
  <c r="O95" i="25" s="1"/>
  <c r="N69" i="25"/>
  <c r="O69" i="25" s="1"/>
  <c r="N96" i="25"/>
  <c r="O96" i="25" s="1"/>
  <c r="N232" i="25"/>
  <c r="O232" i="25" s="1"/>
  <c r="N119" i="25"/>
  <c r="O119" i="25" s="1"/>
  <c r="N37" i="25"/>
  <c r="O37" i="25" s="1"/>
  <c r="N44" i="25"/>
  <c r="O44" i="25" s="1"/>
  <c r="N64" i="25"/>
  <c r="O64" i="25" s="1"/>
  <c r="N116" i="25"/>
  <c r="O116" i="25" s="1"/>
  <c r="N152" i="25"/>
  <c r="O152" i="25" s="1"/>
  <c r="N172" i="25"/>
  <c r="O172" i="25" s="1"/>
  <c r="N206" i="25"/>
  <c r="O206" i="25" s="1"/>
  <c r="N231" i="25"/>
  <c r="O231" i="25" s="1"/>
  <c r="N262" i="25"/>
  <c r="O262" i="25" s="1"/>
  <c r="N289" i="25"/>
  <c r="O289" i="25" s="1"/>
  <c r="N323" i="25"/>
  <c r="O323" i="25" s="1"/>
  <c r="N335" i="25"/>
  <c r="O335" i="25" s="1"/>
  <c r="N431" i="25"/>
  <c r="O431" i="25" s="1"/>
  <c r="N48" i="25"/>
  <c r="O48" i="25" s="1"/>
  <c r="N90" i="25"/>
  <c r="O90" i="25" s="1"/>
  <c r="N129" i="25"/>
  <c r="O129" i="25" s="1"/>
  <c r="N147" i="25"/>
  <c r="O147" i="25" s="1"/>
  <c r="N200" i="25"/>
  <c r="O200" i="25" s="1"/>
  <c r="N211" i="25"/>
  <c r="O211" i="25" s="1"/>
  <c r="N226" i="25"/>
  <c r="O226" i="25" s="1"/>
  <c r="N252" i="25"/>
  <c r="O252" i="25" s="1"/>
  <c r="N256" i="25"/>
  <c r="O256" i="25" s="1"/>
  <c r="N295" i="25"/>
  <c r="O295" i="25" s="1"/>
  <c r="N311" i="25"/>
  <c r="O311" i="25" s="1"/>
  <c r="N343" i="25"/>
  <c r="O343" i="25" s="1"/>
  <c r="N12" i="25"/>
  <c r="O12" i="25" s="1"/>
  <c r="N51" i="25"/>
  <c r="O51" i="25" s="1"/>
  <c r="N52" i="25"/>
  <c r="O52" i="25" s="1"/>
  <c r="N65" i="25"/>
  <c r="O65" i="25" s="1"/>
  <c r="N87" i="25"/>
  <c r="O87" i="25" s="1"/>
  <c r="N112" i="25"/>
  <c r="O112" i="25" s="1"/>
  <c r="N135" i="25"/>
  <c r="O135" i="25" s="1"/>
  <c r="N143" i="25"/>
  <c r="O143" i="25" s="1"/>
  <c r="N168" i="25"/>
  <c r="O168" i="25" s="1"/>
  <c r="N177" i="25"/>
  <c r="O177" i="25" s="1"/>
  <c r="N237" i="25"/>
  <c r="O237" i="25" s="1"/>
  <c r="N257" i="25"/>
  <c r="O257" i="25" s="1"/>
  <c r="N263" i="25"/>
  <c r="O263" i="25" s="1"/>
  <c r="N275" i="25"/>
  <c r="O275" i="25" s="1"/>
  <c r="N301" i="25"/>
  <c r="O301" i="25" s="1"/>
  <c r="N23" i="25"/>
  <c r="O23" i="25" s="1"/>
  <c r="N28" i="25"/>
  <c r="O28" i="25" s="1"/>
  <c r="N41" i="25"/>
  <c r="O41" i="25" s="1"/>
  <c r="N19" i="25"/>
  <c r="O19" i="25" s="1"/>
  <c r="N22" i="25"/>
  <c r="O22" i="25" s="1"/>
  <c r="N38" i="25"/>
  <c r="O38" i="25" s="1"/>
  <c r="N42" i="25"/>
  <c r="O42" i="25" s="1"/>
  <c r="N45" i="25"/>
  <c r="O45" i="25" s="1"/>
  <c r="N62" i="25"/>
  <c r="O62" i="25" s="1"/>
  <c r="N75" i="25"/>
  <c r="O75" i="25" s="1"/>
  <c r="N99" i="25"/>
  <c r="O99" i="25" s="1"/>
  <c r="N103" i="25"/>
  <c r="O103" i="25" s="1"/>
  <c r="N130" i="25"/>
  <c r="O130" i="25" s="1"/>
  <c r="N196" i="25"/>
  <c r="O196" i="25" s="1"/>
  <c r="N212" i="25"/>
  <c r="O212" i="25" s="1"/>
  <c r="N227" i="25"/>
  <c r="O227" i="25" s="1"/>
  <c r="N243" i="25"/>
  <c r="O243" i="25" s="1"/>
  <c r="N269" i="25"/>
  <c r="O269" i="25" s="1"/>
  <c r="N113" i="25"/>
  <c r="O113" i="25" s="1"/>
  <c r="N117" i="25"/>
  <c r="O117" i="25" s="1"/>
  <c r="N131" i="25"/>
  <c r="O131" i="25" s="1"/>
  <c r="N148" i="25"/>
  <c r="O148" i="25" s="1"/>
  <c r="N164" i="25"/>
  <c r="O164" i="25" s="1"/>
  <c r="N187" i="25"/>
  <c r="O187" i="25" s="1"/>
  <c r="N197" i="25"/>
  <c r="O197" i="25" s="1"/>
  <c r="N201" i="25"/>
  <c r="O201" i="25" s="1"/>
  <c r="N264" i="25"/>
  <c r="O264" i="25" s="1"/>
  <c r="N276" i="25"/>
  <c r="O276" i="25" s="1"/>
  <c r="N17" i="25"/>
  <c r="O17" i="25" s="1"/>
  <c r="N39" i="25"/>
  <c r="O39" i="25" s="1"/>
  <c r="N60" i="25"/>
  <c r="O60" i="25" s="1"/>
  <c r="N83" i="25"/>
  <c r="O83" i="25" s="1"/>
  <c r="N88" i="25"/>
  <c r="O88" i="25" s="1"/>
  <c r="N126" i="25"/>
  <c r="O126" i="25" s="1"/>
  <c r="N165" i="25"/>
  <c r="O165" i="25" s="1"/>
  <c r="N259" i="25"/>
  <c r="O259" i="25" s="1"/>
  <c r="N76" i="25"/>
  <c r="O76" i="25" s="1"/>
  <c r="N80" i="25"/>
  <c r="O80" i="25" s="1"/>
  <c r="N92" i="25"/>
  <c r="O92" i="25" s="1"/>
  <c r="N105" i="25"/>
  <c r="O105" i="25" s="1"/>
  <c r="N109" i="25"/>
  <c r="O109" i="25" s="1"/>
  <c r="N136" i="25"/>
  <c r="O136" i="25" s="1"/>
  <c r="N140" i="25"/>
  <c r="O140" i="25" s="1"/>
  <c r="N149" i="25"/>
  <c r="O149" i="25" s="1"/>
  <c r="N170" i="25"/>
  <c r="O170" i="25" s="1"/>
  <c r="N202" i="25"/>
  <c r="O202" i="25" s="1"/>
  <c r="N233" i="25"/>
  <c r="O233" i="25" s="1"/>
  <c r="N239" i="25"/>
  <c r="O239" i="25" s="1"/>
  <c r="N248" i="25"/>
  <c r="O248" i="25" s="1"/>
  <c r="N314" i="25"/>
  <c r="O314" i="25" s="1"/>
  <c r="N11" i="25"/>
  <c r="O11" i="25" s="1"/>
  <c r="N73" i="25"/>
  <c r="O73" i="25" s="1"/>
  <c r="N100" i="25"/>
  <c r="O100" i="25" s="1"/>
  <c r="N114" i="25"/>
  <c r="O114" i="25" s="1"/>
  <c r="N127" i="25"/>
  <c r="O127" i="25" s="1"/>
  <c r="N132" i="25"/>
  <c r="O132" i="25" s="1"/>
  <c r="N166" i="25"/>
  <c r="O166" i="25" s="1"/>
  <c r="N179" i="25"/>
  <c r="O179" i="25" s="1"/>
  <c r="N191" i="25"/>
  <c r="O191" i="25" s="1"/>
  <c r="N203" i="25"/>
  <c r="O203" i="25" s="1"/>
  <c r="N208" i="25"/>
  <c r="O208" i="25" s="1"/>
  <c r="N218" i="25"/>
  <c r="O218" i="25" s="1"/>
  <c r="N249" i="25"/>
  <c r="O249" i="25" s="1"/>
  <c r="N266" i="25"/>
  <c r="O266" i="25" s="1"/>
  <c r="N18" i="25"/>
  <c r="O18" i="25" s="1"/>
  <c r="N24" i="25"/>
  <c r="O24" i="25" s="1"/>
  <c r="N30" i="25"/>
  <c r="O30" i="25" s="1"/>
  <c r="N43" i="25"/>
  <c r="O43" i="25" s="1"/>
  <c r="N70" i="25"/>
  <c r="O70" i="25" s="1"/>
  <c r="N77" i="25"/>
  <c r="O77" i="25" s="1"/>
  <c r="N81" i="25"/>
  <c r="O81" i="25" s="1"/>
  <c r="N89" i="25"/>
  <c r="O89" i="25" s="1"/>
  <c r="N141" i="25"/>
  <c r="O141" i="25" s="1"/>
  <c r="N145" i="25"/>
  <c r="O145" i="25" s="1"/>
  <c r="N154" i="25"/>
  <c r="O154" i="25" s="1"/>
  <c r="N161" i="25"/>
  <c r="O161" i="25" s="1"/>
  <c r="N204" i="25"/>
  <c r="O204" i="25" s="1"/>
  <c r="N209" i="25"/>
  <c r="O209" i="25" s="1"/>
  <c r="N326" i="25"/>
  <c r="O326" i="25" s="1"/>
  <c r="N21" i="25"/>
  <c r="O21" i="25" s="1"/>
  <c r="N15" i="25"/>
  <c r="O15" i="25" s="1"/>
  <c r="N61" i="25"/>
  <c r="O61" i="25" s="1"/>
  <c r="N67" i="25"/>
  <c r="O67" i="25" s="1"/>
  <c r="N110" i="25"/>
  <c r="O110" i="25" s="1"/>
  <c r="N123" i="25"/>
  <c r="O123" i="25" s="1"/>
  <c r="N133" i="25"/>
  <c r="O133" i="25" s="1"/>
  <c r="N171" i="25"/>
  <c r="O171" i="25" s="1"/>
  <c r="N184" i="25"/>
  <c r="O184" i="25" s="1"/>
  <c r="N189" i="25"/>
  <c r="O189" i="25" s="1"/>
  <c r="N193" i="25"/>
  <c r="O193" i="25" s="1"/>
  <c r="N224" i="25"/>
  <c r="O224" i="25" s="1"/>
  <c r="N240" i="25"/>
  <c r="O240" i="25" s="1"/>
  <c r="N287" i="25"/>
  <c r="O287" i="25" s="1"/>
  <c r="N93" i="25"/>
  <c r="O93" i="25" s="1"/>
  <c r="N128" i="25"/>
  <c r="O128" i="25" s="1"/>
  <c r="N146" i="25"/>
  <c r="O146" i="25" s="1"/>
  <c r="N151" i="25"/>
  <c r="O151" i="25" s="1"/>
  <c r="N185" i="25"/>
  <c r="O185" i="25" s="1"/>
  <c r="N199" i="25"/>
  <c r="O199" i="25" s="1"/>
  <c r="N220" i="25"/>
  <c r="O220" i="25" s="1"/>
  <c r="N250" i="25"/>
  <c r="O250" i="25" s="1"/>
  <c r="N255" i="25"/>
  <c r="O255" i="25" s="1"/>
  <c r="N272" i="25"/>
  <c r="O272" i="25" s="1"/>
  <c r="N278" i="25"/>
  <c r="O278" i="25" s="1"/>
  <c r="N9" i="25"/>
  <c r="O9" i="25" s="1"/>
  <c r="N20" i="25"/>
  <c r="O20" i="25" s="1"/>
  <c r="N31" i="25"/>
  <c r="O31" i="25" s="1"/>
  <c r="N35" i="25"/>
  <c r="O35" i="25" s="1"/>
  <c r="N58" i="25"/>
  <c r="O58" i="25" s="1"/>
  <c r="N71" i="25"/>
  <c r="O71" i="25" s="1"/>
  <c r="N124" i="25"/>
  <c r="O124" i="25" s="1"/>
  <c r="N134" i="25"/>
  <c r="O134" i="25" s="1"/>
  <c r="N138" i="25"/>
  <c r="O138" i="25" s="1"/>
  <c r="N142" i="25"/>
  <c r="O142" i="25" s="1"/>
  <c r="N159" i="25"/>
  <c r="O159" i="25" s="1"/>
  <c r="N194" i="25"/>
  <c r="O194" i="25" s="1"/>
  <c r="N205" i="25"/>
  <c r="O205" i="25" s="1"/>
  <c r="N210" i="25"/>
  <c r="O210" i="25" s="1"/>
  <c r="N236" i="25"/>
  <c r="O236" i="25" s="1"/>
  <c r="N241" i="25"/>
  <c r="O241" i="25" s="1"/>
  <c r="N245" i="25"/>
  <c r="O245" i="25" s="1"/>
  <c r="N91" i="25"/>
  <c r="O91" i="25" s="1"/>
  <c r="N94" i="25"/>
  <c r="O94" i="25" s="1"/>
  <c r="N238" i="25"/>
  <c r="O238" i="25" s="1"/>
  <c r="N247" i="25"/>
  <c r="O247" i="25" s="1"/>
  <c r="N271" i="25"/>
  <c r="O271" i="25" s="1"/>
  <c r="N281" i="25"/>
  <c r="O281" i="25" s="1"/>
  <c r="N285" i="25"/>
  <c r="O285" i="25" s="1"/>
  <c r="N296" i="25"/>
  <c r="O296" i="25" s="1"/>
  <c r="N303" i="25"/>
  <c r="O303" i="25" s="1"/>
  <c r="N359" i="25"/>
  <c r="O359" i="25" s="1"/>
  <c r="N369" i="25"/>
  <c r="O369" i="25" s="1"/>
  <c r="N408" i="25"/>
  <c r="O408" i="25" s="1"/>
  <c r="N426" i="25"/>
  <c r="O426" i="25" s="1"/>
  <c r="N446" i="25"/>
  <c r="O446" i="25" s="1"/>
  <c r="N85" i="25"/>
  <c r="O85" i="25" s="1"/>
  <c r="N107" i="25"/>
  <c r="O107" i="25" s="1"/>
  <c r="N120" i="25"/>
  <c r="O120" i="25" s="1"/>
  <c r="N139" i="25"/>
  <c r="O139" i="25" s="1"/>
  <c r="N157" i="25"/>
  <c r="O157" i="25" s="1"/>
  <c r="N213" i="25"/>
  <c r="O213" i="25" s="1"/>
  <c r="N216" i="25"/>
  <c r="O216" i="25" s="1"/>
  <c r="N225" i="25"/>
  <c r="O225" i="25" s="1"/>
  <c r="N292" i="25"/>
  <c r="O292" i="25" s="1"/>
  <c r="N315" i="25"/>
  <c r="O315" i="25" s="1"/>
  <c r="N340" i="25"/>
  <c r="O340" i="25" s="1"/>
  <c r="N344" i="25"/>
  <c r="O344" i="25" s="1"/>
  <c r="N354" i="25"/>
  <c r="O354" i="25" s="1"/>
  <c r="N365" i="25"/>
  <c r="O365" i="25" s="1"/>
  <c r="N373" i="25"/>
  <c r="O373" i="25" s="1"/>
  <c r="N471" i="25"/>
  <c r="O471" i="25" s="1"/>
  <c r="N57" i="25"/>
  <c r="O57" i="25" s="1"/>
  <c r="N68" i="25"/>
  <c r="O68" i="25" s="1"/>
  <c r="N104" i="25"/>
  <c r="O104" i="25" s="1"/>
  <c r="N169" i="25"/>
  <c r="O169" i="25" s="1"/>
  <c r="N176" i="25"/>
  <c r="O176" i="25" s="1"/>
  <c r="N219" i="25"/>
  <c r="O219" i="25" s="1"/>
  <c r="N229" i="25"/>
  <c r="O229" i="25" s="1"/>
  <c r="N235" i="25"/>
  <c r="O235" i="25" s="1"/>
  <c r="N304" i="25"/>
  <c r="O304" i="25" s="1"/>
  <c r="N327" i="25"/>
  <c r="O327" i="25" s="1"/>
  <c r="N349" i="25"/>
  <c r="O349" i="25" s="1"/>
  <c r="N409" i="25"/>
  <c r="O409" i="25" s="1"/>
  <c r="N452" i="25"/>
  <c r="O452" i="25" s="1"/>
  <c r="N297" i="25"/>
  <c r="O297" i="25" s="1"/>
  <c r="N345" i="25"/>
  <c r="O345" i="25" s="1"/>
  <c r="N355" i="25"/>
  <c r="O355" i="25" s="1"/>
  <c r="N388" i="25"/>
  <c r="O388" i="25" s="1"/>
  <c r="N410" i="25"/>
  <c r="O410" i="25" s="1"/>
  <c r="N443" i="25"/>
  <c r="O443" i="25" s="1"/>
  <c r="N137" i="25"/>
  <c r="O137" i="25" s="1"/>
  <c r="N290" i="25"/>
  <c r="O290" i="25" s="1"/>
  <c r="N305" i="25"/>
  <c r="O305" i="25" s="1"/>
  <c r="N308" i="25"/>
  <c r="O308" i="25" s="1"/>
  <c r="N312" i="25"/>
  <c r="O312" i="25" s="1"/>
  <c r="N346" i="25"/>
  <c r="O346" i="25" s="1"/>
  <c r="N350" i="25"/>
  <c r="O350" i="25" s="1"/>
  <c r="N374" i="25"/>
  <c r="O374" i="25" s="1"/>
  <c r="N437" i="25"/>
  <c r="O437" i="25" s="1"/>
  <c r="N13" i="25"/>
  <c r="O13" i="25" s="1"/>
  <c r="N115" i="25"/>
  <c r="O115" i="25" s="1"/>
  <c r="N180" i="25"/>
  <c r="O180" i="25" s="1"/>
  <c r="N186" i="25"/>
  <c r="O186" i="25" s="1"/>
  <c r="N217" i="25"/>
  <c r="O217" i="25" s="1"/>
  <c r="N223" i="25"/>
  <c r="O223" i="25" s="1"/>
  <c r="N286" i="25"/>
  <c r="O286" i="25" s="1"/>
  <c r="N324" i="25"/>
  <c r="O324" i="25" s="1"/>
  <c r="N361" i="25"/>
  <c r="O361" i="25" s="1"/>
  <c r="N389" i="25"/>
  <c r="O389" i="25" s="1"/>
  <c r="N404" i="25"/>
  <c r="O404" i="25" s="1"/>
  <c r="N273" i="25"/>
  <c r="O273" i="25" s="1"/>
  <c r="N283" i="25"/>
  <c r="O283" i="25" s="1"/>
  <c r="N294" i="25"/>
  <c r="O294" i="25" s="1"/>
  <c r="N329" i="25"/>
  <c r="O329" i="25" s="1"/>
  <c r="N338" i="25"/>
  <c r="O338" i="25" s="1"/>
  <c r="N351" i="25"/>
  <c r="O351" i="25" s="1"/>
  <c r="N423" i="25"/>
  <c r="O423" i="25" s="1"/>
  <c r="N508" i="25"/>
  <c r="O508" i="25" s="1"/>
  <c r="N150" i="25"/>
  <c r="O150" i="25" s="1"/>
  <c r="N195" i="25"/>
  <c r="O195" i="25" s="1"/>
  <c r="N230" i="25"/>
  <c r="O230" i="25" s="1"/>
  <c r="N246" i="25"/>
  <c r="O246" i="25" s="1"/>
  <c r="N253" i="25"/>
  <c r="O253" i="25" s="1"/>
  <c r="N298" i="25"/>
  <c r="O298" i="25" s="1"/>
  <c r="N317" i="25"/>
  <c r="O317" i="25" s="1"/>
  <c r="N321" i="25"/>
  <c r="O321" i="25" s="1"/>
  <c r="N330" i="25"/>
  <c r="O330" i="25" s="1"/>
  <c r="N347" i="25"/>
  <c r="O347" i="25" s="1"/>
  <c r="N356" i="25"/>
  <c r="O356" i="25" s="1"/>
  <c r="N399" i="25"/>
  <c r="O399" i="25" s="1"/>
  <c r="N405" i="25"/>
  <c r="O405" i="25" s="1"/>
  <c r="N439" i="25"/>
  <c r="O439" i="25" s="1"/>
  <c r="N465" i="25"/>
  <c r="O465" i="25" s="1"/>
  <c r="N260" i="25"/>
  <c r="O260" i="25" s="1"/>
  <c r="N267" i="25"/>
  <c r="O267" i="25" s="1"/>
  <c r="N270" i="25"/>
  <c r="O270" i="25" s="1"/>
  <c r="N277" i="25"/>
  <c r="O277" i="25" s="1"/>
  <c r="N325" i="25"/>
  <c r="O325" i="25" s="1"/>
  <c r="N336" i="25"/>
  <c r="O336" i="25" s="1"/>
  <c r="N357" i="25"/>
  <c r="O357" i="25" s="1"/>
  <c r="N362" i="25"/>
  <c r="O362" i="25" s="1"/>
  <c r="N418" i="25"/>
  <c r="O418" i="25" s="1"/>
  <c r="N331" i="25"/>
  <c r="O331" i="25" s="1"/>
  <c r="N10" i="25"/>
  <c r="O10" i="25" s="1"/>
  <c r="N192" i="25"/>
  <c r="O192" i="25" s="1"/>
  <c r="N215" i="25"/>
  <c r="O215" i="25" s="1"/>
  <c r="N234" i="25"/>
  <c r="O234" i="25" s="1"/>
  <c r="N254" i="25"/>
  <c r="O254" i="25" s="1"/>
  <c r="N274" i="25"/>
  <c r="O274" i="25" s="1"/>
  <c r="N280" i="25"/>
  <c r="O280" i="25" s="1"/>
  <c r="N310" i="25"/>
  <c r="O310" i="25" s="1"/>
  <c r="N318" i="25"/>
  <c r="O318" i="25" s="1"/>
  <c r="N368" i="25"/>
  <c r="O368" i="25" s="1"/>
  <c r="N372" i="25"/>
  <c r="O372" i="25" s="1"/>
  <c r="N175" i="25"/>
  <c r="O175" i="25" s="1"/>
  <c r="N251" i="25"/>
  <c r="O251" i="25" s="1"/>
  <c r="N288" i="25"/>
  <c r="O288" i="25" s="1"/>
  <c r="N358" i="25"/>
  <c r="O358" i="25" s="1"/>
  <c r="N364" i="25"/>
  <c r="O364" i="25" s="1"/>
  <c r="N377" i="25"/>
  <c r="O377" i="25" s="1"/>
  <c r="N382" i="25"/>
  <c r="O382" i="25" s="1"/>
  <c r="N386" i="25"/>
  <c r="O386" i="25" s="1"/>
  <c r="N401" i="25"/>
  <c r="O401" i="25" s="1"/>
  <c r="N414" i="25"/>
  <c r="O414" i="25" s="1"/>
  <c r="N422" i="25"/>
  <c r="O422" i="25" s="1"/>
  <c r="N438" i="25"/>
  <c r="O438" i="25" s="1"/>
  <c r="N534" i="25"/>
  <c r="O534" i="25" s="1"/>
  <c r="N588" i="25"/>
  <c r="O588" i="25" s="1"/>
  <c r="N593" i="25"/>
  <c r="O593" i="25" s="1"/>
  <c r="N456" i="25"/>
  <c r="O456" i="25" s="1"/>
  <c r="N481" i="25"/>
  <c r="O481" i="25" s="1"/>
  <c r="N493" i="25"/>
  <c r="O493" i="25" s="1"/>
  <c r="N503" i="25"/>
  <c r="O503" i="25" s="1"/>
  <c r="N509" i="25"/>
  <c r="O509" i="25" s="1"/>
  <c r="N570" i="25"/>
  <c r="O570" i="25" s="1"/>
  <c r="N577" i="25"/>
  <c r="O577" i="25" s="1"/>
  <c r="N634" i="25"/>
  <c r="O634" i="25" s="1"/>
  <c r="N656" i="25"/>
  <c r="O656" i="25" s="1"/>
  <c r="N309" i="25"/>
  <c r="O309" i="25" s="1"/>
  <c r="N333" i="25"/>
  <c r="O333" i="25" s="1"/>
  <c r="N378" i="25"/>
  <c r="O378" i="25" s="1"/>
  <c r="N385" i="25"/>
  <c r="O385" i="25" s="1"/>
  <c r="N402" i="25"/>
  <c r="O402" i="25" s="1"/>
  <c r="N406" i="25"/>
  <c r="O406" i="25" s="1"/>
  <c r="N472" i="25"/>
  <c r="O472" i="25" s="1"/>
  <c r="N477" i="25"/>
  <c r="O477" i="25" s="1"/>
  <c r="N489" i="25"/>
  <c r="O489" i="25" s="1"/>
  <c r="N625" i="25"/>
  <c r="O625" i="25" s="1"/>
  <c r="N392" i="25"/>
  <c r="O392" i="25" s="1"/>
  <c r="N448" i="25"/>
  <c r="O448" i="25" s="1"/>
  <c r="N530" i="25"/>
  <c r="O530" i="25" s="1"/>
  <c r="N584" i="25"/>
  <c r="O584" i="25" s="1"/>
  <c r="N78" i="25"/>
  <c r="O78" i="25" s="1"/>
  <c r="N222" i="25"/>
  <c r="O222" i="25" s="1"/>
  <c r="N291" i="25"/>
  <c r="O291" i="25" s="1"/>
  <c r="N307" i="25"/>
  <c r="O307" i="25" s="1"/>
  <c r="N353" i="25"/>
  <c r="O353" i="25" s="1"/>
  <c r="N440" i="25"/>
  <c r="O440" i="25" s="1"/>
  <c r="N461" i="25"/>
  <c r="O461" i="25" s="1"/>
  <c r="N473" i="25"/>
  <c r="O473" i="25" s="1"/>
  <c r="N516" i="25"/>
  <c r="O516" i="25" s="1"/>
  <c r="N698" i="25"/>
  <c r="O698" i="25" s="1"/>
  <c r="N703" i="25"/>
  <c r="O703" i="25" s="1"/>
  <c r="N411" i="25"/>
  <c r="O411" i="25" s="1"/>
  <c r="N428" i="25"/>
  <c r="O428" i="25" s="1"/>
  <c r="N435" i="25"/>
  <c r="O435" i="25" s="1"/>
  <c r="N441" i="25"/>
  <c r="O441" i="25" s="1"/>
  <c r="N474" i="25"/>
  <c r="O474" i="25" s="1"/>
  <c r="N495" i="25"/>
  <c r="O495" i="25" s="1"/>
  <c r="N536" i="25"/>
  <c r="O536" i="25" s="1"/>
  <c r="N572" i="25"/>
  <c r="O572" i="25" s="1"/>
  <c r="N595" i="25"/>
  <c r="O595" i="25" s="1"/>
  <c r="N316" i="25"/>
  <c r="O316" i="25" s="1"/>
  <c r="N396" i="25"/>
  <c r="O396" i="25" s="1"/>
  <c r="N167" i="25"/>
  <c r="O167" i="25" s="1"/>
  <c r="N188" i="25"/>
  <c r="O188" i="25" s="1"/>
  <c r="N214" i="25"/>
  <c r="O214" i="25" s="1"/>
  <c r="N265" i="25"/>
  <c r="O265" i="25" s="1"/>
  <c r="N284" i="25"/>
  <c r="O284" i="25" s="1"/>
  <c r="N319" i="25"/>
  <c r="O319" i="25" s="1"/>
  <c r="N322" i="25"/>
  <c r="O322" i="25" s="1"/>
  <c r="N334" i="25"/>
  <c r="O334" i="25" s="1"/>
  <c r="N375" i="25"/>
  <c r="O375" i="25" s="1"/>
  <c r="N379" i="25"/>
  <c r="O379" i="25" s="1"/>
  <c r="N390" i="25"/>
  <c r="O390" i="25" s="1"/>
  <c r="N407" i="25"/>
  <c r="O407" i="25" s="1"/>
  <c r="N424" i="25"/>
  <c r="O424" i="25" s="1"/>
  <c r="N445" i="25"/>
  <c r="O445" i="25" s="1"/>
  <c r="N453" i="25"/>
  <c r="O453" i="25" s="1"/>
  <c r="N416" i="25"/>
  <c r="O416" i="25" s="1"/>
  <c r="N436" i="25"/>
  <c r="O436" i="25" s="1"/>
  <c r="N483" i="25"/>
  <c r="O483" i="25" s="1"/>
  <c r="N491" i="25"/>
  <c r="O491" i="25" s="1"/>
  <c r="N526" i="25"/>
  <c r="O526" i="25" s="1"/>
  <c r="N580" i="25"/>
  <c r="O580" i="25" s="1"/>
  <c r="N591" i="25"/>
  <c r="O591" i="25" s="1"/>
  <c r="N642" i="25"/>
  <c r="O642" i="25" s="1"/>
  <c r="N812" i="25"/>
  <c r="O812" i="25" s="1"/>
  <c r="N181" i="25"/>
  <c r="O181" i="25" s="1"/>
  <c r="N300" i="25"/>
  <c r="O300" i="25" s="1"/>
  <c r="N397" i="25"/>
  <c r="O397" i="25" s="1"/>
  <c r="N412" i="25"/>
  <c r="O412" i="25" s="1"/>
  <c r="N420" i="25"/>
  <c r="O420" i="25" s="1"/>
  <c r="N425" i="25"/>
  <c r="O425" i="25" s="1"/>
  <c r="N442" i="25"/>
  <c r="O442" i="25" s="1"/>
  <c r="N479" i="25"/>
  <c r="O479" i="25" s="1"/>
  <c r="N506" i="25"/>
  <c r="O506" i="25" s="1"/>
  <c r="N512" i="25"/>
  <c r="O512" i="25" s="1"/>
  <c r="N603" i="25"/>
  <c r="O603" i="25" s="1"/>
  <c r="N342" i="25"/>
  <c r="O342" i="25" s="1"/>
  <c r="N387" i="25"/>
  <c r="O387" i="25" s="1"/>
  <c r="N487" i="25"/>
  <c r="O487" i="25" s="1"/>
  <c r="N575" i="25"/>
  <c r="O575" i="25" s="1"/>
  <c r="N394" i="25"/>
  <c r="O394" i="25" s="1"/>
  <c r="N398" i="25"/>
  <c r="O398" i="25" s="1"/>
  <c r="N413" i="25"/>
  <c r="O413" i="25" s="1"/>
  <c r="N417" i="25"/>
  <c r="O417" i="25" s="1"/>
  <c r="N421" i="25"/>
  <c r="O421" i="25" s="1"/>
  <c r="N433" i="25"/>
  <c r="O433" i="25" s="1"/>
  <c r="N455" i="25"/>
  <c r="O455" i="25" s="1"/>
  <c r="N459" i="25"/>
  <c r="O459" i="25" s="1"/>
  <c r="N467" i="25"/>
  <c r="O467" i="25" s="1"/>
  <c r="N480" i="25"/>
  <c r="O480" i="25" s="1"/>
  <c r="N502" i="25"/>
  <c r="O502" i="25" s="1"/>
  <c r="N507" i="25"/>
  <c r="O507" i="25" s="1"/>
  <c r="N528" i="25"/>
  <c r="O528" i="25" s="1"/>
  <c r="N558" i="25"/>
  <c r="O558" i="25" s="1"/>
  <c r="N730" i="25"/>
  <c r="O730" i="25" s="1"/>
  <c r="N490" i="25"/>
  <c r="O490" i="25" s="1"/>
  <c r="N510" i="25"/>
  <c r="O510" i="25" s="1"/>
  <c r="N539" i="25"/>
  <c r="O539" i="25" s="1"/>
  <c r="N568" i="25"/>
  <c r="O568" i="25" s="1"/>
  <c r="N627" i="25"/>
  <c r="O627" i="25" s="1"/>
  <c r="N639" i="25"/>
  <c r="O639" i="25" s="1"/>
  <c r="N647" i="25"/>
  <c r="O647" i="25" s="1"/>
  <c r="N652" i="25"/>
  <c r="O652" i="25" s="1"/>
  <c r="N663" i="25"/>
  <c r="O663" i="25" s="1"/>
  <c r="N711" i="25"/>
  <c r="O711" i="25" s="1"/>
  <c r="N779" i="25"/>
  <c r="O779" i="25" s="1"/>
  <c r="N555" i="25"/>
  <c r="O555" i="25" s="1"/>
  <c r="N589" i="25"/>
  <c r="O589" i="25" s="1"/>
  <c r="N610" i="25"/>
  <c r="O610" i="25" s="1"/>
  <c r="N622" i="25"/>
  <c r="O622" i="25" s="1"/>
  <c r="N653" i="25"/>
  <c r="O653" i="25" s="1"/>
  <c r="N658" i="25"/>
  <c r="O658" i="25" s="1"/>
  <c r="N689" i="25"/>
  <c r="O689" i="25" s="1"/>
  <c r="N706" i="25"/>
  <c r="O706" i="25" s="1"/>
  <c r="N712" i="25"/>
  <c r="O712" i="25" s="1"/>
  <c r="N721" i="25"/>
  <c r="O721" i="25" s="1"/>
  <c r="N793" i="25"/>
  <c r="O793" i="25" s="1"/>
  <c r="N804" i="25"/>
  <c r="O804" i="25" s="1"/>
  <c r="N819" i="25"/>
  <c r="O819" i="25" s="1"/>
  <c r="N462" i="25"/>
  <c r="O462" i="25" s="1"/>
  <c r="N520" i="25"/>
  <c r="O520" i="25" s="1"/>
  <c r="N532" i="25"/>
  <c r="O532" i="25" s="1"/>
  <c r="N543" i="25"/>
  <c r="O543" i="25" s="1"/>
  <c r="N560" i="25"/>
  <c r="O560" i="25" s="1"/>
  <c r="N564" i="25"/>
  <c r="O564" i="25" s="1"/>
  <c r="N581" i="25"/>
  <c r="O581" i="25" s="1"/>
  <c r="N623" i="25"/>
  <c r="O623" i="25" s="1"/>
  <c r="N628" i="25"/>
  <c r="O628" i="25" s="1"/>
  <c r="N631" i="25"/>
  <c r="O631" i="25" s="1"/>
  <c r="N635" i="25"/>
  <c r="O635" i="25" s="1"/>
  <c r="N644" i="25"/>
  <c r="O644" i="25" s="1"/>
  <c r="N648" i="25"/>
  <c r="O648" i="25" s="1"/>
  <c r="N674" i="25"/>
  <c r="O674" i="25" s="1"/>
  <c r="N683" i="25"/>
  <c r="O683" i="25" s="1"/>
  <c r="N707" i="25"/>
  <c r="O707" i="25" s="1"/>
  <c r="N717" i="25"/>
  <c r="O717" i="25" s="1"/>
  <c r="N722" i="25"/>
  <c r="O722" i="25" s="1"/>
  <c r="N739" i="25"/>
  <c r="O739" i="25" s="1"/>
  <c r="N857" i="25"/>
  <c r="O857" i="25" s="1"/>
  <c r="N500" i="25"/>
  <c r="O500" i="25" s="1"/>
  <c r="N514" i="25"/>
  <c r="O514" i="25" s="1"/>
  <c r="N524" i="25"/>
  <c r="O524" i="25" s="1"/>
  <c r="N540" i="25"/>
  <c r="O540" i="25" s="1"/>
  <c r="N548" i="25"/>
  <c r="O548" i="25" s="1"/>
  <c r="N552" i="25"/>
  <c r="O552" i="25" s="1"/>
  <c r="N556" i="25"/>
  <c r="O556" i="25" s="1"/>
  <c r="N573" i="25"/>
  <c r="O573" i="25" s="1"/>
  <c r="N590" i="25"/>
  <c r="O590" i="25" s="1"/>
  <c r="N602" i="25"/>
  <c r="O602" i="25" s="1"/>
  <c r="N615" i="25"/>
  <c r="O615" i="25" s="1"/>
  <c r="N640" i="25"/>
  <c r="O640" i="25" s="1"/>
  <c r="N659" i="25"/>
  <c r="O659" i="25" s="1"/>
  <c r="N670" i="25"/>
  <c r="O670" i="25" s="1"/>
  <c r="N691" i="25"/>
  <c r="O691" i="25" s="1"/>
  <c r="N695" i="25"/>
  <c r="O695" i="25" s="1"/>
  <c r="N728" i="25"/>
  <c r="O728" i="25" s="1"/>
  <c r="N762" i="25"/>
  <c r="O762" i="25" s="1"/>
  <c r="N786" i="25"/>
  <c r="O786" i="25" s="1"/>
  <c r="N183" i="25"/>
  <c r="O183" i="25" s="1"/>
  <c r="N381" i="25"/>
  <c r="O381" i="25" s="1"/>
  <c r="N632" i="25"/>
  <c r="O632" i="25" s="1"/>
  <c r="N649" i="25"/>
  <c r="O649" i="25" s="1"/>
  <c r="N654" i="25"/>
  <c r="O654" i="25" s="1"/>
  <c r="N665" i="25"/>
  <c r="O665" i="25" s="1"/>
  <c r="N367" i="25"/>
  <c r="O367" i="25" s="1"/>
  <c r="N488" i="25"/>
  <c r="O488" i="25" s="1"/>
  <c r="N504" i="25"/>
  <c r="O504" i="25" s="1"/>
  <c r="N162" i="25"/>
  <c r="O162" i="25" s="1"/>
  <c r="N258" i="25"/>
  <c r="O258" i="25" s="1"/>
  <c r="N293" i="25"/>
  <c r="O293" i="25" s="1"/>
  <c r="N384" i="25"/>
  <c r="O384" i="25" s="1"/>
  <c r="N521" i="25"/>
  <c r="O521" i="25" s="1"/>
  <c r="N565" i="25"/>
  <c r="O565" i="25" s="1"/>
  <c r="N578" i="25"/>
  <c r="O578" i="25" s="1"/>
  <c r="N582" i="25"/>
  <c r="O582" i="25" s="1"/>
  <c r="N607" i="25"/>
  <c r="O607" i="25" s="1"/>
  <c r="N636" i="25"/>
  <c r="O636" i="25" s="1"/>
  <c r="N655" i="25"/>
  <c r="O655" i="25" s="1"/>
  <c r="N671" i="25"/>
  <c r="O671" i="25" s="1"/>
  <c r="N680" i="25"/>
  <c r="O680" i="25" s="1"/>
  <c r="N685" i="25"/>
  <c r="O685" i="25" s="1"/>
  <c r="N714" i="25"/>
  <c r="O714" i="25" s="1"/>
  <c r="N734" i="25"/>
  <c r="O734" i="25" s="1"/>
  <c r="N830" i="25"/>
  <c r="O830" i="25" s="1"/>
  <c r="N842" i="25"/>
  <c r="O842" i="25" s="1"/>
  <c r="N847" i="25"/>
  <c r="O847" i="25" s="1"/>
  <c r="N463" i="25"/>
  <c r="O463" i="25" s="1"/>
  <c r="N518" i="25"/>
  <c r="O518" i="25" s="1"/>
  <c r="N537" i="25"/>
  <c r="O537" i="25" s="1"/>
  <c r="N557" i="25"/>
  <c r="O557" i="25" s="1"/>
  <c r="N574" i="25"/>
  <c r="O574" i="25" s="1"/>
  <c r="N612" i="25"/>
  <c r="O612" i="25" s="1"/>
  <c r="N620" i="25"/>
  <c r="O620" i="25" s="1"/>
  <c r="N641" i="25"/>
  <c r="O641" i="25" s="1"/>
  <c r="N650" i="25"/>
  <c r="O650" i="25" s="1"/>
  <c r="N666" i="25"/>
  <c r="O666" i="25" s="1"/>
  <c r="N676" i="25"/>
  <c r="O676" i="25" s="1"/>
  <c r="N686" i="25"/>
  <c r="O686" i="25" s="1"/>
  <c r="N457" i="25"/>
  <c r="O457" i="25" s="1"/>
  <c r="N469" i="25"/>
  <c r="O469" i="25" s="1"/>
  <c r="N501" i="25"/>
  <c r="O501" i="25" s="1"/>
  <c r="N541" i="25"/>
  <c r="O541" i="25" s="1"/>
  <c r="N562" i="25"/>
  <c r="O562" i="25" s="1"/>
  <c r="N579" i="25"/>
  <c r="O579" i="25" s="1"/>
  <c r="N587" i="25"/>
  <c r="O587" i="25" s="1"/>
  <c r="N599" i="25"/>
  <c r="O599" i="25" s="1"/>
  <c r="N604" i="25"/>
  <c r="O604" i="25" s="1"/>
  <c r="N608" i="25"/>
  <c r="O608" i="25" s="1"/>
  <c r="N637" i="25"/>
  <c r="O637" i="25" s="1"/>
  <c r="N661" i="25"/>
  <c r="O661" i="25" s="1"/>
  <c r="N681" i="25"/>
  <c r="O681" i="25" s="1"/>
  <c r="N702" i="25"/>
  <c r="O702" i="25" s="1"/>
  <c r="N709" i="25"/>
  <c r="O709" i="25" s="1"/>
  <c r="N719" i="25"/>
  <c r="O719" i="25" s="1"/>
  <c r="N742" i="25"/>
  <c r="O742" i="25" s="1"/>
  <c r="N776" i="25"/>
  <c r="O776" i="25" s="1"/>
  <c r="N788" i="25"/>
  <c r="O788" i="25" s="1"/>
  <c r="N522" i="25"/>
  <c r="O522" i="25" s="1"/>
  <c r="N621" i="25"/>
  <c r="O621" i="25" s="1"/>
  <c r="N672" i="25"/>
  <c r="O672" i="25" s="1"/>
  <c r="N677" i="25"/>
  <c r="O677" i="25" s="1"/>
  <c r="N736" i="25"/>
  <c r="O736" i="25" s="1"/>
  <c r="N753" i="25"/>
  <c r="O753" i="25" s="1"/>
  <c r="N363" i="25"/>
  <c r="O363" i="25" s="1"/>
  <c r="N371" i="25"/>
  <c r="O371" i="25" s="1"/>
  <c r="N395" i="25"/>
  <c r="O395" i="25" s="1"/>
  <c r="N458" i="25"/>
  <c r="O458" i="25" s="1"/>
  <c r="N470" i="25"/>
  <c r="O470" i="25" s="1"/>
  <c r="N496" i="25"/>
  <c r="O496" i="25" s="1"/>
  <c r="N546" i="25"/>
  <c r="O546" i="25" s="1"/>
  <c r="N563" i="25"/>
  <c r="O563" i="25" s="1"/>
  <c r="N567" i="25"/>
  <c r="O567" i="25" s="1"/>
  <c r="N600" i="25"/>
  <c r="O600" i="25" s="1"/>
  <c r="N605" i="25"/>
  <c r="O605" i="25" s="1"/>
  <c r="N704" i="25"/>
  <c r="O704" i="25" s="1"/>
  <c r="N725" i="25"/>
  <c r="O725" i="25" s="1"/>
  <c r="N737" i="25"/>
  <c r="O737" i="25" s="1"/>
  <c r="N754" i="25"/>
  <c r="O754" i="25" s="1"/>
  <c r="N513" i="25"/>
  <c r="O513" i="25" s="1"/>
  <c r="N523" i="25"/>
  <c r="O523" i="25" s="1"/>
  <c r="N527" i="25"/>
  <c r="O527" i="25" s="1"/>
  <c r="N542" i="25"/>
  <c r="O542" i="25" s="1"/>
  <c r="N576" i="25"/>
  <c r="O576" i="25" s="1"/>
  <c r="N596" i="25"/>
  <c r="O596" i="25" s="1"/>
  <c r="N688" i="25"/>
  <c r="O688" i="25" s="1"/>
  <c r="N726" i="25"/>
  <c r="O726" i="25" s="1"/>
  <c r="N750" i="25"/>
  <c r="O750" i="25" s="1"/>
  <c r="N755" i="25"/>
  <c r="O755" i="25" s="1"/>
  <c r="N766" i="25"/>
  <c r="O766" i="25" s="1"/>
  <c r="N783" i="25"/>
  <c r="O783" i="25" s="1"/>
  <c r="N760" i="25"/>
  <c r="O760" i="25" s="1"/>
  <c r="N775" i="25"/>
  <c r="O775" i="25" s="1"/>
  <c r="N451" i="25"/>
  <c r="O451" i="25" s="1"/>
  <c r="N667" i="25"/>
  <c r="O667" i="25" s="1"/>
  <c r="N705" i="25"/>
  <c r="O705" i="25" s="1"/>
  <c r="N735" i="25"/>
  <c r="O735" i="25" s="1"/>
  <c r="N740" i="25"/>
  <c r="O740" i="25" s="1"/>
  <c r="N761" i="25"/>
  <c r="O761" i="25" s="1"/>
  <c r="N794" i="25"/>
  <c r="O794" i="25" s="1"/>
  <c r="N400" i="25"/>
  <c r="O400" i="25" s="1"/>
  <c r="N449" i="25"/>
  <c r="O449" i="25" s="1"/>
  <c r="N460" i="25"/>
  <c r="O460" i="25" s="1"/>
  <c r="N476" i="25"/>
  <c r="O476" i="25" s="1"/>
  <c r="N531" i="25"/>
  <c r="O531" i="25" s="1"/>
  <c r="N549" i="25"/>
  <c r="O549" i="25" s="1"/>
  <c r="N571" i="25"/>
  <c r="O571" i="25" s="1"/>
  <c r="N606" i="25"/>
  <c r="O606" i="25" s="1"/>
  <c r="N616" i="25"/>
  <c r="O616" i="25" s="1"/>
  <c r="N646" i="25"/>
  <c r="O646" i="25" s="1"/>
  <c r="N684" i="25"/>
  <c r="O684" i="25" s="1"/>
  <c r="N700" i="25"/>
  <c r="O700" i="25" s="1"/>
  <c r="N741" i="25"/>
  <c r="O741" i="25" s="1"/>
  <c r="N747" i="25"/>
  <c r="O747" i="25" s="1"/>
  <c r="N772" i="25"/>
  <c r="O772" i="25" s="1"/>
  <c r="N782" i="25"/>
  <c r="O782" i="25" s="1"/>
  <c r="N787" i="25"/>
  <c r="O787" i="25" s="1"/>
  <c r="N664" i="25"/>
  <c r="O664" i="25" s="1"/>
  <c r="N675" i="25"/>
  <c r="O675" i="25" s="1"/>
  <c r="N701" i="25"/>
  <c r="O701" i="25" s="1"/>
  <c r="N715" i="25"/>
  <c r="O715" i="25" s="1"/>
  <c r="N727" i="25"/>
  <c r="O727" i="25" s="1"/>
  <c r="N796" i="25"/>
  <c r="O796" i="25" s="1"/>
  <c r="N801" i="25"/>
  <c r="O801" i="25" s="1"/>
  <c r="N54" i="25"/>
  <c r="O54" i="25" s="1"/>
  <c r="N547" i="25"/>
  <c r="O547" i="25" s="1"/>
  <c r="N553" i="25"/>
  <c r="O553" i="25" s="1"/>
  <c r="N585" i="25"/>
  <c r="O585" i="25" s="1"/>
  <c r="N613" i="25"/>
  <c r="O613" i="25" s="1"/>
  <c r="N626" i="25"/>
  <c r="O626" i="25" s="1"/>
  <c r="N638" i="25"/>
  <c r="O638" i="25" s="1"/>
  <c r="N657" i="25"/>
  <c r="O657" i="25" s="1"/>
  <c r="N693" i="25"/>
  <c r="O693" i="25" s="1"/>
  <c r="N697" i="25"/>
  <c r="O697" i="25" s="1"/>
  <c r="N732" i="25"/>
  <c r="O732" i="25" s="1"/>
  <c r="N748" i="25"/>
  <c r="O748" i="25" s="1"/>
  <c r="N763" i="25"/>
  <c r="O763" i="25" s="1"/>
  <c r="N768" i="25"/>
  <c r="O768" i="25" s="1"/>
  <c r="N789" i="25"/>
  <c r="O789" i="25" s="1"/>
  <c r="N832" i="25"/>
  <c r="O832" i="25" s="1"/>
  <c r="N544" i="25"/>
  <c r="O544" i="25" s="1"/>
  <c r="N594" i="25"/>
  <c r="O594" i="25" s="1"/>
  <c r="N669" i="25"/>
  <c r="O669" i="25" s="1"/>
  <c r="N708" i="25"/>
  <c r="O708" i="25" s="1"/>
  <c r="N716" i="25"/>
  <c r="O716" i="25" s="1"/>
  <c r="N744" i="25"/>
  <c r="O744" i="25" s="1"/>
  <c r="N758" i="25"/>
  <c r="O758" i="25" s="1"/>
  <c r="N769" i="25"/>
  <c r="O769" i="25" s="1"/>
  <c r="N790" i="25"/>
  <c r="O790" i="25" s="1"/>
  <c r="N889" i="25"/>
  <c r="O889" i="25" s="1"/>
  <c r="N601" i="25"/>
  <c r="O601" i="25" s="1"/>
  <c r="N614" i="25"/>
  <c r="O614" i="25" s="1"/>
  <c r="N633" i="25"/>
  <c r="O633" i="25" s="1"/>
  <c r="N791" i="25"/>
  <c r="O791" i="25" s="1"/>
  <c r="N798" i="25"/>
  <c r="O798" i="25" s="1"/>
  <c r="N808" i="25"/>
  <c r="O808" i="25" s="1"/>
  <c r="N551" i="25"/>
  <c r="O551" i="25" s="1"/>
  <c r="N554" i="25"/>
  <c r="O554" i="25" s="1"/>
  <c r="N583" i="25"/>
  <c r="O583" i="25" s="1"/>
  <c r="N598" i="25"/>
  <c r="O598" i="25" s="1"/>
  <c r="N630" i="25"/>
  <c r="O630" i="25" s="1"/>
  <c r="N673" i="25"/>
  <c r="O673" i="25" s="1"/>
  <c r="N679" i="25"/>
  <c r="O679" i="25" s="1"/>
  <c r="N690" i="25"/>
  <c r="O690" i="25" s="1"/>
  <c r="N724" i="25"/>
  <c r="O724" i="25" s="1"/>
  <c r="N733" i="25"/>
  <c r="O733" i="25" s="1"/>
  <c r="N745" i="25"/>
  <c r="O745" i="25" s="1"/>
  <c r="N770" i="25"/>
  <c r="O770" i="25" s="1"/>
  <c r="N780" i="25"/>
  <c r="O780" i="25" s="1"/>
  <c r="N792" i="25"/>
  <c r="O792" i="25" s="1"/>
  <c r="N785" i="25"/>
  <c r="O785" i="25" s="1"/>
  <c r="N814" i="25"/>
  <c r="O814" i="25" s="1"/>
  <c r="N829" i="25"/>
  <c r="O829" i="25" s="1"/>
  <c r="N839" i="25"/>
  <c r="O839" i="25" s="1"/>
  <c r="N866" i="25"/>
  <c r="O866" i="25" s="1"/>
  <c r="N870" i="25"/>
  <c r="O870" i="25" s="1"/>
  <c r="N903" i="25"/>
  <c r="O903" i="25" s="1"/>
  <c r="N919" i="25"/>
  <c r="O919" i="25" s="1"/>
  <c r="N840" i="25"/>
  <c r="O840" i="25" s="1"/>
  <c r="N807" i="25"/>
  <c r="O807" i="25" s="1"/>
  <c r="N818" i="25"/>
  <c r="O818" i="25" s="1"/>
  <c r="N861" i="25"/>
  <c r="O861" i="25" s="1"/>
  <c r="N815" i="25"/>
  <c r="O815" i="25" s="1"/>
  <c r="N855" i="25"/>
  <c r="O855" i="25" s="1"/>
  <c r="N862" i="25"/>
  <c r="O862" i="25" s="1"/>
  <c r="N884" i="25"/>
  <c r="O884" i="25" s="1"/>
  <c r="N797" i="25"/>
  <c r="O797" i="25" s="1"/>
  <c r="N831" i="25"/>
  <c r="O831" i="25" s="1"/>
  <c r="N836" i="25"/>
  <c r="O836" i="25" s="1"/>
  <c r="N851" i="25"/>
  <c r="O851" i="25" s="1"/>
  <c r="N856" i="25"/>
  <c r="O856" i="25" s="1"/>
  <c r="N909" i="25"/>
  <c r="O909" i="25" s="1"/>
  <c r="N920" i="25"/>
  <c r="O920" i="25" s="1"/>
  <c r="N738" i="25"/>
  <c r="O738" i="25" s="1"/>
  <c r="N757" i="25"/>
  <c r="O757" i="25" s="1"/>
  <c r="N687" i="25"/>
  <c r="O687" i="25" s="1"/>
  <c r="N729" i="25"/>
  <c r="O729" i="25" s="1"/>
  <c r="N767" i="25"/>
  <c r="O767" i="25" s="1"/>
  <c r="N837" i="25"/>
  <c r="O837" i="25" s="1"/>
  <c r="N899" i="25"/>
  <c r="O899" i="25" s="1"/>
  <c r="N885" i="25"/>
  <c r="O885" i="25" s="1"/>
  <c r="N910" i="25"/>
  <c r="O910" i="25" s="1"/>
  <c r="N921" i="25"/>
  <c r="O921" i="25" s="1"/>
  <c r="N592" i="25"/>
  <c r="O592" i="25" s="1"/>
  <c r="N777" i="25"/>
  <c r="O777" i="25" s="1"/>
  <c r="N813" i="25"/>
  <c r="O813" i="25" s="1"/>
  <c r="N827" i="25"/>
  <c r="O827" i="25" s="1"/>
  <c r="N852" i="25"/>
  <c r="O852" i="25" s="1"/>
  <c r="N868" i="25"/>
  <c r="O868" i="25" s="1"/>
  <c r="N718" i="25"/>
  <c r="O718" i="25" s="1"/>
  <c r="N809" i="25"/>
  <c r="O809" i="25" s="1"/>
  <c r="N824" i="25"/>
  <c r="O824" i="25" s="1"/>
  <c r="N833" i="25"/>
  <c r="O833" i="25" s="1"/>
  <c r="N858" i="25"/>
  <c r="O858" i="25" s="1"/>
  <c r="N880" i="25"/>
  <c r="O880" i="25" s="1"/>
  <c r="N901" i="25"/>
  <c r="O901" i="25" s="1"/>
  <c r="N559" i="25"/>
  <c r="O559" i="25" s="1"/>
  <c r="N710" i="25"/>
  <c r="O710" i="25" s="1"/>
  <c r="N713" i="25"/>
  <c r="O713" i="25" s="1"/>
  <c r="N746" i="25"/>
  <c r="O746" i="25" s="1"/>
  <c r="N771" i="25"/>
  <c r="O771" i="25" s="1"/>
  <c r="N774" i="25"/>
  <c r="O774" i="25" s="1"/>
  <c r="N886" i="25"/>
  <c r="O886" i="25" s="1"/>
  <c r="N778" i="25"/>
  <c r="O778" i="25" s="1"/>
  <c r="N799" i="25"/>
  <c r="O799" i="25" s="1"/>
  <c r="N806" i="25"/>
  <c r="O806" i="25" s="1"/>
  <c r="N834" i="25"/>
  <c r="O834" i="25" s="1"/>
  <c r="N849" i="25"/>
  <c r="O849" i="25" s="1"/>
  <c r="N877" i="25"/>
  <c r="O877" i="25" s="1"/>
  <c r="N535" i="25"/>
  <c r="O535" i="25" s="1"/>
  <c r="N784" i="25"/>
  <c r="O784" i="25" s="1"/>
  <c r="N795" i="25"/>
  <c r="O795" i="25" s="1"/>
  <c r="N821" i="25"/>
  <c r="O821" i="25" s="1"/>
  <c r="N865" i="25"/>
  <c r="O865" i="25" s="1"/>
  <c r="N802" i="25"/>
  <c r="O802" i="25" s="1"/>
  <c r="N811" i="25"/>
  <c r="O811" i="25" s="1"/>
  <c r="N817" i="25"/>
  <c r="O817" i="25" s="1"/>
  <c r="N759" i="25"/>
  <c r="O759" i="25" s="1"/>
  <c r="N848" i="25"/>
  <c r="O848" i="25" s="1"/>
  <c r="N863" i="25"/>
  <c r="O863" i="25" s="1"/>
  <c r="N874" i="25"/>
  <c r="O874" i="25" s="1"/>
  <c r="N917" i="25"/>
  <c r="O917" i="25" s="1"/>
  <c r="N912" i="25"/>
  <c r="O912" i="25" s="1"/>
  <c r="N882" i="25"/>
  <c r="O882" i="25" s="1"/>
  <c r="N897" i="25"/>
  <c r="O897" i="25" s="1"/>
  <c r="N765" i="25"/>
  <c r="O765" i="25" s="1"/>
  <c r="N867" i="25"/>
  <c r="O867" i="25" s="1"/>
  <c r="N822" i="25"/>
  <c r="O822" i="25" s="1"/>
  <c r="N871" i="25"/>
  <c r="O871" i="25" s="1"/>
  <c r="N893" i="25"/>
  <c r="O893" i="25" s="1"/>
  <c r="N906" i="25"/>
  <c r="O906" i="25" s="1"/>
  <c r="N845" i="25"/>
  <c r="O845" i="25" s="1"/>
  <c r="N872" i="25"/>
  <c r="O872" i="25" s="1"/>
  <c r="N875" i="25"/>
  <c r="O875" i="25" s="1"/>
  <c r="N878" i="25"/>
  <c r="O878" i="25" s="1"/>
  <c r="N895" i="25"/>
  <c r="O895" i="25" s="1"/>
  <c r="N859" i="25"/>
  <c r="O859" i="25" s="1"/>
  <c r="N869" i="25"/>
  <c r="O869" i="25" s="1"/>
  <c r="N879" i="25"/>
  <c r="O879" i="25" s="1"/>
  <c r="N825" i="25"/>
  <c r="O825" i="25" s="1"/>
  <c r="N828" i="25"/>
  <c r="O828" i="25" s="1"/>
  <c r="N850" i="25"/>
  <c r="O850" i="25" s="1"/>
  <c r="N883" i="25"/>
  <c r="O883" i="25" s="1"/>
  <c r="N891" i="25"/>
  <c r="O891" i="25" s="1"/>
  <c r="N896" i="25"/>
  <c r="O896" i="25" s="1"/>
  <c r="N907" i="25"/>
  <c r="O907" i="25" s="1"/>
  <c r="N922" i="25"/>
  <c r="O922" i="25" s="1"/>
  <c r="N908" i="25"/>
  <c r="O908" i="25" s="1"/>
  <c r="N805" i="25"/>
  <c r="O805" i="25" s="1"/>
  <c r="N853" i="25"/>
  <c r="O853" i="25" s="1"/>
  <c r="N860" i="25"/>
  <c r="O860" i="25" s="1"/>
  <c r="N876" i="25"/>
  <c r="O876" i="25" s="1"/>
  <c r="N900" i="25"/>
  <c r="O900" i="25" s="1"/>
  <c r="N904" i="25"/>
  <c r="O904" i="25" s="1"/>
  <c r="N914" i="25"/>
  <c r="O914" i="25" s="1"/>
  <c r="N894" i="25"/>
  <c r="O894" i="25" s="1"/>
  <c r="N890" i="25"/>
  <c r="O890" i="25" s="1"/>
  <c r="N915" i="25"/>
  <c r="O915" i="25" s="1"/>
  <c r="N918" i="25"/>
  <c r="O918" i="25" s="1"/>
  <c r="N898" i="25"/>
  <c r="O898" i="25" s="1"/>
  <c r="N916" i="25"/>
  <c r="O916" i="25" s="1"/>
  <c r="N881" i="25"/>
  <c r="O881" i="25" s="1"/>
  <c r="N888" i="25"/>
  <c r="O888" i="25" s="1"/>
  <c r="N892" i="25"/>
  <c r="O892" i="25" s="1"/>
  <c r="N902" i="25"/>
  <c r="O902" i="25" s="1"/>
  <c r="N823" i="25"/>
  <c r="O823" i="25" s="1"/>
  <c r="N913" i="25"/>
  <c r="O913" i="25" s="1"/>
  <c r="N911" i="25"/>
  <c r="O911" i="25" s="1"/>
  <c r="R7" i="25" l="1" a="1"/>
  <c r="R7" i="25" s="1"/>
  <c r="V34" i="25" a="1"/>
  <c r="V34" i="25" s="1"/>
  <c r="W34" i="25" s="1"/>
  <c r="R34" i="25"/>
  <c r="S34" i="25" s="1"/>
  <c r="T34" i="25" a="1"/>
  <c r="T34" i="25" s="1"/>
  <c r="U34" i="25" s="1"/>
  <c r="V32" i="25" a="1"/>
  <c r="V32" i="25" s="1"/>
  <c r="W32" i="25" s="1"/>
  <c r="T32" i="25" a="1"/>
  <c r="T32" i="25" s="1"/>
  <c r="U32" i="25" s="1"/>
  <c r="R32" i="25"/>
  <c r="S32" i="25" s="1"/>
  <c r="AA12" i="25" l="1" a="1"/>
  <c r="AA12" i="25" s="1"/>
  <c r="U12" i="25" a="1"/>
  <c r="U12" i="25" s="1"/>
  <c r="Z10" i="25" a="1"/>
  <c r="Z10" i="25" s="1"/>
  <c r="T10" i="25" a="1"/>
  <c r="T10" i="25" s="1"/>
  <c r="Y8" i="25" a="1"/>
  <c r="Y8" i="25" s="1"/>
  <c r="S8" i="25" a="1"/>
  <c r="S8" i="25" s="1"/>
  <c r="V24" i="25" a="1"/>
  <c r="V24" i="25" s="1"/>
  <c r="U23" i="25" a="1"/>
  <c r="U23" i="25" s="1"/>
  <c r="T22" i="25" a="1"/>
  <c r="T22" i="25" s="1"/>
  <c r="S21" i="25" a="1"/>
  <c r="S21" i="25" s="1"/>
  <c r="AA20" i="25" a="1"/>
  <c r="AA20" i="25" s="1"/>
  <c r="R20" i="25" a="1"/>
  <c r="R20" i="25" s="1"/>
  <c r="Z19" i="25" a="1"/>
  <c r="Z19" i="25" s="1"/>
  <c r="V18" i="25" a="1"/>
  <c r="V18" i="25" s="1"/>
  <c r="AD13" i="25" a="1"/>
  <c r="AD13" i="25" s="1"/>
  <c r="AB12" i="25" a="1"/>
  <c r="AB12" i="25" s="1"/>
  <c r="S11" i="25" a="1"/>
  <c r="S11" i="25" s="1"/>
  <c r="AD10" i="25" a="1"/>
  <c r="AD10" i="25" s="1"/>
  <c r="V9" i="25" a="1"/>
  <c r="V9" i="25" s="1"/>
  <c r="T8" i="25" a="1"/>
  <c r="T8" i="25" s="1"/>
  <c r="X7" i="25" a="1"/>
  <c r="X7" i="25" s="1"/>
  <c r="S24" i="25" a="1"/>
  <c r="S24" i="25" s="1"/>
  <c r="T12" i="25" a="1"/>
  <c r="T12" i="25" s="1"/>
  <c r="S22" i="25" a="1"/>
  <c r="S22" i="25" s="1"/>
  <c r="AA18" i="25" a="1"/>
  <c r="AA18" i="25" s="1"/>
  <c r="AC13" i="25" a="1"/>
  <c r="AC13" i="25" s="1"/>
  <c r="V13" i="25" a="1"/>
  <c r="V13" i="25" s="1"/>
  <c r="Y12" i="25" a="1"/>
  <c r="Y12" i="25" s="1"/>
  <c r="R12" i="25" a="1"/>
  <c r="R12" i="25" s="1"/>
  <c r="AB9" i="25" a="1"/>
  <c r="AB9" i="25" s="1"/>
  <c r="U9" i="25" a="1"/>
  <c r="U9" i="25" s="1"/>
  <c r="X8" i="25" a="1"/>
  <c r="X8" i="25" s="1"/>
  <c r="T23" i="25" a="1"/>
  <c r="T23" i="25" s="1"/>
  <c r="R22" i="25" a="1"/>
  <c r="R22" i="25" s="1"/>
  <c r="Z18" i="25" a="1"/>
  <c r="Z18" i="25" s="1"/>
  <c r="AB13" i="25" a="1"/>
  <c r="AB13" i="25" s="1"/>
  <c r="X12" i="25" a="1"/>
  <c r="X12" i="25" s="1"/>
  <c r="T11" i="25" a="1"/>
  <c r="T11" i="25" s="1"/>
  <c r="W10" i="25" a="1"/>
  <c r="W10" i="25" s="1"/>
  <c r="AA9" i="25" a="1"/>
  <c r="AA9" i="25" s="1"/>
  <c r="T9" i="25" a="1"/>
  <c r="T9" i="25" s="1"/>
  <c r="AD8" i="25" a="1"/>
  <c r="AD8" i="25" s="1"/>
  <c r="W8" i="25" a="1"/>
  <c r="W8" i="25" s="1"/>
  <c r="R23" i="25" a="1"/>
  <c r="R23" i="25" s="1"/>
  <c r="U22" i="25" a="1"/>
  <c r="U22" i="25" s="1"/>
  <c r="Z21" i="25" a="1"/>
  <c r="Z21" i="25" s="1"/>
  <c r="R24" i="25" a="1"/>
  <c r="R24" i="25" s="1"/>
  <c r="S23" i="25" a="1"/>
  <c r="S23" i="25" s="1"/>
  <c r="V22" i="25" a="1"/>
  <c r="V22" i="25" s="1"/>
  <c r="V21" i="25" a="1"/>
  <c r="V21" i="25" s="1"/>
  <c r="R19" i="25" a="1"/>
  <c r="R19" i="25" s="1"/>
  <c r="Y13" i="25" a="1"/>
  <c r="Y13" i="25" s="1"/>
  <c r="W12" i="25" a="1"/>
  <c r="W12" i="25" s="1"/>
  <c r="W11" i="25" a="1"/>
  <c r="W11" i="25" s="1"/>
  <c r="X10" i="25" a="1"/>
  <c r="X10" i="25" s="1"/>
  <c r="Z8" i="25" a="1"/>
  <c r="Z8" i="25" s="1"/>
  <c r="Z7" i="25" a="1"/>
  <c r="Z7" i="25" s="1"/>
  <c r="Z24" i="25" a="1"/>
  <c r="Z24" i="25" s="1"/>
  <c r="AA23" i="25" a="1"/>
  <c r="AA23" i="25" s="1"/>
  <c r="S19" i="25" a="1"/>
  <c r="S19" i="25" s="1"/>
  <c r="T18" i="25" a="1"/>
  <c r="T18" i="25" s="1"/>
  <c r="U13" i="25" a="1"/>
  <c r="U13" i="25" s="1"/>
  <c r="AC12" i="25" a="1"/>
  <c r="AC12" i="25" s="1"/>
  <c r="Z11" i="25" a="1"/>
  <c r="Z11" i="25" s="1"/>
  <c r="AA10" i="25" a="1"/>
  <c r="AA10" i="25" s="1"/>
  <c r="R10" i="25" a="1"/>
  <c r="R10" i="25" s="1"/>
  <c r="Z9" i="25" a="1"/>
  <c r="Z9" i="25" s="1"/>
  <c r="U24" i="25" a="1"/>
  <c r="U24" i="25" s="1"/>
  <c r="X9" i="25" a="1"/>
  <c r="X9" i="25" s="1"/>
  <c r="AA19" i="25" a="1"/>
  <c r="AA19" i="25" s="1"/>
  <c r="S13" i="25" a="1"/>
  <c r="S13" i="25" s="1"/>
  <c r="AD11" i="25" a="1"/>
  <c r="AD11" i="25" s="1"/>
  <c r="AC8" i="25" a="1"/>
  <c r="AC8" i="25" s="1"/>
  <c r="Y7" i="25" a="1"/>
  <c r="Y7" i="25" s="1"/>
  <c r="AA24" i="25" a="1"/>
  <c r="AA24" i="25" s="1"/>
  <c r="V23" i="25" a="1"/>
  <c r="V23" i="25" s="1"/>
  <c r="T21" i="25" a="1"/>
  <c r="T21" i="25" s="1"/>
  <c r="T20" i="25" a="1"/>
  <c r="T20" i="25" s="1"/>
  <c r="S18" i="25" a="1"/>
  <c r="S18" i="25" s="1"/>
  <c r="Y11" i="25" a="1"/>
  <c r="Y11" i="25" s="1"/>
  <c r="R9" i="25" a="1"/>
  <c r="R9" i="25" s="1"/>
  <c r="AD7" i="25" a="1"/>
  <c r="AD7" i="25" s="1"/>
  <c r="T7" i="25" a="1"/>
  <c r="T7" i="25" s="1"/>
  <c r="T24" i="25" a="1"/>
  <c r="T24" i="25" s="1"/>
  <c r="X13" i="25" a="1"/>
  <c r="X13" i="25" s="1"/>
  <c r="W13" i="25" a="1"/>
  <c r="W13" i="25" s="1"/>
  <c r="U21" i="25" a="1"/>
  <c r="U21" i="25" s="1"/>
  <c r="Y10" i="25" a="1"/>
  <c r="Y10" i="25" s="1"/>
  <c r="AD9" i="25" a="1"/>
  <c r="AD9" i="25" s="1"/>
  <c r="W7" i="25" a="1"/>
  <c r="W7" i="25" s="1"/>
  <c r="AA22" i="25" a="1"/>
  <c r="AA22" i="25" s="1"/>
  <c r="R18" i="25" a="1"/>
  <c r="R18" i="25" s="1"/>
  <c r="V10" i="25" a="1"/>
  <c r="V10" i="25" s="1"/>
  <c r="R8" i="25" a="1"/>
  <c r="R8" i="25" s="1"/>
  <c r="Z22" i="25" a="1"/>
  <c r="Z22" i="25" s="1"/>
  <c r="R21" i="25" a="1"/>
  <c r="R21" i="25" s="1"/>
  <c r="AD12" i="25" a="1"/>
  <c r="AD12" i="25" s="1"/>
  <c r="U10" i="25" a="1"/>
  <c r="U10" i="25" s="1"/>
  <c r="Y9" i="25" a="1"/>
  <c r="Y9" i="25" s="1"/>
  <c r="U7" i="25" a="1"/>
  <c r="U7" i="25" s="1"/>
  <c r="V19" i="25" a="1"/>
  <c r="V19" i="25" s="1"/>
  <c r="AA13" i="25" a="1"/>
  <c r="AA13" i="25" s="1"/>
  <c r="S7" i="25" a="1"/>
  <c r="S7" i="25" s="1"/>
  <c r="U19" i="25" a="1"/>
  <c r="U19" i="25" s="1"/>
  <c r="Z13" i="25" a="1"/>
  <c r="Z13" i="25" s="1"/>
  <c r="W9" i="25" a="1"/>
  <c r="W9" i="25" s="1"/>
  <c r="Z20" i="25" a="1"/>
  <c r="Z20" i="25" s="1"/>
  <c r="T19" i="25" a="1"/>
  <c r="T19" i="25" s="1"/>
  <c r="AB11" i="25" a="1"/>
  <c r="AB11" i="25" s="1"/>
  <c r="Z23" i="25" a="1"/>
  <c r="Z23" i="25" s="1"/>
  <c r="AA11" i="25" a="1"/>
  <c r="AA11" i="25" s="1"/>
  <c r="AA8" i="25" a="1"/>
  <c r="AA8" i="25" s="1"/>
  <c r="AC7" i="25" a="1"/>
  <c r="AC7" i="25" s="1"/>
  <c r="V11" i="25" a="1"/>
  <c r="V11" i="25" s="1"/>
  <c r="AB10" i="25" a="1"/>
  <c r="AB10" i="25" s="1"/>
  <c r="S12" i="25" a="1"/>
  <c r="S12" i="25" s="1"/>
  <c r="U8" i="25" a="1"/>
  <c r="U8" i="25" s="1"/>
  <c r="AC11" i="25" a="1"/>
  <c r="AC11" i="25" s="1"/>
  <c r="AB8" i="25" a="1"/>
  <c r="AB8" i="25" s="1"/>
  <c r="V20" i="25" a="1"/>
  <c r="V20" i="25" s="1"/>
  <c r="T13" i="25" a="1"/>
  <c r="T13" i="25" s="1"/>
  <c r="X11" i="25" a="1"/>
  <c r="X11" i="25" s="1"/>
  <c r="AC10" i="25" a="1"/>
  <c r="AC10" i="25" s="1"/>
  <c r="S9" i="25" a="1"/>
  <c r="S9" i="25" s="1"/>
  <c r="AB7" i="25" a="1"/>
  <c r="AB7" i="25" s="1"/>
  <c r="AA21" i="25" a="1"/>
  <c r="AA21" i="25" s="1"/>
  <c r="R13" i="25" a="1"/>
  <c r="R13" i="25" s="1"/>
  <c r="AA7" i="25" a="1"/>
  <c r="AA7" i="25" s="1"/>
  <c r="V7" i="25" a="1"/>
  <c r="V7" i="25" s="1"/>
  <c r="U20" i="25" a="1"/>
  <c r="U20" i="25" s="1"/>
  <c r="V12" i="25" a="1"/>
  <c r="V12" i="25" s="1"/>
  <c r="V8" i="25" a="1"/>
  <c r="V8" i="25" s="1"/>
  <c r="U18" i="25" a="1"/>
  <c r="U18" i="25" s="1"/>
  <c r="R11" i="25" a="1"/>
  <c r="R11" i="25" s="1"/>
  <c r="S10" i="25" a="1"/>
  <c r="S10" i="25" s="1"/>
  <c r="U11" i="25" a="1"/>
  <c r="U11" i="25" s="1"/>
  <c r="AC9" i="25" a="1"/>
  <c r="AC9" i="25" s="1"/>
  <c r="S20" i="25" a="1"/>
  <c r="S20" i="25" s="1"/>
  <c r="Z12" i="25" a="1"/>
  <c r="Z12" i="25" s="1"/>
  <c r="AB23" i="25" l="1"/>
  <c r="AB20" i="25"/>
  <c r="W23" i="25"/>
  <c r="AA14" i="25"/>
  <c r="AE13" i="25"/>
  <c r="U25" i="25"/>
  <c r="W21" i="25"/>
  <c r="W20" i="25"/>
  <c r="S25" i="25"/>
  <c r="AE11" i="25"/>
  <c r="AB22" i="25"/>
  <c r="T14" i="25"/>
  <c r="W24" i="25"/>
  <c r="Z25" i="25"/>
  <c r="AB18" i="25"/>
  <c r="AB14" i="25"/>
  <c r="AE8" i="25"/>
  <c r="AD14" i="25"/>
  <c r="AB24" i="25"/>
  <c r="AB21" i="25"/>
  <c r="W22" i="25"/>
  <c r="V14" i="25"/>
  <c r="AE9" i="25"/>
  <c r="Z14" i="25"/>
  <c r="X14" i="25"/>
  <c r="S14" i="25"/>
  <c r="W14" i="25"/>
  <c r="AC14" i="25"/>
  <c r="AE12" i="25"/>
  <c r="W18" i="25"/>
  <c r="R25" i="25"/>
  <c r="U14" i="25"/>
  <c r="AE10" i="25"/>
  <c r="W19" i="25"/>
  <c r="Y14" i="25"/>
  <c r="V25" i="25"/>
  <c r="AE7" i="25"/>
  <c r="R14" i="25"/>
  <c r="T25" i="25"/>
  <c r="AA25" i="25"/>
  <c r="AB19" i="25"/>
  <c r="AB25" i="25" l="1"/>
  <c r="AE14" i="25"/>
  <c r="W25" i="25"/>
  <c r="H45" i="22" l="1"/>
  <c r="H44" i="22"/>
  <c r="H43" i="22"/>
  <c r="H42" i="22"/>
  <c r="H41" i="22"/>
  <c r="H40" i="22"/>
  <c r="H39" i="22"/>
  <c r="H38" i="22"/>
  <c r="H37" i="22"/>
  <c r="H36" i="22"/>
  <c r="H35" i="22"/>
  <c r="H34" i="22"/>
  <c r="H33" i="22"/>
  <c r="H32" i="22"/>
  <c r="H31" i="22"/>
  <c r="H30" i="22"/>
  <c r="H7" i="22"/>
  <c r="H6" i="22"/>
  <c r="H5" i="22"/>
  <c r="H4" i="22"/>
  <c r="H3" i="22"/>
  <c r="H2" i="22"/>
  <c r="D74" i="10"/>
  <c r="E74" i="10" s="1"/>
  <c r="C74" i="10"/>
  <c r="D73" i="10"/>
  <c r="E73" i="10" s="1"/>
  <c r="C73" i="10"/>
  <c r="D72" i="10"/>
  <c r="E72" i="10" s="1"/>
  <c r="C72" i="10"/>
  <c r="E71" i="10"/>
  <c r="D71" i="10"/>
  <c r="C71" i="10"/>
  <c r="E70" i="10"/>
  <c r="D70" i="10"/>
  <c r="C70" i="10"/>
  <c r="D69" i="10"/>
  <c r="C69" i="10"/>
  <c r="H66" i="10"/>
  <c r="H64" i="10"/>
  <c r="H63" i="10"/>
  <c r="H62" i="10"/>
  <c r="H58" i="10"/>
  <c r="H56" i="10"/>
  <c r="H54" i="10"/>
  <c r="H51" i="10"/>
  <c r="H49" i="10"/>
  <c r="H47" i="10"/>
  <c r="H46" i="10"/>
  <c r="H45" i="10"/>
  <c r="H39" i="10"/>
  <c r="H38" i="10"/>
  <c r="H37" i="10"/>
  <c r="H36" i="10"/>
  <c r="H34" i="10"/>
  <c r="AB30" i="10"/>
  <c r="AA30" i="10"/>
  <c r="Z30" i="10"/>
  <c r="Y30" i="10"/>
  <c r="X30" i="10"/>
  <c r="W30" i="10"/>
  <c r="V30" i="10"/>
  <c r="U30" i="10"/>
  <c r="T30" i="10"/>
  <c r="S30" i="10"/>
  <c r="R30" i="10"/>
  <c r="Q30" i="10"/>
  <c r="AC29" i="10"/>
  <c r="AC28" i="10"/>
  <c r="H28" i="10"/>
  <c r="AC27" i="10"/>
  <c r="H27" i="10"/>
  <c r="AC26" i="10"/>
  <c r="AC25" i="10"/>
  <c r="H25" i="10"/>
  <c r="AC24" i="10"/>
  <c r="AC23" i="10"/>
  <c r="H23" i="10"/>
  <c r="AC22" i="10"/>
  <c r="AC30" i="10" s="1"/>
  <c r="H19" i="10"/>
  <c r="H18" i="10"/>
  <c r="H17" i="10"/>
  <c r="T15" i="10"/>
  <c r="S15" i="10"/>
  <c r="R15" i="10"/>
  <c r="Q15" i="10"/>
  <c r="U14" i="10"/>
  <c r="U13" i="10"/>
  <c r="U12" i="10"/>
  <c r="U11" i="10"/>
  <c r="H11" i="10"/>
  <c r="U10" i="10"/>
  <c r="H10" i="10"/>
  <c r="AA9" i="10"/>
  <c r="Z9" i="10"/>
  <c r="Y9" i="10"/>
  <c r="U9" i="10"/>
  <c r="H9" i="10"/>
  <c r="U8" i="10"/>
  <c r="J8" i="10" a="1"/>
  <c r="J8" i="10" s="1"/>
  <c r="AA7" i="10"/>
  <c r="Y7" i="10"/>
  <c r="U7" i="10"/>
  <c r="U15" i="10" s="1"/>
  <c r="D83" i="19"/>
  <c r="E83" i="19" s="1"/>
  <c r="C83" i="19"/>
  <c r="E82" i="19"/>
  <c r="D82" i="19"/>
  <c r="C82" i="19"/>
  <c r="D81" i="19"/>
  <c r="E81" i="19" s="1"/>
  <c r="C81" i="19"/>
  <c r="D80" i="19"/>
  <c r="C80" i="19"/>
  <c r="D79" i="19"/>
  <c r="E79" i="19" s="1"/>
  <c r="C79" i="19"/>
  <c r="D78" i="19"/>
  <c r="C78"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L46" i="19"/>
  <c r="H46" i="19"/>
  <c r="H45" i="19"/>
  <c r="H44" i="19"/>
  <c r="H43" i="19"/>
  <c r="H42" i="19"/>
  <c r="H41" i="19"/>
  <c r="H40" i="19"/>
  <c r="H39" i="19"/>
  <c r="H38" i="19"/>
  <c r="H37" i="19"/>
  <c r="H36" i="19"/>
  <c r="H35" i="19"/>
  <c r="H34" i="19"/>
  <c r="H33" i="19"/>
  <c r="H32" i="19"/>
  <c r="H31" i="19"/>
  <c r="H30" i="19"/>
  <c r="H29" i="19"/>
  <c r="H28" i="19"/>
  <c r="P30" i="19"/>
  <c r="H54" i="24" s="1"/>
  <c r="H27" i="19"/>
  <c r="H26" i="19"/>
  <c r="H25" i="19"/>
  <c r="H24" i="19"/>
  <c r="H23" i="19"/>
  <c r="H22" i="19"/>
  <c r="H21" i="19"/>
  <c r="H20" i="19"/>
  <c r="H19" i="19"/>
  <c r="H18" i="19"/>
  <c r="H17" i="19"/>
  <c r="H16" i="19"/>
  <c r="H15" i="19"/>
  <c r="H14" i="19"/>
  <c r="H13" i="19"/>
  <c r="H12" i="19"/>
  <c r="H11" i="19"/>
  <c r="H10" i="19"/>
  <c r="H9" i="19"/>
  <c r="H8" i="19"/>
  <c r="J7" i="19"/>
  <c r="J7" i="19" a="1"/>
  <c r="H7" i="19"/>
  <c r="L61" i="19" s="1"/>
  <c r="H6" i="19"/>
  <c r="P5" i="19"/>
  <c r="C153" i="7"/>
  <c r="C154" i="7" s="1"/>
  <c r="D154" i="7" s="1"/>
  <c r="C152" i="7"/>
  <c r="D152" i="7" s="1"/>
  <c r="C150" i="7"/>
  <c r="C149" i="7"/>
  <c r="H28" i="7"/>
  <c r="H27" i="7"/>
  <c r="H26" i="7"/>
  <c r="H25" i="7"/>
  <c r="H24" i="7"/>
  <c r="H23" i="7"/>
  <c r="H22" i="7"/>
  <c r="K13" i="7" s="1" a="1"/>
  <c r="K13" i="7" s="1"/>
  <c r="H21" i="7"/>
  <c r="H20" i="7"/>
  <c r="H19" i="7"/>
  <c r="K14" i="7" s="1" a="1"/>
  <c r="K14" i="7" s="1"/>
  <c r="N18" i="7"/>
  <c r="H18" i="7"/>
  <c r="H17" i="7"/>
  <c r="H16" i="7"/>
  <c r="H15" i="7"/>
  <c r="H14" i="7"/>
  <c r="H13" i="7"/>
  <c r="H12" i="7"/>
  <c r="K15" i="7" s="1" a="1"/>
  <c r="K15" i="7" s="1"/>
  <c r="H11" i="7"/>
  <c r="K17" i="7" s="1" a="1"/>
  <c r="K17" i="7" s="1"/>
  <c r="F278" i="9"/>
  <c r="E278" i="9"/>
  <c r="F277" i="9"/>
  <c r="G277" i="9" s="1"/>
  <c r="E277" i="9"/>
  <c r="F276" i="9"/>
  <c r="G276" i="9" s="1"/>
  <c r="E276" i="9"/>
  <c r="F275" i="9"/>
  <c r="G275" i="9" s="1"/>
  <c r="E275" i="9"/>
  <c r="F274" i="9"/>
  <c r="E274" i="9"/>
  <c r="F273" i="9"/>
  <c r="E273" i="9"/>
  <c r="I270" i="9"/>
  <c r="I269" i="9"/>
  <c r="I268" i="9"/>
  <c r="AB55" i="9" a="1"/>
  <c r="AB55" i="9" s="1"/>
  <c r="AB54" i="9" a="1"/>
  <c r="AB54" i="9" s="1"/>
  <c r="AB53" i="9" a="1"/>
  <c r="AB53" i="9" s="1"/>
  <c r="K44" i="9" a="1"/>
  <c r="K44" i="9" s="1"/>
  <c r="AD42" i="9"/>
  <c r="AD39" i="9"/>
  <c r="W37" i="9"/>
  <c r="X37" i="9" s="1"/>
  <c r="AD36" i="9"/>
  <c r="W36" i="9"/>
  <c r="AD34" i="9"/>
  <c r="AD33" i="9"/>
  <c r="M33" i="9"/>
  <c r="L33" i="9"/>
  <c r="L38" i="9" s="1" a="1"/>
  <c r="L38" i="9" s="1"/>
  <c r="K33" i="9"/>
  <c r="J33" i="9"/>
  <c r="AD32" i="9"/>
  <c r="M32" i="9"/>
  <c r="L32" i="9"/>
  <c r="K32" i="9"/>
  <c r="J32" i="9"/>
  <c r="AB31" i="9"/>
  <c r="M31" i="9"/>
  <c r="L31" i="9"/>
  <c r="K31" i="9"/>
  <c r="J31" i="9"/>
  <c r="N31" i="9" s="1"/>
  <c r="AD30" i="9"/>
  <c r="M30" i="9"/>
  <c r="L30" i="9"/>
  <c r="K30" i="9"/>
  <c r="J30" i="9"/>
  <c r="AD29" i="9"/>
  <c r="AB40" i="9" s="1"/>
  <c r="M29" i="9"/>
  <c r="L29" i="9"/>
  <c r="K29" i="9"/>
  <c r="J29" i="9"/>
  <c r="AD28" i="9"/>
  <c r="M28" i="9"/>
  <c r="L28" i="9"/>
  <c r="K28" i="9"/>
  <c r="J28" i="9"/>
  <c r="AD27" i="9"/>
  <c r="M27" i="9"/>
  <c r="L27" i="9"/>
  <c r="K27" i="9"/>
  <c r="J27" i="9"/>
  <c r="M26" i="9"/>
  <c r="L26" i="9"/>
  <c r="K26" i="9"/>
  <c r="J26" i="9"/>
  <c r="N26" i="9" s="1"/>
  <c r="M25" i="9"/>
  <c r="L25" i="9"/>
  <c r="K25" i="9"/>
  <c r="J25" i="9"/>
  <c r="M24" i="9"/>
  <c r="L24" i="9"/>
  <c r="K24" i="9"/>
  <c r="J24" i="9"/>
  <c r="R23" i="9"/>
  <c r="M23" i="9"/>
  <c r="L23" i="9"/>
  <c r="K23" i="9"/>
  <c r="N23" i="9" s="1"/>
  <c r="J23" i="9"/>
  <c r="R22" i="9"/>
  <c r="M22" i="9"/>
  <c r="L22" i="9"/>
  <c r="K22" i="9"/>
  <c r="J22" i="9"/>
  <c r="R21" i="9"/>
  <c r="M21" i="9"/>
  <c r="L21" i="9"/>
  <c r="K21" i="9"/>
  <c r="J21" i="9"/>
  <c r="R20" i="9"/>
  <c r="M20" i="9"/>
  <c r="L20" i="9"/>
  <c r="K20" i="9"/>
  <c r="J20" i="9"/>
  <c r="N20" i="9" s="1"/>
  <c r="M19" i="9"/>
  <c r="L19" i="9"/>
  <c r="K19" i="9"/>
  <c r="J19" i="9"/>
  <c r="M18" i="9"/>
  <c r="L18" i="9"/>
  <c r="K18" i="9"/>
  <c r="J18" i="9"/>
  <c r="M17" i="9"/>
  <c r="L17" i="9"/>
  <c r="K17" i="9"/>
  <c r="J17" i="9"/>
  <c r="AJ16" i="9"/>
  <c r="M16" i="9"/>
  <c r="L16" i="9"/>
  <c r="L44" i="9" s="1" a="1"/>
  <c r="L44" i="9" s="1"/>
  <c r="AK21" i="9" s="1"/>
  <c r="H27" i="24" s="1"/>
  <c r="K16" i="9"/>
  <c r="J16" i="9"/>
  <c r="J44" i="9" s="1" a="1"/>
  <c r="J44" i="9" s="1"/>
  <c r="F21" i="2"/>
  <c r="F22" i="2" s="1"/>
  <c r="E21" i="2"/>
  <c r="F14" i="2"/>
  <c r="E14" i="2"/>
  <c r="T53" i="20"/>
  <c r="S53" i="20"/>
  <c r="U52" i="20"/>
  <c r="U51" i="20"/>
  <c r="U50" i="20"/>
  <c r="O50" i="20"/>
  <c r="F50" i="20"/>
  <c r="U49" i="20"/>
  <c r="O49" i="20"/>
  <c r="F49" i="20"/>
  <c r="U48" i="20"/>
  <c r="O48" i="20"/>
  <c r="F48" i="20"/>
  <c r="U47" i="20"/>
  <c r="O47" i="20"/>
  <c r="F47" i="20"/>
  <c r="U46" i="20"/>
  <c r="O46" i="20"/>
  <c r="F46" i="20"/>
  <c r="U45" i="20"/>
  <c r="O45" i="20"/>
  <c r="F45" i="20"/>
  <c r="U44" i="20"/>
  <c r="U53" i="20" s="1"/>
  <c r="O44" i="20"/>
  <c r="F44" i="20"/>
  <c r="U43" i="20"/>
  <c r="O43" i="20"/>
  <c r="F43" i="20"/>
  <c r="U42" i="20"/>
  <c r="O42" i="20"/>
  <c r="F42" i="20"/>
  <c r="F51" i="20" s="1"/>
  <c r="U41" i="20"/>
  <c r="O41" i="20"/>
  <c r="F41" i="20"/>
  <c r="O40" i="20"/>
  <c r="F40" i="20"/>
  <c r="O39" i="20"/>
  <c r="F39" i="20"/>
  <c r="P33" i="20"/>
  <c r="O33" i="20"/>
  <c r="P32" i="20"/>
  <c r="O32" i="20"/>
  <c r="P31" i="20"/>
  <c r="O31" i="20"/>
  <c r="P30" i="20"/>
  <c r="O30" i="20"/>
  <c r="P29" i="20"/>
  <c r="O29" i="20"/>
  <c r="X9" i="20"/>
  <c r="R7" i="20"/>
  <c r="Q7" i="20"/>
  <c r="R6" i="20"/>
  <c r="Q6" i="20"/>
  <c r="R5" i="20"/>
  <c r="Q5" i="20"/>
  <c r="X11" i="20" s="1"/>
  <c r="C52" i="3"/>
  <c r="C50" i="3"/>
  <c r="G33" i="3" s="1"/>
  <c r="C46" i="3"/>
  <c r="C42" i="3"/>
  <c r="C40" i="3"/>
  <c r="K39" i="3"/>
  <c r="F21" i="23" s="1"/>
  <c r="K38" i="3"/>
  <c r="F20" i="23" s="1"/>
  <c r="K37" i="3"/>
  <c r="F19" i="23" s="1"/>
  <c r="K36" i="3"/>
  <c r="F18" i="23" s="1"/>
  <c r="K35" i="3"/>
  <c r="F17" i="23" s="1"/>
  <c r="C35" i="3"/>
  <c r="K34" i="3"/>
  <c r="C34" i="3"/>
  <c r="K33" i="3"/>
  <c r="F15" i="23" s="1"/>
  <c r="O29" i="3"/>
  <c r="O28" i="3"/>
  <c r="C51" i="3" s="1"/>
  <c r="G37" i="3" s="1"/>
  <c r="K44" i="3" s="1"/>
  <c r="O27" i="3"/>
  <c r="O26" i="3"/>
  <c r="C49" i="3" s="1"/>
  <c r="G36" i="3" s="1"/>
  <c r="K43" i="3" s="1"/>
  <c r="O25" i="3"/>
  <c r="C48" i="3" s="1"/>
  <c r="O24" i="3"/>
  <c r="O23" i="3"/>
  <c r="O22" i="3"/>
  <c r="C45" i="3" s="1"/>
  <c r="O21" i="3"/>
  <c r="C44" i="3" s="1"/>
  <c r="O20" i="3"/>
  <c r="C43" i="3" s="1"/>
  <c r="O19" i="3"/>
  <c r="O18" i="3"/>
  <c r="C41" i="3" s="1"/>
  <c r="O17" i="3"/>
  <c r="O16" i="3"/>
  <c r="C39" i="3" s="1"/>
  <c r="O15" i="3"/>
  <c r="C38" i="3" s="1"/>
  <c r="O14" i="3"/>
  <c r="C37" i="3" s="1"/>
  <c r="C14" i="3"/>
  <c r="B14" i="3"/>
  <c r="O13" i="3"/>
  <c r="C36" i="3" s="1"/>
  <c r="O12" i="3"/>
  <c r="O11" i="3"/>
  <c r="O10" i="3"/>
  <c r="F102" i="1"/>
  <c r="E102" i="1"/>
  <c r="C102" i="1"/>
  <c r="F101" i="1"/>
  <c r="E101" i="1"/>
  <c r="C101" i="1"/>
  <c r="F100" i="1"/>
  <c r="N91" i="1" s="1"/>
  <c r="E100" i="1"/>
  <c r="C100" i="1"/>
  <c r="F99" i="1"/>
  <c r="E99" i="1"/>
  <c r="C99" i="1"/>
  <c r="F98" i="1"/>
  <c r="N89" i="1" s="1"/>
  <c r="E98" i="1"/>
  <c r="M89" i="1" s="1"/>
  <c r="C98" i="1"/>
  <c r="F97" i="1"/>
  <c r="E97" i="1"/>
  <c r="C97" i="1"/>
  <c r="F96" i="1"/>
  <c r="E96" i="1"/>
  <c r="C96" i="1"/>
  <c r="F95" i="1"/>
  <c r="N90" i="1" s="1"/>
  <c r="E95" i="1"/>
  <c r="C95" i="1"/>
  <c r="N94" i="1"/>
  <c r="F94" i="1"/>
  <c r="E94" i="1"/>
  <c r="C94" i="1"/>
  <c r="F93" i="1"/>
  <c r="E93" i="1"/>
  <c r="C93" i="1"/>
  <c r="N92" i="1"/>
  <c r="F92" i="1"/>
  <c r="E92" i="1"/>
  <c r="C92" i="1"/>
  <c r="M91" i="1"/>
  <c r="F91" i="1"/>
  <c r="E91" i="1"/>
  <c r="C91" i="1"/>
  <c r="F90" i="1"/>
  <c r="E90" i="1"/>
  <c r="C90" i="1"/>
  <c r="F89" i="1"/>
  <c r="N93" i="1" s="1"/>
  <c r="E89" i="1"/>
  <c r="M93" i="1" s="1"/>
  <c r="C89" i="1"/>
  <c r="F88" i="1"/>
  <c r="E88" i="1"/>
  <c r="C88" i="1"/>
  <c r="F87" i="1"/>
  <c r="E87" i="1"/>
  <c r="C87" i="1"/>
  <c r="F86" i="1"/>
  <c r="E86" i="1"/>
  <c r="C86" i="1"/>
  <c r="F85" i="1"/>
  <c r="E85" i="1"/>
  <c r="M92" i="1" s="1"/>
  <c r="C85" i="1"/>
  <c r="F84" i="1"/>
  <c r="E84" i="1"/>
  <c r="M94" i="1" s="1"/>
  <c r="C84" i="1"/>
  <c r="R78" i="1"/>
  <c r="Q78" i="1"/>
  <c r="P78" i="1"/>
  <c r="R77" i="1"/>
  <c r="Q77" i="1"/>
  <c r="P77" i="1"/>
  <c r="R76" i="1"/>
  <c r="Q76" i="1"/>
  <c r="P76" i="1"/>
  <c r="R75" i="1"/>
  <c r="Q75" i="1"/>
  <c r="P75" i="1"/>
  <c r="R74" i="1"/>
  <c r="Q74" i="1"/>
  <c r="P74" i="1"/>
  <c r="R73" i="1"/>
  <c r="Q73" i="1"/>
  <c r="P73" i="1"/>
  <c r="R72" i="1"/>
  <c r="Q72" i="1"/>
  <c r="P72" i="1"/>
  <c r="R71" i="1"/>
  <c r="Q71" i="1"/>
  <c r="P71" i="1"/>
  <c r="R70" i="1"/>
  <c r="Q70" i="1"/>
  <c r="P70" i="1"/>
  <c r="R69" i="1"/>
  <c r="Q69" i="1"/>
  <c r="P69" i="1"/>
  <c r="R68" i="1"/>
  <c r="Q68" i="1"/>
  <c r="P68" i="1"/>
  <c r="R67" i="1"/>
  <c r="Q67" i="1"/>
  <c r="P67" i="1"/>
  <c r="R66" i="1"/>
  <c r="Q66" i="1"/>
  <c r="P66" i="1"/>
  <c r="R65" i="1"/>
  <c r="Q65" i="1"/>
  <c r="P65" i="1"/>
  <c r="G36" i="1"/>
  <c r="E36" i="1"/>
  <c r="G35" i="1"/>
  <c r="F35" i="1"/>
  <c r="E35" i="1"/>
  <c r="G34" i="1"/>
  <c r="F34" i="1"/>
  <c r="H34" i="1" s="1"/>
  <c r="E34" i="1"/>
  <c r="I27" i="1"/>
  <c r="H27" i="1"/>
  <c r="G27" i="1"/>
  <c r="E27" i="1"/>
  <c r="D27" i="1"/>
  <c r="C27" i="1"/>
  <c r="K26" i="1"/>
  <c r="X25" i="1"/>
  <c r="X24" i="1"/>
  <c r="X23" i="1"/>
  <c r="X22" i="1"/>
  <c r="AI21" i="1"/>
  <c r="X21" i="1"/>
  <c r="AI20" i="1"/>
  <c r="X20" i="1"/>
  <c r="M20" i="1"/>
  <c r="AI19" i="1"/>
  <c r="X19" i="1"/>
  <c r="AI18" i="1"/>
  <c r="X18" i="1"/>
  <c r="AI17" i="1"/>
  <c r="X17" i="1"/>
  <c r="AI16" i="1"/>
  <c r="X16" i="1"/>
  <c r="AI15" i="1"/>
  <c r="X15" i="1"/>
  <c r="AI14" i="1"/>
  <c r="X14" i="1"/>
  <c r="AI13" i="1"/>
  <c r="X13" i="1"/>
  <c r="N13" i="1"/>
  <c r="O5" i="1" s="1"/>
  <c r="M13" i="1"/>
  <c r="AI12" i="1"/>
  <c r="X12" i="1"/>
  <c r="N12" i="1"/>
  <c r="M12" i="1"/>
  <c r="AI11" i="1"/>
  <c r="X11" i="1"/>
  <c r="AI10" i="1"/>
  <c r="X10" i="1"/>
  <c r="AI9" i="1"/>
  <c r="X9" i="1"/>
  <c r="AI8" i="1"/>
  <c r="X8" i="1"/>
  <c r="AI7" i="1"/>
  <c r="X7" i="1"/>
  <c r="O7" i="1"/>
  <c r="AI6" i="1"/>
  <c r="X6" i="1"/>
  <c r="O6" i="1"/>
  <c r="AI5" i="1"/>
  <c r="AC5" i="1"/>
  <c r="AB5" i="1"/>
  <c r="AA5" i="1"/>
  <c r="AI4" i="1"/>
  <c r="AC4" i="1"/>
  <c r="AB4" i="1"/>
  <c r="AA4" i="1"/>
  <c r="AI3" i="1"/>
  <c r="AC3" i="1"/>
  <c r="AB3" i="1"/>
  <c r="AA3" i="1"/>
  <c r="K462" i="8"/>
  <c r="J462" i="8"/>
  <c r="K461" i="8"/>
  <c r="J461" i="8"/>
  <c r="J460" i="8"/>
  <c r="K460" i="8" s="1"/>
  <c r="J459" i="8"/>
  <c r="K459" i="8" s="1"/>
  <c r="J458" i="8"/>
  <c r="K458" i="8" s="1"/>
  <c r="J457" i="8"/>
  <c r="K457" i="8" s="1"/>
  <c r="K456" i="8"/>
  <c r="J456" i="8"/>
  <c r="K455" i="8"/>
  <c r="J455" i="8"/>
  <c r="K454" i="8"/>
  <c r="J454" i="8"/>
  <c r="J453" i="8"/>
  <c r="K453" i="8" s="1"/>
  <c r="J452" i="8"/>
  <c r="K452" i="8" s="1"/>
  <c r="J451" i="8"/>
  <c r="K451" i="8" s="1"/>
  <c r="K450" i="8"/>
  <c r="J450" i="8"/>
  <c r="K449" i="8"/>
  <c r="J449" i="8"/>
  <c r="J448" i="8"/>
  <c r="K448" i="8" s="1"/>
  <c r="J447" i="8"/>
  <c r="K447" i="8" s="1"/>
  <c r="J446" i="8"/>
  <c r="K446" i="8" s="1"/>
  <c r="K445" i="8"/>
  <c r="J445" i="8"/>
  <c r="K444" i="8"/>
  <c r="J444" i="8"/>
  <c r="K443" i="8"/>
  <c r="J443" i="8"/>
  <c r="K442" i="8"/>
  <c r="J442" i="8"/>
  <c r="K441" i="8"/>
  <c r="J441" i="8"/>
  <c r="J440" i="8"/>
  <c r="K440" i="8" s="1"/>
  <c r="J439" i="8"/>
  <c r="K439" i="8" s="1"/>
  <c r="K438" i="8"/>
  <c r="J438" i="8"/>
  <c r="K437" i="8"/>
  <c r="J437" i="8"/>
  <c r="J436" i="8"/>
  <c r="K436" i="8" s="1"/>
  <c r="J435" i="8"/>
  <c r="K435" i="8" s="1"/>
  <c r="J434" i="8"/>
  <c r="K434" i="8" s="1"/>
  <c r="K433" i="8"/>
  <c r="J433" i="8"/>
  <c r="K432" i="8"/>
  <c r="J432" i="8"/>
  <c r="K431" i="8"/>
  <c r="J431" i="8"/>
  <c r="J430" i="8"/>
  <c r="K430" i="8" s="1"/>
  <c r="J429" i="8"/>
  <c r="K429" i="8" s="1"/>
  <c r="J428" i="8"/>
  <c r="K428" i="8" s="1"/>
  <c r="K427" i="8"/>
  <c r="J427" i="8"/>
  <c r="K426" i="8"/>
  <c r="J426" i="8"/>
  <c r="K425" i="8"/>
  <c r="J425" i="8"/>
  <c r="J424" i="8"/>
  <c r="K424" i="8" s="1"/>
  <c r="J423" i="8"/>
  <c r="K423" i="8" s="1"/>
  <c r="K422" i="8"/>
  <c r="J422" i="8"/>
  <c r="J421" i="8"/>
  <c r="K421" i="8" s="1"/>
  <c r="K420" i="8"/>
  <c r="J420" i="8"/>
  <c r="K419" i="8"/>
  <c r="J419" i="8"/>
  <c r="K418" i="8"/>
  <c r="J418" i="8"/>
  <c r="J417" i="8"/>
  <c r="K417" i="8" s="1"/>
  <c r="J416" i="8"/>
  <c r="K416" i="8" s="1"/>
  <c r="J415" i="8"/>
  <c r="K415" i="8" s="1"/>
  <c r="K414" i="8"/>
  <c r="J414" i="8"/>
  <c r="K413" i="8"/>
  <c r="J413" i="8"/>
  <c r="J412" i="8"/>
  <c r="K412" i="8" s="1"/>
  <c r="J411" i="8"/>
  <c r="K411" i="8" s="1"/>
  <c r="J410" i="8"/>
  <c r="K410" i="8" s="1"/>
  <c r="K409" i="8"/>
  <c r="J409" i="8"/>
  <c r="K408" i="8"/>
  <c r="J408" i="8"/>
  <c r="K407" i="8"/>
  <c r="J407" i="8"/>
  <c r="J406" i="8"/>
  <c r="K406" i="8" s="1"/>
  <c r="J405" i="8"/>
  <c r="K405" i="8" s="1"/>
  <c r="J404" i="8"/>
  <c r="K404" i="8" s="1"/>
  <c r="J403" i="8"/>
  <c r="K403" i="8" s="1"/>
  <c r="K402" i="8"/>
  <c r="J402" i="8"/>
  <c r="K401" i="8"/>
  <c r="J401" i="8"/>
  <c r="J400" i="8"/>
  <c r="K400" i="8" s="1"/>
  <c r="J399" i="8"/>
  <c r="K399" i="8" s="1"/>
  <c r="J398" i="8"/>
  <c r="K398" i="8" s="1"/>
  <c r="J397" i="8"/>
  <c r="K397" i="8" s="1"/>
  <c r="K396" i="8"/>
  <c r="J396" i="8"/>
  <c r="K395" i="8"/>
  <c r="J395" i="8"/>
  <c r="K394" i="8"/>
  <c r="J394" i="8"/>
  <c r="J393" i="8"/>
  <c r="K393" i="8" s="1"/>
  <c r="J392" i="8"/>
  <c r="K392" i="8" s="1"/>
  <c r="K391" i="8"/>
  <c r="J391" i="8"/>
  <c r="K390" i="8"/>
  <c r="J390" i="8"/>
  <c r="K389" i="8"/>
  <c r="J389" i="8"/>
  <c r="J388" i="8"/>
  <c r="K388" i="8" s="1"/>
  <c r="J387" i="8"/>
  <c r="K387" i="8" s="1"/>
  <c r="J386" i="8"/>
  <c r="K386" i="8" s="1"/>
  <c r="J385" i="8"/>
  <c r="K385" i="8" s="1"/>
  <c r="K384" i="8"/>
  <c r="J384" i="8"/>
  <c r="K383" i="8"/>
  <c r="J383" i="8"/>
  <c r="J382" i="8"/>
  <c r="K382" i="8" s="1"/>
  <c r="J381" i="8"/>
  <c r="K381" i="8" s="1"/>
  <c r="J380" i="8"/>
  <c r="K380" i="8" s="1"/>
  <c r="J379" i="8"/>
  <c r="K379" i="8" s="1"/>
  <c r="K378" i="8"/>
  <c r="J378" i="8"/>
  <c r="K377" i="8"/>
  <c r="J377" i="8"/>
  <c r="J376" i="8"/>
  <c r="K376" i="8" s="1"/>
  <c r="J375" i="8"/>
  <c r="K375" i="8" s="1"/>
  <c r="K374" i="8"/>
  <c r="J374" i="8"/>
  <c r="J373" i="8"/>
  <c r="K373" i="8" s="1"/>
  <c r="K372" i="8"/>
  <c r="J372" i="8"/>
  <c r="K371" i="8"/>
  <c r="J371" i="8"/>
  <c r="J370" i="8"/>
  <c r="K370" i="8" s="1"/>
  <c r="J369" i="8"/>
  <c r="K369" i="8" s="1"/>
  <c r="J368" i="8"/>
  <c r="K368" i="8" s="1"/>
  <c r="J367" i="8"/>
  <c r="K367" i="8" s="1"/>
  <c r="K366" i="8"/>
  <c r="J366" i="8"/>
  <c r="K365" i="8"/>
  <c r="J365" i="8"/>
  <c r="K364" i="8"/>
  <c r="J364" i="8"/>
  <c r="J363" i="8"/>
  <c r="K363" i="8" s="1"/>
  <c r="J362" i="8"/>
  <c r="K362" i="8" s="1"/>
  <c r="K361" i="8"/>
  <c r="J361" i="8"/>
  <c r="K360" i="8"/>
  <c r="J360" i="8"/>
  <c r="K359" i="8"/>
  <c r="J359" i="8"/>
  <c r="J358" i="8"/>
  <c r="K358" i="8" s="1"/>
  <c r="J357" i="8"/>
  <c r="K357" i="8" s="1"/>
  <c r="J356" i="8"/>
  <c r="K356" i="8" s="1"/>
  <c r="K355" i="8"/>
  <c r="J355" i="8"/>
  <c r="K354" i="8"/>
  <c r="J354" i="8"/>
  <c r="K353" i="8"/>
  <c r="J353" i="8"/>
  <c r="J352" i="8"/>
  <c r="K352" i="8" s="1"/>
  <c r="J351" i="8"/>
  <c r="K351" i="8" s="1"/>
  <c r="J350" i="8"/>
  <c r="K350" i="8" s="1"/>
  <c r="J349" i="8"/>
  <c r="K349" i="8" s="1"/>
  <c r="K348" i="8"/>
  <c r="J348" i="8"/>
  <c r="K347" i="8"/>
  <c r="J347" i="8"/>
  <c r="J346" i="8"/>
  <c r="K346" i="8" s="1"/>
  <c r="J345" i="8"/>
  <c r="K345" i="8" s="1"/>
  <c r="K344" i="8"/>
  <c r="J344" i="8"/>
  <c r="J343" i="8"/>
  <c r="K343" i="8" s="1"/>
  <c r="K342" i="8"/>
  <c r="J342" i="8"/>
  <c r="K341" i="8"/>
  <c r="J341" i="8"/>
  <c r="J340" i="8"/>
  <c r="K340" i="8" s="1"/>
  <c r="J339" i="8"/>
  <c r="K339" i="8" s="1"/>
  <c r="J338" i="8"/>
  <c r="K338" i="8" s="1"/>
  <c r="J337" i="8"/>
  <c r="K337" i="8" s="1"/>
  <c r="K336" i="8"/>
  <c r="J336" i="8"/>
  <c r="K335" i="8"/>
  <c r="J335" i="8"/>
  <c r="K334" i="8"/>
  <c r="J334" i="8"/>
  <c r="J333" i="8"/>
  <c r="K333" i="8" s="1"/>
  <c r="J332" i="8"/>
  <c r="K332" i="8" s="1"/>
  <c r="K331" i="8"/>
  <c r="J331" i="8"/>
  <c r="K330" i="8"/>
  <c r="J330" i="8"/>
  <c r="K329" i="8"/>
  <c r="J329" i="8"/>
  <c r="J328" i="8"/>
  <c r="K328" i="8" s="1"/>
  <c r="J327" i="8"/>
  <c r="K327" i="8" s="1"/>
  <c r="J326" i="8"/>
  <c r="K326" i="8" s="1"/>
  <c r="J325" i="8"/>
  <c r="K325" i="8" s="1"/>
  <c r="K324" i="8"/>
  <c r="J324" i="8"/>
  <c r="K323" i="8"/>
  <c r="J323" i="8"/>
  <c r="K322" i="8"/>
  <c r="J322" i="8"/>
  <c r="J321" i="8"/>
  <c r="K321" i="8" s="1"/>
  <c r="K320" i="8"/>
  <c r="J320" i="8"/>
  <c r="J319" i="8"/>
  <c r="K319" i="8" s="1"/>
  <c r="K318" i="8"/>
  <c r="J318" i="8"/>
  <c r="K317" i="8"/>
  <c r="J317" i="8"/>
  <c r="J316" i="8"/>
  <c r="K316" i="8" s="1"/>
  <c r="J315" i="8"/>
  <c r="K315" i="8" s="1"/>
  <c r="J314" i="8"/>
  <c r="K314" i="8" s="1"/>
  <c r="J313" i="8"/>
  <c r="K313" i="8" s="1"/>
  <c r="K312" i="8"/>
  <c r="J312" i="8"/>
  <c r="K311" i="8"/>
  <c r="J311" i="8"/>
  <c r="J310" i="8"/>
  <c r="K310" i="8" s="1"/>
  <c r="J309" i="8"/>
  <c r="K309" i="8" s="1"/>
  <c r="J308" i="8"/>
  <c r="K308" i="8" s="1"/>
  <c r="J307" i="8"/>
  <c r="K307" i="8" s="1"/>
  <c r="K306" i="8"/>
  <c r="J306" i="8"/>
  <c r="K305" i="8"/>
  <c r="J305" i="8"/>
  <c r="K304" i="8"/>
  <c r="J304" i="8"/>
  <c r="J303" i="8"/>
  <c r="K303" i="8" s="1"/>
  <c r="K302" i="8"/>
  <c r="J302" i="8"/>
  <c r="J301" i="8"/>
  <c r="K301" i="8" s="1"/>
  <c r="K300" i="8"/>
  <c r="J300" i="8"/>
  <c r="K299" i="8"/>
  <c r="J299" i="8"/>
  <c r="J298" i="8"/>
  <c r="K298" i="8" s="1"/>
  <c r="J297" i="8"/>
  <c r="K297" i="8" s="1"/>
  <c r="J296" i="8"/>
  <c r="K296" i="8" s="1"/>
  <c r="J295" i="8"/>
  <c r="K295" i="8" s="1"/>
  <c r="K294" i="8"/>
  <c r="J294" i="8"/>
  <c r="K293" i="8"/>
  <c r="J293" i="8"/>
  <c r="J292" i="8"/>
  <c r="K292" i="8" s="1"/>
  <c r="J291" i="8"/>
  <c r="K291" i="8" s="1"/>
  <c r="K290" i="8"/>
  <c r="J290" i="8"/>
  <c r="K289" i="8"/>
  <c r="J289" i="8"/>
  <c r="K288" i="8"/>
  <c r="J288" i="8"/>
  <c r="K287" i="8"/>
  <c r="J287" i="8"/>
  <c r="J286" i="8"/>
  <c r="K286" i="8" s="1"/>
  <c r="J285" i="8"/>
  <c r="K285" i="8" s="1"/>
  <c r="J284" i="8"/>
  <c r="K284" i="8" s="1"/>
  <c r="J283" i="8"/>
  <c r="K283" i="8" s="1"/>
  <c r="K282" i="8"/>
  <c r="J282" i="8"/>
  <c r="K281" i="8"/>
  <c r="J281" i="8"/>
  <c r="K280" i="8"/>
  <c r="J280" i="8"/>
  <c r="J279" i="8"/>
  <c r="K279" i="8" s="1"/>
  <c r="J278" i="8"/>
  <c r="K278" i="8" s="1"/>
  <c r="K277" i="8"/>
  <c r="J277" i="8"/>
  <c r="K276" i="8"/>
  <c r="J276" i="8"/>
  <c r="K275" i="8"/>
  <c r="J275" i="8"/>
  <c r="J274" i="8"/>
  <c r="K274" i="8" s="1"/>
  <c r="J273" i="8"/>
  <c r="K273" i="8" s="1"/>
  <c r="J272" i="8"/>
  <c r="K272" i="8" s="1"/>
  <c r="J271" i="8"/>
  <c r="K271" i="8" s="1"/>
  <c r="K270" i="8"/>
  <c r="J270" i="8"/>
  <c r="K269" i="8"/>
  <c r="J269" i="8"/>
  <c r="J268" i="8"/>
  <c r="K268" i="8" s="1"/>
  <c r="J267" i="8"/>
  <c r="K267" i="8" s="1"/>
  <c r="J266" i="8"/>
  <c r="K266" i="8" s="1"/>
  <c r="J265" i="8"/>
  <c r="K265" i="8" s="1"/>
  <c r="K264" i="8"/>
  <c r="J264" i="8"/>
  <c r="K263" i="8"/>
  <c r="J263" i="8"/>
  <c r="K262" i="8"/>
  <c r="J262" i="8"/>
  <c r="J261" i="8"/>
  <c r="K261" i="8" s="1"/>
  <c r="K260" i="8"/>
  <c r="J260" i="8"/>
  <c r="J259" i="8"/>
  <c r="K259" i="8" s="1"/>
  <c r="K258" i="8"/>
  <c r="J258" i="8"/>
  <c r="K257" i="8"/>
  <c r="J257" i="8"/>
  <c r="J256" i="8"/>
  <c r="K256" i="8" s="1"/>
  <c r="J255" i="8"/>
  <c r="K255" i="8" s="1"/>
  <c r="J254" i="8"/>
  <c r="K254" i="8" s="1"/>
  <c r="K253" i="8"/>
  <c r="J253" i="8"/>
  <c r="K252" i="8"/>
  <c r="J252" i="8"/>
  <c r="K251" i="8"/>
  <c r="J251" i="8"/>
  <c r="K250" i="8"/>
  <c r="J250" i="8"/>
  <c r="J249" i="8"/>
  <c r="K249" i="8" s="1"/>
  <c r="K248" i="8"/>
  <c r="J248" i="8"/>
  <c r="J247" i="8"/>
  <c r="K247" i="8" s="1"/>
  <c r="K246" i="8"/>
  <c r="J246" i="8"/>
  <c r="K245" i="8"/>
  <c r="J245" i="8"/>
  <c r="K244" i="8"/>
  <c r="J244" i="8"/>
  <c r="J243" i="8"/>
  <c r="K243" i="8" s="1"/>
  <c r="J242" i="8"/>
  <c r="K242" i="8" s="1"/>
  <c r="J241" i="8"/>
  <c r="K241" i="8" s="1"/>
  <c r="K240" i="8"/>
  <c r="J240" i="8"/>
  <c r="K239" i="8"/>
  <c r="J239" i="8"/>
  <c r="J238" i="8"/>
  <c r="K238" i="8" s="1"/>
  <c r="J237" i="8"/>
  <c r="K237" i="8" s="1"/>
  <c r="J236" i="8"/>
  <c r="K236" i="8" s="1"/>
  <c r="J235" i="8"/>
  <c r="K235" i="8" s="1"/>
  <c r="K234" i="8"/>
  <c r="J234" i="8"/>
  <c r="K233" i="8"/>
  <c r="J233" i="8"/>
  <c r="J232" i="8"/>
  <c r="K232" i="8" s="1"/>
  <c r="J231" i="8"/>
  <c r="K231" i="8" s="1"/>
  <c r="K230" i="8"/>
  <c r="J230" i="8"/>
  <c r="J229" i="8"/>
  <c r="K229" i="8" s="1"/>
  <c r="K228" i="8"/>
  <c r="J228" i="8"/>
  <c r="K227" i="8"/>
  <c r="J227" i="8"/>
  <c r="J226" i="8"/>
  <c r="K226" i="8" s="1"/>
  <c r="J225" i="8"/>
  <c r="K225" i="8" s="1"/>
  <c r="J224" i="8"/>
  <c r="K224" i="8" s="1"/>
  <c r="J223" i="8"/>
  <c r="K223" i="8" s="1"/>
  <c r="K222" i="8"/>
  <c r="J222" i="8"/>
  <c r="K221" i="8"/>
  <c r="J221" i="8"/>
  <c r="J220" i="8"/>
  <c r="K220" i="8" s="1"/>
  <c r="J219" i="8"/>
  <c r="K219" i="8" s="1"/>
  <c r="J218" i="8"/>
  <c r="K218" i="8" s="1"/>
  <c r="K217" i="8"/>
  <c r="J217" i="8"/>
  <c r="K216" i="8"/>
  <c r="J216" i="8"/>
  <c r="K215" i="8"/>
  <c r="J215" i="8"/>
  <c r="J214" i="8"/>
  <c r="K214" i="8" s="1"/>
  <c r="J213" i="8"/>
  <c r="K213" i="8" s="1"/>
  <c r="J212" i="8"/>
  <c r="K212" i="8" s="1"/>
  <c r="J211" i="8"/>
  <c r="K211" i="8" s="1"/>
  <c r="K210" i="8"/>
  <c r="J210" i="8"/>
  <c r="K209" i="8"/>
  <c r="J209" i="8"/>
  <c r="K208" i="8"/>
  <c r="J208" i="8"/>
  <c r="J207" i="8"/>
  <c r="K207" i="8" s="1"/>
  <c r="K206" i="8"/>
  <c r="J206" i="8"/>
  <c r="J205" i="8"/>
  <c r="K205" i="8" s="1"/>
  <c r="K204" i="8"/>
  <c r="J204" i="8"/>
  <c r="K203" i="8"/>
  <c r="J203" i="8"/>
  <c r="J202" i="8"/>
  <c r="K202" i="8" s="1"/>
  <c r="J201" i="8"/>
  <c r="K201" i="8" s="1"/>
  <c r="J200" i="8"/>
  <c r="K200" i="8" s="1"/>
  <c r="J199" i="8"/>
  <c r="K199" i="8" s="1"/>
  <c r="K198" i="8"/>
  <c r="J198" i="8"/>
  <c r="K197" i="8"/>
  <c r="J197" i="8"/>
  <c r="J196" i="8"/>
  <c r="K196" i="8" s="1"/>
  <c r="J195" i="8"/>
  <c r="K195" i="8" s="1"/>
  <c r="J194" i="8"/>
  <c r="K194" i="8" s="1"/>
  <c r="K193" i="8"/>
  <c r="J193" i="8"/>
  <c r="K192" i="8"/>
  <c r="J192" i="8"/>
  <c r="K191" i="8"/>
  <c r="J191" i="8"/>
  <c r="J190" i="8"/>
  <c r="K190" i="8" s="1"/>
  <c r="J189" i="8"/>
  <c r="K189" i="8" s="1"/>
  <c r="K188" i="8"/>
  <c r="J188" i="8"/>
  <c r="J187" i="8"/>
  <c r="K187" i="8" s="1"/>
  <c r="K186" i="8"/>
  <c r="J186" i="8"/>
  <c r="K185" i="8"/>
  <c r="J185" i="8"/>
  <c r="J184" i="8"/>
  <c r="K184" i="8" s="1"/>
  <c r="J183" i="8"/>
  <c r="K183" i="8" s="1"/>
  <c r="J182" i="8"/>
  <c r="K182" i="8" s="1"/>
  <c r="K181" i="8"/>
  <c r="J181" i="8"/>
  <c r="K180" i="8"/>
  <c r="J180" i="8"/>
  <c r="K179" i="8"/>
  <c r="J179" i="8"/>
  <c r="K178" i="8"/>
  <c r="J178" i="8"/>
  <c r="J177" i="8"/>
  <c r="K177" i="8" s="1"/>
  <c r="J176" i="8"/>
  <c r="K176" i="8" s="1"/>
  <c r="J175" i="8"/>
  <c r="K175" i="8" s="1"/>
  <c r="K174" i="8"/>
  <c r="J174" i="8"/>
  <c r="K173" i="8"/>
  <c r="J173" i="8"/>
  <c r="J172" i="8"/>
  <c r="K172" i="8" s="1"/>
  <c r="J171" i="8"/>
  <c r="K171" i="8" s="1"/>
  <c r="K170" i="8"/>
  <c r="J170" i="8"/>
  <c r="J169" i="8"/>
  <c r="K169" i="8" s="1"/>
  <c r="K168" i="8"/>
  <c r="J168" i="8"/>
  <c r="K167" i="8"/>
  <c r="J167" i="8"/>
  <c r="J166" i="8"/>
  <c r="K166" i="8" s="1"/>
  <c r="J165" i="8"/>
  <c r="K165" i="8" s="1"/>
  <c r="J164" i="8"/>
  <c r="K164" i="8" s="1"/>
  <c r="K163" i="8"/>
  <c r="J163" i="8"/>
  <c r="K162" i="8"/>
  <c r="J162" i="8"/>
  <c r="K161" i="8"/>
  <c r="J161" i="8"/>
  <c r="J160" i="8"/>
  <c r="K160" i="8" s="1"/>
  <c r="J159" i="8"/>
  <c r="K159" i="8" s="1"/>
  <c r="K158" i="8"/>
  <c r="J158" i="8"/>
  <c r="J157" i="8"/>
  <c r="K157" i="8" s="1"/>
  <c r="K156" i="8"/>
  <c r="J156" i="8"/>
  <c r="K155" i="8"/>
  <c r="J155" i="8"/>
  <c r="J154" i="8"/>
  <c r="K154" i="8" s="1"/>
  <c r="J153" i="8"/>
  <c r="K153" i="8" s="1"/>
  <c r="J152" i="8"/>
  <c r="K152" i="8" s="1"/>
  <c r="J151" i="8"/>
  <c r="K151" i="8" s="1"/>
  <c r="K150" i="8"/>
  <c r="J150" i="8"/>
  <c r="K149" i="8"/>
  <c r="J149" i="8"/>
  <c r="J148" i="8"/>
  <c r="K148" i="8" s="1"/>
  <c r="J147" i="8"/>
  <c r="K147" i="8" s="1"/>
  <c r="J146" i="8"/>
  <c r="K146" i="8" s="1"/>
  <c r="K145" i="8"/>
  <c r="J145" i="8"/>
  <c r="K144" i="8"/>
  <c r="J144" i="8"/>
  <c r="K143" i="8"/>
  <c r="J143" i="8"/>
  <c r="J142" i="8"/>
  <c r="K142" i="8" s="1"/>
  <c r="J141" i="8"/>
  <c r="K141" i="8" s="1"/>
  <c r="J140" i="8"/>
  <c r="K140" i="8" s="1"/>
  <c r="K139" i="8"/>
  <c r="J139" i="8"/>
  <c r="K138" i="8"/>
  <c r="J138" i="8"/>
  <c r="K137" i="8"/>
  <c r="J137" i="8"/>
  <c r="J136" i="8"/>
  <c r="K136" i="8" s="1"/>
  <c r="J135" i="8"/>
  <c r="K135" i="8" s="1"/>
  <c r="K134" i="8"/>
  <c r="J134" i="8"/>
  <c r="J133" i="8"/>
  <c r="K133" i="8" s="1"/>
  <c r="K132" i="8"/>
  <c r="J132" i="8"/>
  <c r="K131" i="8"/>
  <c r="J131" i="8"/>
  <c r="K130" i="8"/>
  <c r="J130" i="8"/>
  <c r="J129" i="8"/>
  <c r="K129" i="8" s="1"/>
  <c r="J128" i="8"/>
  <c r="K128" i="8" s="1"/>
  <c r="J127" i="8"/>
  <c r="K127" i="8" s="1"/>
  <c r="K126" i="8"/>
  <c r="J126" i="8"/>
  <c r="K125" i="8"/>
  <c r="J125" i="8"/>
  <c r="J124" i="8"/>
  <c r="K124" i="8" s="1"/>
  <c r="J123" i="8"/>
  <c r="K123" i="8" s="1"/>
  <c r="J122" i="8"/>
  <c r="K122" i="8" s="1"/>
  <c r="K121" i="8"/>
  <c r="J121" i="8"/>
  <c r="K120" i="8"/>
  <c r="J120" i="8"/>
  <c r="K119" i="8"/>
  <c r="J119" i="8"/>
  <c r="J118" i="8"/>
  <c r="K118" i="8" s="1"/>
  <c r="J117" i="8"/>
  <c r="K117" i="8" s="1"/>
  <c r="J116" i="8"/>
  <c r="K116" i="8" s="1"/>
  <c r="J115" i="8"/>
  <c r="K115" i="8" s="1"/>
  <c r="K114" i="8"/>
  <c r="J114" i="8"/>
  <c r="K113" i="8"/>
  <c r="J113" i="8"/>
  <c r="J112" i="8"/>
  <c r="K112" i="8" s="1"/>
  <c r="J111" i="8"/>
  <c r="K111" i="8" s="1"/>
  <c r="J110" i="8"/>
  <c r="K110" i="8" s="1"/>
  <c r="J109" i="8"/>
  <c r="K109" i="8" s="1"/>
  <c r="K108" i="8"/>
  <c r="J108" i="8"/>
  <c r="K107" i="8"/>
  <c r="J107" i="8"/>
  <c r="K106" i="8"/>
  <c r="J106" i="8"/>
  <c r="J105" i="8"/>
  <c r="K105" i="8" s="1"/>
  <c r="J104" i="8"/>
  <c r="K104" i="8" s="1"/>
  <c r="K103" i="8"/>
  <c r="J103" i="8"/>
  <c r="K102" i="8"/>
  <c r="J102" i="8"/>
  <c r="K101" i="8"/>
  <c r="J101" i="8"/>
  <c r="J100" i="8"/>
  <c r="K100" i="8" s="1"/>
  <c r="J99" i="8"/>
  <c r="K99" i="8" s="1"/>
  <c r="J98" i="8"/>
  <c r="K98" i="8" s="1"/>
  <c r="J97" i="8"/>
  <c r="K97" i="8" s="1"/>
  <c r="K96" i="8"/>
  <c r="J96" i="8"/>
  <c r="K95" i="8"/>
  <c r="J95" i="8"/>
  <c r="J94" i="8"/>
  <c r="K94" i="8" s="1"/>
  <c r="J93" i="8"/>
  <c r="K93" i="8" s="1"/>
  <c r="J92" i="8"/>
  <c r="K92" i="8" s="1"/>
  <c r="J91" i="8"/>
  <c r="K91" i="8" s="1"/>
  <c r="K90" i="8"/>
  <c r="J90" i="8"/>
  <c r="K89" i="8"/>
  <c r="J89" i="8"/>
  <c r="J88" i="8"/>
  <c r="K88" i="8" s="1"/>
  <c r="J87" i="8"/>
  <c r="K87" i="8" s="1"/>
  <c r="K86" i="8"/>
  <c r="J86" i="8"/>
  <c r="J85" i="8"/>
  <c r="K85" i="8" s="1"/>
  <c r="K84" i="8"/>
  <c r="J84" i="8"/>
  <c r="K83" i="8"/>
  <c r="J83" i="8"/>
  <c r="J82" i="8"/>
  <c r="K82" i="8" s="1"/>
  <c r="J81" i="8"/>
  <c r="K81" i="8" s="1"/>
  <c r="J80" i="8"/>
  <c r="K80" i="8" s="1"/>
  <c r="J79" i="8"/>
  <c r="K79" i="8" s="1"/>
  <c r="K78" i="8"/>
  <c r="J78" i="8"/>
  <c r="K77" i="8"/>
  <c r="J77" i="8"/>
  <c r="K76" i="8"/>
  <c r="J76" i="8"/>
  <c r="J75" i="8"/>
  <c r="K75" i="8" s="1"/>
  <c r="J74" i="8"/>
  <c r="K74" i="8" s="1"/>
  <c r="K73" i="8"/>
  <c r="J73" i="8"/>
  <c r="K72" i="8"/>
  <c r="J72" i="8"/>
  <c r="K71" i="8"/>
  <c r="J71" i="8"/>
  <c r="J70" i="8"/>
  <c r="K70" i="8" s="1"/>
  <c r="J69" i="8"/>
  <c r="K69" i="8" s="1"/>
  <c r="J68" i="8"/>
  <c r="K68" i="8" s="1"/>
  <c r="K67" i="8"/>
  <c r="J67" i="8"/>
  <c r="K66" i="8"/>
  <c r="J66" i="8"/>
  <c r="K65" i="8"/>
  <c r="J65" i="8"/>
  <c r="J64" i="8"/>
  <c r="K64" i="8" s="1"/>
  <c r="J63" i="8"/>
  <c r="K63" i="8" s="1"/>
  <c r="J62" i="8"/>
  <c r="K62" i="8" s="1"/>
  <c r="J61" i="8"/>
  <c r="K61" i="8" s="1"/>
  <c r="K60" i="8"/>
  <c r="J60" i="8"/>
  <c r="K59" i="8"/>
  <c r="J59" i="8"/>
  <c r="J58" i="8"/>
  <c r="K58" i="8" s="1"/>
  <c r="J57" i="8"/>
  <c r="K57" i="8" s="1"/>
  <c r="K56" i="8"/>
  <c r="J56" i="8"/>
  <c r="J55" i="8"/>
  <c r="K55" i="8" s="1"/>
  <c r="K54" i="8"/>
  <c r="J54" i="8"/>
  <c r="K53" i="8"/>
  <c r="J53" i="8"/>
  <c r="J52" i="8"/>
  <c r="K52" i="8" s="1"/>
  <c r="J51" i="8"/>
  <c r="K51" i="8" s="1"/>
  <c r="J50" i="8"/>
  <c r="K50" i="8" s="1"/>
  <c r="J49" i="8"/>
  <c r="K49" i="8" s="1"/>
  <c r="K48" i="8"/>
  <c r="J48" i="8"/>
  <c r="K47" i="8"/>
  <c r="J47" i="8"/>
  <c r="K46" i="8"/>
  <c r="J46" i="8"/>
  <c r="J45" i="8"/>
  <c r="K45" i="8" s="1"/>
  <c r="J44" i="8"/>
  <c r="K44" i="8" s="1"/>
  <c r="K43" i="8"/>
  <c r="J43" i="8"/>
  <c r="K42" i="8"/>
  <c r="J42" i="8"/>
  <c r="K41" i="8"/>
  <c r="J41" i="8"/>
  <c r="J40" i="8"/>
  <c r="K40" i="8" s="1"/>
  <c r="J39" i="8"/>
  <c r="K39" i="8" s="1"/>
  <c r="J38" i="8"/>
  <c r="K38" i="8" s="1"/>
  <c r="J37" i="8"/>
  <c r="K37" i="8" s="1"/>
  <c r="K36" i="8"/>
  <c r="J36" i="8"/>
  <c r="K35" i="8"/>
  <c r="J35" i="8"/>
  <c r="K34" i="8"/>
  <c r="J34" i="8"/>
  <c r="J33" i="8"/>
  <c r="K33" i="8" s="1"/>
  <c r="K32" i="8"/>
  <c r="J32" i="8"/>
  <c r="J31" i="8"/>
  <c r="K31" i="8" s="1"/>
  <c r="K30" i="8"/>
  <c r="J30" i="8"/>
  <c r="K29" i="8"/>
  <c r="J29" i="8"/>
  <c r="J28" i="8"/>
  <c r="K28" i="8" s="1"/>
  <c r="J27" i="8"/>
  <c r="K27" i="8" s="1"/>
  <c r="J26" i="8"/>
  <c r="K26" i="8" s="1"/>
  <c r="J25" i="8"/>
  <c r="K25" i="8" s="1"/>
  <c r="K24" i="8"/>
  <c r="J24" i="8"/>
  <c r="K23" i="8"/>
  <c r="J23" i="8"/>
  <c r="J22" i="8"/>
  <c r="K22" i="8" s="1"/>
  <c r="J21" i="8"/>
  <c r="K21" i="8" s="1"/>
  <c r="F21" i="8"/>
  <c r="J20" i="8"/>
  <c r="K20" i="8" s="1"/>
  <c r="K19" i="8"/>
  <c r="J19" i="8"/>
  <c r="J18" i="8"/>
  <c r="K18" i="8" s="1"/>
  <c r="F18" i="8"/>
  <c r="J17" i="8"/>
  <c r="K17" i="8" s="1"/>
  <c r="J16" i="8"/>
  <c r="K16" i="8" s="1"/>
  <c r="J15" i="8"/>
  <c r="K15" i="8" s="1"/>
  <c r="F15" i="8"/>
  <c r="J14" i="8"/>
  <c r="K14" i="8" s="1"/>
  <c r="J13" i="8"/>
  <c r="K13" i="8" s="1"/>
  <c r="J12" i="8"/>
  <c r="K12" i="8" s="1"/>
  <c r="J11" i="8"/>
  <c r="K11" i="8" s="1"/>
  <c r="F11" i="8"/>
  <c r="J10" i="8"/>
  <c r="K10" i="8" s="1"/>
  <c r="J9" i="8"/>
  <c r="K9" i="8" s="1"/>
  <c r="F9" i="8"/>
  <c r="J8" i="8"/>
  <c r="K8" i="8" s="1"/>
  <c r="K7" i="8"/>
  <c r="J7" i="8"/>
  <c r="K6" i="8"/>
  <c r="J6" i="8"/>
  <c r="K5" i="8"/>
  <c r="J5" i="8"/>
  <c r="F5" i="8"/>
  <c r="K4" i="8"/>
  <c r="J4" i="8"/>
  <c r="K3" i="8"/>
  <c r="J3" i="8"/>
  <c r="F3" i="8"/>
  <c r="K16" i="7" l="1" a="1"/>
  <c r="K16" i="7" s="1"/>
  <c r="D150" i="7"/>
  <c r="H29" i="7"/>
  <c r="N44" i="9"/>
  <c r="H20" i="24"/>
  <c r="R4" i="29" a="1"/>
  <c r="K42" i="9" a="1"/>
  <c r="K42" i="9" s="1"/>
  <c r="K40" i="9" a="1"/>
  <c r="K40" i="9" s="1"/>
  <c r="N25" i="9"/>
  <c r="K38" i="9" a="1"/>
  <c r="K38" i="9" s="1"/>
  <c r="M41" i="9" a="1"/>
  <c r="M41" i="9" s="1"/>
  <c r="L42" i="9" a="1"/>
  <c r="L42" i="9" s="1"/>
  <c r="AK19" i="9" s="1"/>
  <c r="H25" i="24" s="1"/>
  <c r="L40" i="9" a="1"/>
  <c r="L40" i="9" s="1"/>
  <c r="AK17" i="9" s="1"/>
  <c r="H23" i="24" s="1"/>
  <c r="N28" i="9"/>
  <c r="M42" i="9" a="1"/>
  <c r="M42" i="9" s="1"/>
  <c r="AJ22" i="9"/>
  <c r="M40" i="9" a="1"/>
  <c r="M40" i="9" s="1"/>
  <c r="L41" i="9" a="1"/>
  <c r="L41" i="9" s="1"/>
  <c r="AK18" i="9" s="1"/>
  <c r="H24" i="24" s="1"/>
  <c r="K39" i="9" a="1"/>
  <c r="K39" i="9" s="1"/>
  <c r="N33" i="9"/>
  <c r="N29" i="9"/>
  <c r="J42" i="9" a="1"/>
  <c r="J42" i="9" s="1"/>
  <c r="N27" i="9"/>
  <c r="L34" i="9"/>
  <c r="N22" i="9"/>
  <c r="K41" i="9" a="1"/>
  <c r="K41" i="9" s="1"/>
  <c r="M39" i="9" a="1"/>
  <c r="M39" i="9" s="1"/>
  <c r="N32" i="9"/>
  <c r="N16" i="9"/>
  <c r="K43" i="9" a="1"/>
  <c r="K43" i="9" s="1"/>
  <c r="K32" i="26"/>
  <c r="F26" i="23"/>
  <c r="K40" i="3"/>
  <c r="K31" i="26"/>
  <c r="F25" i="23"/>
  <c r="K47" i="19"/>
  <c r="L52" i="19"/>
  <c r="L57" i="19"/>
  <c r="L62" i="19"/>
  <c r="F16" i="23"/>
  <c r="AK15" i="9"/>
  <c r="K34" i="9"/>
  <c r="J43" i="9" a="1"/>
  <c r="J43" i="9" s="1"/>
  <c r="L48" i="19"/>
  <c r="K53" i="19"/>
  <c r="H21" i="22"/>
  <c r="H10" i="22"/>
  <c r="H17" i="22"/>
  <c r="H28" i="22"/>
  <c r="K45" i="9"/>
  <c r="Q21" i="9" s="1"/>
  <c r="J54" i="24"/>
  <c r="K52" i="19"/>
  <c r="M52" i="19" s="1"/>
  <c r="J40" i="9" a="1"/>
  <c r="J40" i="9" s="1"/>
  <c r="L50" i="19"/>
  <c r="H20" i="22"/>
  <c r="H9" i="22"/>
  <c r="N17" i="9"/>
  <c r="L39" i="9" a="1"/>
  <c r="L39" i="9" s="1"/>
  <c r="AK16" i="9" s="1"/>
  <c r="H22" i="24" s="1"/>
  <c r="K12" i="7" a="1"/>
  <c r="K12" i="7" s="1"/>
  <c r="D153" i="7"/>
  <c r="K59" i="19"/>
  <c r="AB35" i="9"/>
  <c r="AB44" i="9"/>
  <c r="AB41" i="9"/>
  <c r="AB50" i="9" s="1" a="1"/>
  <c r="AB50" i="9" s="1"/>
  <c r="AB38" i="9"/>
  <c r="AB51" i="9" s="1" a="1"/>
  <c r="AB51" i="9" s="1"/>
  <c r="L53" i="19"/>
  <c r="N19" i="9"/>
  <c r="L54" i="19"/>
  <c r="L59" i="19"/>
  <c r="H35" i="1"/>
  <c r="F103" i="1"/>
  <c r="E103" i="1"/>
  <c r="G35" i="3"/>
  <c r="K42" i="3" s="1"/>
  <c r="J39" i="9" a="1"/>
  <c r="J39" i="9" s="1"/>
  <c r="N18" i="9"/>
  <c r="J34" i="9"/>
  <c r="L43" i="9" a="1"/>
  <c r="L43" i="9" s="1"/>
  <c r="AK20" i="9" s="1"/>
  <c r="H26" i="24" s="1"/>
  <c r="N30" i="9"/>
  <c r="AB43" i="9"/>
  <c r="K11" i="7" a="1"/>
  <c r="K11" i="7" s="1"/>
  <c r="E80" i="19"/>
  <c r="E23" i="2"/>
  <c r="E22" i="2"/>
  <c r="G38" i="3"/>
  <c r="K45" i="3" s="1"/>
  <c r="M43" i="9" a="1"/>
  <c r="M43" i="9" s="1"/>
  <c r="G278" i="9"/>
  <c r="G274" i="9"/>
  <c r="K46" i="19"/>
  <c r="K50" i="19"/>
  <c r="L55" i="19"/>
  <c r="H60" i="10"/>
  <c r="H33" i="10"/>
  <c r="H30" i="10"/>
  <c r="H24" i="10"/>
  <c r="H55" i="10"/>
  <c r="H43" i="10"/>
  <c r="H35" i="10"/>
  <c r="H20" i="10"/>
  <c r="H57" i="10"/>
  <c r="H42" i="10"/>
  <c r="H61" i="10"/>
  <c r="H32" i="10"/>
  <c r="H29" i="10"/>
  <c r="H26" i="10"/>
  <c r="H15" i="10"/>
  <c r="H12" i="10"/>
  <c r="H8" i="10"/>
  <c r="H59" i="10"/>
  <c r="H44" i="10"/>
  <c r="H22" i="10"/>
  <c r="H14" i="10"/>
  <c r="H48" i="10"/>
  <c r="H31" i="10"/>
  <c r="H13" i="10"/>
  <c r="H40" i="10"/>
  <c r="H52" i="10"/>
  <c r="H65" i="10"/>
  <c r="L70" i="19" a="1"/>
  <c r="L70" i="19" s="1"/>
  <c r="J38" i="9" a="1"/>
  <c r="J38" i="9" s="1"/>
  <c r="M90" i="1"/>
  <c r="N88" i="1"/>
  <c r="N95" i="1" s="1"/>
  <c r="K56" i="19"/>
  <c r="H16" i="10"/>
  <c r="H21" i="10"/>
  <c r="H41" i="10"/>
  <c r="H50" i="10"/>
  <c r="H53" i="10"/>
  <c r="AA6" i="1"/>
  <c r="J41" i="9" a="1"/>
  <c r="J41" i="9" s="1"/>
  <c r="N24" i="9"/>
  <c r="M38" i="9" a="1"/>
  <c r="M38" i="9" s="1"/>
  <c r="K60" i="19"/>
  <c r="K57" i="19"/>
  <c r="M57" i="19" s="1"/>
  <c r="K54" i="19"/>
  <c r="M54" i="19" s="1"/>
  <c r="K51" i="19"/>
  <c r="M51" i="19" s="1"/>
  <c r="K48" i="19"/>
  <c r="M48" i="19" s="1"/>
  <c r="K45" i="19"/>
  <c r="K61" i="19"/>
  <c r="M61" i="19" s="1"/>
  <c r="L51" i="19"/>
  <c r="L58" i="19"/>
  <c r="K55" i="19"/>
  <c r="M55" i="19" s="1"/>
  <c r="L60" i="19"/>
  <c r="L66" i="19" s="1" a="1"/>
  <c r="L66" i="19" s="1"/>
  <c r="K49" i="19"/>
  <c r="L56" i="19"/>
  <c r="K62" i="19"/>
  <c r="M62" i="19" s="1"/>
  <c r="L47" i="19"/>
  <c r="L67" i="19" s="1" a="1"/>
  <c r="L67" i="19" s="1"/>
  <c r="L45" i="19"/>
  <c r="L49" i="19"/>
  <c r="K58" i="19"/>
  <c r="M58" i="19" s="1"/>
  <c r="C103" i="1"/>
  <c r="C33" i="3"/>
  <c r="G39" i="3" s="1"/>
  <c r="K46" i="3" s="1"/>
  <c r="H11" i="22"/>
  <c r="H22" i="22"/>
  <c r="H14" i="22"/>
  <c r="H25" i="22"/>
  <c r="H18" i="22"/>
  <c r="H29" i="22"/>
  <c r="M44" i="9" a="1"/>
  <c r="M44" i="9" s="1"/>
  <c r="M34" i="9"/>
  <c r="H19" i="22"/>
  <c r="H8" i="22"/>
  <c r="O51" i="20"/>
  <c r="N21" i="9"/>
  <c r="M88" i="1"/>
  <c r="M95" i="1" s="1"/>
  <c r="H13" i="22"/>
  <c r="H24" i="22"/>
  <c r="H16" i="22"/>
  <c r="H27" i="22"/>
  <c r="C47" i="3"/>
  <c r="G34" i="3" s="1"/>
  <c r="K41" i="3" s="1"/>
  <c r="H12" i="22"/>
  <c r="H23" i="22"/>
  <c r="H15" i="22"/>
  <c r="H26" i="22"/>
  <c r="R4" i="29" l="1"/>
  <c r="R11" i="29"/>
  <c r="S4" i="29" a="1"/>
  <c r="AH21" i="9"/>
  <c r="N42" i="9"/>
  <c r="AI15" i="9"/>
  <c r="N40" i="9"/>
  <c r="AB45" i="9"/>
  <c r="AH19" i="9"/>
  <c r="H13" i="24" s="1"/>
  <c r="AI19" i="9"/>
  <c r="H18" i="24" s="1"/>
  <c r="AI16" i="9"/>
  <c r="H17" i="24" s="1"/>
  <c r="M45" i="9"/>
  <c r="Q23" i="9" s="1"/>
  <c r="N41" i="9"/>
  <c r="L45" i="9"/>
  <c r="Q22" i="9" s="1"/>
  <c r="K63" i="19"/>
  <c r="M45" i="19"/>
  <c r="K72" i="19" a="1"/>
  <c r="K72" i="19" s="1"/>
  <c r="K33" i="26"/>
  <c r="F27" i="23"/>
  <c r="L68" i="19" a="1"/>
  <c r="L68" i="19" s="1"/>
  <c r="K40" i="10"/>
  <c r="N40" i="10" s="1"/>
  <c r="L35" i="10"/>
  <c r="L31" i="10"/>
  <c r="L25" i="10"/>
  <c r="L40" i="10"/>
  <c r="M37" i="10"/>
  <c r="L32" i="10"/>
  <c r="L28" i="10"/>
  <c r="M24" i="10"/>
  <c r="K39" i="10"/>
  <c r="L36" i="10"/>
  <c r="M33" i="10"/>
  <c r="M31" i="10"/>
  <c r="K27" i="10"/>
  <c r="L24" i="10"/>
  <c r="L41" i="10"/>
  <c r="L38" i="10"/>
  <c r="K35" i="10"/>
  <c r="K41" i="10"/>
  <c r="K38" i="10"/>
  <c r="M30" i="10"/>
  <c r="K31" i="10"/>
  <c r="N31" i="10" s="1"/>
  <c r="M28" i="10"/>
  <c r="K25" i="10"/>
  <c r="L34" i="10"/>
  <c r="L29" i="10"/>
  <c r="M27" i="10"/>
  <c r="M25" i="10"/>
  <c r="M50" i="10" s="1" a="1"/>
  <c r="M50" i="10" s="1"/>
  <c r="M36" i="10"/>
  <c r="K32" i="10"/>
  <c r="K36" i="10"/>
  <c r="M29" i="10"/>
  <c r="L27" i="10"/>
  <c r="M39" i="10"/>
  <c r="M46" i="10" s="1" a="1"/>
  <c r="M46" i="10" s="1"/>
  <c r="M35" i="10"/>
  <c r="K29" i="10"/>
  <c r="L39" i="10"/>
  <c r="M34" i="10"/>
  <c r="M38" i="10"/>
  <c r="K34" i="10"/>
  <c r="M40" i="10"/>
  <c r="L33" i="10"/>
  <c r="M26" i="10"/>
  <c r="K24" i="10"/>
  <c r="L37" i="10"/>
  <c r="K33" i="10"/>
  <c r="L30" i="10"/>
  <c r="K28" i="10"/>
  <c r="L26" i="10"/>
  <c r="K37" i="10"/>
  <c r="K30" i="10"/>
  <c r="K26" i="10"/>
  <c r="M41" i="10"/>
  <c r="M32" i="10"/>
  <c r="H16" i="24"/>
  <c r="K69" i="19" a="1"/>
  <c r="K69" i="19" s="1"/>
  <c r="M53" i="19"/>
  <c r="L72" i="19" a="1"/>
  <c r="L72" i="19" s="1"/>
  <c r="L63" i="19"/>
  <c r="AH15" i="9"/>
  <c r="M56" i="19"/>
  <c r="N43" i="9"/>
  <c r="H28" i="24" a="1"/>
  <c r="H28" i="24" s="1"/>
  <c r="K19" i="7"/>
  <c r="K18" i="7"/>
  <c r="K66" i="19" a="1"/>
  <c r="K66" i="19" s="1"/>
  <c r="M60" i="19"/>
  <c r="H21" i="24"/>
  <c r="AK22" i="9"/>
  <c r="H15" i="24"/>
  <c r="K28" i="26"/>
  <c r="F22" i="23"/>
  <c r="K29" i="26"/>
  <c r="F23" i="23"/>
  <c r="K68" i="19" a="1"/>
  <c r="K68" i="19" s="1"/>
  <c r="M68" i="19" s="1"/>
  <c r="H49" i="24" s="1"/>
  <c r="M49" i="19"/>
  <c r="K47" i="3"/>
  <c r="AH17" i="9"/>
  <c r="G40" i="3"/>
  <c r="J45" i="9"/>
  <c r="Q20" i="9" s="1"/>
  <c r="N38" i="9"/>
  <c r="K71" i="19" a="1"/>
  <c r="K71" i="19" s="1"/>
  <c r="M50" i="19"/>
  <c r="AH16" i="9"/>
  <c r="H10" i="24" s="1"/>
  <c r="K70" i="19" a="1"/>
  <c r="K70" i="19" s="1"/>
  <c r="M70" i="19" s="1"/>
  <c r="M46" i="19"/>
  <c r="L69" i="19" a="1"/>
  <c r="L69" i="19" s="1"/>
  <c r="L73" i="19" s="1"/>
  <c r="AH18" i="9"/>
  <c r="K34" i="26"/>
  <c r="F28" i="23"/>
  <c r="M84" i="1"/>
  <c r="C104" i="1" s="1"/>
  <c r="N39" i="9"/>
  <c r="Q4" i="29" a="1"/>
  <c r="M59" i="19"/>
  <c r="L71" i="19" a="1"/>
  <c r="L71" i="19" s="1"/>
  <c r="K67" i="19" a="1"/>
  <c r="K67" i="19" s="1"/>
  <c r="M67" i="19" s="1"/>
  <c r="H48" i="24" s="1"/>
  <c r="M47" i="19"/>
  <c r="K30" i="26"/>
  <c r="F24" i="23"/>
  <c r="AB52" i="9" a="1"/>
  <c r="AB52" i="9" s="1"/>
  <c r="AH20" i="9"/>
  <c r="Q4" i="29" l="1"/>
  <c r="Q11" i="29"/>
  <c r="S4" i="29"/>
  <c r="AI22" i="9"/>
  <c r="AA4" i="29" a="1"/>
  <c r="AB4" i="29" a="1"/>
  <c r="H12" i="24"/>
  <c r="M48" i="10" a="1"/>
  <c r="M48" i="10" s="1"/>
  <c r="L13" i="7"/>
  <c r="L11" i="7"/>
  <c r="L14" i="7"/>
  <c r="L12" i="7"/>
  <c r="L16" i="7"/>
  <c r="H9" i="24"/>
  <c r="AH22" i="9"/>
  <c r="M69" i="19"/>
  <c r="H50" i="24" s="1"/>
  <c r="N33" i="10"/>
  <c r="N39" i="10"/>
  <c r="K46" i="10" a="1"/>
  <c r="K46" i="10" s="1"/>
  <c r="M71" i="19"/>
  <c r="H52" i="24" s="1"/>
  <c r="K73" i="19"/>
  <c r="M73" i="19" s="1"/>
  <c r="M66" i="19"/>
  <c r="M42" i="10"/>
  <c r="M52" i="10" a="1"/>
  <c r="M52" i="10" s="1"/>
  <c r="AL18" i="9"/>
  <c r="H5" i="24" s="1"/>
  <c r="H14" i="24"/>
  <c r="K52" i="10" a="1"/>
  <c r="K52" i="10" s="1"/>
  <c r="N24" i="10"/>
  <c r="N42" i="10" s="1"/>
  <c r="K42" i="10"/>
  <c r="M51" i="10" a="1"/>
  <c r="M51" i="10" s="1"/>
  <c r="N38" i="10"/>
  <c r="L48" i="10" a="1"/>
  <c r="L48" i="10" s="1"/>
  <c r="H11" i="24"/>
  <c r="M47" i="10" a="1"/>
  <c r="M47" i="10" s="1"/>
  <c r="N36" i="10"/>
  <c r="N41" i="10"/>
  <c r="L49" i="10" a="1"/>
  <c r="L49" i="10" s="1"/>
  <c r="H19" i="24"/>
  <c r="M49" i="10" a="1"/>
  <c r="M49" i="10" s="1"/>
  <c r="K49" i="10" a="1"/>
  <c r="K49" i="10" s="1"/>
  <c r="N32" i="10"/>
  <c r="N35" i="10"/>
  <c r="N45" i="9"/>
  <c r="N26" i="10"/>
  <c r="K47" i="10" a="1"/>
  <c r="K47" i="10" s="1"/>
  <c r="N34" i="10"/>
  <c r="L50" i="10" a="1"/>
  <c r="L50" i="10" s="1"/>
  <c r="N30" i="10"/>
  <c r="L52" i="10" a="1"/>
  <c r="L52" i="10" s="1"/>
  <c r="L42" i="10"/>
  <c r="M72" i="19"/>
  <c r="H53" i="24" s="1"/>
  <c r="J49" i="24"/>
  <c r="N37" i="10"/>
  <c r="L51" i="10" a="1"/>
  <c r="L51" i="10" s="1"/>
  <c r="N27" i="10"/>
  <c r="M63" i="19"/>
  <c r="D90" i="1"/>
  <c r="D100" i="1"/>
  <c r="K94" i="1"/>
  <c r="D92" i="1"/>
  <c r="D95" i="1"/>
  <c r="D87" i="1"/>
  <c r="D101" i="1"/>
  <c r="D93" i="1"/>
  <c r="D86" i="1"/>
  <c r="D99" i="1"/>
  <c r="D84" i="1"/>
  <c r="D96" i="1"/>
  <c r="D91" i="1"/>
  <c r="D98" i="1"/>
  <c r="D89" i="1"/>
  <c r="D94" i="1"/>
  <c r="D88" i="1"/>
  <c r="D85" i="1"/>
  <c r="K89" i="1"/>
  <c r="D97" i="1"/>
  <c r="K88" i="1"/>
  <c r="D102" i="1"/>
  <c r="K91" i="1"/>
  <c r="K93" i="1"/>
  <c r="K92" i="1"/>
  <c r="K90" i="1"/>
  <c r="J48" i="24"/>
  <c r="L47" i="10" a="1"/>
  <c r="L47" i="10" s="1"/>
  <c r="L46" i="10" a="1"/>
  <c r="L46" i="10" s="1"/>
  <c r="AB56" i="9"/>
  <c r="K48" i="10" a="1"/>
  <c r="K48" i="10" s="1"/>
  <c r="N28" i="10"/>
  <c r="N29" i="10"/>
  <c r="K51" i="10" a="1"/>
  <c r="K51" i="10" s="1"/>
  <c r="N25" i="10"/>
  <c r="K50" i="10" a="1"/>
  <c r="K50" i="10" s="1"/>
  <c r="H47" i="24" l="1"/>
  <c r="S11" i="29"/>
  <c r="AB4" i="29"/>
  <c r="AB11" i="29" s="1"/>
  <c r="AA4" i="29"/>
  <c r="AA11" i="29"/>
  <c r="P13" i="7"/>
  <c r="N13" i="7"/>
  <c r="H85" i="1"/>
  <c r="G85" i="1"/>
  <c r="H87" i="1"/>
  <c r="G87" i="1"/>
  <c r="AG17" i="10"/>
  <c r="G88" i="1"/>
  <c r="L90" i="1"/>
  <c r="O90" i="1" s="1"/>
  <c r="F4" i="23" s="1"/>
  <c r="H88" i="1"/>
  <c r="H95" i="1"/>
  <c r="G95" i="1"/>
  <c r="AG15" i="10"/>
  <c r="N51" i="10"/>
  <c r="H91" i="1"/>
  <c r="G91" i="1"/>
  <c r="H90" i="1"/>
  <c r="G90" i="1"/>
  <c r="G101" i="1"/>
  <c r="H101" i="1"/>
  <c r="L88" i="1"/>
  <c r="AG13" i="10"/>
  <c r="L53" i="10"/>
  <c r="AG5" i="10" s="1"/>
  <c r="AG16" i="10" s="1"/>
  <c r="J47" i="24"/>
  <c r="G94" i="1"/>
  <c r="H94" i="1"/>
  <c r="G92" i="1"/>
  <c r="H92" i="1"/>
  <c r="AG19" i="10"/>
  <c r="N50" i="10"/>
  <c r="AL19" i="9"/>
  <c r="AL20" i="9"/>
  <c r="AL21" i="9"/>
  <c r="AL16" i="9"/>
  <c r="AL17" i="9"/>
  <c r="AL15" i="9"/>
  <c r="AG14" i="10"/>
  <c r="H89" i="1"/>
  <c r="G89" i="1"/>
  <c r="L93" i="1"/>
  <c r="AG18" i="10"/>
  <c r="N47" i="10"/>
  <c r="H98" i="1"/>
  <c r="G98" i="1"/>
  <c r="L89" i="1"/>
  <c r="O89" i="1" s="1"/>
  <c r="F3" i="23" s="1"/>
  <c r="H100" i="1"/>
  <c r="G100" i="1"/>
  <c r="L91" i="1"/>
  <c r="O91" i="1" s="1"/>
  <c r="F5" i="23" s="1"/>
  <c r="J52" i="24"/>
  <c r="N46" i="10"/>
  <c r="K53" i="10"/>
  <c r="AM18" i="9"/>
  <c r="N52" i="10"/>
  <c r="M53" i="10"/>
  <c r="AH5" i="10" s="1"/>
  <c r="AH14" i="10" s="1"/>
  <c r="AH25" i="10" s="1"/>
  <c r="J53" i="24"/>
  <c r="P16" i="7"/>
  <c r="N16" i="7"/>
  <c r="N49" i="10"/>
  <c r="P12" i="7"/>
  <c r="N12" i="7"/>
  <c r="F40" i="2"/>
  <c r="E40" i="2"/>
  <c r="D40" i="2"/>
  <c r="H96" i="1"/>
  <c r="G96" i="1"/>
  <c r="P14" i="7"/>
  <c r="N14" i="7"/>
  <c r="L94" i="1"/>
  <c r="O94" i="1" s="1"/>
  <c r="F8" i="23" s="1"/>
  <c r="H84" i="1"/>
  <c r="G84" i="1"/>
  <c r="D103" i="1"/>
  <c r="H103" i="1" s="1"/>
  <c r="N48" i="10"/>
  <c r="H102" i="1"/>
  <c r="G102" i="1"/>
  <c r="L92" i="1"/>
  <c r="O92" i="1" s="1"/>
  <c r="F6" i="23" s="1"/>
  <c r="G99" i="1"/>
  <c r="H99" i="1"/>
  <c r="K95" i="1"/>
  <c r="C40" i="2" s="1"/>
  <c r="E35" i="2"/>
  <c r="D35" i="2"/>
  <c r="V4" i="3"/>
  <c r="F29" i="23" s="1"/>
  <c r="G86" i="1"/>
  <c r="H86" i="1"/>
  <c r="G97" i="1"/>
  <c r="H97" i="1"/>
  <c r="G93" i="1"/>
  <c r="H93" i="1"/>
  <c r="J50" i="24"/>
  <c r="N11" i="7"/>
  <c r="P11" i="7"/>
  <c r="AC4" i="29" l="1" a="1"/>
  <c r="F13" i="23"/>
  <c r="G40" i="2"/>
  <c r="H65" i="24"/>
  <c r="AG27" i="10"/>
  <c r="J65" i="24" s="1"/>
  <c r="H62" i="24"/>
  <c r="AG24" i="10"/>
  <c r="AG20" i="10"/>
  <c r="H4" i="24"/>
  <c r="AM17" i="9"/>
  <c r="O88" i="1"/>
  <c r="L95" i="1"/>
  <c r="C39" i="2"/>
  <c r="F39" i="2"/>
  <c r="V8" i="3"/>
  <c r="H66" i="24"/>
  <c r="AG28" i="10"/>
  <c r="J66" i="24" s="1"/>
  <c r="H68" i="24"/>
  <c r="AG30" i="10"/>
  <c r="J68" i="24" s="1"/>
  <c r="C36" i="2"/>
  <c r="D39" i="2"/>
  <c r="F35" i="2"/>
  <c r="V7" i="3"/>
  <c r="F32" i="23" s="1"/>
  <c r="C41" i="2"/>
  <c r="H8" i="24"/>
  <c r="AM21" i="9"/>
  <c r="N53" i="10"/>
  <c r="AF5" i="10"/>
  <c r="F37" i="2"/>
  <c r="V10" i="3"/>
  <c r="F35" i="23" s="1"/>
  <c r="F36" i="2"/>
  <c r="E39" i="2"/>
  <c r="AH16" i="10"/>
  <c r="AH27" i="10" s="1"/>
  <c r="E37" i="2"/>
  <c r="F41" i="2"/>
  <c r="V5" i="3"/>
  <c r="F30" i="23" s="1"/>
  <c r="H63" i="24"/>
  <c r="AG25" i="10"/>
  <c r="J63" i="24" s="1"/>
  <c r="V6" i="3"/>
  <c r="F31" i="23" s="1"/>
  <c r="O93" i="1"/>
  <c r="F7" i="23" s="1"/>
  <c r="E36" i="2"/>
  <c r="G103" i="1"/>
  <c r="H36" i="1"/>
  <c r="F36" i="1"/>
  <c r="H2" i="24"/>
  <c r="AL22" i="9"/>
  <c r="AM15" i="9"/>
  <c r="V9" i="3"/>
  <c r="F34" i="23" s="1"/>
  <c r="AH13" i="10"/>
  <c r="AH17" i="10"/>
  <c r="AH28" i="10" s="1"/>
  <c r="H67" i="24"/>
  <c r="AG29" i="10"/>
  <c r="J67" i="24" s="1"/>
  <c r="H3" i="24"/>
  <c r="AM16" i="9"/>
  <c r="D37" i="2"/>
  <c r="H214" i="24" s="1" a="1"/>
  <c r="H214" i="24" s="1"/>
  <c r="D36" i="2"/>
  <c r="H64" i="24"/>
  <c r="AG26" i="10"/>
  <c r="J64" i="24" s="1"/>
  <c r="AH15" i="10"/>
  <c r="AH26" i="10" s="1"/>
  <c r="D41" i="2"/>
  <c r="H7" i="24"/>
  <c r="AM20" i="9"/>
  <c r="AH19" i="10"/>
  <c r="AH30" i="10" s="1"/>
  <c r="B49" i="2"/>
  <c r="C37" i="2"/>
  <c r="E41" i="2"/>
  <c r="H6" i="24"/>
  <c r="AM19" i="9"/>
  <c r="C35" i="2"/>
  <c r="AH18" i="10"/>
  <c r="AH29" i="10" s="1"/>
  <c r="F197" i="24" l="1" a="1"/>
  <c r="F197" i="24" s="1"/>
  <c r="D42" i="2"/>
  <c r="F33" i="23"/>
  <c r="P10" i="19"/>
  <c r="O28" i="19" s="1"/>
  <c r="X8" i="3"/>
  <c r="F209" i="24" a="1"/>
  <c r="F209" i="24" s="1"/>
  <c r="AC4" i="29"/>
  <c r="AC11" i="29"/>
  <c r="F12" i="23"/>
  <c r="G39" i="2"/>
  <c r="AM22" i="9"/>
  <c r="B46" i="2"/>
  <c r="B52" i="2"/>
  <c r="J62" i="24"/>
  <c r="AG31" i="10"/>
  <c r="F2" i="23"/>
  <c r="O95" i="1"/>
  <c r="AF15" i="10"/>
  <c r="AF18" i="10"/>
  <c r="AF17" i="10"/>
  <c r="AF13" i="10"/>
  <c r="AF16" i="10"/>
  <c r="AF19" i="10"/>
  <c r="AF14" i="10"/>
  <c r="B48" i="2"/>
  <c r="B50" i="2"/>
  <c r="F10" i="23"/>
  <c r="G36" i="2"/>
  <c r="H74" i="24" a="1"/>
  <c r="H74" i="24" s="1"/>
  <c r="AH20" i="10"/>
  <c r="AH24" i="10"/>
  <c r="F11" i="23"/>
  <c r="G37" i="2"/>
  <c r="F14" i="23"/>
  <c r="G41" i="2"/>
  <c r="F9" i="23"/>
  <c r="C42" i="2"/>
  <c r="G35" i="2"/>
  <c r="H219" i="24" s="1" a="1"/>
  <c r="H219" i="24" s="1"/>
  <c r="E42" i="2"/>
  <c r="B51" i="2"/>
  <c r="B47" i="2"/>
  <c r="H203" i="24" a="1"/>
  <c r="H203" i="24" s="1"/>
  <c r="F42" i="2"/>
  <c r="H51" i="24" l="1"/>
  <c r="B29" i="29" a="1"/>
  <c r="T4" i="29" a="1"/>
  <c r="AF27" i="10"/>
  <c r="AI27" i="10" s="1"/>
  <c r="AI16" i="10"/>
  <c r="B53" i="2"/>
  <c r="B54" i="2"/>
  <c r="B41" i="2" s="1"/>
  <c r="H55" i="24"/>
  <c r="AF25" i="10"/>
  <c r="AI14" i="10"/>
  <c r="AI19" i="10"/>
  <c r="AF30" i="10"/>
  <c r="AI30" i="10" s="1"/>
  <c r="J74" i="24" a="1"/>
  <c r="J74" i="24" s="1"/>
  <c r="AH31" i="10"/>
  <c r="AI13" i="10"/>
  <c r="AF20" i="10"/>
  <c r="AF24" i="10"/>
  <c r="AF28" i="10"/>
  <c r="AI28" i="10" s="1"/>
  <c r="AI17" i="10"/>
  <c r="H56" i="24"/>
  <c r="AF29" i="10"/>
  <c r="AI18" i="10"/>
  <c r="AI15" i="10"/>
  <c r="AF26" i="10"/>
  <c r="AI26" i="10" s="1"/>
  <c r="D34" i="29" l="1"/>
  <c r="T34" i="29" s="1"/>
  <c r="U34" i="29" s="1"/>
  <c r="D32" i="29"/>
  <c r="T32" i="29" s="1"/>
  <c r="U32" i="29" s="1"/>
  <c r="D35" i="29"/>
  <c r="T35" i="29" s="1"/>
  <c r="U35" i="29" s="1"/>
  <c r="D33" i="29"/>
  <c r="T33" i="29" s="1"/>
  <c r="U33" i="29" s="1"/>
  <c r="B29" i="29"/>
  <c r="D30" i="29"/>
  <c r="T30" i="29" s="1"/>
  <c r="U30" i="29" s="1"/>
  <c r="D31" i="29"/>
  <c r="T31" i="29" s="1"/>
  <c r="U31" i="29" s="1"/>
  <c r="T4" i="29"/>
  <c r="Y4" i="29" s="1"/>
  <c r="AE4" i="29" s="1"/>
  <c r="Y6" i="29"/>
  <c r="AE6" i="29" s="1"/>
  <c r="Y7" i="29"/>
  <c r="AE7" i="29" s="1"/>
  <c r="Y5" i="29"/>
  <c r="AE5" i="29" s="1"/>
  <c r="Y10" i="29"/>
  <c r="AE10" i="29" s="1"/>
  <c r="Y8" i="29"/>
  <c r="AE8" i="29" s="1"/>
  <c r="Y9" i="29"/>
  <c r="AE9" i="29" s="1"/>
  <c r="F51" i="24"/>
  <c r="J51" i="24"/>
  <c r="B40" i="2"/>
  <c r="B36" i="2"/>
  <c r="B37" i="2"/>
  <c r="B39" i="2"/>
  <c r="B35" i="2"/>
  <c r="AF31" i="10"/>
  <c r="AI24" i="10"/>
  <c r="AI20" i="10"/>
  <c r="J56" i="24"/>
  <c r="AI29" i="10"/>
  <c r="J55" i="24"/>
  <c r="AI25" i="10"/>
  <c r="D29" i="29" l="1"/>
  <c r="B36" i="29"/>
  <c r="T11" i="29"/>
  <c r="Y11" i="29" s="1"/>
  <c r="H191" i="24" a="1"/>
  <c r="H191" i="24" s="1"/>
  <c r="B42" i="2"/>
  <c r="H40" i="24" a="1"/>
  <c r="H40" i="24" s="1"/>
  <c r="F33" i="24" a="1"/>
  <c r="F33" i="24" s="1"/>
  <c r="AI31" i="10"/>
  <c r="AE11" i="29" l="1"/>
  <c r="Y12" i="29"/>
  <c r="D36" i="29"/>
  <c r="T36" i="29" s="1"/>
  <c r="T29" i="29"/>
  <c r="U29" i="29" s="1"/>
  <c r="D37" i="29" l="1"/>
  <c r="I37" i="29"/>
  <c r="N37" i="29"/>
  <c r="O37" i="29"/>
  <c r="M37" i="29"/>
  <c r="S37" i="29"/>
  <c r="J37" i="29"/>
  <c r="H37" i="29"/>
  <c r="AF3" i="29"/>
  <c r="AD12" i="29"/>
  <c r="Q12" i="29"/>
  <c r="AC12" i="29"/>
  <c r="AF7" i="29"/>
  <c r="Z12" i="29"/>
  <c r="AA12" i="29"/>
  <c r="AB12" i="29"/>
  <c r="AF5" i="29"/>
  <c r="AF8" i="29"/>
  <c r="AF9" i="29"/>
  <c r="AF6" i="29"/>
  <c r="AF4"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tc={28D6AE99-43C4-4197-82DB-222196CF798D}</author>
  </authors>
  <commentList>
    <comment ref="O28" authorId="0" shapeId="0" xr:uid="{28D6AE99-43C4-4197-82DB-222196CF798D}">
      <text>
        <t>[Threaded comment]
Your version of Excel allows you to read this threaded comment; however, any edits to it will get removed if the file is opened in a newer version of Excel. Learn more: https://go.microsoft.com/fwlink/?linkid=870924
Comment:
    Adjusted to avoid constant shortages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<sst xmlns="http://schemas.openxmlformats.org/spreadsheetml/2006/main" count="13202" uniqueCount="3221">
  <si>
    <t>Sahkonkulutus-maakunnittain-2007-2023.xlsx</t>
  </si>
  <si>
    <t>Industry</t>
  </si>
  <si>
    <t>Total</t>
  </si>
  <si>
    <t>Uusimaa</t>
  </si>
  <si>
    <t>Varsinais-Suomi</t>
  </si>
  <si>
    <t>Satakunta</t>
  </si>
  <si>
    <t>Kanta-Häme</t>
  </si>
  <si>
    <t>Pirkanmaa</t>
  </si>
  <si>
    <t>Päijät-Häme</t>
  </si>
  <si>
    <t>Kymenlaakso</t>
  </si>
  <si>
    <t>Etelä-Karjala</t>
  </si>
  <si>
    <t>Etelä-Savo</t>
  </si>
  <si>
    <t>Pohjois-Savo</t>
  </si>
  <si>
    <t>Pohjois-Karjala</t>
  </si>
  <si>
    <t>Keski-Suomi</t>
  </si>
  <si>
    <t xml:space="preserve">Etelä-Pohjanmaa </t>
  </si>
  <si>
    <t>Pohjanmaa</t>
  </si>
  <si>
    <t>Keski-Pohjanmaa</t>
  </si>
  <si>
    <t>Pohjois-Pohjanmaa</t>
  </si>
  <si>
    <t>Kainuu</t>
  </si>
  <si>
    <t>Lappi</t>
  </si>
  <si>
    <t>Itä-Uusimaa</t>
  </si>
  <si>
    <t>Ahvenanmaa</t>
  </si>
  <si>
    <t>Etelä-Pohjanmaa</t>
  </si>
  <si>
    <t>Region</t>
  </si>
  <si>
    <t>(Finnish Energy)</t>
  </si>
  <si>
    <t>Residence</t>
  </si>
  <si>
    <t>Commerce</t>
  </si>
  <si>
    <t>North</t>
  </si>
  <si>
    <t>West</t>
  </si>
  <si>
    <t>Etlä-Pohjanmaa</t>
  </si>
  <si>
    <t>Center</t>
  </si>
  <si>
    <t>East</t>
  </si>
  <si>
    <t>South West</t>
  </si>
  <si>
    <t>South East</t>
  </si>
  <si>
    <t>Comerce</t>
  </si>
  <si>
    <t>1. Data</t>
  </si>
  <si>
    <t>Terminology simplifications: residence - housing and agriculture, commerce - service and buildings</t>
  </si>
  <si>
    <t>Demand Scenarios TYNDP 2024 After Public Consultation.xslx</t>
  </si>
  <si>
    <t>Households</t>
  </si>
  <si>
    <t>Buildings</t>
  </si>
  <si>
    <t>Transport</t>
  </si>
  <si>
    <t>Agriculture</t>
  </si>
  <si>
    <t>Other</t>
  </si>
  <si>
    <t>Energy</t>
  </si>
  <si>
    <t>REF</t>
  </si>
  <si>
    <t>DE</t>
  </si>
  <si>
    <t>Notations: REF - reference of 2019, DE - Distributed Energy 2035 scenario</t>
  </si>
  <si>
    <t>[GWh]</t>
  </si>
  <si>
    <t>[TWh]</t>
  </si>
  <si>
    <t>Aggregated region</t>
  </si>
  <si>
    <t>Native</t>
  </si>
  <si>
    <t>Electrolyser</t>
  </si>
  <si>
    <t>EV</t>
  </si>
  <si>
    <t>Battery</t>
  </si>
  <si>
    <t>2035 [GWh]</t>
  </si>
  <si>
    <t>Total main</t>
  </si>
  <si>
    <t>1. National data</t>
  </si>
  <si>
    <t>Capacity</t>
  </si>
  <si>
    <t>Imports</t>
  </si>
  <si>
    <t>Steam CH4 reformer</t>
  </si>
  <si>
    <t>TWh</t>
  </si>
  <si>
    <t>Demand</t>
  </si>
  <si>
    <t>E-diesel</t>
  </si>
  <si>
    <t>E-kerosene</t>
  </si>
  <si>
    <t>H2 boiler</t>
  </si>
  <si>
    <t>H2P</t>
  </si>
  <si>
    <t>SNG</t>
  </si>
  <si>
    <t>Native share</t>
  </si>
  <si>
    <r>
      <t>TWh</t>
    </r>
    <r>
      <rPr>
        <sz val="11"/>
        <color theme="0" tint="-0.249977111117893"/>
        <rFont val="Calibri"/>
        <family val="2"/>
        <scheme val="minor"/>
      </rPr>
      <t>_h2</t>
    </r>
  </si>
  <si>
    <r>
      <t>MW</t>
    </r>
    <r>
      <rPr>
        <sz val="11"/>
        <color theme="0" tint="-0.249977111117893"/>
        <rFont val="Calibri"/>
        <family val="2"/>
        <scheme val="minor"/>
      </rPr>
      <t>_h2</t>
    </r>
  </si>
  <si>
    <t>Source</t>
  </si>
  <si>
    <t>Simplifications</t>
  </si>
  <si>
    <t>H2 supply is determined by the model. H2 demand sectors are not modeled.</t>
  </si>
  <si>
    <t>FI</t>
  </si>
  <si>
    <t>NE</t>
  </si>
  <si>
    <r>
      <t xml:space="preserve">No H2 inports and production from CH4 -&gt;  demand is scaled down to production capacity of electrolyser </t>
    </r>
    <r>
      <rPr>
        <sz val="11"/>
        <color theme="0" tint="-0.499984740745262"/>
        <rFont val="Calibri"/>
        <family val="2"/>
        <scheme val="minor"/>
      </rPr>
      <t>over all countries present in North European model</t>
    </r>
  </si>
  <si>
    <t>Total (normalized)</t>
  </si>
  <si>
    <r>
      <rPr>
        <sz val="11"/>
        <rFont val="Calibri"/>
        <family val="2"/>
        <scheme val="minor"/>
      </rPr>
      <t>TWh</t>
    </r>
    <r>
      <rPr>
        <sz val="11"/>
        <color theme="0" tint="-0.249977111117893"/>
        <rFont val="Calibri"/>
        <family val="2"/>
        <scheme val="minor"/>
      </rPr>
      <t>_h2</t>
    </r>
  </si>
  <si>
    <t>2. Regional breakdown</t>
  </si>
  <si>
    <t>HKI</t>
  </si>
  <si>
    <t>ESP</t>
  </si>
  <si>
    <t>VAN</t>
  </si>
  <si>
    <t>TKU</t>
  </si>
  <si>
    <t>TRE</t>
  </si>
  <si>
    <t>OUL</t>
  </si>
  <si>
    <t>JKL</t>
  </si>
  <si>
    <t>ROF</t>
  </si>
  <si>
    <t>DH_Regional_2023.xlsx</t>
  </si>
  <si>
    <t>SUPPLY</t>
  </si>
  <si>
    <t>CONSUMPTION</t>
  </si>
  <si>
    <t>DH production (net) by fuels</t>
  </si>
  <si>
    <t>Heat recovery and heat produced by heat pumps</t>
  </si>
  <si>
    <t>Purchased from outside</t>
  </si>
  <si>
    <t>DH delivery</t>
  </si>
  <si>
    <t>Delivery to other dh company</t>
  </si>
  <si>
    <t>Network losses and metering errors</t>
  </si>
  <si>
    <t>Breakdown in National Trends scenario</t>
  </si>
  <si>
    <t>Primary source is not specified</t>
  </si>
  <si>
    <t>demanddata_DH_own_projection.xlsx</t>
  </si>
  <si>
    <t>Regional breakdown from Finnish Energy</t>
  </si>
  <si>
    <t>Delivery and losses</t>
  </si>
  <si>
    <t>Scaling</t>
  </si>
  <si>
    <t>Aggregating regions</t>
  </si>
  <si>
    <t>Disaggregating cities from regions</t>
  </si>
  <si>
    <t>Assume that delivery between dh could be ignored</t>
  </si>
  <si>
    <t>Other (non)RES sheet in "H2 heavy.xlsx", values derived from near-constant output of "other (non)RES" technology output</t>
  </si>
  <si>
    <t>Assumption</t>
  </si>
  <si>
    <t>This is obviously inperfect proxy (e.g., sawmill needs a lot of electricity but no steam), but no regional data or better proxy was found</t>
  </si>
  <si>
    <t>Count</t>
  </si>
  <si>
    <t>Ressidence</t>
  </si>
  <si>
    <t>Historic</t>
  </si>
  <si>
    <t>Projected</t>
  </si>
  <si>
    <t>Absolute</t>
  </si>
  <si>
    <t>Relative</t>
  </si>
  <si>
    <t>Industrial</t>
  </si>
  <si>
    <t>Energy use in manufacturing by Year, Region and Information. PxWeb</t>
  </si>
  <si>
    <t>Total electricity consumption by Year, Region, Manufacturing branch and Information. PxWeb</t>
  </si>
  <si>
    <t>South Karelia</t>
  </si>
  <si>
    <t>Central Finland</t>
  </si>
  <si>
    <t>South Ostrobothnia</t>
  </si>
  <si>
    <t>Ostrobothnia</t>
  </si>
  <si>
    <t>North Karelia</t>
  </si>
  <si>
    <t>Central Ostrobothnia</t>
  </si>
  <si>
    <t>North Ostrobothnia</t>
  </si>
  <si>
    <t>Lapland</t>
  </si>
  <si>
    <t>Åland</t>
  </si>
  <si>
    <t>Electricity</t>
  </si>
  <si>
    <t>Statistics Finland (2023)</t>
  </si>
  <si>
    <t>Trend observed</t>
  </si>
  <si>
    <t>Total growth</t>
  </si>
  <si>
    <t>Deindustriliaziation</t>
  </si>
  <si>
    <t>Centralization</t>
  </si>
  <si>
    <t>Coresponding demand</t>
  </si>
  <si>
    <t>2. Assessment of trends</t>
  </si>
  <si>
    <t>Assessment of national trends</t>
  </si>
  <si>
    <t>Projected change for Uusimaa demand are based on regional breakdown assumed in part 3</t>
  </si>
  <si>
    <t>Assessment of historic regional trends</t>
  </si>
  <si>
    <t>Administrative regions</t>
  </si>
  <si>
    <t>Model regions</t>
  </si>
  <si>
    <t>Order: in tables - 2023 values on top of 2007 ones, bar charts - 2007 (in brighter colors) on top of 2023</t>
  </si>
  <si>
    <t>Electfication</t>
  </si>
  <si>
    <t>(1) Industrial electricity demand grows due to electrification of existing industrial energy demand. (2) Electrification share of currently unelectrified demand is equal across all regions.</t>
  </si>
  <si>
    <t>Assumptions</t>
  </si>
  <si>
    <t>(3) Residencial and commertial demand change by same multiplier for annual value to match tyndp2024 projection.</t>
  </si>
  <si>
    <t>Unelectrified industry</t>
  </si>
  <si>
    <t>Electification share increase</t>
  </si>
  <si>
    <t>Electrification share</t>
  </si>
  <si>
    <t>Variable</t>
  </si>
  <si>
    <t>Scalar</t>
  </si>
  <si>
    <t>Generation</t>
  </si>
  <si>
    <t>Storage</t>
  </si>
  <si>
    <t>Transmission</t>
  </si>
  <si>
    <t>Vector</t>
  </si>
  <si>
    <t>El</t>
  </si>
  <si>
    <t>H2</t>
  </si>
  <si>
    <t>DH</t>
  </si>
  <si>
    <t>IH</t>
  </si>
  <si>
    <t>Grid</t>
  </si>
  <si>
    <t>Type</t>
  </si>
  <si>
    <t>Inflow</t>
  </si>
  <si>
    <t>Hydro</t>
  </si>
  <si>
    <t>Wind</t>
  </si>
  <si>
    <t>Solar</t>
  </si>
  <si>
    <t>Limits</t>
  </si>
  <si>
    <t>North Savo</t>
  </si>
  <si>
    <t>South Savo</t>
  </si>
  <si>
    <t>Southwest Finland</t>
  </si>
  <si>
    <t>Trends were initially observed by tinkering with regional values (present bellow in hidden rows), but are much more clearly visible when comparing national values.</t>
  </si>
  <si>
    <t>3. Attempt #2. Combining sources 1+2+4.</t>
  </si>
  <si>
    <t>Industrial demand consumption is distributed among regions proportionally to distribution of unelectrified industrial demand</t>
  </si>
  <si>
    <t>Constant</t>
  </si>
  <si>
    <t>Copy national because Copernicus have only 2 regions for FI at highest granularity</t>
  </si>
  <si>
    <t>Copy national because Copernicus have only Nuts2 regions for FI at highest granularity or gridded data</t>
  </si>
  <si>
    <t>Data</t>
  </si>
  <si>
    <t>Delivery reliability | Energy Authority</t>
  </si>
  <si>
    <t>Hydropower powerplant subset from power plant register (latest update 27.6.2025)</t>
  </si>
  <si>
    <t>Name</t>
  </si>
  <si>
    <t>Location</t>
  </si>
  <si>
    <t>Ahvenkoski</t>
  </si>
  <si>
    <t>Aittokoski</t>
  </si>
  <si>
    <t>Alakoski</t>
  </si>
  <si>
    <t>Alakoski, Vuolteentori 6, 33100 Tampere</t>
  </si>
  <si>
    <t>Anjalankoski, G1</t>
  </si>
  <si>
    <t>Anjalankoski</t>
  </si>
  <si>
    <t>Askala</t>
  </si>
  <si>
    <t>Askala, Voimalantie 116, 21530 Paimio</t>
  </si>
  <si>
    <t>Atro</t>
  </si>
  <si>
    <t>Lapinlahti, Voimalaitoksentie 1, Syvärinpää</t>
  </si>
  <si>
    <t>Billnäs</t>
  </si>
  <si>
    <t>Billnäs, Pohja</t>
  </si>
  <si>
    <t>Björkfors</t>
  </si>
  <si>
    <t>Finlayson ve</t>
  </si>
  <si>
    <t>Haapakoski</t>
  </si>
  <si>
    <t>haapakoski</t>
  </si>
  <si>
    <t>Hamari</t>
  </si>
  <si>
    <t>Hamari, Ylivieska</t>
  </si>
  <si>
    <t>Hanhikoski</t>
  </si>
  <si>
    <t>Evijärvi / Hanhikoski</t>
  </si>
  <si>
    <t>Harjavalta</t>
  </si>
  <si>
    <t>Harjavallan voimalaitos</t>
  </si>
  <si>
    <t>Hattarfors</t>
  </si>
  <si>
    <t>Hattar kraftverk</t>
  </si>
  <si>
    <t>Hietamankoski</t>
  </si>
  <si>
    <t>Äänekoski / Hietamankoski</t>
  </si>
  <si>
    <t>Hilmonkoski</t>
  </si>
  <si>
    <t>Kannonkoski / Hilmonkoski</t>
  </si>
  <si>
    <t>Hinkua</t>
  </si>
  <si>
    <t>Haapajärvi / Hinkua</t>
  </si>
  <si>
    <t>Hirvikoski</t>
  </si>
  <si>
    <t>Nurmo / Hirvikoski</t>
  </si>
  <si>
    <t>Hämeenkyrö ve</t>
  </si>
  <si>
    <t>Kyröskoski</t>
  </si>
  <si>
    <t>Imatra</t>
  </si>
  <si>
    <t>Inkeroinen ve</t>
  </si>
  <si>
    <t>Inkeroinen</t>
  </si>
  <si>
    <t>Isohaara</t>
  </si>
  <si>
    <t>isohaara</t>
  </si>
  <si>
    <t>Jalasjoki/Niiles</t>
  </si>
  <si>
    <t>Niiles, Myllykyläntie 440, 61300 Kurikka</t>
  </si>
  <si>
    <t>Juankoski</t>
  </si>
  <si>
    <t>Juankoski, Juankoskentie 7A</t>
  </si>
  <si>
    <t>Jumisko</t>
  </si>
  <si>
    <t>jumisko</t>
  </si>
  <si>
    <t>Juntola</t>
  </si>
  <si>
    <t>Juntola, Kauppilantie 28, 21530 Paimio</t>
  </si>
  <si>
    <t>Juotas</t>
  </si>
  <si>
    <t>Juva</t>
  </si>
  <si>
    <t>Juva, Alikulmantie 15, 21450 Tarvasjoki</t>
  </si>
  <si>
    <t>Jylhämä</t>
  </si>
  <si>
    <t>Kaaranneskoski</t>
  </si>
  <si>
    <t>Kaarni</t>
  </si>
  <si>
    <t>Kaihua</t>
  </si>
  <si>
    <t>Kaihua I ja II</t>
  </si>
  <si>
    <t>Kaitfors</t>
  </si>
  <si>
    <t>Kalajärvi</t>
  </si>
  <si>
    <t>Kalajärvi, Seinäjoki</t>
  </si>
  <si>
    <t>Kallioinen</t>
  </si>
  <si>
    <t>Kuusankoski</t>
  </si>
  <si>
    <t>Kaltimo</t>
  </si>
  <si>
    <t>Karjalankoski</t>
  </si>
  <si>
    <t>Juankoski, Pohjolantie 10</t>
  </si>
  <si>
    <t>Katerma</t>
  </si>
  <si>
    <t>Kattilakoski</t>
  </si>
  <si>
    <t>Keltti</t>
  </si>
  <si>
    <t>Kelukoski</t>
  </si>
  <si>
    <t>Kierikki</t>
  </si>
  <si>
    <t>kierikki</t>
  </si>
  <si>
    <t>Killinkoski</t>
  </si>
  <si>
    <t>Kiltua</t>
  </si>
  <si>
    <t>Sonkajärvi, Kiltuantie 1129 A, Jyrkkä</t>
  </si>
  <si>
    <t>Kirakkaköngäs</t>
  </si>
  <si>
    <t>Kissakoski</t>
  </si>
  <si>
    <t>Hirvensalmi, Kissakoski</t>
  </si>
  <si>
    <t>Klåsarö</t>
  </si>
  <si>
    <t>Koivukoski</t>
  </si>
  <si>
    <t>Koivukosken voimalaitos Kotka</t>
  </si>
  <si>
    <t>Koivukoski 1 ja 2</t>
  </si>
  <si>
    <t>Koivukoski 3</t>
  </si>
  <si>
    <t>Kokkosniva</t>
  </si>
  <si>
    <t>Kolsi</t>
  </si>
  <si>
    <t>Kolsin voimalaitos Kokemäki</t>
  </si>
  <si>
    <t>Korkeakoski</t>
  </si>
  <si>
    <t>Korkeakosken voimalaitos Kotka</t>
  </si>
  <si>
    <t>Koskenvarsi</t>
  </si>
  <si>
    <t>Koskenvarren vesivoimalaitos</t>
  </si>
  <si>
    <t>Kuhankoski</t>
  </si>
  <si>
    <t>Kuhankoski, Koskentie 76, 41340 Laukaa</t>
  </si>
  <si>
    <t>Kuokkastenkoski</t>
  </si>
  <si>
    <t>Nurmes, Kuokkastenkoski</t>
  </si>
  <si>
    <t>Kurittukoski</t>
  </si>
  <si>
    <t>Kurkiaska</t>
  </si>
  <si>
    <t>Kuurna</t>
  </si>
  <si>
    <t>Kontiolahti, Kuurna</t>
  </si>
  <si>
    <t>Kuusankoski ve</t>
  </si>
  <si>
    <t>Kyrkösjärvi</t>
  </si>
  <si>
    <t>Kyrkösjärvi, Seinäjoki</t>
  </si>
  <si>
    <t>Käenkoski</t>
  </si>
  <si>
    <t>Leppikoski</t>
  </si>
  <si>
    <t>Leuhunkoski</t>
  </si>
  <si>
    <t>Saarijärvi / Leuhunkoski</t>
  </si>
  <si>
    <t>Lieksankoski</t>
  </si>
  <si>
    <t>Liunankoski</t>
  </si>
  <si>
    <t>Joroinen, Liunantie 79</t>
  </si>
  <si>
    <t>Långfors</t>
  </si>
  <si>
    <t>Maalismaa</t>
  </si>
  <si>
    <t>maalismaa</t>
  </si>
  <si>
    <t>Maavesi</t>
  </si>
  <si>
    <t>Joroinen, Katajamäentie 1461, Maavesi</t>
  </si>
  <si>
    <t>Mankala</t>
  </si>
  <si>
    <t>Matarakoski</t>
  </si>
  <si>
    <t>Melo</t>
  </si>
  <si>
    <t>melo</t>
  </si>
  <si>
    <t>Merikoski</t>
  </si>
  <si>
    <t>Koskitie 30, Oulu, Merikosken voimalaitos</t>
  </si>
  <si>
    <t>Montta</t>
  </si>
  <si>
    <t>Mustio</t>
  </si>
  <si>
    <t>Mustio, Mustion Ruukinkatu 7, 10360 Mustio</t>
  </si>
  <si>
    <t>Myllykosken vesivoimalaitos 1</t>
  </si>
  <si>
    <t>Myllykosken vesivoimalaitos 2</t>
  </si>
  <si>
    <t>Mänttä ve</t>
  </si>
  <si>
    <t>Mäntänkoskentie 15 Mänttä</t>
  </si>
  <si>
    <t>Nuojua</t>
  </si>
  <si>
    <t>Oksava</t>
  </si>
  <si>
    <t>Haapajärvi / Oksava</t>
  </si>
  <si>
    <t>Ossauskoski</t>
  </si>
  <si>
    <t>Padinki</t>
  </si>
  <si>
    <t>Padinki, Nivala</t>
  </si>
  <si>
    <t>Pahkakoski</t>
  </si>
  <si>
    <t>pahkakoski</t>
  </si>
  <si>
    <t>Palokki</t>
  </si>
  <si>
    <t>Heinävesi, Palokki</t>
  </si>
  <si>
    <t>Pamilo</t>
  </si>
  <si>
    <t>Pamilon vesivoimalaitos</t>
  </si>
  <si>
    <t>Pankakoski</t>
  </si>
  <si>
    <t>Parantalankoski</t>
  </si>
  <si>
    <t>Parantala, Hammarenintie 1, 44190 Parantala</t>
  </si>
  <si>
    <t>Patalankoski</t>
  </si>
  <si>
    <t>Patala</t>
  </si>
  <si>
    <t>Peltokoski</t>
  </si>
  <si>
    <t>Peltokoski, Hållsnäsintie 7, 10360 Mustio</t>
  </si>
  <si>
    <t>Permantokoski</t>
  </si>
  <si>
    <t>Petäjäskoski</t>
  </si>
  <si>
    <t>Pirttikoski</t>
  </si>
  <si>
    <t>Pitkämö</t>
  </si>
  <si>
    <t>Pitkämö, Myllykyläntie 596, 61300 Kurikka</t>
  </si>
  <si>
    <t>Portimokoski</t>
  </si>
  <si>
    <t>Porttipahta</t>
  </si>
  <si>
    <t>Puntarikoski</t>
  </si>
  <si>
    <t>Kontiolahti, Puntarikoski</t>
  </si>
  <si>
    <t>Pyhäkoski</t>
  </si>
  <si>
    <t>Pyhännänkoski</t>
  </si>
  <si>
    <t>Ristijärvi (Pyhännänkoski</t>
  </si>
  <si>
    <t>Pälli</t>
  </si>
  <si>
    <t>Raasakka</t>
  </si>
  <si>
    <t>raasakka</t>
  </si>
  <si>
    <t>Ruskeakoski</t>
  </si>
  <si>
    <t>Joensuu, Ruskeakoski</t>
  </si>
  <si>
    <t>Saario</t>
  </si>
  <si>
    <t>Tohmajärvi, Saario</t>
  </si>
  <si>
    <t>Sallila</t>
  </si>
  <si>
    <t>Sallila (Vampulan kunnassa)</t>
  </si>
  <si>
    <t>Seitakorva</t>
  </si>
  <si>
    <t>Seitenoikea</t>
  </si>
  <si>
    <t>Siikakoski</t>
  </si>
  <si>
    <t>Valkeala / Siikakoski</t>
  </si>
  <si>
    <t>Siuronkoski</t>
  </si>
  <si>
    <t>Siuronkoski, Nokia</t>
  </si>
  <si>
    <t>Soilu</t>
  </si>
  <si>
    <t>Soilu, Kurkijärventie 222, 93700 Kuusamo</t>
  </si>
  <si>
    <t>Soininkoski</t>
  </si>
  <si>
    <t>Stadsforsens Kraftverk</t>
  </si>
  <si>
    <t>Sälevä</t>
  </si>
  <si>
    <t>Lapinlahti, Itäkoskentie 53, Paloinen</t>
  </si>
  <si>
    <t>Tainionkoski</t>
  </si>
  <si>
    <t>Taivalkoski</t>
  </si>
  <si>
    <t>Tammerkoski</t>
  </si>
  <si>
    <t>Tampella ve</t>
  </si>
  <si>
    <t>Tervasaari vesi</t>
  </si>
  <si>
    <t>Tyrvää</t>
  </si>
  <si>
    <t>Uljua</t>
  </si>
  <si>
    <t>Pulkkila / Uljua</t>
  </si>
  <si>
    <t>Utanen</t>
  </si>
  <si>
    <t>Vaaja</t>
  </si>
  <si>
    <t>Vaajakoski, Jyväskylän mlk</t>
  </si>
  <si>
    <t>Vajukoski</t>
  </si>
  <si>
    <t>Valajaskoski</t>
  </si>
  <si>
    <t>Vanttauskoski</t>
  </si>
  <si>
    <t>Vatajankoski</t>
  </si>
  <si>
    <t>Venetpalo</t>
  </si>
  <si>
    <t>Kärsämäki / Venetpalo</t>
  </si>
  <si>
    <t>Verla 1 ja 2</t>
  </si>
  <si>
    <t>Valkeala / Verla</t>
  </si>
  <si>
    <t>Vihtakoski</t>
  </si>
  <si>
    <t>Joensuu, Vihtakoski</t>
  </si>
  <si>
    <t>Voikkaa ve 1</t>
  </si>
  <si>
    <t>Voikkaa 1</t>
  </si>
  <si>
    <t>Voikkaa ve 2</t>
  </si>
  <si>
    <t>Voikkaa 2</t>
  </si>
  <si>
    <t>Vuolenkosken vesivoimalaitos</t>
  </si>
  <si>
    <t>Värnå</t>
  </si>
  <si>
    <t>Värnå 1, Värnå 2</t>
  </si>
  <si>
    <t>Vääräkoski</t>
  </si>
  <si>
    <t>Tohmajärvi, Vääräkoski</t>
  </si>
  <si>
    <t>Åminnefors</t>
  </si>
  <si>
    <t>Åminnefors, Pohja</t>
  </si>
  <si>
    <t>Äetsä</t>
  </si>
  <si>
    <t>Ämmä</t>
  </si>
  <si>
    <t>Ämmäkoski</t>
  </si>
  <si>
    <t>Äänekoski ve</t>
  </si>
  <si>
    <t>Metsä Board Äänekosken vesivoimalaitos</t>
  </si>
  <si>
    <t>&gt;100 MW</t>
  </si>
  <si>
    <t>&gt;10 MW</t>
  </si>
  <si>
    <t>Y</t>
  </si>
  <si>
    <t>N</t>
  </si>
  <si>
    <t>&gt;20MW</t>
  </si>
  <si>
    <t>Selection</t>
  </si>
  <si>
    <t>Region search</t>
  </si>
  <si>
    <t>Regions were identified manually looking for specified location in google maps. In most but not all cases map search lead to visible identifiable hydro power plants.</t>
  </si>
  <si>
    <t>Multi-hour-long attempt was made to obtain regions automatically with Copilot, but at most 40% of powerplants were identified despite allocation of single site to multiple regions.</t>
  </si>
  <si>
    <r>
      <t>Due to large number of powerplants, search was limited to powerplants over 10 MW, representing 91% of total capacity.</t>
    </r>
    <r>
      <rPr>
        <sz val="11"/>
        <color theme="0" tint="-0.499984740745262"/>
        <rFont val="Calibri"/>
        <family val="2"/>
        <scheme val="minor"/>
      </rPr>
      <t xml:space="preserve"> Two locations of minor powerplants above 10MW not found on google maps were also omitted.</t>
    </r>
  </si>
  <si>
    <t>All</t>
  </si>
  <si>
    <t>Mapped</t>
  </si>
  <si>
    <t>Model</t>
  </si>
  <si>
    <t>Administrative</t>
  </si>
  <si>
    <t>Administrative (FI)</t>
  </si>
  <si>
    <t>Units</t>
  </si>
  <si>
    <t>MW</t>
  </si>
  <si>
    <t>Powerplant register subset</t>
  </si>
  <si>
    <t>Given partial and questionable quality list, I decided to dismiss AI generated list altogether.</t>
  </si>
  <si>
    <t>Dam visible</t>
  </si>
  <si>
    <t>Copy national</t>
  </si>
  <si>
    <t>Ajos Wind Oy</t>
  </si>
  <si>
    <t>Alajoki-Peuralinna tuulipuisto</t>
  </si>
  <si>
    <t>Annankangas T1-T10</t>
  </si>
  <si>
    <t>Björkliden, Närpiö</t>
  </si>
  <si>
    <t>Boliden Harjavalta aurinkovoimala</t>
  </si>
  <si>
    <t>Elkko</t>
  </si>
  <si>
    <t>Forssa kt</t>
  </si>
  <si>
    <t>Haapajärven Savinevan Tuulivoimala</t>
  </si>
  <si>
    <t>Haapajärvi Sauviinmäki</t>
  </si>
  <si>
    <t>Haapalamminkangas Saarijärvi</t>
  </si>
  <si>
    <t>Hailikari</t>
  </si>
  <si>
    <t>Hallankangas Kyyjärvi</t>
  </si>
  <si>
    <t>Halmekangas</t>
  </si>
  <si>
    <t>Hamina, Mäkelänkangas tv</t>
  </si>
  <si>
    <t>Hankilannevan tuulipuisto</t>
  </si>
  <si>
    <t>Hanko, Sändö tv 1-4</t>
  </si>
  <si>
    <t>Haukineva Windfarm</t>
  </si>
  <si>
    <t>Hedet</t>
  </si>
  <si>
    <t>Heinineva, Lapua</t>
  </si>
  <si>
    <t>Hietakangas, Kannus</t>
  </si>
  <si>
    <t>Hilskansaari</t>
  </si>
  <si>
    <t>Hirvensalmi</t>
  </si>
  <si>
    <t>Hirvineva</t>
  </si>
  <si>
    <t>Hoikankangas, Kajaanin sähkölaitos</t>
  </si>
  <si>
    <t>Huikku Hailuoto</t>
  </si>
  <si>
    <t>Huittinen, Pahkionvuori tv</t>
  </si>
  <si>
    <t>Humppila-Urjalan tuulipuisto</t>
  </si>
  <si>
    <t>Huutokoski kt</t>
  </si>
  <si>
    <t>Högsara, Kemiönsaari tv</t>
  </si>
  <si>
    <t>Ii, Kuivaniemi tv</t>
  </si>
  <si>
    <t>Ii, Olhava tv</t>
  </si>
  <si>
    <t>Ii, Viinamäki</t>
  </si>
  <si>
    <t>Illevaara</t>
  </si>
  <si>
    <t>Ilmatar Leppävirta Voimalaitos 1,2,3</t>
  </si>
  <si>
    <t>Inkoo, Barösund tv</t>
  </si>
  <si>
    <t>Iskun aurinkovoimala Lahti</t>
  </si>
  <si>
    <t>Isokangas, Ii</t>
  </si>
  <si>
    <t>Isokeidas</t>
  </si>
  <si>
    <t>Isonevan tuulipuisto</t>
  </si>
  <si>
    <t>Isonnevanmäki</t>
  </si>
  <si>
    <t>Jeppo Windfarm</t>
  </si>
  <si>
    <t>Jokelan tuulipuisto 1</t>
  </si>
  <si>
    <t>Jokelan tuulipuisto 2</t>
  </si>
  <si>
    <t>Jokelan tuulipuisto 3</t>
  </si>
  <si>
    <t>Joroisten aurinkovoimalaitos</t>
  </si>
  <si>
    <t>Joukhaisselän Tuulipuisto</t>
  </si>
  <si>
    <t>Jouttikallio Wind Oy</t>
  </si>
  <si>
    <t>Juurakon aurinkovoimala</t>
  </si>
  <si>
    <t>Juurakon tuulipuisto</t>
  </si>
  <si>
    <t>Juvan aurinkovoimala</t>
  </si>
  <si>
    <t>Jäkäläkangas</t>
  </si>
  <si>
    <t>Kalajoki Läntinen</t>
  </si>
  <si>
    <t>Kalax</t>
  </si>
  <si>
    <t>Kalistanneva, Kurikka</t>
  </si>
  <si>
    <t>Kankaanpää</t>
  </si>
  <si>
    <t>Kankaanpäänmäki</t>
  </si>
  <si>
    <t>Kantti</t>
  </si>
  <si>
    <t>Kantvik</t>
  </si>
  <si>
    <t>Karhukankaan ja Navettakankaan tuulipuisto, Siikajoki</t>
  </si>
  <si>
    <t>Karhunnevankankaan tuulipuisto</t>
  </si>
  <si>
    <t>Karhusaaren tuulivoimapuisto</t>
  </si>
  <si>
    <t>Karvetti</t>
  </si>
  <si>
    <t>Kaukanen</t>
  </si>
  <si>
    <t>Kellosaari</t>
  </si>
  <si>
    <t>Kemi Ajos, Sumituuli</t>
  </si>
  <si>
    <t>Keso</t>
  </si>
  <si>
    <t>Kinnula Hautakangas</t>
  </si>
  <si>
    <t>Kirkkokallio-Honkajoki</t>
  </si>
  <si>
    <t>Kivivaara-Peuravaara</t>
  </si>
  <si>
    <t>Kivivaara-Peuravaara 2A</t>
  </si>
  <si>
    <t>Kivivaara-Peuravaaran tuulivoimapuisto 3</t>
  </si>
  <si>
    <t>Koirakari</t>
  </si>
  <si>
    <t>Koiramäki, Karstula</t>
  </si>
  <si>
    <t>Kokkonevan tuulipuisto</t>
  </si>
  <si>
    <t>Konttisuon tuulipuisto</t>
  </si>
  <si>
    <t>Kooninkallio</t>
  </si>
  <si>
    <t>Korkeakankaan tuulipuisto</t>
  </si>
  <si>
    <t>Korpileivonmäki</t>
  </si>
  <si>
    <t>Koskensaari</t>
  </si>
  <si>
    <t>Kristiinankaupunki kt</t>
  </si>
  <si>
    <t>Kröpuln</t>
  </si>
  <si>
    <t>Kuolavaara-Keulakkopään tuulipuisto</t>
  </si>
  <si>
    <t>Kuuronkallion tuulipuisto</t>
  </si>
  <si>
    <t>Kytölä</t>
  </si>
  <si>
    <t>Lakarin aurinkovoimala, Rauma</t>
  </si>
  <si>
    <t>Lakiakangas 1</t>
  </si>
  <si>
    <t>Lakiakangas 2</t>
  </si>
  <si>
    <t>Lakiakangas 3</t>
  </si>
  <si>
    <t>Lappfjärdin tuulipuisto</t>
  </si>
  <si>
    <t>Larsmo tv</t>
  </si>
  <si>
    <t>Latamäki</t>
  </si>
  <si>
    <t>Leipiö 2</t>
  </si>
  <si>
    <t>Lemene Aurinko 1</t>
  </si>
  <si>
    <t>Lemene Aurinko 2</t>
  </si>
  <si>
    <t>Lestijärvi</t>
  </si>
  <si>
    <t>Limakko</t>
  </si>
  <si>
    <t>Lindö Gård</t>
  </si>
  <si>
    <t>Lohjan aurinkovoimala</t>
  </si>
  <si>
    <t>Louhukangas</t>
  </si>
  <si>
    <t>Loviisa Y1</t>
  </si>
  <si>
    <t>Loviisa Y2</t>
  </si>
  <si>
    <t>Lumijoki</t>
  </si>
  <si>
    <t>Lumivaara</t>
  </si>
  <si>
    <t>Lumivaaran tuulipuisto</t>
  </si>
  <si>
    <t>LW Jouttikallio</t>
  </si>
  <si>
    <t>LW Koskenkylä</t>
  </si>
  <si>
    <t>LW Mustaisneva 6</t>
  </si>
  <si>
    <t>LW Pensala</t>
  </si>
  <si>
    <t>Långmossa</t>
  </si>
  <si>
    <t>Maaselänkangas</t>
  </si>
  <si>
    <t>Mastokankaan tuulipuisto</t>
  </si>
  <si>
    <t>Matkussaari, Kurikka</t>
  </si>
  <si>
    <t>Meri-Pori</t>
  </si>
  <si>
    <t>Merkkikallion tuulipuisto</t>
  </si>
  <si>
    <t xml:space="preserve">Mertaniemi 1 ja 2 </t>
  </si>
  <si>
    <t>Metsälamminkankaan tuulipuisto</t>
  </si>
  <si>
    <t>Metsälän tuulivoimapuisto</t>
  </si>
  <si>
    <t>Muntila</t>
  </si>
  <si>
    <t>Murtomäen tuulipuisto</t>
  </si>
  <si>
    <t>Murtotuulen tuulipuisto</t>
  </si>
  <si>
    <t>Mussalon tuulivoimalat</t>
  </si>
  <si>
    <t>Mustaisneva 1-5 ja 7-9</t>
  </si>
  <si>
    <t>Mustalamminmäki, Karstula</t>
  </si>
  <si>
    <t>Mustilankangas</t>
  </si>
  <si>
    <t>Mutkalampi tuulipuisto north</t>
  </si>
  <si>
    <t>Mutkalampi tuulipuisto south</t>
  </si>
  <si>
    <t>Myllykangas</t>
  </si>
  <si>
    <t>Myllykangas 3</t>
  </si>
  <si>
    <t xml:space="preserve">Mäkikankaan tuulipuisto </t>
  </si>
  <si>
    <t>Mäkipää Diesel</t>
  </si>
  <si>
    <t>Möksy</t>
  </si>
  <si>
    <t>Mörknässkogens tuulipuisto</t>
  </si>
  <si>
    <t>Naantali kt</t>
  </si>
  <si>
    <t>Nahkakallio</t>
  </si>
  <si>
    <t>Nikkarinkaarto</t>
  </si>
  <si>
    <t>Norrskogenin tuulipuisto</t>
  </si>
  <si>
    <t>Nuolivaaran tuulipuisto</t>
  </si>
  <si>
    <t>Nurmijärven aurinkovoimala</t>
  </si>
  <si>
    <t>Nurmon Aurinko</t>
  </si>
  <si>
    <t>Nyby-Ii</t>
  </si>
  <si>
    <t>Olkiluoto 1</t>
  </si>
  <si>
    <t>Olkiluoto 2</t>
  </si>
  <si>
    <t>Olkiluoto 3</t>
  </si>
  <si>
    <t>Olkiluoto kt</t>
  </si>
  <si>
    <t>Oltavan tuulipuisto</t>
  </si>
  <si>
    <t>Onkalo 2</t>
  </si>
  <si>
    <t>Oosinselkä, Eurajoki</t>
  </si>
  <si>
    <t>Oosinselkä, Pori, Eurajoki</t>
  </si>
  <si>
    <t>Oulainen, Karahka</t>
  </si>
  <si>
    <t>Oulunsalo Riutunkari tv</t>
  </si>
  <si>
    <t>Pahkakoski, Ii</t>
  </si>
  <si>
    <t>Pajukoski 1 A</t>
  </si>
  <si>
    <t>Pajukoski 1 B</t>
  </si>
  <si>
    <t>Pajuperänkangas</t>
  </si>
  <si>
    <t>Palma</t>
  </si>
  <si>
    <t>Palokangas, Ii</t>
  </si>
  <si>
    <t>Paltusmäen tuulipuisto</t>
  </si>
  <si>
    <t>Parhalahden tuulipuisto</t>
  </si>
  <si>
    <t>Paskoonharju 1</t>
  </si>
  <si>
    <t>Paskoonharju 2</t>
  </si>
  <si>
    <t>Pettumäen Mylly</t>
  </si>
  <si>
    <t>Pihtipudas</t>
  </si>
  <si>
    <t>Piiparinmäen tuulipuisto</t>
  </si>
  <si>
    <t>Pirttiselkä</t>
  </si>
  <si>
    <t>Pjelax-tuulipuisto</t>
  </si>
  <si>
    <t>Polusjärven tuulipuisto</t>
  </si>
  <si>
    <t>Ponsiovuori</t>
  </si>
  <si>
    <t>Pori Kirrinsanta</t>
  </si>
  <si>
    <t>Pori Peittoo</t>
  </si>
  <si>
    <t>Porin tuulipuisto tv 1 - 10</t>
  </si>
  <si>
    <t>Porituuli</t>
  </si>
  <si>
    <t>Porvoo Kilpilahti</t>
  </si>
  <si>
    <t>Porvoo Tolkkinen</t>
  </si>
  <si>
    <t>Posion Energia Oy</t>
  </si>
  <si>
    <t>Puskakorven tuulipuisto</t>
  </si>
  <si>
    <t>Puulaakso</t>
  </si>
  <si>
    <t>Puuska 2</t>
  </si>
  <si>
    <t>Puutinkankaan tuulipuisto</t>
  </si>
  <si>
    <t>Pyhäjoki</t>
  </si>
  <si>
    <t>Pyhänkoski</t>
  </si>
  <si>
    <t>Pälkäne Pälkänvedentie</t>
  </si>
  <si>
    <t>Raahen tuulipuisto tv 1- 9</t>
  </si>
  <si>
    <t>Rasakankaan tuulipuisto</t>
  </si>
  <si>
    <t>Rasmus 1 ja 2</t>
  </si>
  <si>
    <t>Ratiperä</t>
  </si>
  <si>
    <t>RES1</t>
  </si>
  <si>
    <t>Ribäcken</t>
  </si>
  <si>
    <t>Ruda Solpark</t>
  </si>
  <si>
    <t>Rustarin tuulipuisto</t>
  </si>
  <si>
    <t>Ruusutarhat</t>
  </si>
  <si>
    <t>Röyttä, Tornion tehtaat, 11 generaattoria</t>
  </si>
  <si>
    <t>Saarenkylän tuulipuisto</t>
  </si>
  <si>
    <t>Salahmin vesivoimalaitos</t>
  </si>
  <si>
    <t>Salo Märynummi</t>
  </si>
  <si>
    <t>Santavuori 1</t>
  </si>
  <si>
    <t>Sarvankangas</t>
  </si>
  <si>
    <t>Sarvisuon tuulipuisto</t>
  </si>
  <si>
    <t>Saunamaa</t>
  </si>
  <si>
    <t>Savela</t>
  </si>
  <si>
    <t>Seepsula, Tuusula</t>
  </si>
  <si>
    <t>Sievi Jakostenkallio</t>
  </si>
  <si>
    <t>Siikainen Jäneskeidas</t>
  </si>
  <si>
    <t>Simo Leipiö</t>
  </si>
  <si>
    <t>Simo, Onkalonperä tv</t>
  </si>
  <si>
    <t>Simo, Putaankangas tv</t>
  </si>
  <si>
    <t>Sodankylän varuskunta</t>
  </si>
  <si>
    <t>Sopenkorpi</t>
  </si>
  <si>
    <t>Storbacken</t>
  </si>
  <si>
    <t>Storbötet</t>
  </si>
  <si>
    <t>Sulkavan aurinkovoimala</t>
  </si>
  <si>
    <t>Suodenniemen tuulipuisto</t>
  </si>
  <si>
    <t>Svalskulla</t>
  </si>
  <si>
    <t>Sysimylly</t>
  </si>
  <si>
    <t>Sähkäle  II</t>
  </si>
  <si>
    <t>Sänkiaho</t>
  </si>
  <si>
    <t>Tahkoluoto kt</t>
  </si>
  <si>
    <t>Tahkoluoto Offshore tv</t>
  </si>
  <si>
    <t>Tahkoluoto T1-T10</t>
  </si>
  <si>
    <t>Tahkoluoto tv</t>
  </si>
  <si>
    <t>Takanebacken tuulipuisto</t>
  </si>
  <si>
    <t>Tervola, Varevaara tv</t>
  </si>
  <si>
    <t>Tohkoja 1</t>
  </si>
  <si>
    <t>Tohkoja 2</t>
  </si>
  <si>
    <t>Tohkoja 3</t>
  </si>
  <si>
    <t>Tohkoja 4</t>
  </si>
  <si>
    <t>Tohkoja 5</t>
  </si>
  <si>
    <t>Tolpanvaara</t>
  </si>
  <si>
    <t>Torkkolan tuulipuisto</t>
  </si>
  <si>
    <t>Tornio Kitkiäisvaara</t>
  </si>
  <si>
    <t>Tornio tv</t>
  </si>
  <si>
    <t>Torvenkylän tuulipuisto</t>
  </si>
  <si>
    <t>TuuliMuukko</t>
  </si>
  <si>
    <t>Tuulipuisto Ristiveto tv</t>
  </si>
  <si>
    <t>Tuulivoimapuisto Soidinmäki</t>
  </si>
  <si>
    <t>Tyrinselkä</t>
  </si>
  <si>
    <t>Valkeisten voima</t>
  </si>
  <si>
    <t>Vanaja kt 1</t>
  </si>
  <si>
    <t>Varessäikkä</t>
  </si>
  <si>
    <t>Vartinoja 1</t>
  </si>
  <si>
    <t>Vaskiluoto kt</t>
  </si>
  <si>
    <t>Verhonkulma</t>
  </si>
  <si>
    <t>Vihreäsaaren aurinkovoimala 1</t>
  </si>
  <si>
    <t>Vihreäsaaren aurinkovoimala 2</t>
  </si>
  <si>
    <t>Vihreäsaari retrofit</t>
  </si>
  <si>
    <t>Voimala 1 - Etelänkylä-Kalajoki</t>
  </si>
  <si>
    <t>Voimala 2 - Etelänkylä-Kalajoki</t>
  </si>
  <si>
    <t>Välikankaan tuulipuisto</t>
  </si>
  <si>
    <t>Västervik</t>
  </si>
  <si>
    <t>Vöyrinkangas</t>
  </si>
  <si>
    <t xml:space="preserve">Wasa Wind </t>
  </si>
  <si>
    <t>Waskiluoto Validation Center</t>
  </si>
  <si>
    <t>Wärtsilä tehdas</t>
  </si>
  <si>
    <t>Ykspihlaja Wind Oy</t>
  </si>
  <si>
    <t>Alajoki-Peuralinna tuulipuisto, Perho &amp; Kyyjärvi</t>
  </si>
  <si>
    <t>Björklidens Vindpark 1-8B, Yttermark 64200</t>
  </si>
  <si>
    <t>Teollisuuskatu 1, 29200 Harjavalta</t>
  </si>
  <si>
    <t>Elkko, Raahe</t>
  </si>
  <si>
    <t xml:space="preserve">Varavoimalantie 6, 30420 Forssa
</t>
  </si>
  <si>
    <t>Haapajärven Savinevan Tuulivoima</t>
  </si>
  <si>
    <t>Halmekangas 1</t>
  </si>
  <si>
    <t>Hankilanneva</t>
  </si>
  <si>
    <t>Närpiö, Hedet H1-H18</t>
  </si>
  <si>
    <t>Kannus</t>
  </si>
  <si>
    <t>Merituulentie 11, Pori</t>
  </si>
  <si>
    <t>Otavantie 23, 52550 Hirvensalmi</t>
  </si>
  <si>
    <t>Hirvineva, Liminka</t>
  </si>
  <si>
    <t>Pahkionvuori, Huittinen</t>
  </si>
  <si>
    <t>Humppila-Urjala, Humppila-Urjalan tuulipuisto</t>
  </si>
  <si>
    <t>Huutokoski kt 1, 2, 3, 4, 5, 6</t>
  </si>
  <si>
    <t>Högsara, Kemiönsaari</t>
  </si>
  <si>
    <t>Ii, Kuivaniemi tuulivoima</t>
  </si>
  <si>
    <t>Ii Olhava</t>
  </si>
  <si>
    <t>Viinamäki Ii</t>
  </si>
  <si>
    <t>Voimalaitos 1,2,3</t>
  </si>
  <si>
    <t>Inkoo Barösund tv</t>
  </si>
  <si>
    <t>Mukkulankatu 25, 15240 Lahti</t>
  </si>
  <si>
    <t>Ii, Pohjois Pohjanmaa</t>
  </si>
  <si>
    <t>Isonnevanmäki, Kauhava</t>
  </si>
  <si>
    <t>Joroinen</t>
  </si>
  <si>
    <t>Joukhaisselän Tuulipuisto, Sodankylä</t>
  </si>
  <si>
    <t>Vasannevantie 508, 85100 Kalajoki</t>
  </si>
  <si>
    <t>Kalajoki, Juurakko</t>
  </si>
  <si>
    <t>Kuljuntie 60, 51900 Juva</t>
  </si>
  <si>
    <t>Råskogsvägen 390, Närpes</t>
  </si>
  <si>
    <t>Kalistantie 11, 66300 Kurikka</t>
  </si>
  <si>
    <t>Rautakatu 7 Naantali</t>
  </si>
  <si>
    <t>Kemi Ajos Sumituuli</t>
  </si>
  <si>
    <t>Kirkkokallio</t>
  </si>
  <si>
    <t>Kivivaara-Peuravaaran tuulivoimapuisto 1</t>
  </si>
  <si>
    <t>Kokkoneva</t>
  </si>
  <si>
    <t>Konttisuo, Soini</t>
  </si>
  <si>
    <t>Korkeakangas/Karstula</t>
  </si>
  <si>
    <t>Korpilevonmäki</t>
  </si>
  <si>
    <t>Koskensaaren voimalaitos</t>
  </si>
  <si>
    <t>Kristiinankaupunki kt 1, 2</t>
  </si>
  <si>
    <t>Kröpuln, Uusikaarlepyy</t>
  </si>
  <si>
    <t>Kuolavaara-Keulakkopää</t>
  </si>
  <si>
    <t>Rauma, Lakarin Aurinkovoimala</t>
  </si>
  <si>
    <t>Lakiakangas 1, Isojoki</t>
  </si>
  <si>
    <t>Kristiinankaupunki</t>
  </si>
  <si>
    <t>Larsmo Vindkraftverk</t>
  </si>
  <si>
    <t>Latamäki, Luhanka</t>
  </si>
  <si>
    <t>Rajamäentie 15, 37550 Lempäälä</t>
  </si>
  <si>
    <t>Kuljuntie 233, 37550 Lempäälä</t>
  </si>
  <si>
    <t>Loviisa I</t>
  </si>
  <si>
    <t>Loviisa 2</t>
  </si>
  <si>
    <t>Lumivaara tuulipuisto, Kaivopurontie 15-5, Hyrynsalmi 89400</t>
  </si>
  <si>
    <t>Lumivaaran tuulipuisto, Hyrynsalmi</t>
  </si>
  <si>
    <t>Halmeen metsätie 29</t>
  </si>
  <si>
    <t>Norrpiggvägen</t>
  </si>
  <si>
    <t>Långmossa / Maalahden kunta</t>
  </si>
  <si>
    <t>Oulaisten tuulipuisto / Maaselänkangas</t>
  </si>
  <si>
    <t>Mastokangas, Raahe/Siikajoki</t>
  </si>
  <si>
    <t>Kauhajoentie 610, Kurikka</t>
  </si>
  <si>
    <t>Merkkikallio, Vaasa/Mustasaari</t>
  </si>
  <si>
    <t>Mertaniemi 2</t>
  </si>
  <si>
    <t>Metsälamminkangas / Vaalan kunta</t>
  </si>
  <si>
    <t>Pyhäjärvi, Murtomäen tuulipuisto</t>
  </si>
  <si>
    <t>Tuulivoimalat</t>
  </si>
  <si>
    <t>Kalajoki Mustilankangas</t>
  </si>
  <si>
    <t>Kannus/Kalajoki</t>
  </si>
  <si>
    <t>Mäkikankaan tuulipuisto, Pyhäjoki</t>
  </si>
  <si>
    <t>Mörknässkogens tuulipuisto, Vöyri</t>
  </si>
  <si>
    <t>Naantali kt 1, 2</t>
  </si>
  <si>
    <t>Nikkarinkaarto T1-T10</t>
  </si>
  <si>
    <t>Norrskogen</t>
  </si>
  <si>
    <t>Atrian teollisuusalue</t>
  </si>
  <si>
    <t>Nyby</t>
  </si>
  <si>
    <t>Olkiluoto KT 1 ja 2, Eurajoki</t>
  </si>
  <si>
    <t>Oltava Pyhäjoki</t>
  </si>
  <si>
    <t>Onkalo, Simo</t>
  </si>
  <si>
    <t>Eurojoki Oosinselkä tuulipuisto 1</t>
  </si>
  <si>
    <t>Oosinselän tuulipuisto, Eurajoki &amp; Pori</t>
  </si>
  <si>
    <t>Oulunsalo, Riutunkari T1-T4</t>
  </si>
  <si>
    <t>Pajukoski 1A</t>
  </si>
  <si>
    <t>Pajukosken tuulipuisto 1 B</t>
  </si>
  <si>
    <t>Paltusmäki, Pyhäjoki</t>
  </si>
  <si>
    <t>Parhalahti</t>
  </si>
  <si>
    <t>Pettumäki Teuva</t>
  </si>
  <si>
    <t>Piiparinmäki, Pyhäntä/Kajaani. Piiparinmäen tuulipuisto</t>
  </si>
  <si>
    <t>Riksåtten 664, 64200 Närpes</t>
  </si>
  <si>
    <t>Polusjärven tuulipuisto, Pyhäjoku</t>
  </si>
  <si>
    <t>Ponsivuori</t>
  </si>
  <si>
    <t>Pori (Tahkoluoto / Reposaari)</t>
  </si>
  <si>
    <t>Tahkoluodon syväsatama Tuulivoimala 10</t>
  </si>
  <si>
    <t>Kilpilahti kt vvl</t>
  </si>
  <si>
    <t>Tolkkinen kt</t>
  </si>
  <si>
    <t>Puskakorpi, Pyhäjoki, Puskakorven tuulipuisto</t>
  </si>
  <si>
    <t>Puulaakson Energia Oy  Hongantie 93</t>
  </si>
  <si>
    <t>Sievi, Puutikankangas</t>
  </si>
  <si>
    <t>Pälkäne Pälkänevedentie</t>
  </si>
  <si>
    <t>Raahe tv 1-9</t>
  </si>
  <si>
    <t>Rasakangas, Kurikka, Rasakankaan tuulipuisto</t>
  </si>
  <si>
    <t>Rasmus 1 ja 2, Ilmajoki</t>
  </si>
  <si>
    <t>Märynummi, Salo</t>
  </si>
  <si>
    <t>Ribäcken / Maalahden kunta</t>
  </si>
  <si>
    <t>Ruda Solpark Oy</t>
  </si>
  <si>
    <t>Kurikka, Puutikankangas</t>
  </si>
  <si>
    <t>Valkeala</t>
  </si>
  <si>
    <t>Tornion Tehtaat Röyttä</t>
  </si>
  <si>
    <t>Saarenkylän tuulivoimapuisto</t>
  </si>
  <si>
    <t>Vieremä, Kiuruvedentie 31, Salahmi</t>
  </si>
  <si>
    <t>TW Sarvankangas, Raahe</t>
  </si>
  <si>
    <t>Simo Sarvisuon tuulipuisto (Pohjoispuolentie 33, 95200 Simo)</t>
  </si>
  <si>
    <t>Suolakangas/Kauhajoki</t>
  </si>
  <si>
    <t>Senkkerin metsätie 111, 04360 Tuusula</t>
  </si>
  <si>
    <t>Simo, Onkaloperä tv</t>
  </si>
  <si>
    <t>Simo, Putaankangas</t>
  </si>
  <si>
    <t>Sopenkorpi Mestarinkatu 11, Lahti</t>
  </si>
  <si>
    <t>Storbacken, Vöyri</t>
  </si>
  <si>
    <t xml:space="preserve">Storbötet Vind, Lillbötesvägen, Uusikaarlepyy 66840 </t>
  </si>
  <si>
    <t>Pulkkilantie 128, 58700</t>
  </si>
  <si>
    <t>Suodenniemen tuulivoimpuisto Oy / 
Sastamala</t>
  </si>
  <si>
    <t>Svalskulla, Närpiö</t>
  </si>
  <si>
    <t>Luomankyläntie 591, Luomankylä</t>
  </si>
  <si>
    <t>Sähkäle II, Lumijoki</t>
  </si>
  <si>
    <t xml:space="preserve">Sänkiahon 110/ 20 kV sähköasema </t>
  </si>
  <si>
    <t>Tahkoluoto kt 1, 2</t>
  </si>
  <si>
    <t>Pori, Tahkoluodon edusta</t>
  </si>
  <si>
    <t>Pori, Tahkoluoto</t>
  </si>
  <si>
    <t>Tervola Varevaara</t>
  </si>
  <si>
    <t>Tohkojan tuulipuisto 1</t>
  </si>
  <si>
    <t>Tohkojan tuulipuisto 2</t>
  </si>
  <si>
    <t>Tohkojan tuulipuisto 3</t>
  </si>
  <si>
    <t>Tohkojan tuulipuisto 4</t>
  </si>
  <si>
    <t>Tohkojan tuulipuisto 6</t>
  </si>
  <si>
    <t>Tohkojan tuulipuisto 5</t>
  </si>
  <si>
    <t>Tolpanvaara, Pudasjärvi</t>
  </si>
  <si>
    <t>Torkkola</t>
  </si>
  <si>
    <t>Tornio; tuulivoimalaitokset A1-A8</t>
  </si>
  <si>
    <t>Torvenkylän tuulipuisto, Kalajoki</t>
  </si>
  <si>
    <t>Muukko, Lappeenranta</t>
  </si>
  <si>
    <t>Merjärvi</t>
  </si>
  <si>
    <t>Saarijärvi Soidinmäki tuulivoimapuisto</t>
  </si>
  <si>
    <t>Seinäjoki</t>
  </si>
  <si>
    <t>Vanaja kt</t>
  </si>
  <si>
    <t>Vaskiluoto kt 2</t>
  </si>
  <si>
    <t>Verhonkulma / Marttilan kunta</t>
  </si>
  <si>
    <t>Oulu, Vihreäsaari</t>
  </si>
  <si>
    <t>Haapajärvi Välikangas</t>
  </si>
  <si>
    <t>Norinkylä/Teuva/Kurikka</t>
  </si>
  <si>
    <t>Myrgrundintie 346 B, 65410 Vaasa</t>
  </si>
  <si>
    <t>Wärtsilä Engine Laboratory</t>
  </si>
  <si>
    <t>Taking "Maximum, total, MW" as it contains no zero values, unlike "Hour, total, MW"</t>
  </si>
  <si>
    <t>Capacity %</t>
  </si>
  <si>
    <t>&gt;50 MW</t>
  </si>
  <si>
    <t>&gt;20 MW</t>
  </si>
  <si>
    <t>Region 2</t>
  </si>
  <si>
    <t>Region 1</t>
  </si>
  <si>
    <t>Basis</t>
  </si>
  <si>
    <t>[1]</t>
  </si>
  <si>
    <t>[2]</t>
  </si>
  <si>
    <t>[3]</t>
  </si>
  <si>
    <t>[1] Municipality in Location mapped to administrative region</t>
  </si>
  <si>
    <t>[2] Project/plant name mapped to region</t>
  </si>
  <si>
    <t>[3] Heuristic assignment using Location/Name tokens and public plant lists</t>
  </si>
  <si>
    <t>sources: Energy Authority register, developer/operator sites, Wikipedia; cross-checked with sheet "Regions"</t>
  </si>
  <si>
    <t>sources: Energy Authority register, developer/operator sites, Wikipedia, sheet "Regions"</t>
  </si>
  <si>
    <t>In case plant site is in the boundary of region, two regions are listed</t>
  </si>
  <si>
    <t>Capacity column selection</t>
  </si>
  <si>
    <t>&gt;200 MW</t>
  </si>
  <si>
    <r>
      <t>Performed with Copilot</t>
    </r>
    <r>
      <rPr>
        <sz val="11"/>
        <color theme="0" tint="-0.499984740745262"/>
        <rFont val="Calibri"/>
        <family val="2"/>
        <scheme val="minor"/>
      </rPr>
      <t>, which provides one of three basis:</t>
    </r>
  </si>
  <si>
    <t>Manually checked for validation: plants with &gt;200 MW representing 46% of total capacity (no corrections), plants with two regions (most reduced to one region)</t>
  </si>
  <si>
    <t>Nuclear</t>
  </si>
  <si>
    <t>Thermal</t>
  </si>
  <si>
    <t>Notations</t>
  </si>
  <si>
    <t>For simplicity all power plant register types are renamed: nuclear energy &gt; nuclear, wind power &gt; wind, separate electricity production &gt; thermal</t>
  </si>
  <si>
    <t>Omissions</t>
  </si>
  <si>
    <t>Region 2, capacities bellow 100 MW in the final table</t>
  </si>
  <si>
    <t>Wind Onshore</t>
  </si>
  <si>
    <t>Wind Offshore</t>
  </si>
  <si>
    <t>Hard coal new Bio</t>
  </si>
  <si>
    <t>Gas OCGT old</t>
  </si>
  <si>
    <t>Gas CCGT old 2</t>
  </si>
  <si>
    <t>Gas CCGT present 1</t>
  </si>
  <si>
    <t>Gas OCGT new</t>
  </si>
  <si>
    <t>[2] Visual Platform, [3] Plexos output</t>
  </si>
  <si>
    <t>sources: sheet "Regions", Statistics Finland municipal → region mapping</t>
  </si>
  <si>
    <t>Aggregated by region and unit type</t>
  </si>
  <si>
    <t>Aggregated by model region and unit type</t>
  </si>
  <si>
    <t>Distributed Energy 2035 scenario</t>
  </si>
  <si>
    <t>Sources</t>
  </si>
  <si>
    <t>Type [2]</t>
  </si>
  <si>
    <t>Type [3]</t>
  </si>
  <si>
    <t>Aggregated comparison</t>
  </si>
  <si>
    <t>DE 2035</t>
  </si>
  <si>
    <t>Plant register</t>
  </si>
  <si>
    <r>
      <rPr>
        <b/>
        <sz val="11"/>
        <color theme="1"/>
        <rFont val="Calibri"/>
        <family val="2"/>
        <scheme val="minor"/>
      </rPr>
      <t>Power plant register</t>
    </r>
    <r>
      <rPr>
        <sz val="11"/>
        <color theme="1"/>
        <rFont val="Calibri"/>
        <family val="2"/>
        <scheme val="minor"/>
      </rPr>
      <t xml:space="preserve"> (latest update 27.6.2025)</t>
    </r>
  </si>
  <si>
    <t>Assumptions are unit type specific</t>
  </si>
  <si>
    <t>Decrease of 1 119 MW match closure of two Loviisa units</t>
  </si>
  <si>
    <t>While capacity increases 6-fold, there already a lot of wind capacity to be representative for making following assumptions</t>
  </si>
  <si>
    <t>Thernal</t>
  </si>
  <si>
    <t>Fuel</t>
  </si>
  <si>
    <t>coal: bituminous</t>
  </si>
  <si>
    <t>supercritical</t>
  </si>
  <si>
    <t>Technology</t>
  </si>
  <si>
    <t>gas turbine</t>
  </si>
  <si>
    <t>heavy fuel oil</t>
  </si>
  <si>
    <t>light fuel oil</t>
  </si>
  <si>
    <t>light fuel oil, natural gas</t>
  </si>
  <si>
    <t>subcritical</t>
  </si>
  <si>
    <t>Hard coal new bio</t>
  </si>
  <si>
    <t>Global Energy Monitor</t>
  </si>
  <si>
    <t>Total &gt;50MW</t>
  </si>
  <si>
    <t>Checking pages of individual thermal plants (from plant register with over 50 MW) to determine their type more precise matching with data from Plexos output.</t>
  </si>
  <si>
    <t>Gass CCGT old 2</t>
  </si>
  <si>
    <t>Total differs only by 5% -&gt; using current (i.e., plant register) values. Unit type separation followed these considerations:</t>
  </si>
  <si>
    <t xml:space="preserve"> dataset (burning gas vs solid).</t>
  </si>
  <si>
    <t>- Onshore wind is distributed proportionally to existing wind capacity distribution</t>
  </si>
  <si>
    <t>- Offshore wind is distributed proportionally to existing wind capacity on the west coast regions (i.e., no Offshore wind in Gulf of Finland)</t>
  </si>
  <si>
    <t>- Global energy monitor info allows distinction only of two unit types that nonetheless captures major distinctions present in Plexos output</t>
  </si>
  <si>
    <t>- Identified coal plants are separated manually while the remaining capacity is allocated to gas plants</t>
  </si>
  <si>
    <t>- All gas capacity is assigned to unit type present in Plexos output with the largest capacity</t>
  </si>
  <si>
    <t>Renewables Finland</t>
  </si>
  <si>
    <t>The most easy-to-use data in Rewnewables Finland website is in "PV development projects" report. It contains exact capacities only for top 10/19 regions with 80+% of all capacities. It also contains % of capacities for all regions, but less precisely. To fill the absolute values of remaining regions, I need total capacity. I chose to compute it for sataukunta, region with the largest regional capacity, by dividing regional capacity from regional share. Note that same computation for other regions give different values beyond possible error bounds from rounding of regional share percentage.</t>
  </si>
  <si>
    <t>Project stages</t>
  </si>
  <si>
    <t>"PV development report" does not explicitly specify for which project stages are regional values given. The closest, but not exact, national total in the report is for projects in "permitting / studies ongoing" category. It is preferable to account first "operating" and "under construction" project capacities, but they alone are not enough given their low capacities. Rewnewables Finland website does contain project specific information, but only in interactive map. Extraction of this information is deemed too time consuming and therefore not undertaken.</t>
  </si>
  <si>
    <t>Aggregated by model region</t>
  </si>
  <si>
    <t>Regional</t>
  </si>
  <si>
    <t>National</t>
  </si>
  <si>
    <t>Regional%</t>
  </si>
  <si>
    <t>Using proposed instead of built project capacities as the latter is too small to serve as a reasonable proxy for expected future capacity distribution.</t>
  </si>
  <si>
    <t>Other renewable</t>
  </si>
  <si>
    <t>Other non-renewable</t>
  </si>
  <si>
    <t>Aittaluoto</t>
  </si>
  <si>
    <t>Alholma AK 1</t>
  </si>
  <si>
    <t>Alholma AK 2</t>
  </si>
  <si>
    <t>Ekovoimalaitos</t>
  </si>
  <si>
    <t>Haapavesi</t>
  </si>
  <si>
    <t>Haminan höyrykattilalaitos</t>
  </si>
  <si>
    <t>Heinola</t>
  </si>
  <si>
    <t>Heinola vp</t>
  </si>
  <si>
    <t>Hinkismäki</t>
  </si>
  <si>
    <t>Hyötyvoimalaitos</t>
  </si>
  <si>
    <t>Hämeenkyrö lä</t>
  </si>
  <si>
    <t>Ikaalinen</t>
  </si>
  <si>
    <t>Ilomantsin pellettitehdas</t>
  </si>
  <si>
    <t>Joutseno</t>
  </si>
  <si>
    <t>Jämsänkoski bv</t>
  </si>
  <si>
    <t>Järvelän vaneritehdas</t>
  </si>
  <si>
    <t>Kaipola</t>
  </si>
  <si>
    <t>Kaskinen lv ja vp</t>
  </si>
  <si>
    <t>Kaukas</t>
  </si>
  <si>
    <t>Kaukopää</t>
  </si>
  <si>
    <t>Kauttua</t>
  </si>
  <si>
    <t>Kavo</t>
  </si>
  <si>
    <t>Kemi</t>
  </si>
  <si>
    <t>Kemin biotuotetehdas</t>
  </si>
  <si>
    <t>Kiimassuo</t>
  </si>
  <si>
    <t>Kilpilahden voimalaitos</t>
  </si>
  <si>
    <t>Kirkniemi</t>
  </si>
  <si>
    <t>Kokkola</t>
  </si>
  <si>
    <t>Kotka</t>
  </si>
  <si>
    <t>Kuhmon Lämpö</t>
  </si>
  <si>
    <t>Kumpuniemi</t>
  </si>
  <si>
    <t>Kuopio, Savon Sellu</t>
  </si>
  <si>
    <t>Kuusankoski bv</t>
  </si>
  <si>
    <t>Kymi</t>
  </si>
  <si>
    <t>Lieksa Kevätniemi</t>
  </si>
  <si>
    <t>Mänttä lä</t>
  </si>
  <si>
    <t>Nokia kombi</t>
  </si>
  <si>
    <t>Oulu</t>
  </si>
  <si>
    <t>Pietarsaari (TG6)</t>
  </si>
  <si>
    <t>Pihlava</t>
  </si>
  <si>
    <t>Pori</t>
  </si>
  <si>
    <t>Porvoo kt 2</t>
  </si>
  <si>
    <t>Porvoo kt 3</t>
  </si>
  <si>
    <t>Raahe</t>
  </si>
  <si>
    <t>Raisio</t>
  </si>
  <si>
    <t>Rauma</t>
  </si>
  <si>
    <t>Rengon saha</t>
  </si>
  <si>
    <t>Ristiina</t>
  </si>
  <si>
    <t>Siilinjärvi, V1 turb. ja vp turb.</t>
  </si>
  <si>
    <t>Simpele</t>
  </si>
  <si>
    <t>Sotkamo</t>
  </si>
  <si>
    <t>Säkylä</t>
  </si>
  <si>
    <t>Tako T2 ja T5</t>
  </si>
  <si>
    <t>Tervakoski lä</t>
  </si>
  <si>
    <t>Tervasaari vp</t>
  </si>
  <si>
    <t>Tiihala</t>
  </si>
  <si>
    <t>Topinojan Biokaasulaitos</t>
  </si>
  <si>
    <t>Tornio</t>
  </si>
  <si>
    <t>Uimaharju 2 + 1 vp/lv</t>
  </si>
  <si>
    <t>Uusikaupunki</t>
  </si>
  <si>
    <t xml:space="preserve">Varkaus lä </t>
  </si>
  <si>
    <t>Vehmaa</t>
  </si>
  <si>
    <t>Veitsiluoto</t>
  </si>
  <si>
    <t>Viikinmäki</t>
  </si>
  <si>
    <t>Vilppulan saha</t>
  </si>
  <si>
    <t>Äänekoski ht</t>
  </si>
  <si>
    <t>Äänekoski, Biotuotetehdas</t>
  </si>
  <si>
    <t>Pori Aittaluoto</t>
  </si>
  <si>
    <t>AK1</t>
  </si>
  <si>
    <t>AK2</t>
  </si>
  <si>
    <t>Inkeroinen (Kouvola)</t>
  </si>
  <si>
    <t>Oulu, Laanila</t>
  </si>
  <si>
    <t>Hamina</t>
  </si>
  <si>
    <t>Heinola Vuorikatu 24 c</t>
  </si>
  <si>
    <t>Heinolan Flutigtehdas</t>
  </si>
  <si>
    <t>Kouvola / Hinkismäki</t>
  </si>
  <si>
    <t>Metsä Board, Kyron tehdasalue Hämeenkyrö</t>
  </si>
  <si>
    <t>Ikaalinen, moottorivoimalaitos</t>
  </si>
  <si>
    <t>Ilomantsi</t>
  </si>
  <si>
    <t>Metsä Fibre Joutsenon tehdas</t>
  </si>
  <si>
    <t>Jämsänkosken tehtaan voimalaitos</t>
  </si>
  <si>
    <t>Koskisen Oy, Järvelän levyteollisuus</t>
  </si>
  <si>
    <t>Kaipola VP3</t>
  </si>
  <si>
    <t>Metsä Fibre Kaskisten tehdas</t>
  </si>
  <si>
    <t>Lappeenranta</t>
  </si>
  <si>
    <t>Kauttuan voimalaitos</t>
  </si>
  <si>
    <t>Metsä Fibre Kemin tehdas</t>
  </si>
  <si>
    <t>Forssa</t>
  </si>
  <si>
    <t>Porvoo</t>
  </si>
  <si>
    <t>Kirkniemi, Kirkniemen voimalaitos</t>
  </si>
  <si>
    <t>Voimalaitos Power (ent. Kokkolan voimalaitos)</t>
  </si>
  <si>
    <t>Kuhmo</t>
  </si>
  <si>
    <t>Vaneritehtaankatu 1 Suolahti</t>
  </si>
  <si>
    <t>Savon Sellu Vastapainevoimalaitos</t>
  </si>
  <si>
    <t>Kuusankoski, Kouvola</t>
  </si>
  <si>
    <t>Lieksa</t>
  </si>
  <si>
    <t>Tehtaankatu 20 Mänttä</t>
  </si>
  <si>
    <t>Nokia Kombi</t>
  </si>
  <si>
    <t>Pietarsaari</t>
  </si>
  <si>
    <t>Pori Pihlava</t>
  </si>
  <si>
    <t>Titaanitie, 28840 PORI</t>
  </si>
  <si>
    <t>Metsä Fibre Rauman tehdas</t>
  </si>
  <si>
    <t>Renko</t>
  </si>
  <si>
    <t>Siilinjärvi</t>
  </si>
  <si>
    <t>M-real Tako Board kartonkitehdas, Tampere</t>
  </si>
  <si>
    <t>Tervakoski</t>
  </si>
  <si>
    <t>Tervasaari VP</t>
  </si>
  <si>
    <t>Tiihala, Kangasala</t>
  </si>
  <si>
    <t>Tornio; Tornion voimalaitos</t>
  </si>
  <si>
    <t>Uimaharjun voimalaitos</t>
  </si>
  <si>
    <t>Uusukaupunki, Hangonsaari</t>
  </si>
  <si>
    <t>Varkaus</t>
  </si>
  <si>
    <t>markku.ahlqvist@biovakka.fi</t>
  </si>
  <si>
    <t>Viikinmäen jätevedenpuhdistamo</t>
  </si>
  <si>
    <t>Vilppula</t>
  </si>
  <si>
    <t>Metsä Fibre Oy Äänekosken voimalaitos</t>
  </si>
  <si>
    <t>Main fuel</t>
  </si>
  <si>
    <t>Standby fuel 1</t>
  </si>
  <si>
    <t>Standby fuel 2</t>
  </si>
  <si>
    <t>Peat</t>
  </si>
  <si>
    <t>Industrial wood residues</t>
  </si>
  <si>
    <t>Heavy distillates</t>
  </si>
  <si>
    <t>Hard coal and anthracite</t>
  </si>
  <si>
    <t>Mixed fuels</t>
  </si>
  <si>
    <t>Medium heavy distillates</t>
  </si>
  <si>
    <t>Petroleum gases</t>
  </si>
  <si>
    <t>Forest fuelwood</t>
  </si>
  <si>
    <t>Natural gas</t>
  </si>
  <si>
    <t>Black liquor and concentrated liquors</t>
  </si>
  <si>
    <t>Other non-specified energy sources</t>
  </si>
  <si>
    <t>Other by-products and wastes used as fuel</t>
  </si>
  <si>
    <t>By-products from wood processing industry</t>
  </si>
  <si>
    <t>Bioliquids</t>
  </si>
  <si>
    <t>Blast furnace gas</t>
  </si>
  <si>
    <t>Coke oven gas</t>
  </si>
  <si>
    <t>Exothermic heat from industry</t>
  </si>
  <si>
    <t>Light distillates</t>
  </si>
  <si>
    <t>Biogas</t>
  </si>
  <si>
    <t>Björknäs kraftvärmeverk</t>
  </si>
  <si>
    <t>Energia-Tietola</t>
  </si>
  <si>
    <t>Haapaniemi</t>
  </si>
  <si>
    <t>Harabacka</t>
  </si>
  <si>
    <t>Hovinsaari</t>
  </si>
  <si>
    <t>Hämeenlinna</t>
  </si>
  <si>
    <t>Iisalmi</t>
  </si>
  <si>
    <t>Joensuu</t>
  </si>
  <si>
    <t>Järvenpää</t>
  </si>
  <si>
    <t>Keljonlahti</t>
  </si>
  <si>
    <t>Kemijärvi</t>
  </si>
  <si>
    <t>Kerava</t>
  </si>
  <si>
    <t>Koneharju kt</t>
  </si>
  <si>
    <t>Korvenmäen ekovoimalaitos</t>
  </si>
  <si>
    <t>Kuusamo</t>
  </si>
  <si>
    <t>Kymijärvi 1</t>
  </si>
  <si>
    <t>Kymijärvi 2</t>
  </si>
  <si>
    <t>Laanilan biovoimalaitos</t>
  </si>
  <si>
    <t>Lappeenranta, Kaukaan tehdas</t>
  </si>
  <si>
    <t>Lapua</t>
  </si>
  <si>
    <t>Lemene KM1</t>
  </si>
  <si>
    <t>Lemene KM2</t>
  </si>
  <si>
    <t>Lielahti</t>
  </si>
  <si>
    <t>Martinlaakso</t>
  </si>
  <si>
    <t>Naantali</t>
  </si>
  <si>
    <t>Naistenlahti 1</t>
  </si>
  <si>
    <t>Naistenlahti 3</t>
  </si>
  <si>
    <t>Nikkilä</t>
  </si>
  <si>
    <t>Nivala</t>
  </si>
  <si>
    <t>Pieksämäki</t>
  </si>
  <si>
    <t>Posion CHP-laitos</t>
  </si>
  <si>
    <t>Pursiala 1</t>
  </si>
  <si>
    <t>Pursiala 2</t>
  </si>
  <si>
    <t>Rauhalahti</t>
  </si>
  <si>
    <t>Riihimäki (Ekokem)</t>
  </si>
  <si>
    <t>Riikinvoima</t>
  </si>
  <si>
    <t>Salo</t>
  </si>
  <si>
    <t>Savio</t>
  </si>
  <si>
    <t>Savonlinna</t>
  </si>
  <si>
    <t>Seinäjoki (SEVO)</t>
  </si>
  <si>
    <t>Suomenojan voimalaitos</t>
  </si>
  <si>
    <t>Suosiola</t>
  </si>
  <si>
    <t>Tammervoima</t>
  </si>
  <si>
    <t>Toholampi</t>
  </si>
  <si>
    <t>Tolkkinen 1</t>
  </si>
  <si>
    <t>Tolkkinen, Biolaitos</t>
  </si>
  <si>
    <t>Toppila 2</t>
  </si>
  <si>
    <t>Vantaan jätevoimala</t>
  </si>
  <si>
    <t>Varissaari</t>
  </si>
  <si>
    <t>Vaskiluoto 2</t>
  </si>
  <si>
    <t>Vaskiluoto 3</t>
  </si>
  <si>
    <t>Vuosaari A</t>
  </si>
  <si>
    <t>Vuosaari B</t>
  </si>
  <si>
    <t>Westenergy jätteenpolttolaitos</t>
  </si>
  <si>
    <t>Ylivieska</t>
  </si>
  <si>
    <t>Ämmässuo</t>
  </si>
  <si>
    <t>Ämmässuo 2</t>
  </si>
  <si>
    <t>Haapaniemen voimalaitos</t>
  </si>
  <si>
    <t>Iisalmi, Energiakuja 3</t>
  </si>
  <si>
    <t>Joensuu, Iiksenvaarantie 2</t>
  </si>
  <si>
    <t>Voimalankatu, 04430 Järvenpää</t>
  </si>
  <si>
    <t>Keljonrannantie 276</t>
  </si>
  <si>
    <t>Alikeravan voimalaitos</t>
  </si>
  <si>
    <t>04260 Kerava, Alikeravantie 83</t>
  </si>
  <si>
    <t>Voimalaitos Voima</t>
  </si>
  <si>
    <t>Koneharju Koneharjunkatu, Lahti</t>
  </si>
  <si>
    <t>Kuusamon voimalaitos</t>
  </si>
  <si>
    <t>Kymijärvi Voimakatu 16, Lahti</t>
  </si>
  <si>
    <t>Kymijärvi2 Voimakatu 16, Lahti</t>
  </si>
  <si>
    <t>Typpitie 3, Oulu, Laanilan biovoimalaitos</t>
  </si>
  <si>
    <t>Ruokosmetsänkatu 11, 37550 Lempäälä</t>
  </si>
  <si>
    <t>Kalliokummuntie 28, 37550 Lempäälä</t>
  </si>
  <si>
    <t>Naantalin voimalaitos</t>
  </si>
  <si>
    <t>Nikkilän voimalaitos</t>
  </si>
  <si>
    <t>Lämpölä/Hyttitie 5 Nivala</t>
  </si>
  <si>
    <t>Pieksämäki, Kutteritie 2A</t>
  </si>
  <si>
    <t>Posion Voimalaitos Rantatie 3 97900 Posio</t>
  </si>
  <si>
    <t xml:space="preserve">Pursiala 1 </t>
  </si>
  <si>
    <t>Kuulojankatu 1, 11120 RIIHIMÄKI</t>
  </si>
  <si>
    <t>Savion voimalaitos</t>
  </si>
  <si>
    <t>Seinäjoki Sevo</t>
  </si>
  <si>
    <t>Lampelankatu 24, Suosiola</t>
  </si>
  <si>
    <t>Tammervoima / Hyötyvoimankuja 1</t>
  </si>
  <si>
    <t>Tolkkinen</t>
  </si>
  <si>
    <t>Tervahovintie 10, Oulu, Toppila 2</t>
  </si>
  <si>
    <t>Vantaan Jätevoimala</t>
  </si>
  <si>
    <t>Vaasa ( Vaskiluoto 2 )</t>
  </si>
  <si>
    <t>Vaasa  ( Vaskiluoto 3 )</t>
  </si>
  <si>
    <t>Vuosaari A-voimalaitos</t>
  </si>
  <si>
    <t>Vuosaari B-voimalaitos</t>
  </si>
  <si>
    <t>Energiatie 37, 66530 Koivulahti</t>
  </si>
  <si>
    <t>Tulolantien voimalaitos, Ylivieska, Vieskan Voima</t>
  </si>
  <si>
    <t>Ämmässuon jätteenkäsittelykeskus CHP1</t>
  </si>
  <si>
    <t>Ämmässuon jätteenkäsittelykeskus CHP2</t>
  </si>
  <si>
    <t>Vegetable-based fuels and other field biomass</t>
  </si>
  <si>
    <t>Gasified waste</t>
  </si>
  <si>
    <t>Recovered wood</t>
  </si>
  <si>
    <t>?</t>
  </si>
  <si>
    <r>
      <t xml:space="preserve">Capacities are taken from column "Maximum, total, </t>
    </r>
    <r>
      <rPr>
        <sz val="11"/>
        <rFont val="Calibri"/>
        <family val="2"/>
        <scheme val="minor"/>
      </rPr>
      <t>MW</t>
    </r>
    <r>
      <rPr>
        <sz val="11"/>
        <color theme="0" tint="-0.499984740745262"/>
        <rFont val="Calibri"/>
        <family val="2"/>
        <scheme val="minor"/>
      </rPr>
      <t>"</t>
    </r>
  </si>
  <si>
    <t>Performed manualy by looking at Finnish and English wikipedia and global energy monitor (www.gem.wiki)</t>
  </si>
  <si>
    <t>Unit type</t>
  </si>
  <si>
    <t>non-RE</t>
  </si>
  <si>
    <t>RE</t>
  </si>
  <si>
    <t/>
  </si>
  <si>
    <t>Unique fuel</t>
  </si>
  <si>
    <t>Renewable?</t>
  </si>
  <si>
    <t>Unique RE fuel</t>
  </si>
  <si>
    <t>Oil HOB</t>
  </si>
  <si>
    <t>Gas HOB</t>
  </si>
  <si>
    <t>Bio HOB</t>
  </si>
  <si>
    <t>Ground source heat pump</t>
  </si>
  <si>
    <t>Gas CCGT CHP</t>
  </si>
  <si>
    <t>Electric boiler</t>
  </si>
  <si>
    <t>Heat storage charger</t>
  </si>
  <si>
    <t>Heat storage discharger</t>
  </si>
  <si>
    <t>Large heat storage charger</t>
  </si>
  <si>
    <t>Large heat storage discharger</t>
  </si>
  <si>
    <t>Gas OCGT CHP</t>
  </si>
  <si>
    <t>Waste HOB</t>
  </si>
  <si>
    <t>Bio CHP</t>
  </si>
  <si>
    <t>Waste CHP</t>
  </si>
  <si>
    <t>Seasonal heat storage charger</t>
  </si>
  <si>
    <t>Seasonal heat storage discharger</t>
  </si>
  <si>
    <t>Heat</t>
  </si>
  <si>
    <t>Electric</t>
  </si>
  <si>
    <t>Inputs of "H2 heavy"</t>
  </si>
  <si>
    <t>Input</t>
  </si>
  <si>
    <t>Include  clearly RE and unknown fuel types</t>
  </si>
  <si>
    <t>Type identified manually based on fuel name</t>
  </si>
  <si>
    <t>Total changes little, but RE% increase</t>
  </si>
  <si>
    <t>Industrial CHPs are either converted to or replaced by RE-burning units at the same sites to serve unchanged industrial heat demand</t>
  </si>
  <si>
    <t>Observable:</t>
  </si>
  <si>
    <t>Expectation:</t>
  </si>
  <si>
    <t>Assumption:</t>
  </si>
  <si>
    <t>All non-RE remains in region that currently has the largest capacity of it (Uusimaa) while the rest is converted to RE.</t>
  </si>
  <si>
    <t>CHP type</t>
  </si>
  <si>
    <t>Gas</t>
  </si>
  <si>
    <t>Waste</t>
  </si>
  <si>
    <t>Bio</t>
  </si>
  <si>
    <t>Unit type classification</t>
  </si>
  <si>
    <r>
      <t>Main fuels grouped into three categories that are present in "H2 heavy" DH CHP types</t>
    </r>
    <r>
      <rPr>
        <sz val="11"/>
        <color theme="0" tint="-0.499984740745262"/>
        <rFont val="Calibri"/>
        <family val="2"/>
        <scheme val="minor"/>
      </rPr>
      <t xml:space="preserve"> (Gass OCGT CHP is omitted due to its insignificance)</t>
    </r>
  </si>
  <si>
    <t>Fuels with unclear match to CHP type were classified as the largest (bio) type and colored in red.</t>
  </si>
  <si>
    <t>Take major city values from [2] without modifications</t>
  </si>
  <si>
    <t>Source [1]</t>
  </si>
  <si>
    <t>Source [2]</t>
  </si>
  <si>
    <t>Merging [1-2] for CHP</t>
  </si>
  <si>
    <t>Merging [1-2]</t>
  </si>
  <si>
    <t>Source [4]</t>
  </si>
  <si>
    <t>Source [5]</t>
  </si>
  <si>
    <t>Merging sources [1-5]</t>
  </si>
  <si>
    <r>
      <t xml:space="preserve">Source [3] TYNDP 2024 Visualization platfrom </t>
    </r>
    <r>
      <rPr>
        <sz val="11"/>
        <color theme="0" tint="-0.499984740745262"/>
        <rFont val="Calibri"/>
        <family val="2"/>
        <scheme val="minor"/>
      </rPr>
      <t>(DE 2035 scenario)</t>
    </r>
  </si>
  <si>
    <t>Negative regional values are avoided by setting floor of 0</t>
  </si>
  <si>
    <t>Scale regional values from [1] towards [2] for each CHP type and then subtract city values</t>
  </si>
  <si>
    <t>Heat capacity</t>
  </si>
  <si>
    <r>
      <t>Electric capacity.</t>
    </r>
    <r>
      <rPr>
        <sz val="11"/>
        <color theme="0" tint="-0.499984740745262"/>
        <rFont val="Calibri"/>
        <family val="2"/>
        <scheme val="minor"/>
      </rPr>
      <t xml:space="preserve"> Steps of merging:</t>
    </r>
  </si>
  <si>
    <r>
      <t>Gas</t>
    </r>
    <r>
      <rPr>
        <sz val="11"/>
        <color theme="0" tint="-0.499984740745262"/>
        <rFont val="Calibri"/>
        <family val="2"/>
        <scheme val="minor"/>
      </rPr>
      <t xml:space="preserve"> CCGT</t>
    </r>
  </si>
  <si>
    <r>
      <t xml:space="preserve">Gas </t>
    </r>
    <r>
      <rPr>
        <sz val="11"/>
        <color theme="0" tint="-0.499984740745262"/>
        <rFont val="Calibri"/>
        <family val="2"/>
        <scheme val="minor"/>
      </rPr>
      <t>OCGT</t>
    </r>
  </si>
  <si>
    <t>Electric capacity</t>
  </si>
  <si>
    <t>Heat capacity of non-CHP units. Currently omitted from regional breakdown</t>
  </si>
  <si>
    <t>Heat to electric capacity ratio</t>
  </si>
  <si>
    <t>non-CHP electricity generation capacity</t>
  </si>
  <si>
    <t>Assumtions</t>
  </si>
  <si>
    <t>Electrolyser capacity is distributed proportionally to projectected non-CHP electricity production capacity</t>
  </si>
  <si>
    <t>ST (dis)charge</t>
  </si>
  <si>
    <t>LT charge</t>
  </si>
  <si>
    <t>LT discharge</t>
  </si>
  <si>
    <r>
      <t>[1] Visual Platform</t>
    </r>
    <r>
      <rPr>
        <sz val="11"/>
        <color theme="0" tint="-0.499984740745262"/>
        <rFont val="Calibri"/>
        <family val="2"/>
        <scheme val="minor"/>
      </rPr>
      <t>. TYNDP 2024 release - Distributed Energy 2035 scenario.</t>
    </r>
  </si>
  <si>
    <t>[2] H2 Storages.xlsx</t>
  </si>
  <si>
    <t>Capacity [1]</t>
  </si>
  <si>
    <t>Supply [1]</t>
  </si>
  <si>
    <t>Demand [1]</t>
  </si>
  <si>
    <t>Storage [2]</t>
  </si>
  <si>
    <r>
      <rPr>
        <sz val="11"/>
        <rFont val="Calibri"/>
        <family val="2"/>
        <scheme val="minor"/>
      </rPr>
      <t>MW</t>
    </r>
    <r>
      <rPr>
        <sz val="11"/>
        <color theme="0" tint="-0.499984740745262"/>
        <rFont val="Calibri"/>
        <family val="2"/>
        <scheme val="minor"/>
      </rPr>
      <t>_h2</t>
    </r>
  </si>
  <si>
    <t>H2 demand and storage capacities are distributed proportionally to non-electrified demand</t>
  </si>
  <si>
    <t>1. DH Data</t>
  </si>
  <si>
    <r>
      <t xml:space="preserve">2. DH Processing </t>
    </r>
    <r>
      <rPr>
        <b/>
        <sz val="11"/>
        <color theme="0" tint="-0.499984740745262"/>
        <rFont val="Calibri"/>
        <family val="2"/>
        <scheme val="minor"/>
      </rPr>
      <t>[TWh]</t>
    </r>
  </si>
  <si>
    <t>3. Industiral heat</t>
  </si>
  <si>
    <t>Batteries</t>
  </si>
  <si>
    <t>Capacity from Visual Platform</t>
  </si>
  <si>
    <t>Assume proportional distribution to non-CHP generation capacity</t>
  </si>
  <si>
    <t>non-CHP</t>
  </si>
  <si>
    <t>Possible connections</t>
  </si>
  <si>
    <t>FIW0</t>
  </si>
  <si>
    <t>FISW</t>
  </si>
  <si>
    <t>FISE</t>
  </si>
  <si>
    <t>FIUU</t>
  </si>
  <si>
    <t>SE01</t>
  </si>
  <si>
    <t>FI00</t>
  </si>
  <si>
    <t>IBFI</t>
  </si>
  <si>
    <t>EE00</t>
  </si>
  <si>
    <t>Existing h2 connections</t>
  </si>
  <si>
    <t>SE03</t>
  </si>
  <si>
    <t>FINO</t>
  </si>
  <si>
    <t>NON1</t>
  </si>
  <si>
    <t>SE02</t>
  </si>
  <si>
    <t>Domestic</t>
  </si>
  <si>
    <t>Ref</t>
  </si>
  <si>
    <t>Real 1</t>
  </si>
  <si>
    <t>Real 2</t>
  </si>
  <si>
    <t>Concept 1</t>
  </si>
  <si>
    <t>Concept 2</t>
  </si>
  <si>
    <t>Concept 3</t>
  </si>
  <si>
    <t>Concept 4</t>
  </si>
  <si>
    <t>Investment candidates</t>
  </si>
  <si>
    <t>Investment candidates aggregated</t>
  </si>
  <si>
    <t>Part of the Nordic power system - Fingrid</t>
  </si>
  <si>
    <t>AC</t>
  </si>
  <si>
    <t>DC</t>
  </si>
  <si>
    <t>[MW]</t>
  </si>
  <si>
    <t>[kV]</t>
  </si>
  <si>
    <t>FIWE</t>
  </si>
  <si>
    <t>400x2</t>
  </si>
  <si>
    <t>fingrid_kehittamissuunnitelma_syksy23_en.pdf</t>
  </si>
  <si>
    <t>Increase</t>
  </si>
  <si>
    <t>Consideration 1:</t>
  </si>
  <si>
    <t>Consideration 2: TYNDP 2024 data</t>
  </si>
  <si>
    <t>Modeled</t>
  </si>
  <si>
    <t>Consideration 3: Fingrid data</t>
  </si>
  <si>
    <t>New Line</t>
  </si>
  <si>
    <t>Nodes</t>
  </si>
  <si>
    <t>Capacity [MW]</t>
  </si>
  <si>
    <t>Likely in single line</t>
  </si>
  <si>
    <t>EstLink 3</t>
  </si>
  <si>
    <t>Not yet known</t>
  </si>
  <si>
    <t>Aurora 1</t>
  </si>
  <si>
    <t>800 / 900</t>
  </si>
  <si>
    <t>Aurora 2</t>
  </si>
  <si>
    <t>~150 MW</t>
  </si>
  <si>
    <t>SE04</t>
  </si>
  <si>
    <t>Required to match [MW]</t>
  </si>
  <si>
    <t>Conclusion - new capacities will connect the same regions</t>
  </si>
  <si>
    <t>Best source found:</t>
  </si>
  <si>
    <t>Main grid developments 2024-2033</t>
  </si>
  <si>
    <t>Figue 2</t>
  </si>
  <si>
    <t>Cross border</t>
  </si>
  <si>
    <t>Existing</t>
  </si>
  <si>
    <t>Future</t>
  </si>
  <si>
    <r>
      <rPr>
        <sz val="11"/>
        <color theme="0" tint="-0.499984740745262"/>
        <rFont val="Calibri"/>
        <family val="2"/>
        <scheme val="minor"/>
      </rPr>
      <t>FI</t>
    </r>
    <r>
      <rPr>
        <sz val="11"/>
        <color theme="1"/>
        <rFont val="Calibri"/>
        <family val="2"/>
        <scheme val="minor"/>
      </rPr>
      <t>W</t>
    </r>
    <r>
      <rPr>
        <sz val="11"/>
        <color theme="0" tint="-0.499984740745262"/>
        <rFont val="Calibri"/>
        <family val="2"/>
        <scheme val="minor"/>
      </rPr>
      <t>0</t>
    </r>
  </si>
  <si>
    <r>
      <rPr>
        <sz val="11"/>
        <color theme="0" tint="-0.499984740745262"/>
        <rFont val="Calibri"/>
        <family val="2"/>
        <scheme val="minor"/>
      </rPr>
      <t>FI</t>
    </r>
    <r>
      <rPr>
        <sz val="11"/>
        <color theme="1"/>
        <rFont val="Calibri"/>
        <family val="2"/>
        <scheme val="minor"/>
      </rPr>
      <t>N</t>
    </r>
    <r>
      <rPr>
        <sz val="11"/>
        <color theme="0" tint="-0.499984740745262"/>
        <rFont val="Calibri"/>
        <family val="2"/>
        <scheme val="minor"/>
      </rPr>
      <t>0</t>
    </r>
  </si>
  <si>
    <r>
      <rPr>
        <sz val="11"/>
        <color theme="0" tint="-0.499984740745262"/>
        <rFont val="Calibri"/>
        <family val="2"/>
        <scheme val="minor"/>
      </rPr>
      <t>FI</t>
    </r>
    <r>
      <rPr>
        <sz val="11"/>
        <color theme="1"/>
        <rFont val="Calibri"/>
        <family val="2"/>
        <scheme val="minor"/>
      </rPr>
      <t>C</t>
    </r>
    <r>
      <rPr>
        <sz val="11"/>
        <color theme="0" tint="-0.499984740745262"/>
        <rFont val="Calibri"/>
        <family val="2"/>
        <scheme val="minor"/>
      </rPr>
      <t>0</t>
    </r>
  </si>
  <si>
    <r>
      <rPr>
        <sz val="11"/>
        <color theme="0" tint="-0.499984740745262"/>
        <rFont val="Calibri"/>
        <family val="2"/>
        <scheme val="minor"/>
      </rPr>
      <t>FI</t>
    </r>
    <r>
      <rPr>
        <sz val="11"/>
        <color theme="1"/>
        <rFont val="Calibri"/>
        <family val="2"/>
        <scheme val="minor"/>
      </rPr>
      <t>E</t>
    </r>
    <r>
      <rPr>
        <sz val="11"/>
        <color theme="0" tint="-0.499984740745262"/>
        <rFont val="Calibri"/>
        <family val="2"/>
        <scheme val="minor"/>
      </rPr>
      <t>0</t>
    </r>
  </si>
  <si>
    <r>
      <rPr>
        <sz val="11"/>
        <color theme="0" tint="-0.499984740745262"/>
        <rFont val="Calibri"/>
        <family val="2"/>
        <scheme val="minor"/>
      </rPr>
      <t>FI</t>
    </r>
    <r>
      <rPr>
        <sz val="11"/>
        <color theme="1"/>
        <rFont val="Calibri"/>
        <family val="2"/>
        <scheme val="minor"/>
      </rPr>
      <t>S</t>
    </r>
    <r>
      <rPr>
        <sz val="11"/>
        <rFont val="Calibri"/>
        <family val="2"/>
        <scheme val="minor"/>
      </rPr>
      <t>W</t>
    </r>
  </si>
  <si>
    <r>
      <rPr>
        <sz val="11"/>
        <color theme="0" tint="-0.499984740745262"/>
        <rFont val="Calibri"/>
        <family val="2"/>
        <scheme val="minor"/>
      </rPr>
      <t>FI</t>
    </r>
    <r>
      <rPr>
        <sz val="11"/>
        <color theme="1"/>
        <rFont val="Calibri"/>
        <family val="2"/>
        <scheme val="minor"/>
      </rPr>
      <t>S</t>
    </r>
    <r>
      <rPr>
        <sz val="11"/>
        <rFont val="Calibri"/>
        <family val="2"/>
        <scheme val="minor"/>
      </rPr>
      <t>E</t>
    </r>
  </si>
  <si>
    <r>
      <t>FI</t>
    </r>
    <r>
      <rPr>
        <sz val="11"/>
        <rFont val="Calibri"/>
        <family val="2"/>
        <scheme val="minor"/>
      </rPr>
      <t>W</t>
    </r>
    <r>
      <rPr>
        <sz val="11"/>
        <color theme="0" tint="-0.499984740745262"/>
        <rFont val="Calibri"/>
        <family val="2"/>
        <scheme val="minor"/>
      </rPr>
      <t>0</t>
    </r>
  </si>
  <si>
    <r>
      <t>FI</t>
    </r>
    <r>
      <rPr>
        <sz val="11"/>
        <rFont val="Calibri"/>
        <family val="2"/>
        <scheme val="minor"/>
      </rPr>
      <t>C</t>
    </r>
    <r>
      <rPr>
        <sz val="11"/>
        <color theme="0" tint="-0.499984740745262"/>
        <rFont val="Calibri"/>
        <family val="2"/>
        <scheme val="minor"/>
      </rPr>
      <t>0</t>
    </r>
  </si>
  <si>
    <r>
      <t>FI</t>
    </r>
    <r>
      <rPr>
        <sz val="11"/>
        <rFont val="Calibri"/>
        <family val="2"/>
        <scheme val="minor"/>
      </rPr>
      <t>E</t>
    </r>
    <r>
      <rPr>
        <sz val="11"/>
        <color theme="0" tint="-0.499984740745262"/>
        <rFont val="Calibri"/>
        <family val="2"/>
        <scheme val="minor"/>
      </rPr>
      <t>0</t>
    </r>
  </si>
  <si>
    <r>
      <t>FI</t>
    </r>
    <r>
      <rPr>
        <sz val="11"/>
        <rFont val="Calibri"/>
        <family val="2"/>
        <scheme val="minor"/>
      </rPr>
      <t>SW</t>
    </r>
  </si>
  <si>
    <r>
      <t>FI</t>
    </r>
    <r>
      <rPr>
        <sz val="11"/>
        <rFont val="Calibri"/>
        <family val="2"/>
        <scheme val="minor"/>
      </rPr>
      <t>SE</t>
    </r>
  </si>
  <si>
    <r>
      <t>FI</t>
    </r>
    <r>
      <rPr>
        <sz val="11"/>
        <rFont val="Calibri"/>
        <family val="2"/>
        <scheme val="minor"/>
      </rPr>
      <t>E0</t>
    </r>
  </si>
  <si>
    <r>
      <t>FI</t>
    </r>
    <r>
      <rPr>
        <sz val="11"/>
        <rFont val="Calibri"/>
        <family val="2"/>
        <scheme val="minor"/>
      </rPr>
      <t>UU</t>
    </r>
  </si>
  <si>
    <t>Δ</t>
  </si>
  <si>
    <t>400 kV single main corridor ≈ 1,200 MW</t>
  </si>
  <si>
    <t>2 strong corridors / upgrade completed ≈ 1,800–2,400 MW</t>
  </si>
  <si>
    <t>Major reinforced trunk (2035 north–south) up to 3,000 MW</t>
  </si>
  <si>
    <t>FinGrid map</t>
  </si>
  <si>
    <t>400 kV</t>
  </si>
  <si>
    <t>220 kV</t>
  </si>
  <si>
    <t>100 kV</t>
  </si>
  <si>
    <t>Min</t>
  </si>
  <si>
    <t>Max</t>
  </si>
  <si>
    <t>Current</t>
  </si>
  <si>
    <t>Investment projects</t>
  </si>
  <si>
    <t>+400</t>
  </si>
  <si>
    <t>220 -&gt; 400</t>
  </si>
  <si>
    <t>400 -&gt; ?</t>
  </si>
  <si>
    <t>220 -&gt; ?</t>
  </si>
  <si>
    <t>220 -&gt; 400+110</t>
  </si>
  <si>
    <t>220 -&gt; 2X400+110</t>
  </si>
  <si>
    <t>Planned routes</t>
  </si>
  <si>
    <t>+?</t>
  </si>
  <si>
    <t>Changes</t>
  </si>
  <si>
    <t>New</t>
  </si>
  <si>
    <t>Rounded values</t>
  </si>
  <si>
    <t>Line capacities</t>
  </si>
  <si>
    <t>Thermal behaviour of overhead conductors - eCIGRE</t>
  </si>
  <si>
    <t>Copilot dirrecting to (behind pay-wall):</t>
  </si>
  <si>
    <t>Dirrect Copilot answer. It's assumptions:</t>
  </si>
  <si>
    <t>Extending tyndp2024 cross-border lines internally</t>
  </si>
  <si>
    <t>Inputs</t>
  </si>
  <si>
    <t>Limitations</t>
  </si>
  <si>
    <t>D_2023(region, sector), D_2035(sector)</t>
  </si>
  <si>
    <t>D_ind grows due to electrification of existing D_ind
D_ ind electrification and D_res,com growth is spatially uniform</t>
  </si>
  <si>
    <t>Projected growth reverses two-decade-long trends: ind % and total D decline, centralization.
FinGrid also expects D_ind growth from new industries (data centers, E-fuels, battery production).</t>
  </si>
  <si>
    <t>D_2023(region), D_2035</t>
  </si>
  <si>
    <t>Historic distribution</t>
  </si>
  <si>
    <t>D_ind_unelectrified(region), D_ih</t>
  </si>
  <si>
    <t>Kirsikka list includes only projects for self-consumption, which is inconsistent with tyndp2024 scenario</t>
  </si>
  <si>
    <t>Power plant register, manual identification</t>
  </si>
  <si>
    <t>El_PV</t>
  </si>
  <si>
    <t>Development projects</t>
  </si>
  <si>
    <t>Historic distribution, Lovissa nuclear retirement</t>
  </si>
  <si>
    <t>D_ind_unelectrified(region), D_h2</t>
  </si>
  <si>
    <t>All non-RE remains in Uusimaa while the rest is converted to RE</t>
  </si>
  <si>
    <t>Pauli data could be used dirrectly to identify spatial distribution</t>
  </si>
  <si>
    <t>FinGrid map of existing and future powerlines</t>
  </si>
  <si>
    <t>Visual mapping to model connections, kV to MW conversions</t>
  </si>
  <si>
    <t>Extending cross-border capacities along path in GasGrid map</t>
  </si>
  <si>
    <t>GasGrid map</t>
  </si>
  <si>
    <t>3. Transmission</t>
  </si>
  <si>
    <t>Grid does not reach eastern region</t>
  </si>
  <si>
    <t>Total - East</t>
  </si>
  <si>
    <t>Both omit East as H2 grid does not reach it</t>
  </si>
  <si>
    <t>P_nonCHP(region), P_h2</t>
  </si>
  <si>
    <t>Proportional to P_el_non-CHP, except for East</t>
  </si>
  <si>
    <t>Proportional to unelectrified D_el</t>
  </si>
  <si>
    <t>Proportional to unelectrified D_el, except for East</t>
  </si>
  <si>
    <t>El_batteries</t>
  </si>
  <si>
    <t>No strong reason this to be the case</t>
  </si>
  <si>
    <t>D(region), D(customer type, t)</t>
  </si>
  <si>
    <t>H2, IH</t>
  </si>
  <si>
    <t>Major determinant of system dynamics</t>
  </si>
  <si>
    <t>M</t>
  </si>
  <si>
    <t>Significance</t>
  </si>
  <si>
    <t>H</t>
  </si>
  <si>
    <t>L</t>
  </si>
  <si>
    <r>
      <rPr>
        <sz val="11"/>
        <rFont val="Calibri"/>
        <family val="2"/>
        <scheme val="minor"/>
      </rPr>
      <t>H</t>
    </r>
    <r>
      <rPr>
        <sz val="11"/>
        <color theme="0" tint="-0.499984740745262"/>
        <rFont val="Calibri"/>
        <family val="2"/>
        <scheme val="minor"/>
      </rPr>
      <t>igh</t>
    </r>
  </si>
  <si>
    <r>
      <rPr>
        <sz val="11"/>
        <rFont val="Calibri"/>
        <family val="2"/>
        <scheme val="minor"/>
      </rPr>
      <t>M</t>
    </r>
    <r>
      <rPr>
        <sz val="11"/>
        <color theme="0" tint="-0.499984740745262"/>
        <rFont val="Calibri"/>
        <family val="2"/>
        <scheme val="minor"/>
      </rPr>
      <t>edium</t>
    </r>
  </si>
  <si>
    <r>
      <rPr>
        <sz val="11"/>
        <rFont val="Calibri"/>
        <family val="2"/>
        <scheme val="minor"/>
      </rPr>
      <t>L</t>
    </r>
    <r>
      <rPr>
        <sz val="11"/>
        <color theme="0" tint="-0.499984740745262"/>
        <rFont val="Calibri"/>
        <family val="2"/>
        <scheme val="minor"/>
      </rPr>
      <t>ow</t>
    </r>
  </si>
  <si>
    <t>Wind capacity increases 6-fold. Alternative basis - existing list of proposed wind power projects</t>
  </si>
  <si>
    <t>Sufficiency needs to be tested. Regional model retains same set of cross-border connections, but we now know individual lines - could have multiple connections between individual pairs of nodes.</t>
  </si>
  <si>
    <t>2035*</t>
  </si>
  <si>
    <t>Country</t>
  </si>
  <si>
    <t>Scenario</t>
  </si>
  <si>
    <t>Year</t>
  </si>
  <si>
    <t>TWh/year</t>
  </si>
  <si>
    <t>Constant_share</t>
  </si>
  <si>
    <t>elec</t>
  </si>
  <si>
    <t>H2 heavy</t>
  </si>
  <si>
    <t>grid</t>
  </si>
  <si>
    <t>scenario</t>
  </si>
  <si>
    <t>vomCost</t>
  </si>
  <si>
    <t>losses</t>
  </si>
  <si>
    <t>FIN0</t>
  </si>
  <si>
    <t>FIE0</t>
  </si>
  <si>
    <t>FIC0</t>
  </si>
  <si>
    <t>Population</t>
  </si>
  <si>
    <t>hydrogen</t>
  </si>
  <si>
    <t>Generator_ID</t>
  </si>
  <si>
    <t>capacity_input1</t>
  </si>
  <si>
    <t>node_suffix_input1</t>
  </si>
  <si>
    <t>capacity_output1</t>
  </si>
  <si>
    <t>node_suffix_output2</t>
  </si>
  <si>
    <t>capacity_output2</t>
  </si>
  <si>
    <t>Solar PV</t>
  </si>
  <si>
    <t>Onshore Wind</t>
  </si>
  <si>
    <t>Offshore Wind</t>
  </si>
  <si>
    <t>dheat</t>
  </si>
  <si>
    <t>transferCap</t>
  </si>
  <si>
    <r>
      <t>EE</t>
    </r>
    <r>
      <rPr>
        <sz val="11"/>
        <color theme="0" tint="-0.499984740745262"/>
        <rFont val="Calibri"/>
        <family val="2"/>
        <scheme val="minor"/>
      </rPr>
      <t>00</t>
    </r>
  </si>
  <si>
    <r>
      <rPr>
        <sz val="11"/>
        <color theme="0" tint="-0.499984740745262"/>
        <rFont val="Calibri"/>
        <family val="2"/>
        <scheme val="minor"/>
      </rPr>
      <t>FI</t>
    </r>
    <r>
      <rPr>
        <sz val="11"/>
        <color theme="1"/>
        <rFont val="Calibri"/>
        <family val="2"/>
        <scheme val="minor"/>
      </rPr>
      <t>SW</t>
    </r>
  </si>
  <si>
    <r>
      <rPr>
        <sz val="11"/>
        <color theme="0" tint="-0.499984740745262"/>
        <rFont val="Calibri"/>
        <family val="2"/>
        <scheme val="minor"/>
      </rPr>
      <t>FI</t>
    </r>
    <r>
      <rPr>
        <sz val="11"/>
        <color theme="1"/>
        <rFont val="Calibri"/>
        <family val="2"/>
        <scheme val="minor"/>
      </rPr>
      <t>UU</t>
    </r>
  </si>
  <si>
    <r>
      <rPr>
        <sz val="11"/>
        <color theme="0" tint="-0.499984740745262"/>
        <rFont val="Calibri"/>
        <family val="2"/>
        <scheme val="minor"/>
      </rPr>
      <t>FI</t>
    </r>
    <r>
      <rPr>
        <sz val="11"/>
        <color theme="1"/>
        <rFont val="Calibri"/>
        <family val="2"/>
        <scheme val="minor"/>
      </rPr>
      <t>NO</t>
    </r>
  </si>
  <si>
    <r>
      <rPr>
        <sz val="11"/>
        <color theme="0" tint="-0.499984740745262"/>
        <rFont val="Calibri"/>
        <family val="2"/>
        <scheme val="minor"/>
      </rPr>
      <t>FI</t>
    </r>
    <r>
      <rPr>
        <sz val="11"/>
        <color theme="1"/>
        <rFont val="Calibri"/>
        <family val="2"/>
        <scheme val="minor"/>
      </rPr>
      <t>W0</t>
    </r>
  </si>
  <si>
    <r>
      <rPr>
        <sz val="11"/>
        <color theme="0" tint="-0.499984740745262"/>
        <rFont val="Calibri"/>
        <family val="2"/>
        <scheme val="minor"/>
      </rPr>
      <t>FI</t>
    </r>
    <r>
      <rPr>
        <sz val="11"/>
        <color theme="1"/>
        <rFont val="Calibri"/>
        <family val="2"/>
        <scheme val="minor"/>
      </rPr>
      <t>C0</t>
    </r>
  </si>
  <si>
    <r>
      <rPr>
        <sz val="11"/>
        <color theme="0" tint="-0.499984740745262"/>
        <rFont val="Calibri"/>
        <family val="2"/>
        <scheme val="minor"/>
      </rPr>
      <t>FI</t>
    </r>
    <r>
      <rPr>
        <sz val="11"/>
        <color theme="1"/>
        <rFont val="Calibri"/>
        <family val="2"/>
        <scheme val="minor"/>
      </rPr>
      <t>SE</t>
    </r>
  </si>
  <si>
    <r>
      <rPr>
        <sz val="11"/>
        <color theme="0" tint="-0.499984740745262"/>
        <rFont val="Calibri"/>
        <family val="2"/>
        <scheme val="minor"/>
      </rPr>
      <t>F</t>
    </r>
    <r>
      <rPr>
        <sz val="11"/>
        <color theme="1"/>
        <rFont val="Calibri"/>
        <family val="2"/>
        <scheme val="minor"/>
      </rPr>
      <t>ISW</t>
    </r>
  </si>
  <si>
    <t>Reservoir</t>
  </si>
  <si>
    <t>Ratios from H2 heavy</t>
  </si>
  <si>
    <t>Flexible operation</t>
  </si>
  <si>
    <t>Fuel to electricity capacity ratio</t>
  </si>
  <si>
    <t>industry</t>
  </si>
  <si>
    <t>unit_name_prefix</t>
  </si>
  <si>
    <t>Evidence</t>
  </si>
  <si>
    <t>hydrogennative</t>
  </si>
  <si>
    <t>steam</t>
  </si>
  <si>
    <t>from_country</t>
  </si>
  <si>
    <t>from_suffix</t>
  </si>
  <si>
    <t>to_country</t>
  </si>
  <si>
    <t>to_suffix</t>
  </si>
  <si>
    <t>node_suffix_output1</t>
  </si>
  <si>
    <t>cb</t>
  </si>
  <si>
    <t>cv</t>
  </si>
  <si>
    <t>eff00</t>
  </si>
  <si>
    <t>eff01</t>
  </si>
  <si>
    <t>Sector-specific ratios of electicity capacity between sources 1-2</t>
  </si>
  <si>
    <t>Heat/electiricty</t>
  </si>
  <si>
    <t>CHP: Electric capacity</t>
  </si>
  <si>
    <t>CHP: ROF capacities</t>
  </si>
  <si>
    <t>Additional values (cb, eff0, eff1) are coppied to unitdata sheet</t>
  </si>
  <si>
    <t>CHP: all city data can be coppied dirrectly to unitdata sheet, but included here for electricity capacity to enable ROF breakdown</t>
  </si>
  <si>
    <t>Power</t>
  </si>
  <si>
    <t>Adven Oy, Eura</t>
  </si>
  <si>
    <t>Eura 1</t>
  </si>
  <si>
    <t>-</t>
  </si>
  <si>
    <t>rpö</t>
  </si>
  <si>
    <t>Euran voimalaitos</t>
  </si>
  <si>
    <t>kipo</t>
  </si>
  <si>
    <t>Adven Oy, Hanko</t>
  </si>
  <si>
    <t>Hangon KPA-laitos</t>
  </si>
  <si>
    <t>popu</t>
  </si>
  <si>
    <t>Adven Oy, Hausjärvi</t>
  </si>
  <si>
    <t>Oitti LK249</t>
  </si>
  <si>
    <t>Adven Oy, Huittinen</t>
  </si>
  <si>
    <t>Huittinen KPA</t>
  </si>
  <si>
    <t>jtu</t>
  </si>
  <si>
    <t>Huittinen</t>
  </si>
  <si>
    <t>kpö</t>
  </si>
  <si>
    <t>Adven Oy, Inkoo</t>
  </si>
  <si>
    <t>Rannikkotie</t>
  </si>
  <si>
    <t>Adven Oy, Kirkkonummi</t>
  </si>
  <si>
    <t>LK180 Upinniemi</t>
  </si>
  <si>
    <t>LK263 Veikkola</t>
  </si>
  <si>
    <t>pell</t>
  </si>
  <si>
    <t>Adven Oy, Kuusamo</t>
  </si>
  <si>
    <t>LK305 Kuusamon voimalaitos</t>
  </si>
  <si>
    <t>tept</t>
  </si>
  <si>
    <t>Adven Oy, Lappeenranta</t>
  </si>
  <si>
    <t>K21</t>
  </si>
  <si>
    <t>vety</t>
  </si>
  <si>
    <t>Excluded</t>
  </si>
  <si>
    <t>Joutsenon voimalaitos</t>
  </si>
  <si>
    <t>Adven Oy, Levi</t>
  </si>
  <si>
    <t>Levin kaukolämpö, Kittilä</t>
  </si>
  <si>
    <t>Savukaasupesuri</t>
  </si>
  <si>
    <t>..</t>
  </si>
  <si>
    <t>Adven Oy, Loppi</t>
  </si>
  <si>
    <t>Loppi KPA-laitos LK283</t>
  </si>
  <si>
    <t>Adven Oy, Nokia (Pitkäniemi)</t>
  </si>
  <si>
    <t>LK093</t>
  </si>
  <si>
    <t>maka</t>
  </si>
  <si>
    <t>LK148</t>
  </si>
  <si>
    <t>Adven Oy, Nummela</t>
  </si>
  <si>
    <t>Nummela KPA</t>
  </si>
  <si>
    <t>LK71</t>
  </si>
  <si>
    <t>kö</t>
  </si>
  <si>
    <t>LK44</t>
  </si>
  <si>
    <t>Nummela</t>
  </si>
  <si>
    <t>Adven Oy, Parikkala</t>
  </si>
  <si>
    <t>LK320 Parikkala</t>
  </si>
  <si>
    <t>LK321 Saari</t>
  </si>
  <si>
    <t>Adven Oy, Sastamala (Pehula)</t>
  </si>
  <si>
    <t>Pehula</t>
  </si>
  <si>
    <t>Adven Oy, Sastamala (Vammala)</t>
  </si>
  <si>
    <t xml:space="preserve">Vammala </t>
  </si>
  <si>
    <t>Vammala</t>
  </si>
  <si>
    <t>Adven Oy, Seinäjoki (Ylistaro, Halkosaari)</t>
  </si>
  <si>
    <t>LK104 Ylistaro</t>
  </si>
  <si>
    <t>LK190 Halkosaari</t>
  </si>
  <si>
    <t>Adven Oy, Siilinjärvi</t>
  </si>
  <si>
    <t>muu</t>
  </si>
  <si>
    <t>Adven Oy, Siuntio</t>
  </si>
  <si>
    <t>LK 101</t>
  </si>
  <si>
    <t>Adven Oy, Sonkajärvi</t>
  </si>
  <si>
    <t>LK139 Sonkajärvi</t>
  </si>
  <si>
    <t>Adven Oy, Ylämylly-Honkalampi</t>
  </si>
  <si>
    <t>LK193</t>
  </si>
  <si>
    <t>LK279</t>
  </si>
  <si>
    <t>LK170</t>
  </si>
  <si>
    <t>Alajärven Lämpö Oy</t>
  </si>
  <si>
    <t>Alajärvi</t>
  </si>
  <si>
    <t>Alavuden Lämpö Oy</t>
  </si>
  <si>
    <t>Rekolan lämpökeskus</t>
  </si>
  <si>
    <t>Salmentien lämpökeskus</t>
  </si>
  <si>
    <t>Yläasteen lämpökeskus</t>
  </si>
  <si>
    <t>Aseman lämpökeskus</t>
  </si>
  <si>
    <t>Tuurin lämpökeskus</t>
  </si>
  <si>
    <t>Alkkulan Aluelämpö Oy</t>
  </si>
  <si>
    <t>Lämpökeskus 2</t>
  </si>
  <si>
    <t>Lämpökeskus 3</t>
  </si>
  <si>
    <t>Aurora Lämpö Oy, Kolari</t>
  </si>
  <si>
    <t>Lämpökeskus</t>
  </si>
  <si>
    <t>Ylläsjärven lämpökeskus</t>
  </si>
  <si>
    <t>Aurora Lämpö Oy, Savukoski</t>
  </si>
  <si>
    <t>Savukoski</t>
  </si>
  <si>
    <t>Etelä-Savon Energia Oy</t>
  </si>
  <si>
    <t>Pursiala</t>
  </si>
  <si>
    <t>Siekkilä</t>
  </si>
  <si>
    <t xml:space="preserve">SLK 2 </t>
  </si>
  <si>
    <t>Otava</t>
  </si>
  <si>
    <t>Tikkala</t>
  </si>
  <si>
    <t>Rokkala</t>
  </si>
  <si>
    <t>Kyyhkylä</t>
  </si>
  <si>
    <t>Haapajärven Lämpö Oy</t>
  </si>
  <si>
    <t xml:space="preserve">Viikatetie </t>
  </si>
  <si>
    <t>Klk 2</t>
  </si>
  <si>
    <t>Rantakatu</t>
  </si>
  <si>
    <t>Rantakatu 26 A</t>
  </si>
  <si>
    <t>Haminan Kaukolämpö Oy</t>
  </si>
  <si>
    <t>Ruissalo</t>
  </si>
  <si>
    <t>Varuskunta Keskusta</t>
  </si>
  <si>
    <t>Harju</t>
  </si>
  <si>
    <t>Paavonpolun lämpökeskus</t>
  </si>
  <si>
    <t>KPA-laitos</t>
  </si>
  <si>
    <t>Herrfors Oy Ab, Alavieska</t>
  </si>
  <si>
    <t>Alavieska</t>
  </si>
  <si>
    <t>Herrfors Oy Ab, Pietarsaari</t>
  </si>
  <si>
    <t>Itälä</t>
  </si>
  <si>
    <t>Siikaluoto</t>
  </si>
  <si>
    <t>Herrfors Oy Ab, Ylivieska</t>
  </si>
  <si>
    <t>Raudaskylä</t>
  </si>
  <si>
    <t>Tulolantie</t>
  </si>
  <si>
    <t>Hyvinkään Lämpövoima Oy</t>
  </si>
  <si>
    <t>Sahanmäki</t>
  </si>
  <si>
    <t>Suokatu</t>
  </si>
  <si>
    <t>Veikkari</t>
  </si>
  <si>
    <t>biok</t>
  </si>
  <si>
    <t>Imatran Lämpö Oy</t>
  </si>
  <si>
    <t>Linnala</t>
  </si>
  <si>
    <t>Immola</t>
  </si>
  <si>
    <t>Rajapatsas</t>
  </si>
  <si>
    <t>Kuusirinne</t>
  </si>
  <si>
    <t>Kanavakatu</t>
  </si>
  <si>
    <t>Imatrankoski</t>
  </si>
  <si>
    <t>Honkaharju</t>
  </si>
  <si>
    <t>Sienimäki</t>
  </si>
  <si>
    <t>Virasoja bio</t>
  </si>
  <si>
    <t>Immola bio</t>
  </si>
  <si>
    <t>Rajapatsas bio</t>
  </si>
  <si>
    <t>Imatrankosken lämpöpumppu</t>
  </si>
  <si>
    <t>Inergia Lämpö Oy</t>
  </si>
  <si>
    <t>Ivalo</t>
  </si>
  <si>
    <t>Saariselkä</t>
  </si>
  <si>
    <t>Inari</t>
  </si>
  <si>
    <t>Liinahamari</t>
  </si>
  <si>
    <t>Nukkumajoki</t>
  </si>
  <si>
    <t>Aviakaari</t>
  </si>
  <si>
    <t>Virastotalo</t>
  </si>
  <si>
    <t>Leiritie</t>
  </si>
  <si>
    <t>Joutsan Lämpö Oy</t>
  </si>
  <si>
    <t>Myllytien varalämpökeskus</t>
  </si>
  <si>
    <t>Pertunmaantien lämpölaitos</t>
  </si>
  <si>
    <t>Juuan Kaukolämpö Oy</t>
  </si>
  <si>
    <t>Juuan lämpökeskus</t>
  </si>
  <si>
    <t>Juuan Lämpökeskus 2</t>
  </si>
  <si>
    <t>Jämsän Aluelämpö Oy</t>
  </si>
  <si>
    <t>Pietilä</t>
  </si>
  <si>
    <t xml:space="preserve">Konila </t>
  </si>
  <si>
    <t>Halli</t>
  </si>
  <si>
    <t>Kalajoen Lämpö Oy</t>
  </si>
  <si>
    <t>Pirkonsuon KPA</t>
  </si>
  <si>
    <t>Pirkonsuon POK</t>
  </si>
  <si>
    <t>1988-2010</t>
  </si>
  <si>
    <t>Hiekkasärkkien KPA</t>
  </si>
  <si>
    <t>Hiekkasärkkien POK</t>
  </si>
  <si>
    <t>Himangan KPA</t>
  </si>
  <si>
    <t>Himangan POK</t>
  </si>
  <si>
    <t>Kangasalan Lämpö Oy</t>
  </si>
  <si>
    <t>Lentola</t>
  </si>
  <si>
    <t>Pikonkangas</t>
  </si>
  <si>
    <t>Vatiala</t>
  </si>
  <si>
    <t>Riunranta</t>
  </si>
  <si>
    <t>Ranta-Koivisto</t>
  </si>
  <si>
    <t>Kannuksen Kaukolämpö Oy</t>
  </si>
  <si>
    <t>KPA-keskus</t>
  </si>
  <si>
    <t>Biokattilalaitos</t>
  </si>
  <si>
    <t>Karvian Lämpö Oy</t>
  </si>
  <si>
    <t>laajennus</t>
  </si>
  <si>
    <t>Kauhajoen Lämpöhuolto Oy</t>
  </si>
  <si>
    <t>Lellava</t>
  </si>
  <si>
    <t>Aro</t>
  </si>
  <si>
    <t>Koivisto-Kokko</t>
  </si>
  <si>
    <t>Pikikuja KPA</t>
  </si>
  <si>
    <t xml:space="preserve">Pikikuja </t>
  </si>
  <si>
    <t>Kauhavan Kaukolämpö Oy</t>
  </si>
  <si>
    <t>Alahärmä</t>
  </si>
  <si>
    <t>Kahava vanha</t>
  </si>
  <si>
    <t>Kauhava uusi</t>
  </si>
  <si>
    <t>Ylihärmä</t>
  </si>
  <si>
    <t>Ylihärmän varapaketti</t>
  </si>
  <si>
    <t>Kortesjärvi</t>
  </si>
  <si>
    <t>Kauhava LSK</t>
  </si>
  <si>
    <t>Kauhava lto lämpöpumppu</t>
  </si>
  <si>
    <t>Kauhava kylmäverkko</t>
  </si>
  <si>
    <t>Kausalan Kaukolämpö Oy</t>
  </si>
  <si>
    <t>Asemantie</t>
  </si>
  <si>
    <t>Kemijärven lämpö ja vesi Oy</t>
  </si>
  <si>
    <t>Turvelaitos</t>
  </si>
  <si>
    <t>Seinälä</t>
  </si>
  <si>
    <t>Ammattikoulu</t>
  </si>
  <si>
    <t>Suomu</t>
  </si>
  <si>
    <t>KeVo</t>
  </si>
  <si>
    <t>Kemin Energia ja Vesi Oy</t>
  </si>
  <si>
    <t>Karjalahti</t>
  </si>
  <si>
    <t>KPA1-lämpökeskus</t>
  </si>
  <si>
    <t>KPA2-lämpökeskus</t>
  </si>
  <si>
    <t>Keminmaan Energia ja Vesi Oy</t>
  </si>
  <si>
    <t>Kpa-lämpölaitos</t>
  </si>
  <si>
    <t>Sannitien lämpölaitos</t>
  </si>
  <si>
    <t>Keravan Energia Oy, Kerava</t>
  </si>
  <si>
    <t>Ylikerava</t>
  </si>
  <si>
    <t>Alikerava</t>
  </si>
  <si>
    <t>Ahjo</t>
  </si>
  <si>
    <t>Pihkaniitty</t>
  </si>
  <si>
    <t>Kannisto</t>
  </si>
  <si>
    <t>Keravan Energia Oy, Sipoo</t>
  </si>
  <si>
    <t>Söderkulla</t>
  </si>
  <si>
    <t>Ingman</t>
  </si>
  <si>
    <t>K.Hartwall</t>
  </si>
  <si>
    <t>Hansas</t>
  </si>
  <si>
    <t>Tarapot</t>
  </si>
  <si>
    <t>Keuruun Lämpövoima Oy</t>
  </si>
  <si>
    <t>Sepänkuja</t>
  </si>
  <si>
    <t>Ketvelniemi</t>
  </si>
  <si>
    <t>Keurusselkä</t>
  </si>
  <si>
    <t>Punojantie</t>
  </si>
  <si>
    <t>Yläaste HPMKI</t>
  </si>
  <si>
    <t>Haapamäki, hakelämpölaitos</t>
  </si>
  <si>
    <t>Varissaari 2</t>
  </si>
  <si>
    <t>Varissaari 1</t>
  </si>
  <si>
    <t>Kiteen Lämpö Oy</t>
  </si>
  <si>
    <t>Koulukeskus</t>
  </si>
  <si>
    <t xml:space="preserve">Arppe </t>
  </si>
  <si>
    <t>Selkue KPA</t>
  </si>
  <si>
    <t xml:space="preserve">Selkue </t>
  </si>
  <si>
    <t>Arppe KPA</t>
  </si>
  <si>
    <t>Kittilän Aluelämpö Oy</t>
  </si>
  <si>
    <t>Linnatie</t>
  </si>
  <si>
    <t>Linnatie bio2</t>
  </si>
  <si>
    <t>Kokemäen Lämpö Oy</t>
  </si>
  <si>
    <t>Kartanonvoima 6, K1</t>
  </si>
  <si>
    <t>Kartanonvoima 6, Novell</t>
  </si>
  <si>
    <t>K6</t>
  </si>
  <si>
    <t>Perunakatu 1, K5</t>
  </si>
  <si>
    <t>Perunakatu 1, POK2</t>
  </si>
  <si>
    <t>Sini</t>
  </si>
  <si>
    <t>Putsari LK</t>
  </si>
  <si>
    <t>Kokkolan Energia</t>
  </si>
  <si>
    <t>Kosilan huippu- ja varalämpökeskus</t>
  </si>
  <si>
    <t>Boliden Kokkola Oy rikkihappotehtaan lämmön talteenotto</t>
  </si>
  <si>
    <t>Kokkolan Energia Oy Power</t>
  </si>
  <si>
    <t>Kokkolan Energia Oy Voima</t>
  </si>
  <si>
    <t>Kotkan Energia Oy</t>
  </si>
  <si>
    <t>Itäkatu 6</t>
  </si>
  <si>
    <t>Loitsutie 2</t>
  </si>
  <si>
    <t>Kuitukatu 3</t>
  </si>
  <si>
    <t>Hyötyvoimala</t>
  </si>
  <si>
    <t>sijä</t>
  </si>
  <si>
    <t>KSS Lämpö Oy, Kouvola</t>
  </si>
  <si>
    <t>Kiskokatu</t>
  </si>
  <si>
    <t>Kekkurintie</t>
  </si>
  <si>
    <t>Kymintehdas</t>
  </si>
  <si>
    <t>Urheilualue</t>
  </si>
  <si>
    <t>Keskuslaitos</t>
  </si>
  <si>
    <t>Keltti lämpökeskus</t>
  </si>
  <si>
    <t>Sairaalan lämpökeskus</t>
  </si>
  <si>
    <t>Mäentausta</t>
  </si>
  <si>
    <t>Sairaalankaari</t>
  </si>
  <si>
    <t>Kytöahonkuja</t>
  </si>
  <si>
    <t>Kupparintie</t>
  </si>
  <si>
    <t>Ratatie</t>
  </si>
  <si>
    <t>Hurjanhaka ja Jaakonkara</t>
  </si>
  <si>
    <t>Valkealan lämpökeskus</t>
  </si>
  <si>
    <t>Valkeala Bio lämpökeskus/kasu</t>
  </si>
  <si>
    <t>Valkeala Bio lämpökeskus/hake</t>
  </si>
  <si>
    <t>Kuopion Energia Oy</t>
  </si>
  <si>
    <t>Niirala</t>
  </si>
  <si>
    <t>Saarijärvi</t>
  </si>
  <si>
    <t>Iloharju</t>
  </si>
  <si>
    <t>Jynkkä</t>
  </si>
  <si>
    <t>Pitkälahti</t>
  </si>
  <si>
    <t>Päiväranta</t>
  </si>
  <si>
    <t>Rautaniemi</t>
  </si>
  <si>
    <t>KJ-laitoksen LP2</t>
  </si>
  <si>
    <t>Museo-Kirjaston CHC</t>
  </si>
  <si>
    <t>Lumit CHC</t>
  </si>
  <si>
    <t>Lääninhallitus CHC</t>
  </si>
  <si>
    <t>Niuvan CHC</t>
  </si>
  <si>
    <t>Valteri CHC</t>
  </si>
  <si>
    <t>Haapaniemi 2 ja 3 (HP2 savukaasupesuri 46 MW v. 2015)</t>
  </si>
  <si>
    <t>Pitkälahden moottorivoimalaitos</t>
  </si>
  <si>
    <t>Kuortaneen energiaosuuskunta</t>
  </si>
  <si>
    <t>Sampola</t>
  </si>
  <si>
    <t>Kortesmäki</t>
  </si>
  <si>
    <t>Kurikan Energia Oy</t>
  </si>
  <si>
    <t>Jousimiehenk. 3, Kurikka</t>
  </si>
  <si>
    <t>Nummentie, Kurikka</t>
  </si>
  <si>
    <t>Nikkarintie, Kurikka</t>
  </si>
  <si>
    <t>Salontie 14, Jurva</t>
  </si>
  <si>
    <t>Trahteerintie, Ilmajoki</t>
  </si>
  <si>
    <t>Palkkitie, Ilmajoki</t>
  </si>
  <si>
    <t>Ilmajoentie, Ilmajoki</t>
  </si>
  <si>
    <t>Koulukeskus, Ilmajoki</t>
  </si>
  <si>
    <t>Ilmailutie, Pojanluoma</t>
  </si>
  <si>
    <t>Jakk, Jalasjärvi</t>
  </si>
  <si>
    <t>Lähdetie 2, Jalasjärvi</t>
  </si>
  <si>
    <t>Kurikan Jäähalli</t>
  </si>
  <si>
    <t>Kuusamon energia- ja vesiosuuskunta</t>
  </si>
  <si>
    <t>Näverintien lämpökeskus</t>
  </si>
  <si>
    <t>Tolpanniemien lämpökeskus</t>
  </si>
  <si>
    <t>Ammattikoulun lämpökeskus</t>
  </si>
  <si>
    <t>Torangin lämpökeskus</t>
  </si>
  <si>
    <t>Kylpylän lämpökeskus</t>
  </si>
  <si>
    <t>Louhi</t>
  </si>
  <si>
    <t>Rukan biolämpölaitos</t>
  </si>
  <si>
    <t>Rukan lämpökeskus</t>
  </si>
  <si>
    <t>Köyliön-Säkylän Sähkö Oy</t>
  </si>
  <si>
    <t>KPA-lämpökeskus</t>
  </si>
  <si>
    <t>Lahti Energia Oy, Asikkala</t>
  </si>
  <si>
    <t>Tunnelinsuu</t>
  </si>
  <si>
    <t>1991 /2012</t>
  </si>
  <si>
    <t>BioVääksy</t>
  </si>
  <si>
    <t>Lahti Energia Oy, Hollola</t>
  </si>
  <si>
    <t>Keskikankaantie</t>
  </si>
  <si>
    <t>Soramäki</t>
  </si>
  <si>
    <t>Lahti Energia Oy, Lahti</t>
  </si>
  <si>
    <t>Keskussairaala</t>
  </si>
  <si>
    <t>Liipola</t>
  </si>
  <si>
    <t>Hartwall</t>
  </si>
  <si>
    <t>Rautakankare</t>
  </si>
  <si>
    <t>Teivaanmäki</t>
  </si>
  <si>
    <t>Mukkula</t>
  </si>
  <si>
    <t>Nikula</t>
  </si>
  <si>
    <t>Ahtialan lämpökeskus</t>
  </si>
  <si>
    <t>Rakokivi</t>
  </si>
  <si>
    <t>Ilmarisentie</t>
  </si>
  <si>
    <t>Ruokotie</t>
  </si>
  <si>
    <t>Renkomäki</t>
  </si>
  <si>
    <t>Ali-Juhakkala</t>
  </si>
  <si>
    <t>Kymijärvi 2, höyrykattila</t>
  </si>
  <si>
    <t>Kymijärvi 3, höyrykattila</t>
  </si>
  <si>
    <t>Kymijärvi, kaasuturbiini</t>
  </si>
  <si>
    <t>Koneharju</t>
  </si>
  <si>
    <t>Laihian Nuuka Lämpö Oy</t>
  </si>
  <si>
    <t>Kpa</t>
  </si>
  <si>
    <t>Pok</t>
  </si>
  <si>
    <t>Laitilan Lämpö Oy</t>
  </si>
  <si>
    <t>Pappilantien Lk</t>
  </si>
  <si>
    <t>Meijerin Lk</t>
  </si>
  <si>
    <t>Lappajärven Lämpö Oy</t>
  </si>
  <si>
    <t>Hyytisentie</t>
  </si>
  <si>
    <t>Kankaantie</t>
  </si>
  <si>
    <t>Lempeä Lämpö Oy, Hartola</t>
  </si>
  <si>
    <t>Asolan varalämpökeskus</t>
  </si>
  <si>
    <t>Lempeä Lämpö Oy, Juva</t>
  </si>
  <si>
    <t>Puutarhatien lämpölaitos</t>
  </si>
  <si>
    <t>Tirrolan lämpökeskus</t>
  </si>
  <si>
    <t>Lempeä Lämpö Oy, Kangasniemi</t>
  </si>
  <si>
    <t>Keskusta</t>
  </si>
  <si>
    <t>Vanhainkoti</t>
  </si>
  <si>
    <t>Biolämpölaitos</t>
  </si>
  <si>
    <t>Lempeä Lämpö Oy, Mäntyharju</t>
  </si>
  <si>
    <t>Pentinpelto</t>
  </si>
  <si>
    <t>Hakelämpökeskus</t>
  </si>
  <si>
    <t>Lempeä Lämpö Oy, Pertunmaa</t>
  </si>
  <si>
    <t>Paloaseman lämpökeskus</t>
  </si>
  <si>
    <t>Lempeä Lämpö Oy, Puumala</t>
  </si>
  <si>
    <t>Puumalan lämpölaitos</t>
  </si>
  <si>
    <t>Puumalan hybridilämpölaitos</t>
  </si>
  <si>
    <t>säh</t>
  </si>
  <si>
    <t>Lempeä Lämpö Oy, Rantasalmi</t>
  </si>
  <si>
    <t>Nikkarintien lämpölaitos</t>
  </si>
  <si>
    <t>Kuivaamontien lämpölaitos</t>
  </si>
  <si>
    <t>Lempeä Lämpö Oy, Savonlinna</t>
  </si>
  <si>
    <t>SKS</t>
  </si>
  <si>
    <t>Kaikuvuori 1</t>
  </si>
  <si>
    <t>Kaikuvuori 2</t>
  </si>
  <si>
    <t>Inkerinkylä</t>
  </si>
  <si>
    <t>Laitaatsillan biolämpölaitos</t>
  </si>
  <si>
    <t>Lempäälän Lämpö Oy</t>
  </si>
  <si>
    <t>Moisio</t>
  </si>
  <si>
    <t>Makasiinitie</t>
  </si>
  <si>
    <t>Varastotien lämpökeskus</t>
  </si>
  <si>
    <t>Tenkasen mylly</t>
  </si>
  <si>
    <t>Kl-akku</t>
  </si>
  <si>
    <t>Leppäkosken Lämpö Oy, Hämeenkyrö</t>
  </si>
  <si>
    <t>Puronsuun lk</t>
  </si>
  <si>
    <t>Leppäkosken Lämpö Oy, Ikaalinen</t>
  </si>
  <si>
    <t>Kylpylän Lk</t>
  </si>
  <si>
    <t>Kylpylän pellettilk</t>
  </si>
  <si>
    <t>MVL pellettikattila</t>
  </si>
  <si>
    <t>Palinperän lk</t>
  </si>
  <si>
    <t>maakaasulaitos</t>
  </si>
  <si>
    <t>Leppäkosken Lämpö Oy, Nokia</t>
  </si>
  <si>
    <t>Viholan pellettilämpökeskus</t>
  </si>
  <si>
    <t>Voimalaitoksen lämpökeskus</t>
  </si>
  <si>
    <t>Nosturikadun lämpökeskus</t>
  </si>
  <si>
    <t>Leppäkosken Lämpö Oy, Parkano</t>
  </si>
  <si>
    <t>Varalämpökeskus</t>
  </si>
  <si>
    <t>Meijeri</t>
  </si>
  <si>
    <t>KiIvelän lämpökeskus</t>
  </si>
  <si>
    <t>Leppäkosken Lämpö Oy, Ylöjärvi</t>
  </si>
  <si>
    <t>Kivilähteentie</t>
  </si>
  <si>
    <t>Liedon Lämpö Oy</t>
  </si>
  <si>
    <t>Taatila</t>
  </si>
  <si>
    <t>Piispala</t>
  </si>
  <si>
    <t>Avanti</t>
  </si>
  <si>
    <t>Ilmarinen</t>
  </si>
  <si>
    <t>Nuolemo</t>
  </si>
  <si>
    <t>Luolakallio</t>
  </si>
  <si>
    <t>Kunnantalo</t>
  </si>
  <si>
    <t>Lohjan Energiahuolto Oy Loher</t>
  </si>
  <si>
    <t>Tytyri</t>
  </si>
  <si>
    <t>Sammatin hakelämpölaitos</t>
  </si>
  <si>
    <t>Ojamo, Antinkatu 5</t>
  </si>
  <si>
    <t>Routio, Salmenmäentie 22</t>
  </si>
  <si>
    <t>Pusulan hakelämpölaitos</t>
  </si>
  <si>
    <t>Nummen hakelämpölaitos</t>
  </si>
  <si>
    <t>Virkkala, Tynninharjuntie</t>
  </si>
  <si>
    <t>Mäntynummi, Hakulintie</t>
  </si>
  <si>
    <t>Virkkala, biolämpökeskus</t>
  </si>
  <si>
    <t>Loimaan Kaukolämpö Oy</t>
  </si>
  <si>
    <t>Lämpövarikko</t>
  </si>
  <si>
    <t>Myllykylän keskus</t>
  </si>
  <si>
    <t>Sunin varavoima</t>
  </si>
  <si>
    <t>Aleksiskiven varavoima</t>
  </si>
  <si>
    <t>Varaston varavoima</t>
  </si>
  <si>
    <t>Niittukulman varavoima</t>
  </si>
  <si>
    <t>Loimua Oy, Akaa</t>
  </si>
  <si>
    <t>Savola</t>
  </si>
  <si>
    <t>Käenoja</t>
  </si>
  <si>
    <t>Loimua Oy, Heinola</t>
  </si>
  <si>
    <t>Jyränkö</t>
  </si>
  <si>
    <t>Sammalpuisto</t>
  </si>
  <si>
    <t>Sahanniemi</t>
  </si>
  <si>
    <t>Vuohkallio</t>
  </si>
  <si>
    <t>Loimua Oy, Hämeenlinna</t>
  </si>
  <si>
    <t>Kauriala</t>
  </si>
  <si>
    <t>Keinusaari</t>
  </si>
  <si>
    <t>Ahvenisto</t>
  </si>
  <si>
    <t>Katuma</t>
  </si>
  <si>
    <t>Sairaala</t>
  </si>
  <si>
    <t>Sairionranta</t>
  </si>
  <si>
    <t>Parolannummen lämpökeskus</t>
  </si>
  <si>
    <t>Kalevalanpuistotie lk, Lammi</t>
  </si>
  <si>
    <t>Puhdistamon lk, Lammi</t>
  </si>
  <si>
    <t>Lammi KPA-kattila</t>
  </si>
  <si>
    <t>Vanaja K6</t>
  </si>
  <si>
    <t>Hauho KPA-kattila</t>
  </si>
  <si>
    <t>Vanaja (leijukattila)</t>
  </si>
  <si>
    <t>Vanaja (kaasuturbiini)</t>
  </si>
  <si>
    <t>Loimua Oy, Janakkala</t>
  </si>
  <si>
    <t>Turengin lk</t>
  </si>
  <si>
    <t>Kuumolan lk</t>
  </si>
  <si>
    <t>Turenki kpa</t>
  </si>
  <si>
    <t>Turenki lk</t>
  </si>
  <si>
    <t>Loimua Oy, Jyväskylän seutu</t>
  </si>
  <si>
    <t>Kantolantie/Laukaa</t>
  </si>
  <si>
    <t>Uurainen/Uurainen</t>
  </si>
  <si>
    <t>jätes</t>
  </si>
  <si>
    <t>Lentoemännäntie/Laukaa</t>
  </si>
  <si>
    <t>Kolu/Jyväskylä</t>
  </si>
  <si>
    <t>Elementtitie/Tikkakoski</t>
  </si>
  <si>
    <t>Loimua Oy, Kärsämäki</t>
  </si>
  <si>
    <t>Varastotie 1</t>
  </si>
  <si>
    <t>Loimua Oy, Oulainen</t>
  </si>
  <si>
    <t>Konttila</t>
  </si>
  <si>
    <t>Koskela</t>
  </si>
  <si>
    <t>Oulaskangas</t>
  </si>
  <si>
    <t>Junnikkala</t>
  </si>
  <si>
    <t>Loimua Oy, Vilppula</t>
  </si>
  <si>
    <t>Puhdistamo</t>
  </si>
  <si>
    <t>Vanha Paloasema</t>
  </si>
  <si>
    <t>Loiste Lämpö Oy</t>
  </si>
  <si>
    <t>Palokangas</t>
  </si>
  <si>
    <t>Lohtaja</t>
  </si>
  <si>
    <t>Loviisan Lämpö Oy, Loviisa, Pornainen, Pukkila, Pyhtää</t>
  </si>
  <si>
    <t>Urakoitsijantie TLK</t>
  </si>
  <si>
    <t>Urakoitsijantie KPA</t>
  </si>
  <si>
    <t>Valkon lämpölaitos</t>
  </si>
  <si>
    <t>Määrlahden lämpölaitos</t>
  </si>
  <si>
    <t>Urakoitsijantie KPA 2</t>
  </si>
  <si>
    <t>Pyhtää Siltakylä lämpölaitos</t>
  </si>
  <si>
    <t>Pyhtää KK lämpölaitos</t>
  </si>
  <si>
    <t>Lappohjan lämpölaitos</t>
  </si>
  <si>
    <t>Pukkilan lämpölaitos</t>
  </si>
  <si>
    <t xml:space="preserve">Pornaisten KPA </t>
  </si>
  <si>
    <t>Lämpö Korpela Oy</t>
  </si>
  <si>
    <t>Sievin lämpölaitos</t>
  </si>
  <si>
    <t>Mariehamns Energi Ab</t>
  </si>
  <si>
    <t>Dieselkraftvärmeverk G4</t>
  </si>
  <si>
    <t>Mäntän Kaukolämpö ja Vesihuolto Oy</t>
  </si>
  <si>
    <t>Mustalahti</t>
  </si>
  <si>
    <t>Kolho</t>
  </si>
  <si>
    <t>Neve Oy, Rovaniemi</t>
  </si>
  <si>
    <t>Kantaverkko</t>
  </si>
  <si>
    <t>Nivavaara</t>
  </si>
  <si>
    <t>Muurola</t>
  </si>
  <si>
    <t>Sky-hotelli</t>
  </si>
  <si>
    <t>Rautiosaari</t>
  </si>
  <si>
    <t>Hilleritien</t>
  </si>
  <si>
    <t>Nevel Oy, Forssa</t>
  </si>
  <si>
    <t>Koikkurintie</t>
  </si>
  <si>
    <t>Lepistönkatu</t>
  </si>
  <si>
    <t>Jokioinen</t>
  </si>
  <si>
    <t>MTT</t>
  </si>
  <si>
    <t>Nevel Oy, Ii</t>
  </si>
  <si>
    <t>Nevel Oy, Ilomantsi</t>
  </si>
  <si>
    <t>Teollisuustie</t>
  </si>
  <si>
    <t>Nevel Oy, Joensuu (Hammaslahti, Reijola)</t>
  </si>
  <si>
    <t>Hammaslahti Paavontie</t>
  </si>
  <si>
    <t>Hammaslahti Paavontie (POK)</t>
  </si>
  <si>
    <t>Reijola Tiedonpolku 3</t>
  </si>
  <si>
    <t>Nevel Oy, Karkkila</t>
  </si>
  <si>
    <t>Karkkila Huhdintie POK</t>
  </si>
  <si>
    <t>Karkkila Puhdistamontie</t>
  </si>
  <si>
    <t>Nevel Oy, Kemi</t>
  </si>
  <si>
    <t>Nevel Oy, Lieksa</t>
  </si>
  <si>
    <t>Rantakylä</t>
  </si>
  <si>
    <t>Teollisuuskylä</t>
  </si>
  <si>
    <t>Voimalaitos Ahlström</t>
  </si>
  <si>
    <t>Voimalaitos Wärtsilä</t>
  </si>
  <si>
    <t>Voimalaitos Bio</t>
  </si>
  <si>
    <t>Kevätniemen voimalaitos</t>
  </si>
  <si>
    <t>Nevel Oy, Mynämäki</t>
  </si>
  <si>
    <t>Mynämäki pelletti</t>
  </si>
  <si>
    <t>Mynämäki POK</t>
  </si>
  <si>
    <t>Mynämäki KPA</t>
  </si>
  <si>
    <t>Nevel Oy, Petäjävesi</t>
  </si>
  <si>
    <t>KPA</t>
  </si>
  <si>
    <t>POK</t>
  </si>
  <si>
    <t>Nevel Oy, Ruovesi</t>
  </si>
  <si>
    <t>Ruovesi POK</t>
  </si>
  <si>
    <t>Ruovesi KPA</t>
  </si>
  <si>
    <t>Nevel Oy, Rääkkylä</t>
  </si>
  <si>
    <t>Rääkkylä KPA</t>
  </si>
  <si>
    <t>Rääkkylä POK</t>
  </si>
  <si>
    <t>Nevel Oy, Salon Energiantuotanto Oy</t>
  </si>
  <si>
    <t>Salon voimalaitos</t>
  </si>
  <si>
    <t>Nevel Oy, Sotkamo</t>
  </si>
  <si>
    <t>Vuokatti 1 Lastaajantie</t>
  </si>
  <si>
    <t>Vuokatti 2 Sahakuja</t>
  </si>
  <si>
    <t>Nevel Oy, Sysmä</t>
  </si>
  <si>
    <t xml:space="preserve">Arinatie </t>
  </si>
  <si>
    <t>Nevel Oy, Tohmajärvi</t>
  </si>
  <si>
    <t>Tohmajärvi KPA</t>
  </si>
  <si>
    <t>Tohmajärvi POK</t>
  </si>
  <si>
    <t>Nevel Oy, Tuusula (Jokela)</t>
  </si>
  <si>
    <t>Opintie POK</t>
  </si>
  <si>
    <t>Vaihdemiehentie KPA</t>
  </si>
  <si>
    <t>Vaihdemiehentie POK</t>
  </si>
  <si>
    <t>Nevel Oy, Utajärvi</t>
  </si>
  <si>
    <t>Koulu</t>
  </si>
  <si>
    <t>Utajärvi KPA</t>
  </si>
  <si>
    <t>Kinnusen mylly</t>
  </si>
  <si>
    <t>kapa</t>
  </si>
  <si>
    <t>Nevel Oy, Vehmersalmi</t>
  </si>
  <si>
    <t xml:space="preserve">Vehmersalmen pellettilämpökeskus </t>
  </si>
  <si>
    <t>Nivalan Kaukolämpö Oy</t>
  </si>
  <si>
    <t>Kyläoja</t>
  </si>
  <si>
    <t>Nivos Vesi ja Lämpö Oy, Mäntsälä</t>
  </si>
  <si>
    <t>Ruusutarhat A</t>
  </si>
  <si>
    <t>Ruusutarhat B</t>
  </si>
  <si>
    <t>Liedontie</t>
  </si>
  <si>
    <t>Kapuli</t>
  </si>
  <si>
    <t>Saari</t>
  </si>
  <si>
    <t>Numminen</t>
  </si>
  <si>
    <t>Saari pellettilaitos</t>
  </si>
  <si>
    <t>Hyökännummi</t>
  </si>
  <si>
    <t>Kapulin biolämpölaitos</t>
  </si>
  <si>
    <t>Kapuli LTO</t>
  </si>
  <si>
    <t>Nurmeksen Lämpö Oy</t>
  </si>
  <si>
    <t>Ritoniemi</t>
  </si>
  <si>
    <t>Vinkerlahti</t>
  </si>
  <si>
    <t>Valtimo</t>
  </si>
  <si>
    <t>Nurmijärven Sähkö Oy</t>
  </si>
  <si>
    <t>Kirkonkylä Kpö-kattila</t>
  </si>
  <si>
    <t>Kirkonkylä Kpö-Kattila</t>
  </si>
  <si>
    <t>Kirkonkylä Kpa-Kattila</t>
  </si>
  <si>
    <t>Klaukkala Kpa-Kattila</t>
  </si>
  <si>
    <t>Klaukkala Kpö-kattila</t>
  </si>
  <si>
    <t>Klaukkala biokaasu-kattila</t>
  </si>
  <si>
    <t>Klaukkala pelletti-Kattila</t>
  </si>
  <si>
    <t>Rajamäki Kpa-Kattila</t>
  </si>
  <si>
    <t>Rajamäki Kpö-kattila</t>
  </si>
  <si>
    <t>Nykarleby Kraftverk</t>
  </si>
  <si>
    <t>KPA kattilalatos 3+3 MW</t>
  </si>
  <si>
    <t>KPÖ Kattilalaitos 2+2 MW</t>
  </si>
  <si>
    <t>KPÖ Kattilalaitos 2,5 MW</t>
  </si>
  <si>
    <t>Okun Energia Oy, Outokumpu</t>
  </si>
  <si>
    <t>Mustola</t>
  </si>
  <si>
    <t>Kehkola/nestekaasu</t>
  </si>
  <si>
    <t>Kehkola/KPA1</t>
  </si>
  <si>
    <t>Kehkola/KPA2</t>
  </si>
  <si>
    <t>Orimattilan Lämpö Oy</t>
  </si>
  <si>
    <t>Orion</t>
  </si>
  <si>
    <t>Myllylä</t>
  </si>
  <si>
    <t>Käkelä</t>
  </si>
  <si>
    <t>Viljamaa</t>
  </si>
  <si>
    <t>Viljamaan KPA-laitos</t>
  </si>
  <si>
    <t>Artjärvi</t>
  </si>
  <si>
    <t>Artjärven lämpökeskus</t>
  </si>
  <si>
    <t>Otanmäen Lämpö Oy</t>
  </si>
  <si>
    <t>Lämpökuja</t>
  </si>
  <si>
    <t>Kiisu</t>
  </si>
  <si>
    <t>Kumparetie</t>
  </si>
  <si>
    <t>Oulun Seudun Sähkö, Kempele</t>
  </si>
  <si>
    <t>Kempele Keskusta</t>
  </si>
  <si>
    <t>Haapamaa-Honk.</t>
  </si>
  <si>
    <t>Kempele, Ekohaka</t>
  </si>
  <si>
    <t>Ketolanperän koulu</t>
  </si>
  <si>
    <t>Oulun Seudun Sähkö, Liminka</t>
  </si>
  <si>
    <t>Liminka, Kuormatie</t>
  </si>
  <si>
    <t>Liminka,Kramsunkuja</t>
  </si>
  <si>
    <t>Liminka, Ankkurilahti</t>
  </si>
  <si>
    <t>Liminka, Tuiskulanranta</t>
  </si>
  <si>
    <t>auke</t>
  </si>
  <si>
    <t>Oulun Seudun Sähkö, Lumijoki</t>
  </si>
  <si>
    <t>Lumijoki, Poutalantie</t>
  </si>
  <si>
    <t>Oulun Seudun Sähkö, Muhos</t>
  </si>
  <si>
    <t>Muhos, Veturitie</t>
  </si>
  <si>
    <t>Muhos, Päivärinne</t>
  </si>
  <si>
    <t>Oulun Seudun Sähkö, Tyrnävä</t>
  </si>
  <si>
    <t>Tyrnävä, Ketolantie</t>
  </si>
  <si>
    <t>Mäläskänsuora</t>
  </si>
  <si>
    <t>Paimion Lämpökeskus Oy</t>
  </si>
  <si>
    <t>POR</t>
  </si>
  <si>
    <t>Hake</t>
  </si>
  <si>
    <t>Pelletti</t>
  </si>
  <si>
    <t>Savukaasulämpöpumppupesuri</t>
  </si>
  <si>
    <t>Aurinkovoimalaitos</t>
  </si>
  <si>
    <t>Pargas Fjärrvärme Ab Oy</t>
  </si>
  <si>
    <t>Kalkkiranta</t>
  </si>
  <si>
    <t>Tennby</t>
  </si>
  <si>
    <t>Lehtiniemi</t>
  </si>
  <si>
    <t>Pori Energia Oy, Harjavalta</t>
  </si>
  <si>
    <t>Harjavalta 1</t>
  </si>
  <si>
    <t>Harjavalta 2</t>
  </si>
  <si>
    <t>Harjavalta 3</t>
  </si>
  <si>
    <t>Pori Energia Oy, Kristiinankaupunki</t>
  </si>
  <si>
    <t>Kristiina hakekattila</t>
  </si>
  <si>
    <t>Pori Energia Oy, Pori</t>
  </si>
  <si>
    <t>Tiilimäki</t>
  </si>
  <si>
    <t>Puuvilla</t>
  </si>
  <si>
    <t>Ulasoori</t>
  </si>
  <si>
    <t>Metallinkylä</t>
  </si>
  <si>
    <t>Apukattila</t>
  </si>
  <si>
    <t>Reposaari</t>
  </si>
  <si>
    <t>Noormarkku</t>
  </si>
  <si>
    <t>Aurubis lämmönsiirtimet</t>
  </si>
  <si>
    <t>Aittaluoto, RT-kattila</t>
  </si>
  <si>
    <t>Aittaluoto, A-kattila</t>
  </si>
  <si>
    <t>Porin Prosessivoima</t>
  </si>
  <si>
    <t>Porvoon Energia Oy</t>
  </si>
  <si>
    <t>Kipinätie (Lisäosa 2018)</t>
  </si>
  <si>
    <t>Harabacka (Lisäosa 2023)</t>
  </si>
  <si>
    <t>Kirjaltajantie (lisäosa 2008)</t>
  </si>
  <si>
    <t>Tolkkinen 2</t>
  </si>
  <si>
    <t>Raahen Energia Oy</t>
  </si>
  <si>
    <t>LK-3</t>
  </si>
  <si>
    <t>LK-1</t>
  </si>
  <si>
    <t>LK-2</t>
  </si>
  <si>
    <t>LK-4</t>
  </si>
  <si>
    <t>LK-5/2</t>
  </si>
  <si>
    <t>LK-5</t>
  </si>
  <si>
    <t>LK-V1</t>
  </si>
  <si>
    <t>LK-V2</t>
  </si>
  <si>
    <t>Raseborgs Energi Ab</t>
  </si>
  <si>
    <t>Kabelgränds Värmecentral</t>
  </si>
  <si>
    <t>Björknäs biovärmecentral</t>
  </si>
  <si>
    <t>Bio3</t>
  </si>
  <si>
    <t>Bio4</t>
  </si>
  <si>
    <t>Pojo biovärmecentral</t>
  </si>
  <si>
    <t>Pojo oljevärmecentral</t>
  </si>
  <si>
    <t>Rauman Energia Oy</t>
  </si>
  <si>
    <t>Kourujärvi</t>
  </si>
  <si>
    <t>Kaivopuisto</t>
  </si>
  <si>
    <t>Isometsä</t>
  </si>
  <si>
    <t>Kappelinluhta</t>
  </si>
  <si>
    <t>Merirauma</t>
  </si>
  <si>
    <t>Satama</t>
  </si>
  <si>
    <t>Uotila</t>
  </si>
  <si>
    <t>Lakari</t>
  </si>
  <si>
    <t>mpö</t>
  </si>
  <si>
    <t>Riihimäen Kaukolämpö Oy</t>
  </si>
  <si>
    <t>Jokikylä</t>
  </si>
  <si>
    <t>Kontiontie</t>
  </si>
  <si>
    <t>Kaunola</t>
  </si>
  <si>
    <t>Peltokylä</t>
  </si>
  <si>
    <t>Puhdistamontie</t>
  </si>
  <si>
    <t>Kynttilätie</t>
  </si>
  <si>
    <t>Saarijärven Kaukolämpö Oy</t>
  </si>
  <si>
    <t>KPA3-Tarvaala</t>
  </si>
  <si>
    <t>Keskusta (POK)</t>
  </si>
  <si>
    <t>KPA1-Keskustan laitos</t>
  </si>
  <si>
    <t>Kunniavuori (POK)</t>
  </si>
  <si>
    <t>KPA2-Aseman laitos</t>
  </si>
  <si>
    <t>Absorptiolämpöpumppu</t>
  </si>
  <si>
    <t>Salon Kaukolämpö Oy</t>
  </si>
  <si>
    <t>Uhrilähteenkatu</t>
  </si>
  <si>
    <t>Ollikkala</t>
  </si>
  <si>
    <t>Meriniitty</t>
  </si>
  <si>
    <t>Savon Voima Oyj, Iisalmi</t>
  </si>
  <si>
    <t>LK67,Energiakuja</t>
  </si>
  <si>
    <t>LK69, 70, 29 Teollisuuskuja</t>
  </si>
  <si>
    <t>LK91,Kivirannankuja</t>
  </si>
  <si>
    <t>LK96, Kiviranta</t>
  </si>
  <si>
    <t>LK 101 Marjahaka</t>
  </si>
  <si>
    <t>LK118 Levytie</t>
  </si>
  <si>
    <t>Energiakuja, VL2 voimalaitos</t>
  </si>
  <si>
    <t>Savon Voima Oyj, Joensuu</t>
  </si>
  <si>
    <t>Joensuu Kontiosuo</t>
  </si>
  <si>
    <t>Pötkä</t>
  </si>
  <si>
    <t>Käpykangas 1</t>
  </si>
  <si>
    <t>Käpykangas 2</t>
  </si>
  <si>
    <t>Utra</t>
  </si>
  <si>
    <t>Noljakka</t>
  </si>
  <si>
    <t>Hasanniemi</t>
  </si>
  <si>
    <t>Pyro-Hob</t>
  </si>
  <si>
    <t>bion</t>
  </si>
  <si>
    <t>Nepenmäki</t>
  </si>
  <si>
    <t>Joensuu CHP</t>
  </si>
  <si>
    <t>hiili</t>
  </si>
  <si>
    <t>Savon Voima Oyj, Joroinen</t>
  </si>
  <si>
    <t xml:space="preserve">LK111 </t>
  </si>
  <si>
    <t>LK110</t>
  </si>
  <si>
    <t>LK115</t>
  </si>
  <si>
    <t>Savon Voima Oyj, Kiuruvesi</t>
  </si>
  <si>
    <t>LK64, Sepänkatu</t>
  </si>
  <si>
    <t>LK63, Torikatu</t>
  </si>
  <si>
    <t>LK65, Erätie</t>
  </si>
  <si>
    <t>Lk66 / VL3, Sahatie</t>
  </si>
  <si>
    <t>Dlvl, Sepänkatu</t>
  </si>
  <si>
    <t>Savon Voima Oyj, Kuopio</t>
  </si>
  <si>
    <t xml:space="preserve">LK 86 </t>
  </si>
  <si>
    <t>LK95, Sääskiniementie 487</t>
  </si>
  <si>
    <t>LK103, Laitisenmäentie 20</t>
  </si>
  <si>
    <t>LK 104, Opintie</t>
  </si>
  <si>
    <t>Savon Voima Oyj, Lapinlahti</t>
  </si>
  <si>
    <t>LK 100, Suoniementie</t>
  </si>
  <si>
    <t>Savon Voima Oyj, Leppävirta</t>
  </si>
  <si>
    <t>LK12, Voimatie</t>
  </si>
  <si>
    <t>LK 112, Voimatie</t>
  </si>
  <si>
    <t>Savon Voima Oyj, Pieksämäki</t>
  </si>
  <si>
    <t>LK1, Kutteritie</t>
  </si>
  <si>
    <t>LK2, Kutteritie</t>
  </si>
  <si>
    <t>LK5, Kontiopuisto</t>
  </si>
  <si>
    <t>VL1, Kutteritie</t>
  </si>
  <si>
    <t>Savon Voima Oyj, Pielavesi</t>
  </si>
  <si>
    <t>LK49, Lämpökuja</t>
  </si>
  <si>
    <t>LK106, Lämpökuja</t>
  </si>
  <si>
    <t>Savon Voima Oyj, Rautalampi</t>
  </si>
  <si>
    <t>LK19, Kellokuja</t>
  </si>
  <si>
    <t>Lk40 Pappilan 6 Bio</t>
  </si>
  <si>
    <t>Savon Voima Oyj, Siilinjärvi</t>
  </si>
  <si>
    <t>LK30, Harjamäki</t>
  </si>
  <si>
    <t>LK31 Siilinjärven biolk</t>
  </si>
  <si>
    <t>LK92 Toivalan biolk</t>
  </si>
  <si>
    <t>LK 120, öljy</t>
  </si>
  <si>
    <t>Savon Voima Oyj, Suonenjoki</t>
  </si>
  <si>
    <t>LK25, Kimpankatu</t>
  </si>
  <si>
    <t>LK117</t>
  </si>
  <si>
    <t>Seinäjoen Energia Oy</t>
  </si>
  <si>
    <t>Peräseinäjoki Koulutie</t>
  </si>
  <si>
    <t>Peräseinäjoki Metallitie</t>
  </si>
  <si>
    <t>Someron Lämpö Oy</t>
  </si>
  <si>
    <t>Terveyskeskus</t>
  </si>
  <si>
    <t>Kuivamaito</t>
  </si>
  <si>
    <t>Uusi KPA</t>
  </si>
  <si>
    <t>Suomussalmen Energia Oy</t>
  </si>
  <si>
    <t>Siikaranta KPA</t>
  </si>
  <si>
    <t>Siikaranta POK</t>
  </si>
  <si>
    <t>Tampereen Energia Oy, Pirkkala</t>
  </si>
  <si>
    <t>Ollikka</t>
  </si>
  <si>
    <t>Tampereen Energia Oy, Ylöjärvi</t>
  </si>
  <si>
    <t>Elovainio</t>
  </si>
  <si>
    <t>Teuvan Kaukolämpö Oy</t>
  </si>
  <si>
    <t>KPA 5</t>
  </si>
  <si>
    <t>KPA 6</t>
  </si>
  <si>
    <t>POK 4 MW</t>
  </si>
  <si>
    <t>POK 3,7 MW</t>
  </si>
  <si>
    <t>POK 0,5 MW</t>
  </si>
  <si>
    <t>PELLETTI 0,2 MW</t>
  </si>
  <si>
    <t>Toholammin Energia Oy</t>
  </si>
  <si>
    <t>POK 1</t>
  </si>
  <si>
    <t>POK 2</t>
  </si>
  <si>
    <t>POK 3</t>
  </si>
  <si>
    <t>Toholammin ORC-voimalaitos</t>
  </si>
  <si>
    <t>Tornion Energia Oy</t>
  </si>
  <si>
    <t>Aukiokatu</t>
  </si>
  <si>
    <t>Aukiokatu 2</t>
  </si>
  <si>
    <t>Juhannusssaari</t>
  </si>
  <si>
    <t>Ulvilan Lämpö Oy</t>
  </si>
  <si>
    <t>Kullaa Koski</t>
  </si>
  <si>
    <t>Vaasan Sähkö Oy</t>
  </si>
  <si>
    <t>Vaskiluoto</t>
  </si>
  <si>
    <t>Pitkämäki</t>
  </si>
  <si>
    <t>Vaasa 1</t>
  </si>
  <si>
    <t>Vaasa 2</t>
  </si>
  <si>
    <t>Isolahti</t>
  </si>
  <si>
    <t>Klemettilä</t>
  </si>
  <si>
    <t>Pått</t>
  </si>
  <si>
    <t>Valkeakosken Energia Oy</t>
  </si>
  <si>
    <t>Klk 1</t>
  </si>
  <si>
    <t>Klk 3</t>
  </si>
  <si>
    <t>Klk 4</t>
  </si>
  <si>
    <t>Klk 5</t>
  </si>
  <si>
    <t>Mvl 1</t>
  </si>
  <si>
    <t>Vantaan Energia Keski-Uusimaa Oy, Järvenpää</t>
  </si>
  <si>
    <t>Ristinummi</t>
  </si>
  <si>
    <t>Jamppa</t>
  </si>
  <si>
    <t>Järvenpään voimalaitos</t>
  </si>
  <si>
    <t>Vantaan Energia Keski-Uusimaa Oy, Tuusula</t>
  </si>
  <si>
    <t>Kievari</t>
  </si>
  <si>
    <t>Sula</t>
  </si>
  <si>
    <t>Kellokoski</t>
  </si>
  <si>
    <t>Lahela</t>
  </si>
  <si>
    <t>Varissuon Lämpö Oy</t>
  </si>
  <si>
    <t>Varissuo Öljylämpökeskus</t>
  </si>
  <si>
    <t>Varissuo KPA</t>
  </si>
  <si>
    <t>Varkauden Aluelämpö Oy</t>
  </si>
  <si>
    <t>Haijanvirta</t>
  </si>
  <si>
    <t>Kuoppakangas</t>
  </si>
  <si>
    <t>Hevosharju</t>
  </si>
  <si>
    <t>Hasintie</t>
  </si>
  <si>
    <t>A-rehu</t>
  </si>
  <si>
    <t>Vatajankoski Oy</t>
  </si>
  <si>
    <t>Koskenoja</t>
  </si>
  <si>
    <t>Tapala</t>
  </si>
  <si>
    <t>Soikanpuisto</t>
  </si>
  <si>
    <t>Kuntosairaala</t>
  </si>
  <si>
    <t>Niinisalo</t>
  </si>
  <si>
    <t>Pansian lämmöntalteenottolaitos</t>
  </si>
  <si>
    <t>Liikuntakeskuksen CHC-laitos</t>
  </si>
  <si>
    <t>Vetelin Energia Oy</t>
  </si>
  <si>
    <t>KPA 1</t>
  </si>
  <si>
    <t>KPA 2</t>
  </si>
  <si>
    <t>POR 1</t>
  </si>
  <si>
    <t>Vierumäen Infra Oy</t>
  </si>
  <si>
    <t>Huoltokeskus</t>
  </si>
  <si>
    <t>Jäähalli</t>
  </si>
  <si>
    <t>Lämpöpumppulaitos</t>
  </si>
  <si>
    <t>Viitasaaren Lämpö Oy</t>
  </si>
  <si>
    <t>Kokkilan lämpölaitos</t>
  </si>
  <si>
    <t>Vimpelin Lämpö Oy</t>
  </si>
  <si>
    <t>KPA-kattila</t>
  </si>
  <si>
    <t>KPA-Kontti</t>
  </si>
  <si>
    <t>Virtain Energia Oy</t>
  </si>
  <si>
    <t>Kaukolämpölaitos</t>
  </si>
  <si>
    <t>Nallela</t>
  </si>
  <si>
    <t>VSV Energia Oy</t>
  </si>
  <si>
    <t>Janhua</t>
  </si>
  <si>
    <t>Hakametsä</t>
  </si>
  <si>
    <t>Valmet</t>
  </si>
  <si>
    <t>Pätsi</t>
  </si>
  <si>
    <t>ONKA</t>
  </si>
  <si>
    <t>Pätsi POK</t>
  </si>
  <si>
    <t>Äänekosken Energia Oy</t>
  </si>
  <si>
    <t>Äänekoski/Saunatie</t>
  </si>
  <si>
    <t>Suolahti/Suojarinne</t>
  </si>
  <si>
    <t>Suolahti/Pölkinkatu</t>
  </si>
  <si>
    <t>Äänekoski/Karhunlähde</t>
  </si>
  <si>
    <t>Hirvaskangas</t>
  </si>
  <si>
    <t>Sumiainen</t>
  </si>
  <si>
    <t>AKK-Energia Oy, Ikaalinen</t>
  </si>
  <si>
    <t>AKK LK</t>
  </si>
  <si>
    <t>Alholmens Kraft Oy, Pietarsaari</t>
  </si>
  <si>
    <t>Biolinja Oy Uusikaupunki</t>
  </si>
  <si>
    <t>Finnsementti Oy, Lappeenranta</t>
  </si>
  <si>
    <t>Finnsementti Oy</t>
  </si>
  <si>
    <t>sek</t>
  </si>
  <si>
    <t>Finnsementti Oy, Parainen</t>
  </si>
  <si>
    <t>Finnsementti</t>
  </si>
  <si>
    <t>Fortum Waste Solutions Oy, Riihimäki</t>
  </si>
  <si>
    <t>yhjä</t>
  </si>
  <si>
    <t>Gasum Oy</t>
  </si>
  <si>
    <t>Gasum Oy, Turku</t>
  </si>
  <si>
    <t>Hake Rissanen, Kuopio</t>
  </si>
  <si>
    <t>Riistaveden lämpölaitos</t>
  </si>
  <si>
    <t>Hartolan Kuningaslämpö</t>
  </si>
  <si>
    <t>Kuningaslämmön lämpölaitos</t>
  </si>
  <si>
    <t>Hämeenkyrön Voima Oy</t>
  </si>
  <si>
    <t>Isape Oy</t>
  </si>
  <si>
    <t>Keinäsentien lämpökeskus</t>
  </si>
  <si>
    <t>kipu</t>
  </si>
  <si>
    <t>Itä-Savon Lähienergia Oy</t>
  </si>
  <si>
    <t>Savonranta</t>
  </si>
  <si>
    <t>Nojanmaa</t>
  </si>
  <si>
    <t>WillaNuttu</t>
  </si>
  <si>
    <t>Metla</t>
  </si>
  <si>
    <t>Kerimäki</t>
  </si>
  <si>
    <t>JR-Lämpö Oy, Maaninka</t>
  </si>
  <si>
    <t>Junnikkala Oy, Kalajoki</t>
  </si>
  <si>
    <t>Sermet</t>
  </si>
  <si>
    <t>Järvi-Suomen Voima Oy, Savonlinna</t>
  </si>
  <si>
    <t>Järvi-Suomen Voima</t>
  </si>
  <si>
    <t>Kainuun Lämpöhuolto Oy</t>
  </si>
  <si>
    <t>Kainuun Voima Oy, Kajaani</t>
  </si>
  <si>
    <t>Kainuun Voima</t>
  </si>
  <si>
    <t>Kaukaan Voima Oy, Lappeenranta</t>
  </si>
  <si>
    <t>Kaukaan Voima Oy</t>
  </si>
  <si>
    <t>Keravan Lämpövoima Oy</t>
  </si>
  <si>
    <t>Keravan biovoimalaitos</t>
  </si>
  <si>
    <t>Kerienergia Oy</t>
  </si>
  <si>
    <t>Kerienergian KPA-laitos</t>
  </si>
  <si>
    <t>Kouvolan Saha Oy</t>
  </si>
  <si>
    <t>KSS Energia Oy</t>
  </si>
  <si>
    <t>Eskolanmäki</t>
  </si>
  <si>
    <t>Kumpuniemen Voima Oy, Äänekoski</t>
  </si>
  <si>
    <t xml:space="preserve">Kumpuniemen Voima </t>
  </si>
  <si>
    <t>Kymenlaakson Jäte Oy</t>
  </si>
  <si>
    <t>Keltakankaan lämpökeskus</t>
  </si>
  <si>
    <t>Kymin Voima Oy</t>
  </si>
  <si>
    <t>Lantmännen Cerealia Oy, Hyvinkää</t>
  </si>
  <si>
    <t>KPA-kattilalaitos</t>
  </si>
  <si>
    <t>Lappeenrannan Lämpövoima Oy</t>
  </si>
  <si>
    <t>Mrt1 Kaasukattilat</t>
  </si>
  <si>
    <t>Mrt1 Sähkökattila</t>
  </si>
  <si>
    <t>Keskustaajama (Joutseno)</t>
  </si>
  <si>
    <t>Lampikangas (Joutseno)</t>
  </si>
  <si>
    <t>Rauha (Joutseno)</t>
  </si>
  <si>
    <t>Kahilanniemi (Keskusta)</t>
  </si>
  <si>
    <t>Lauritsala</t>
  </si>
  <si>
    <t>Ihalainen</t>
  </si>
  <si>
    <t>Hyrymäki</t>
  </si>
  <si>
    <t>Skinnarila</t>
  </si>
  <si>
    <t>Selkäharju</t>
  </si>
  <si>
    <t>Mrt2 Kaasukattilat</t>
  </si>
  <si>
    <t>Pulp (Joutseno)</t>
  </si>
  <si>
    <t>Late-Rakenteet Oy, Turku</t>
  </si>
  <si>
    <t>Late-Rakenteet</t>
  </si>
  <si>
    <t>Lempäälän Energia Oy</t>
  </si>
  <si>
    <t>Viialantien lämpölaitos</t>
  </si>
  <si>
    <t>Lohjan Biolämpö Oy</t>
  </si>
  <si>
    <t>Lounavoima Oy, Salo</t>
  </si>
  <si>
    <t>Korvenmäki</t>
  </si>
  <si>
    <t>Mariehamns Bioenergi Ab</t>
  </si>
  <si>
    <t>Bioenergi 5 MW</t>
  </si>
  <si>
    <t>Bioenergi 11 MW KVV</t>
  </si>
  <si>
    <t>Metsä Fibre Oy, Kemi</t>
  </si>
  <si>
    <t>Soodakattila SK2</t>
  </si>
  <si>
    <t>jätel</t>
  </si>
  <si>
    <t>Included in industry</t>
  </si>
  <si>
    <t>Metsä Fibre Oy, Vilppulan Saha</t>
  </si>
  <si>
    <t>Öljykattilat</t>
  </si>
  <si>
    <t>CHP voimalaitos</t>
  </si>
  <si>
    <t>Metsä Fibre Oy, Äänekosken Biotuotetehdas</t>
  </si>
  <si>
    <t>Metsä Fibre Oy, Äänekoski</t>
  </si>
  <si>
    <t>Äänevoima Oy, Äänekoski</t>
  </si>
  <si>
    <t>Mäntän Energia Oy</t>
  </si>
  <si>
    <t>Mänttä</t>
  </si>
  <si>
    <t>Neova Oy, Ilomantsin laitosalue</t>
  </si>
  <si>
    <t>Nokianvirran Energia Oy</t>
  </si>
  <si>
    <t>Nokia voimalaitos</t>
  </si>
  <si>
    <t>Nordic Soya Oy, Uusikaupunki</t>
  </si>
  <si>
    <t>Nordic Soya Oy</t>
  </si>
  <si>
    <t>Nordkalk Oy Ab, Lohja</t>
  </si>
  <si>
    <t>Nordkalk, lämmönvaihtimet</t>
  </si>
  <si>
    <t>Nordkalk Oy, Parainen</t>
  </si>
  <si>
    <t>Nordkalk</t>
  </si>
  <si>
    <t>Pansion Lämpö Avoin Yhtiö</t>
  </si>
  <si>
    <t xml:space="preserve">Pansion Lämpö </t>
  </si>
  <si>
    <t>Pansion Lämpö</t>
  </si>
  <si>
    <t>Parkanon Listatehdas</t>
  </si>
  <si>
    <t>Parkanon Listatehdas LK</t>
  </si>
  <si>
    <t>Picea Oy Ab, Laitila</t>
  </si>
  <si>
    <t>Wärtsilä</t>
  </si>
  <si>
    <t>Rauma-Repola</t>
  </si>
  <si>
    <t>Witermo</t>
  </si>
  <si>
    <t>Vaasan Kuljetuskanavat</t>
  </si>
  <si>
    <t>Raahen Voima Oy</t>
  </si>
  <si>
    <t>Sulaton savukaasut</t>
  </si>
  <si>
    <t>Raahen Voima, K4</t>
  </si>
  <si>
    <t>Raahen Voima, K5</t>
  </si>
  <si>
    <t>Rauman Biovoima Oy</t>
  </si>
  <si>
    <t>Riikinvoima Oy</t>
  </si>
  <si>
    <t xml:space="preserve">Riikinvoima   </t>
  </si>
  <si>
    <t>Sarlin Oy, Vaasa</t>
  </si>
  <si>
    <t>Vaasan mikroturbiinilaitos. New Energy</t>
  </si>
  <si>
    <t>Seinäjoen Voima Oy, Seinäjoki</t>
  </si>
  <si>
    <t>Kapernaumin lämpölaitos</t>
  </si>
  <si>
    <t>Hanneksenrinteen lämpölaitos</t>
  </si>
  <si>
    <t>Puhdistamonkadun lämpölaitos</t>
  </si>
  <si>
    <t>Sevo sähkökattila</t>
  </si>
  <si>
    <t>Sevo</t>
  </si>
  <si>
    <t>SSAB Europe Oy, Hämeenlinna</t>
  </si>
  <si>
    <t>Sinkki 2 LTO</t>
  </si>
  <si>
    <t>Kattilalaitos kaukolämpövaihtimet</t>
  </si>
  <si>
    <t>höyry</t>
  </si>
  <si>
    <t>Stora Enso Oulu Oy</t>
  </si>
  <si>
    <t>Soodakattila SK7</t>
  </si>
  <si>
    <t>Leijupetikattila K3</t>
  </si>
  <si>
    <t>Stora Enso Oyj, Heinola</t>
  </si>
  <si>
    <t>Stora Enso</t>
  </si>
  <si>
    <t>Stora Enso Oyj, Varkauden tehdas</t>
  </si>
  <si>
    <t>Stora Enso Oyj, Varkauden tehtaat LVL2</t>
  </si>
  <si>
    <t>Stora Enso Publication Papers Oy Ltd, Kouvola</t>
  </si>
  <si>
    <t>Voimalaitos kokonaisuus</t>
  </si>
  <si>
    <t>Suomen Teollisuuden Energiapalvelut Oy, Harjavalta</t>
  </si>
  <si>
    <t>Pellettikattila</t>
  </si>
  <si>
    <t>Boliden Harjavalta Oyn lämmönsiirtimet</t>
  </si>
  <si>
    <t>Suomen Viljava Oy, Kouvola</t>
  </si>
  <si>
    <t>Viljava Bio-lämpökeskus</t>
  </si>
  <si>
    <t>Södra Wood Oy, Hamina</t>
  </si>
  <si>
    <t>Bioboiler 10,5MW</t>
  </si>
  <si>
    <t>Tervakoski Oy, Janakkala</t>
  </si>
  <si>
    <t>LS-16</t>
  </si>
  <si>
    <t>Tornion Voima Oy</t>
  </si>
  <si>
    <t>UPM Specialty Papers Oy, Tervasaari</t>
  </si>
  <si>
    <t>Tervasaari</t>
  </si>
  <si>
    <t>UPM-Kymmene Oyj, Lappeenranta</t>
  </si>
  <si>
    <t>UPM-Kymmene, Kaukas</t>
  </si>
  <si>
    <t>Vaasan Voima Oy</t>
  </si>
  <si>
    <t>Vaskiluoto sähkökattila</t>
  </si>
  <si>
    <t>Valkkia Oy, Salo</t>
  </si>
  <si>
    <t>Perniön lämpölaitos</t>
  </si>
  <si>
    <t>Perttelin lämpölaitos</t>
  </si>
  <si>
    <t>Vapo Terra Oy, Turengin Pellettitehdas</t>
  </si>
  <si>
    <t>Turengin pellettitehdas</t>
  </si>
  <si>
    <t>Versowood Oy</t>
  </si>
  <si>
    <t>14 MW biokattila</t>
  </si>
  <si>
    <t>10 MW biokattila</t>
  </si>
  <si>
    <t>5 MW biokattila</t>
  </si>
  <si>
    <t>8 MW öljykattila</t>
  </si>
  <si>
    <t>4,7 MW öljykattila</t>
  </si>
  <si>
    <t>Vöyrin energiaosuuskunta</t>
  </si>
  <si>
    <t>Vähänkyrön lämpökeskus</t>
  </si>
  <si>
    <t>Westenergy Oy, Mustasaari</t>
  </si>
  <si>
    <t xml:space="preserve">Westenergy </t>
  </si>
  <si>
    <t>Yara Suomi Oy, Uudenkaupungin tehtaat</t>
  </si>
  <si>
    <t>Yara Suomi Oy, Uusikaupunki</t>
  </si>
  <si>
    <t>Google data centre</t>
  </si>
  <si>
    <t>Loimua Oy, Hämeenlinna, Vanaja</t>
  </si>
  <si>
    <t>SSAB waste heat, Hämeenlinna</t>
  </si>
  <si>
    <t>Stora Enso waste heat HP, Imatra</t>
  </si>
  <si>
    <t>Loiste Lämpö Oy, Kajaani EB</t>
  </si>
  <si>
    <t>Vatajankoski Oy waste heat HP</t>
  </si>
  <si>
    <t>Kotka, Waste heat HP</t>
  </si>
  <si>
    <t>Kangasniemi EB</t>
  </si>
  <si>
    <t>Seinäjoki, Waste water HP</t>
  </si>
  <si>
    <t>Hyvinkää, Sahanmäki EB</t>
  </si>
  <si>
    <t>Nevel Oy, Karkkila HP</t>
  </si>
  <si>
    <t>Keitele EB</t>
  </si>
  <si>
    <t>Adven Oy, Kuusamo EB</t>
  </si>
  <si>
    <t>Pansia EB</t>
  </si>
  <si>
    <t>Kokkola EB</t>
  </si>
  <si>
    <t>Kuopio, Haapniemi EB</t>
  </si>
  <si>
    <t>Lahti EB 1</t>
  </si>
  <si>
    <t>Lahti EB 2</t>
  </si>
  <si>
    <t>Loviisa, Loval Oy waste heat HP</t>
  </si>
  <si>
    <t>Mikkeli, Pursiala EB</t>
  </si>
  <si>
    <t>Pori, Aittaluoto EB</t>
  </si>
  <si>
    <t>Porvoo, 2x10 MW EB</t>
  </si>
  <si>
    <t>Tornion Voima EB</t>
  </si>
  <si>
    <t>Vaasa, Vaskiluoto EB 1</t>
  </si>
  <si>
    <t>Vaasa, Vaskiluoto EB New</t>
  </si>
  <si>
    <t>Herrfors Oy, Ylivieska</t>
  </si>
  <si>
    <t>VSV-Energia Oy, Uusikaupunki EB</t>
  </si>
  <si>
    <t>Lahti, Ali-Juhakkala HP</t>
  </si>
  <si>
    <t>Oulun Seudun Sähkö, New bio HOB</t>
  </si>
  <si>
    <t>Nevel Oy, Nokia HP</t>
  </si>
  <si>
    <t>Porvoo, Tolkkinen HP</t>
  </si>
  <si>
    <t>Rovaniemi, Neve HP</t>
  </si>
  <si>
    <t>Vaasa, Pått HP</t>
  </si>
  <si>
    <t>Porvoo, waste heat HP</t>
  </si>
  <si>
    <t>Lapeenranta data centre HP</t>
  </si>
  <si>
    <t>Kuopio TES</t>
  </si>
  <si>
    <t>Lahti TES</t>
  </si>
  <si>
    <t>Etelä-Savon Energia TES</t>
  </si>
  <si>
    <t>Pori EV01 TES</t>
  </si>
  <si>
    <t>Porvoo TES Kipinätie</t>
  </si>
  <si>
    <t>Pansian lämpövarasto</t>
  </si>
  <si>
    <t>Lempäälän lämpö Oy</t>
  </si>
  <si>
    <t>Seinäjoen Voima Oy</t>
  </si>
  <si>
    <t>KSS Energia Oy, Hinkismäen voimalaitos</t>
  </si>
  <si>
    <t>Rauman biovoima Oy</t>
  </si>
  <si>
    <t>Lappeenranta, Mertanniemi</t>
  </si>
  <si>
    <t>Adven Oy, Kuusamo TES</t>
  </si>
  <si>
    <t>Lahti, Kymijärvi</t>
  </si>
  <si>
    <t>Kokkola TES New</t>
  </si>
  <si>
    <t>Loviisa, hiekka-akku</t>
  </si>
  <si>
    <t>Vaasan Voima Oy, Vaskiluoto TES extension</t>
  </si>
  <si>
    <t>Company</t>
  </si>
  <si>
    <t>Unit</t>
  </si>
  <si>
    <t>Number of units</t>
  </si>
  <si>
    <t>Minimum size</t>
  </si>
  <si>
    <t>Alastaro</t>
  </si>
  <si>
    <t>Alavus</t>
  </si>
  <si>
    <t>Anttola</t>
  </si>
  <si>
    <t>Asikkala</t>
  </si>
  <si>
    <t>Askola</t>
  </si>
  <si>
    <t>Aura</t>
  </si>
  <si>
    <t>Pirkkala</t>
  </si>
  <si>
    <t>Perniö</t>
  </si>
  <si>
    <t>Pornainen</t>
  </si>
  <si>
    <t>Brändö</t>
  </si>
  <si>
    <t>Karijoki</t>
  </si>
  <si>
    <t>Dragsfjärd</t>
  </si>
  <si>
    <t>Eckerö</t>
  </si>
  <si>
    <t>Tammisaari</t>
  </si>
  <si>
    <t>Elimäki</t>
  </si>
  <si>
    <t>Eno</t>
  </si>
  <si>
    <t>Enonkoski</t>
  </si>
  <si>
    <t>Enontekiö</t>
  </si>
  <si>
    <t>Espoo</t>
  </si>
  <si>
    <t>Ähtäri</t>
  </si>
  <si>
    <t>Eura</t>
  </si>
  <si>
    <t>Eurajoki</t>
  </si>
  <si>
    <t>Evijärvi</t>
  </si>
  <si>
    <t>Särkisalo</t>
  </si>
  <si>
    <t>Finström</t>
  </si>
  <si>
    <t>Häme</t>
  </si>
  <si>
    <t>Föglö</t>
  </si>
  <si>
    <t>Geta</t>
  </si>
  <si>
    <t>Kauniainen</t>
  </si>
  <si>
    <t>Kustavi</t>
  </si>
  <si>
    <t>Haapajärvi</t>
  </si>
  <si>
    <t>Halikko</t>
  </si>
  <si>
    <t>Halsua</t>
  </si>
  <si>
    <t>Hammarland</t>
  </si>
  <si>
    <t>Hanko</t>
  </si>
  <si>
    <t>Hankasalmi</t>
  </si>
  <si>
    <t>Hartola</t>
  </si>
  <si>
    <t>Hattula</t>
  </si>
  <si>
    <t>Hauho</t>
  </si>
  <si>
    <t>Haukipudas</t>
  </si>
  <si>
    <t>Haukivuori</t>
  </si>
  <si>
    <t>Hausjärvi</t>
  </si>
  <si>
    <t>Heinävesi</t>
  </si>
  <si>
    <t>Helsinki</t>
  </si>
  <si>
    <t>Himanka</t>
  </si>
  <si>
    <t>Hollola</t>
  </si>
  <si>
    <t>Honkajoki</t>
  </si>
  <si>
    <t>Houtskari</t>
  </si>
  <si>
    <t>Humppila</t>
  </si>
  <si>
    <t>Hyrynsalmi</t>
  </si>
  <si>
    <t>Hyvinkää</t>
  </si>
  <si>
    <t>Karkkila</t>
  </si>
  <si>
    <t>Ii</t>
  </si>
  <si>
    <t>Iitti</t>
  </si>
  <si>
    <t>Ilmajoki</t>
  </si>
  <si>
    <t>Inkoo</t>
  </si>
  <si>
    <t>Iniö</t>
  </si>
  <si>
    <t>Jaala</t>
  </si>
  <si>
    <t>Vaasan rannikkoseutu</t>
  </si>
  <si>
    <t>Jalasjärvi</t>
  </si>
  <si>
    <t>Janakkala</t>
  </si>
  <si>
    <t>Jomala</t>
  </si>
  <si>
    <t>Joutsa</t>
  </si>
  <si>
    <t>Jurva</t>
  </si>
  <si>
    <t>Juuka</t>
  </si>
  <si>
    <t>Juupajoki</t>
  </si>
  <si>
    <t>Jyväskylä</t>
  </si>
  <si>
    <t>Jämijärvi</t>
  </si>
  <si>
    <t>Jämsä</t>
  </si>
  <si>
    <t>Jämsänkoski</t>
  </si>
  <si>
    <t>Jäppilä</t>
  </si>
  <si>
    <t>Kaavi</t>
  </si>
  <si>
    <t>Kajaani</t>
  </si>
  <si>
    <t>Kalajoki</t>
  </si>
  <si>
    <t>Kalanti</t>
  </si>
  <si>
    <t>Kalvola</t>
  </si>
  <si>
    <t>Kangasala</t>
  </si>
  <si>
    <t>Kangaslampi</t>
  </si>
  <si>
    <t>Kangasniemi</t>
  </si>
  <si>
    <t>Kannonkoski</t>
  </si>
  <si>
    <t>Karinainen</t>
  </si>
  <si>
    <t>Karjaa</t>
  </si>
  <si>
    <t>Karjalohja</t>
  </si>
  <si>
    <t>Hailuoto</t>
  </si>
  <si>
    <t>Karstula</t>
  </si>
  <si>
    <t>Karttula</t>
  </si>
  <si>
    <t>Karvia</t>
  </si>
  <si>
    <t>Kaskinen</t>
  </si>
  <si>
    <t>Kauhajoki</t>
  </si>
  <si>
    <t>Kauhava</t>
  </si>
  <si>
    <t>Kaustinen</t>
  </si>
  <si>
    <t>Keitele</t>
  </si>
  <si>
    <t>Kälviä</t>
  </si>
  <si>
    <t>Keminmaa</t>
  </si>
  <si>
    <t>Kempele</t>
  </si>
  <si>
    <t>Kestilä</t>
  </si>
  <si>
    <t>Kesälahti</t>
  </si>
  <si>
    <t>Keuruu</t>
  </si>
  <si>
    <t>Kihniö</t>
  </si>
  <si>
    <t>Kiihtelysvaara</t>
  </si>
  <si>
    <t>Kiikala</t>
  </si>
  <si>
    <t>Kiikoinen</t>
  </si>
  <si>
    <t>Kiiminki</t>
  </si>
  <si>
    <t>Kemiö</t>
  </si>
  <si>
    <t>Kinnula</t>
  </si>
  <si>
    <t>Kisko</t>
  </si>
  <si>
    <t>Kitee</t>
  </si>
  <si>
    <t>Kittilä</t>
  </si>
  <si>
    <t>Kiukainen</t>
  </si>
  <si>
    <t>Kiuruvesi</t>
  </si>
  <si>
    <t>Kivijärvi</t>
  </si>
  <si>
    <t>Köyliö</t>
  </si>
  <si>
    <t>Kodisjoki</t>
  </si>
  <si>
    <t>Kolari</t>
  </si>
  <si>
    <t>Konginkangas</t>
  </si>
  <si>
    <t>Konnevesi</t>
  </si>
  <si>
    <t>Kontiolahti</t>
  </si>
  <si>
    <t>Korpilahti</t>
  </si>
  <si>
    <t>Korppoo</t>
  </si>
  <si>
    <t>Mustasaari</t>
  </si>
  <si>
    <t>Korsnäs</t>
  </si>
  <si>
    <t>Koski Hl</t>
  </si>
  <si>
    <t>Koski Tl</t>
  </si>
  <si>
    <t>Kouvola</t>
  </si>
  <si>
    <t>Kruunupyy</t>
  </si>
  <si>
    <t>Kuhmalahti</t>
  </si>
  <si>
    <t>Kuhmoinen</t>
  </si>
  <si>
    <t>Kuivaniemi</t>
  </si>
  <si>
    <t>Kullaa</t>
  </si>
  <si>
    <t>Kumlinge</t>
  </si>
  <si>
    <t>Kokemäki</t>
  </si>
  <si>
    <t>Kuopio</t>
  </si>
  <si>
    <t>Kuorevesi</t>
  </si>
  <si>
    <t>Kuortane</t>
  </si>
  <si>
    <t>Kurikka</t>
  </si>
  <si>
    <t>Kuru</t>
  </si>
  <si>
    <t>Kuusjoki</t>
  </si>
  <si>
    <t>Kylmäkoski</t>
  </si>
  <si>
    <t>Kirkkonummi</t>
  </si>
  <si>
    <t>Kyyjärvi</t>
  </si>
  <si>
    <t>Kärkölä</t>
  </si>
  <si>
    <t>Kärsämäki</t>
  </si>
  <si>
    <t>Kökar</t>
  </si>
  <si>
    <t>Lahti</t>
  </si>
  <si>
    <t>Laihia</t>
  </si>
  <si>
    <t>Laitila</t>
  </si>
  <si>
    <t>Lammi</t>
  </si>
  <si>
    <t>Lapinlahti</t>
  </si>
  <si>
    <t>Lappajärvi</t>
  </si>
  <si>
    <t>Lapinjärvi</t>
  </si>
  <si>
    <t>Luoto</t>
  </si>
  <si>
    <t>Laukaa</t>
  </si>
  <si>
    <t>Lavia</t>
  </si>
  <si>
    <t>Lehtimäki</t>
  </si>
  <si>
    <t>Leivonmäki</t>
  </si>
  <si>
    <t>Lemi</t>
  </si>
  <si>
    <t>Lemland</t>
  </si>
  <si>
    <t>Lempäälä</t>
  </si>
  <si>
    <t>Lemu</t>
  </si>
  <si>
    <t>Leppävirta</t>
  </si>
  <si>
    <t>Liljendal</t>
  </si>
  <si>
    <t>Vähäkyrö</t>
  </si>
  <si>
    <t>Liminka</t>
  </si>
  <si>
    <t>Liperi</t>
  </si>
  <si>
    <t>Loimaa</t>
  </si>
  <si>
    <t>Loimaan kunta</t>
  </si>
  <si>
    <t>Lohja</t>
  </si>
  <si>
    <t>Lohjan kunta</t>
  </si>
  <si>
    <t>Loppi</t>
  </si>
  <si>
    <t>Loviisa</t>
  </si>
  <si>
    <t>Luhanka</t>
  </si>
  <si>
    <t>Lumparland</t>
  </si>
  <si>
    <t>Lieto</t>
  </si>
  <si>
    <t>Luopioinen</t>
  </si>
  <si>
    <t>Luumäki</t>
  </si>
  <si>
    <t>Luvia</t>
  </si>
  <si>
    <t>Längelmäki</t>
  </si>
  <si>
    <t>Maaninka</t>
  </si>
  <si>
    <t>Maalahti</t>
  </si>
  <si>
    <t>Maarianhamina</t>
  </si>
  <si>
    <t>Marttila</t>
  </si>
  <si>
    <t>Masku</t>
  </si>
  <si>
    <t>Maksamaa</t>
  </si>
  <si>
    <t>Mellilä</t>
  </si>
  <si>
    <t>Merijärvi</t>
  </si>
  <si>
    <t>Merimasku</t>
  </si>
  <si>
    <t>Miehikkälä</t>
  </si>
  <si>
    <t>Mietoinen</t>
  </si>
  <si>
    <t>Mouhijärvi</t>
  </si>
  <si>
    <t>Muhos</t>
  </si>
  <si>
    <t>Multia</t>
  </si>
  <si>
    <t>Muonio</t>
  </si>
  <si>
    <t>Muurame</t>
  </si>
  <si>
    <t>Muurla</t>
  </si>
  <si>
    <t>Mynämäki</t>
  </si>
  <si>
    <t>Mäntsälä</t>
  </si>
  <si>
    <t>Mäntyharju</t>
  </si>
  <si>
    <t>Myrskylä</t>
  </si>
  <si>
    <t>Nauvo</t>
  </si>
  <si>
    <t>Nakkila</t>
  </si>
  <si>
    <t>Nastola</t>
  </si>
  <si>
    <t>Nilsiä</t>
  </si>
  <si>
    <t>Nokia</t>
  </si>
  <si>
    <t>Nousiainen</t>
  </si>
  <si>
    <t>Nummi-Pusula</t>
  </si>
  <si>
    <t>Nurmes</t>
  </si>
  <si>
    <t>Nurmijärvi</t>
  </si>
  <si>
    <t>Nurmo</t>
  </si>
  <si>
    <t>Uusikaarlepyy</t>
  </si>
  <si>
    <t>Närpiö</t>
  </si>
  <si>
    <t>Oravainen</t>
  </si>
  <si>
    <t>Orimattila</t>
  </si>
  <si>
    <t>Oripää</t>
  </si>
  <si>
    <t>Orivesi</t>
  </si>
  <si>
    <t>Oulainen</t>
  </si>
  <si>
    <t>Oulunsalo</t>
  </si>
  <si>
    <t>Outokumpu</t>
  </si>
  <si>
    <t>Padasjoki</t>
  </si>
  <si>
    <t>Paltamo</t>
  </si>
  <si>
    <t>Parainen</t>
  </si>
  <si>
    <t>Parikkala</t>
  </si>
  <si>
    <t>Parkano</t>
  </si>
  <si>
    <t>Pattijoki</t>
  </si>
  <si>
    <t>Pedersören kunta</t>
  </si>
  <si>
    <t>Pelkosenniemi</t>
  </si>
  <si>
    <t>Pello</t>
  </si>
  <si>
    <t>Paimio</t>
  </si>
  <si>
    <t>Perho</t>
  </si>
  <si>
    <t>Pernaja</t>
  </si>
  <si>
    <t>Pertteli</t>
  </si>
  <si>
    <t>Pertunmaa</t>
  </si>
  <si>
    <t>Peräseinäjoki</t>
  </si>
  <si>
    <t>Petäjävesi</t>
  </si>
  <si>
    <t>Pielavesi</t>
  </si>
  <si>
    <t>Piippola</t>
  </si>
  <si>
    <t>Piikkiö</t>
  </si>
  <si>
    <t>Pohja</t>
  </si>
  <si>
    <t>Polvijärvi</t>
  </si>
  <si>
    <t>Posio</t>
  </si>
  <si>
    <t>Pudasjärvi</t>
  </si>
  <si>
    <t>Pukkila</t>
  </si>
  <si>
    <t>Pulkkila</t>
  </si>
  <si>
    <t>Punkaharju</t>
  </si>
  <si>
    <t>Punkalaidun</t>
  </si>
  <si>
    <t>Puolanka</t>
  </si>
  <si>
    <t>Puumala</t>
  </si>
  <si>
    <t>Pyhäntä</t>
  </si>
  <si>
    <t>Pyhäranta</t>
  </si>
  <si>
    <t>Pyhäjärvi</t>
  </si>
  <si>
    <t>Pyhäselkä</t>
  </si>
  <si>
    <t>Pylkönmäki</t>
  </si>
  <si>
    <t>Pyhtää</t>
  </si>
  <si>
    <t>Pomarkku</t>
  </si>
  <si>
    <t>Pälkäne</t>
  </si>
  <si>
    <t>Pöytyä</t>
  </si>
  <si>
    <t>Rantasalmi</t>
  </si>
  <si>
    <t>Rantsila</t>
  </si>
  <si>
    <t>Ranua</t>
  </si>
  <si>
    <t>Rautalampi</t>
  </si>
  <si>
    <t>Rautavaara</t>
  </si>
  <si>
    <t>Rautjärvi</t>
  </si>
  <si>
    <t>Reisjärvi</t>
  </si>
  <si>
    <t>Riihimäki</t>
  </si>
  <si>
    <t>Rymättylä</t>
  </si>
  <si>
    <t>Ristijärvi</t>
  </si>
  <si>
    <t>Rovaniemi</t>
  </si>
  <si>
    <t>Ruokolahti</t>
  </si>
  <si>
    <t>Ruovesi</t>
  </si>
  <si>
    <t>Rusko</t>
  </si>
  <si>
    <t>Ruukki</t>
  </si>
  <si>
    <t>Rääkkylä</t>
  </si>
  <si>
    <t>Kaarina</t>
  </si>
  <si>
    <t>Mikkeli</t>
  </si>
  <si>
    <t>Sauvo</t>
  </si>
  <si>
    <t>Sahalahti</t>
  </si>
  <si>
    <t>Salla</t>
  </si>
  <si>
    <t>Saltvik</t>
  </si>
  <si>
    <t>Sammatti</t>
  </si>
  <si>
    <t>Merikarvia</t>
  </si>
  <si>
    <t>Savitaipale</t>
  </si>
  <si>
    <t>Sipoo</t>
  </si>
  <si>
    <t>Sievi</t>
  </si>
  <si>
    <t>Siikainen</t>
  </si>
  <si>
    <t>Siikajoki</t>
  </si>
  <si>
    <t>Simo</t>
  </si>
  <si>
    <t>Siuntio</t>
  </si>
  <si>
    <t>Sodankylä</t>
  </si>
  <si>
    <t>Soini</t>
  </si>
  <si>
    <t>Somero</t>
  </si>
  <si>
    <t>Sonkajärvi</t>
  </si>
  <si>
    <t>Sottunga</t>
  </si>
  <si>
    <t>Isokyrö</t>
  </si>
  <si>
    <t>Isojoki</t>
  </si>
  <si>
    <t>Ruotsinpyhtää</t>
  </si>
  <si>
    <t>Sulkava</t>
  </si>
  <si>
    <t>Sund</t>
  </si>
  <si>
    <t>Suodenniemi</t>
  </si>
  <si>
    <t>Suolahti</t>
  </si>
  <si>
    <t>Suomenniemi</t>
  </si>
  <si>
    <t>Suomusjärvi</t>
  </si>
  <si>
    <t>Suomussalmi</t>
  </si>
  <si>
    <t>Suonenjoki</t>
  </si>
  <si>
    <t>Sysmä</t>
  </si>
  <si>
    <t>Säynätsalo</t>
  </si>
  <si>
    <t>Taipalsaari</t>
  </si>
  <si>
    <t>Tammela</t>
  </si>
  <si>
    <t>Tampere</t>
  </si>
  <si>
    <t>Tarvasjoki</t>
  </si>
  <si>
    <t>Hämeenkyrö</t>
  </si>
  <si>
    <t>Temmes</t>
  </si>
  <si>
    <t>Tenhola</t>
  </si>
  <si>
    <t>Tervo</t>
  </si>
  <si>
    <t>Tervola</t>
  </si>
  <si>
    <t>Tohmajärvi</t>
  </si>
  <si>
    <t>Toijala</t>
  </si>
  <si>
    <t>Toivakka</t>
  </si>
  <si>
    <t>Tuusula</t>
  </si>
  <si>
    <t>Tuulos</t>
  </si>
  <si>
    <t>Tuupovaara</t>
  </si>
  <si>
    <t>Tuusniemi</t>
  </si>
  <si>
    <t>Tyrnävä</t>
  </si>
  <si>
    <t>Taivassalo</t>
  </si>
  <si>
    <t>Töysä</t>
  </si>
  <si>
    <t>Ullava</t>
  </si>
  <si>
    <t>Ulvila</t>
  </si>
  <si>
    <t>Urjala</t>
  </si>
  <si>
    <t>Utajärvi</t>
  </si>
  <si>
    <t>Utsjoki</t>
  </si>
  <si>
    <t>Uukuniemi</t>
  </si>
  <si>
    <t>Uurainen</t>
  </si>
  <si>
    <t>Vaala</t>
  </si>
  <si>
    <t>Vahto</t>
  </si>
  <si>
    <t>Valkeakoski</t>
  </si>
  <si>
    <t>Vampula</t>
  </si>
  <si>
    <t>Vantaa</t>
  </si>
  <si>
    <t>Varpaisjärvi</t>
  </si>
  <si>
    <t>Vaasa</t>
  </si>
  <si>
    <t>Vehkalahti</t>
  </si>
  <si>
    <t>Vehmersalmi</t>
  </si>
  <si>
    <t>Velkua</t>
  </si>
  <si>
    <t>Vesanto</t>
  </si>
  <si>
    <t>Vesilahti</t>
  </si>
  <si>
    <t>Veteli</t>
  </si>
  <si>
    <t>Vihti</t>
  </si>
  <si>
    <t>Vieremä</t>
  </si>
  <si>
    <t>Vihanti</t>
  </si>
  <si>
    <t>Viiala</t>
  </si>
  <si>
    <t>Viitasaari</t>
  </si>
  <si>
    <t>Viljakkala</t>
  </si>
  <si>
    <t>Askainen</t>
  </si>
  <si>
    <t>Vimpeli</t>
  </si>
  <si>
    <t>Virrat</t>
  </si>
  <si>
    <t>Virolahti</t>
  </si>
  <si>
    <t>Virtasalmi</t>
  </si>
  <si>
    <t>Vuolijoki</t>
  </si>
  <si>
    <t>Vårdö</t>
  </si>
  <si>
    <t>Värtsilä</t>
  </si>
  <si>
    <t>Västanfjärd</t>
  </si>
  <si>
    <t>Vöyri</t>
  </si>
  <si>
    <t>Yli-Ii</t>
  </si>
  <si>
    <t>Ylikiiminki</t>
  </si>
  <si>
    <t>Ylistaro</t>
  </si>
  <si>
    <t>Ylämaa</t>
  </si>
  <si>
    <t>Yläne</t>
  </si>
  <si>
    <t>Ylöjärvi</t>
  </si>
  <si>
    <t>Ypäjä</t>
  </si>
  <si>
    <t>Turku</t>
  </si>
  <si>
    <t>Äänekoski</t>
  </si>
  <si>
    <t>Teuva</t>
  </si>
  <si>
    <t>Ylitornio</t>
  </si>
  <si>
    <t>Municipality</t>
  </si>
  <si>
    <t>Kunnat 1990 | Tilastokeskus</t>
  </si>
  <si>
    <t>(Statistics Finland)</t>
  </si>
  <si>
    <t>Municipality by region explained</t>
  </si>
  <si>
    <t>Language</t>
  </si>
  <si>
    <t>Powerplant and other unit allocation to model regions based on their name or their company name</t>
  </si>
  <si>
    <t>Municipality merges during 1990-2026 period has reduced municipality list by a thrid</t>
  </si>
  <si>
    <t>Aim</t>
  </si>
  <si>
    <t>1990 - earliest municipality by region table available</t>
  </si>
  <si>
    <t>Finnish - instead of English or Swedish</t>
  </si>
  <si>
    <t>The most fitting table is assumed to be in:</t>
  </si>
  <si>
    <t>Boundaries</t>
  </si>
  <si>
    <t>Regional changes</t>
  </si>
  <si>
    <t>Names</t>
  </si>
  <si>
    <t>1990 name</t>
  </si>
  <si>
    <t>2026 name</t>
  </si>
  <si>
    <t>Two names shown bellow are replaced</t>
  </si>
  <si>
    <t>Region 1990</t>
  </si>
  <si>
    <t>Exact</t>
  </si>
  <si>
    <t>Porvoon</t>
  </si>
  <si>
    <t>Heinolan</t>
  </si>
  <si>
    <t>Jyväskylän</t>
  </si>
  <si>
    <t>Pieksämäen</t>
  </si>
  <si>
    <t>Rauman</t>
  </si>
  <si>
    <t>Rovaniemen</t>
  </si>
  <si>
    <t>Mikkelin</t>
  </si>
  <si>
    <t>Info string</t>
  </si>
  <si>
    <t>Exact+n</t>
  </si>
  <si>
    <t>Copilot</t>
  </si>
  <si>
    <t>Copilot basis</t>
  </si>
  <si>
    <t>Levi locality/ski resort in Kittilä</t>
  </si>
  <si>
    <t>Nummela locality in Vihti</t>
  </si>
  <si>
    <t>Tervasaari mill/site interpreted as Valkeakoski</t>
  </si>
  <si>
    <t>Company/site is Lappeenrannan Lämpövoima or Lappeenranta district/site</t>
  </si>
  <si>
    <t>Etelä-Savon Energia or Mikkeli district/site clue</t>
  </si>
  <si>
    <t>KSS Energia / Kouvola district-heating site clue</t>
  </si>
  <si>
    <t>Kymin Voima / Keltakangas site in Kouvola area</t>
  </si>
  <si>
    <t>Company/site name refers to Varkaus</t>
  </si>
  <si>
    <t>Loiste Lämpö / Palokangas district-heating site in Kajaani area</t>
  </si>
  <si>
    <t>Company name is Kemijärven lämpö ja vesi or Kemijärvi site</t>
  </si>
  <si>
    <t>VSV Energia interpreted as Vakka-Suomen Voima / Uusikaupunki heat network clue</t>
  </si>
  <si>
    <t>Company name is Viitasaaren Lämpö</t>
  </si>
  <si>
    <t>Varissuo/Pansio district in Turku</t>
  </si>
  <si>
    <t>Company name is Nurmeksen Lämpö or Nurmes locality</t>
  </si>
  <si>
    <t>Company name is Haapajärven Lämpö or local street/site</t>
  </si>
  <si>
    <t>Company name is Valkeakosken Energia</t>
  </si>
  <si>
    <t>Nurmijärven Sähkö or Nurmijärvi district</t>
  </si>
  <si>
    <t>Company name is Virtain Energia</t>
  </si>
  <si>
    <t>Vatajankoski utility / Kankaanpää-area site clue</t>
  </si>
  <si>
    <t>Riihimäen Kaukolämpö or Riihimäki street/site</t>
  </si>
  <si>
    <t>Company name is Liedon Lämpö or Lieto district/site</t>
  </si>
  <si>
    <t>Company name is Juuan Kaukolämpö</t>
  </si>
  <si>
    <t>Company name is Alavuden Lämpö or Alavus/Tuuri site</t>
  </si>
  <si>
    <t>Company name is Saarijärven Kaukolämpö or Saarijärvi site</t>
  </si>
  <si>
    <t>Inergia/Inari-area site name</t>
  </si>
  <si>
    <t>Alkkula locality / Alkkulan Aluelämpö</t>
  </si>
  <si>
    <t>Company name is Kalajoen Lämpö</t>
  </si>
  <si>
    <t>Pargas/Parainen company or locality clue</t>
  </si>
  <si>
    <t>Kausala locality / Kausalan Kaukolämpö</t>
  </si>
  <si>
    <t>Company name is Kauhajoen Lämpöhuolto or local site</t>
  </si>
  <si>
    <t>Company/site text includes Äänekoski</t>
  </si>
  <si>
    <t>Company name is Kokemäen Lämpö</t>
  </si>
  <si>
    <t>Company name is Toholammin Energia</t>
  </si>
  <si>
    <t>Köyliön-Säkylän Sähkö; current municipality interpreted as Säkylä</t>
  </si>
  <si>
    <t>Ylämylly/Honkalampi locality clue</t>
  </si>
  <si>
    <t>Company name is Kannuksen Kaukolämpö</t>
  </si>
  <si>
    <t>Nykarleby is Swedish name for Uusikaarlepyy</t>
  </si>
  <si>
    <t>Mariehamn is Maarianhamina in Finnish municipality naming</t>
  </si>
  <si>
    <t>Suomussalmen Energia or local site</t>
  </si>
  <si>
    <t>Raseborgs Energi site; using historic municipality Tammisaari/Raasepori-area basis</t>
  </si>
  <si>
    <t>Akaa-area site; using historic municipality Toijala where Akaa is not in table</t>
  </si>
  <si>
    <t>Pehula/Sastamala-area site; using historic municipality Äetsä</t>
  </si>
  <si>
    <t>Known to be minor only - here ignored</t>
  </si>
  <si>
    <t xml:space="preserve">Heat storage </t>
  </si>
  <si>
    <t>Large heat storage</t>
  </si>
  <si>
    <t>Google Hamina data centre heat-recovery project; Hamina district-heating network.</t>
  </si>
  <si>
    <t>Vatajankoski waste-heat plant / Knauf factory supplies Kankaanpää district-heating network.</t>
  </si>
  <si>
    <t>Pansia interpreted as Pansio district; Pansion Lämpö located at Pansiontie, Turku.</t>
  </si>
  <si>
    <t>Tornion Voima electric boiler is in Röyttä, Tornio.</t>
  </si>
  <si>
    <t>Unit name refers to Lappeenranta; spelling normalized from “Lapeenranta”.</t>
  </si>
  <si>
    <t>Etelä-Savon Energia / ESE district-heating operations serve the Mikkeli area.</t>
  </si>
  <si>
    <t>Pansian/Pansion interpreted as Pansio district of Turku.</t>
  </si>
  <si>
    <t>Seinäjoen Voima heat-production assets are located in Seinäjoki.</t>
  </si>
  <si>
    <t>KSS Energia Hinkismäki power station is in Kouvola, Kymenlaakso.</t>
  </si>
  <si>
    <t>Heat storage capacity [MWh]</t>
  </si>
  <si>
    <t>Aproach</t>
  </si>
  <si>
    <t>CHP data</t>
  </si>
  <si>
    <t>Notes for future work</t>
  </si>
  <si>
    <t>Previous attempts to link units to certain regions relied either on full AI blackbox automation or full manual search among secondary sources. Neither of the two are satisfactory for list with nearly 1000 units and without small number of dominant capacity units allowing to focus on significantly shorter but largely representative subset of units. In contrast, the approach in this sheet pursues trackable automation. It relies on assumption that municipality name in company or unit name refers to municipality where unit is located. This allows to locate majority of units. The location indentification of remaining units still resorts to Copilot. That said, Copilot use once majority of units are identified appears to perform better than request is made for all units. Intuitively, request to fill remaining gaps appears more constrained problem and therefor more suited for AI. While quality of allocation objectively remains unknown, share of units allocated this time is noticably larger than in prior attempts.
Given improved level of automation and possibly level of accuracy, this approach could be applied to repeat identification of unit locations from powerplant register (P_el and P_hydro sheets).</t>
  </si>
  <si>
    <t>Units mapped in this sheet include industrial and district heating CHP units. Moreover, while prior sheets used link to powerplant register, this sheet uses heat generation unit dataset originally used to produce heat generation unit datasets in European Model. In other words, the basis in this sheet is a primary data that avoids additional transformation steps and associated errors.
Adoption of P_heat values instead of P_ind_chp and P_dh_chp should be low lying fruit for improvement, but should still include result comparisons and reality checks as prior sheets included more manual (and thus more reliable) location identifications.</t>
  </si>
  <si>
    <t>(Dis)charge</t>
  </si>
  <si>
    <r>
      <rPr>
        <sz val="11"/>
        <color theme="0" tint="-0.499984740745262"/>
        <rFont val="Calibri"/>
        <family val="2"/>
        <scheme val="minor"/>
      </rPr>
      <t>FI</t>
    </r>
    <r>
      <rPr>
        <sz val="11"/>
        <color theme="1"/>
        <rFont val="Calibri"/>
        <family val="2"/>
        <scheme val="minor"/>
      </rPr>
      <t>C</t>
    </r>
    <r>
      <rPr>
        <sz val="11"/>
        <color theme="0" tint="-0.499984740745262"/>
        <rFont val="Calibri"/>
        <family val="2"/>
        <scheme val="minor"/>
      </rPr>
      <t>0</t>
    </r>
    <r>
      <rPr>
        <sz val="11"/>
        <color theme="1"/>
        <rFont val="Calibri"/>
        <family val="2"/>
        <scheme val="minor"/>
      </rPr>
      <t/>
    </r>
  </si>
  <si>
    <r>
      <rPr>
        <sz val="11"/>
        <color theme="0" tint="-0.499984740745262"/>
        <rFont val="Calibri"/>
        <family val="2"/>
        <scheme val="minor"/>
      </rPr>
      <t>FI</t>
    </r>
    <r>
      <rPr>
        <sz val="11"/>
        <color theme="1"/>
        <rFont val="Calibri"/>
        <family val="2"/>
        <scheme val="minor"/>
      </rPr>
      <t>N</t>
    </r>
    <r>
      <rPr>
        <sz val="11"/>
        <color theme="0" tint="-0.499984740745262"/>
        <rFont val="Calibri"/>
        <family val="2"/>
        <scheme val="minor"/>
      </rPr>
      <t>0</t>
    </r>
    <r>
      <rPr>
        <sz val="11"/>
        <color theme="1"/>
        <rFont val="Calibri"/>
        <family val="2"/>
        <scheme val="minor"/>
      </rPr>
      <t/>
    </r>
  </si>
  <si>
    <t>Regions</t>
  </si>
  <si>
    <t>Municipalities</t>
  </si>
  <si>
    <t>Start</t>
  </si>
  <si>
    <t>Dirrect coppy from: Finland_dheat_and_industry.xlsx ROF sheet.</t>
  </si>
  <si>
    <t>Supplementary unit-specific sources:</t>
  </si>
  <si>
    <t>https://www.hamina.fi/haminan-energia-oyn-tiedote-googlen-datakeskuksen-lampoa-alkaa-virrata-haminan-kaukolampoverkossa-vuoden-2025-aikana/</t>
  </si>
  <si>
    <t>https://loimua.fi/ajassa-ja-blogi/loimua-investoi-sahkokattilaan-hameenlinnan-kaukolampoa-tuotetaan-yha-enemman-polttamatta/</t>
  </si>
  <si>
    <t>https://www.ssab.com/fi-fi/uutiset/2024/05/ssabn-hmeenlinnan-tehtaan-hukkalmp-hytykyttn-loimuan-kaukolmpverkossa</t>
  </si>
  <si>
    <t>Hukkalämpöhanke loppusuoralla - kaukolämmön tuotanto on alkanut | Imatran kaupunki</t>
  </si>
  <si>
    <t>https://www.enertec.fi/natiivi/4296/elektrodisahkokattiloiden-kysynta-kasvaa-voimakkaasti</t>
  </si>
  <si>
    <t>https://www.sttinfo.fi/tiedote/69882362/knauf-oyn-ja-vatajankosken-sahkon-5-miljoonan-euron-investointihanke-pienentaa-seka-kaukolammon-tuotannon-etta-tuotteiden-hiilijalanjalkea?publisherId=69817472</t>
  </si>
  <si>
    <t>https://yle.fi/a/74-20088907</t>
  </si>
  <si>
    <t>https://www.lempealampo.fi/2024/05/kangasniemen-kaukolampolaitosta-modernisoidaan/</t>
  </si>
  <si>
    <t>https://tem.fi/documents/1410877/153287519/22122023_LIITE_tiedotteeseen_Investointitukip%C3%A4%C3%A4t%C3%B6ksi%C3%A4_RRF_FI.pdf/a3e88806-36e2-8b1c-3067-0e14f4346221/22122023_LIITE_tiedotteeseen_Investointitukip%C3%A4%C3%A4t%C3%B6ksi%C3%A4_RRF_FI.pdf?t=1703237539815</t>
  </si>
  <si>
    <t>https://hlv.fi/ajankohtaista/hyvinkaan-lampovoima-rakentaa-sahkokattilan-sahanmakeen/</t>
  </si>
  <si>
    <t>https://valtioneuvosto.fi/documents/1410877/196402993/LIITE-14062024-tiedotteeseen-hankekuvaukset-yhdeksasta-tuetusta-RRF-hankkeesta-FI.pdf/c2731b2c-0cf2-53d4-6075-d3363fb5a9ac/LIITE-14062024-tiedotteeseen-hankekuvaukset-yhdeksasta-tuetusta-RRF-hankkeesta-FI.pdf?t=1718354172338</t>
  </si>
  <si>
    <t>https://savonvoima.fi/savon-voima-investoi-sahkoiseen-lammontuotantoon-keiteleelle/</t>
  </si>
  <si>
    <t>https://www.epressi.com/tiedotteet/energia/adven-ja-kuusamon-evo-sahkoistavat-kuusamon-kaukolammon-tuotantoa.html?block=5&amp;customer=621</t>
  </si>
  <si>
    <t>https://www.vatajankoski.fi/vatajankoskella-taysin-uusiutuvaa-kaukolampoa/</t>
  </si>
  <si>
    <t>https://www.kokkolanenergia.fi/fi/yritys/ajankohtaista/kokkolan-energia-kaavailee-investointeja-sahkoiseen-lammon-tuotantoon/</t>
  </si>
  <si>
    <t>https://www.kuopionenergia.fi/ajankohtaista/kaukolampoa-sahkolla-ensi-vuonna-joustavasti-polttoaineita-saastaen/#:~:text=S%C3%A4hk%C3%B6kattilalla%20tuotetaan%20kaukol%C3%A4mp%C3%B6%C3%A4%20s%C3%A4hk%C3%B6n%20edullisten%20markkinahintojen%20aikana%2C%20eli,s%C3%A4hk%C3%B6teholtaan%20max%2060%20MW%20%28%3D%2060%20MW%20l%C3%A4mp%C3%B6tehoa%29.</t>
  </si>
  <si>
    <t>https://www.lahtienergia.fi/lahti-energia/energiantuotanto/</t>
  </si>
  <si>
    <t>https://www.lahtienergia.fi/ajankohtaista/paransimme-tulosta-ja-investoimme-tana-vuonna-toiseen-sahkokattilaan/</t>
  </si>
  <si>
    <t>https://www.sttinfo.fi/tiedote/70740024/loviisan-lammon-uuden-sukupolven-energiakeskus-vihittiin-kayttoon?publisherId=68350554</t>
  </si>
  <si>
    <t>https://yle.fi/a/74-20023800</t>
  </si>
  <si>
    <t>https://www.satakunnankansa.fi/satakunta/art-2000010554395.html</t>
  </si>
  <si>
    <t>https://pbe.fi/fi/tiedotteet/porvoon-energia-monipuolistaa-lammontuotantonsa/</t>
  </si>
  <si>
    <t>https://www.tovo.fi/tornion-voima-rakentaa-sahkokattilaa-tornion-royttaan/</t>
  </si>
  <si>
    <t>https://www.epv.fi/2021/12/08/uusi-sahkokattila-otettiin-kayttoon-vaskiluodossa-vaasassa/</t>
  </si>
  <si>
    <t>https://www.sttinfo.fi/tiedote/70057672/suomen-suurin-kaytossa-oleva-sahkokattila-lampovarastoyhdistelma-sijatsee-vaasassa?lang=fi</t>
  </si>
  <si>
    <t>https://www.herrfors.fi/fi/ajankohtaista/herrfors-investoi-saehkoevarastoon-ja-saehkoekattilaan/</t>
  </si>
  <si>
    <t>https://www.epressi.com/tiedotteet/energia/vsv-energia-investoi-sahkokattilaan-tehostaakseen-kaukolammon-tuotantoa.html</t>
  </si>
  <si>
    <t>https://www.ess.fi/paikalliset/5760643</t>
  </si>
  <si>
    <t>https://vkkgroup.fi/ajankohtaista/vkk-power-oy-toimittaa-oulun-seudun-sahkolle-20-mw-biolampokeskuksen/</t>
  </si>
  <si>
    <t>https://nevel.com/fi/story/nevelin-linnavuoren-laitoksen-investointi-auttaa-alueen-teollisuutta-optimoimaan-kustannuksia-ja-viemaan-paastot-kohti-nollaa/</t>
  </si>
  <si>
    <t>https://pbe.fi/fi/artikkelit/lampopumput-pienentavat-hakkeen-polton-tarvetta-kaukolammon-tuotannossa/</t>
  </si>
  <si>
    <t>https://neve.fi/ajankohtaista/jateveden-lampo-hyotykiertoon-ja-kustannuksia-alas-neven-uudella-lampopumppulaitoksella-toteutus-alkaa-ensi-vuonna/#:~:text=Neven%20uusi%20l%C3%A4mp%C3%B6pumppulaitos%20lis%C3%A4%C3%A4%20energiatehokkuutta%20ja%20monipuolistaa%20rovaniemel%C3%A4isten,j%C3%A4tevedenpuhdistamon%20yhteyteen%20rakennettava%20l%C3%A4mp%C3%B6pumppulaitos%20otetaan%20k%C3%A4ytt%C3%B6%C3%B6n%20vuonna%202025.</t>
  </si>
  <si>
    <t>https://www.sttinfo.fi/tiedote/yhdella-investoinnilla-hukkalampoa-lahes-2-000-omakotitalon-tarpeisiin?publisherId=58661976&amp;releaseId=69945271&amp;lang=fi</t>
  </si>
  <si>
    <t>https://www.esaimaa.fi/paikalliset/5846434</t>
  </si>
  <si>
    <t>https://polarnightenergy.fi/news/2024/3/6/loviisan-lmp-invests-in-polar-night-energys-sand-battery-in-pornainen-towards-non-combustion-heat-production</t>
  </si>
  <si>
    <t>https://yle.fi/a/74-20117810</t>
  </si>
  <si>
    <t>Charge and discharge capacities of storage units are represented by single (heat) value as they were equal for all storage units.</t>
  </si>
  <si>
    <t>Power capacity</t>
  </si>
  <si>
    <t>Comprehensiveness of mapping</t>
  </si>
  <si>
    <t>Centralization of units</t>
  </si>
  <si>
    <t>Takeaway - mannual mapping of subset of largets units is not a viable solution</t>
  </si>
  <si>
    <t>1. Heat unit mapping to model regions</t>
  </si>
  <si>
    <t>2. Aggregation by regions</t>
  </si>
  <si>
    <t xml:space="preserve"> </t>
  </si>
  <si>
    <t>Missing</t>
  </si>
  <si>
    <t>[TWh_h2]</t>
  </si>
  <si>
    <t>Store_short</t>
  </si>
  <si>
    <t>Store_long_in</t>
  </si>
  <si>
    <t>Store_long_out</t>
  </si>
  <si>
    <t>Column1</t>
  </si>
  <si>
    <t xml:space="preserve"> [MW_h2]</t>
  </si>
  <si>
    <t>Long-term hydrogen storage charger</t>
  </si>
  <si>
    <t>Long-term hydrogen storage discharger</t>
  </si>
  <si>
    <t>Short-term hydrogen storage charger</t>
  </si>
  <si>
    <t>Short-term hydrogen storage discharger</t>
  </si>
  <si>
    <t>Valve</t>
  </si>
  <si>
    <t>Native hydrogen consumer valve</t>
  </si>
  <si>
    <t>Battery charger 4h</t>
  </si>
  <si>
    <t>Battery discharger 4h</t>
  </si>
  <si>
    <t>Unit specific district heating data from Finnish Energy</t>
  </si>
  <si>
    <t>Municipality in company or unit name is muncipality where unit is located</t>
  </si>
  <si>
    <t>EL_DR</t>
  </si>
  <si>
    <t>Omitted because of (1) small capacity and (2) old data in H2 heavy (predates even tyndp2020)</t>
  </si>
  <si>
    <t>Node_suffix</t>
  </si>
  <si>
    <t>nodeBalance</t>
  </si>
  <si>
    <t>upwardLimit</t>
  </si>
  <si>
    <t>reference</t>
  </si>
  <si>
    <t>balancePenalty</t>
  </si>
  <si>
    <t>selfDischargeLoss</t>
  </si>
  <si>
    <t>maxSpill</t>
  </si>
  <si>
    <t>price</t>
  </si>
  <si>
    <t>emission_CO2</t>
  </si>
  <si>
    <t>all</t>
  </si>
  <si>
    <t>reservoir</t>
  </si>
  <si>
    <t>userconstraint</t>
  </si>
  <si>
    <t>year</t>
  </si>
  <si>
    <t>country</t>
  </si>
  <si>
    <t>group</t>
  </si>
  <si>
    <t>1st dimension</t>
  </si>
  <si>
    <t>2nd dimension</t>
  </si>
  <si>
    <t>3rd dimension</t>
  </si>
  <si>
    <t>4th dimension</t>
  </si>
  <si>
    <t>parameter</t>
  </si>
  <si>
    <t>value</t>
  </si>
  <si>
    <t>v_gen</t>
  </si>
  <si>
    <t>gt</t>
  </si>
  <si>
    <t>constant</t>
  </si>
  <si>
    <t>penalty</t>
  </si>
  <si>
    <t>UC_FIN0_reservoirTurbine</t>
  </si>
  <si>
    <t>UC_FIW0_reservoirTurbine</t>
  </si>
  <si>
    <t>UC_FIC0_reservoirTurbine</t>
  </si>
  <si>
    <t>UC_FIE0_reservoirTurbine</t>
  </si>
  <si>
    <t>UC_FISE_reservoirTurbine</t>
  </si>
  <si>
    <t>FIN0_elec</t>
  </si>
  <si>
    <t>FIN0_reservoirTurbine</t>
  </si>
  <si>
    <t>FIW0_elec</t>
  </si>
  <si>
    <t>FIW0_reservoirTurbine</t>
  </si>
  <si>
    <t>FIC0_elec</t>
  </si>
  <si>
    <t>FIC0_reservoirTurbine</t>
  </si>
  <si>
    <t>FIE0_elec</t>
  </si>
  <si>
    <t>FIE0_reservoirTurbine</t>
  </si>
  <si>
    <t>FISE_elec</t>
  </si>
  <si>
    <t>FISE_reservoirTurbine</t>
  </si>
  <si>
    <r>
      <t xml:space="preserve">Primery: lines 6-879 - Finnish Energy </t>
    </r>
    <r>
      <rPr>
        <sz val="11"/>
        <color theme="0" tint="-0.499984740745262"/>
        <rFont val="Calibri"/>
        <family val="2"/>
        <scheme val="minor"/>
      </rPr>
      <t>(2023 values from https://energia.fi/en/statistics/district-heating-statistics/)</t>
    </r>
    <r>
      <rPr>
        <sz val="11"/>
        <rFont val="Calibri"/>
        <family val="2"/>
        <scheme val="minor"/>
      </rPr>
      <t>, lines 880-919 - Confederation of Finnish Industries</t>
    </r>
    <r>
      <rPr>
        <sz val="11"/>
        <color theme="0" tint="-0.499984740745262"/>
        <rFont val="Calibri"/>
        <family val="2"/>
        <scheme val="minor"/>
      </rPr>
      <t xml:space="preserve"> (https://ek.fi/tutkittua-tietoa/vihreat-investoinnit/)</t>
    </r>
    <r>
      <rPr>
        <sz val="11"/>
        <rFont val="Calibri"/>
        <family val="2"/>
        <scheme val="minor"/>
      </rPr>
      <t>.</t>
    </r>
  </si>
  <si>
    <t>3. Supplementary nodes</t>
  </si>
  <si>
    <t>Matching order</t>
  </si>
  <si>
    <r>
      <t>Functions in Exact and Exact+n match first municipality (according to</t>
    </r>
    <r>
      <rPr>
        <u/>
        <sz val="11"/>
        <color theme="0" tint="-0.499984740745262"/>
        <rFont val="Calibri"/>
        <family val="2"/>
        <scheme val="minor"/>
      </rPr>
      <t xml:space="preserve"> order in Municipality table</t>
    </r>
    <r>
      <rPr>
        <sz val="11"/>
        <color theme="0" tint="-0.499984740745262"/>
        <rFont val="Calibri"/>
        <family val="2"/>
        <scheme val="minor"/>
      </rPr>
      <t>) that is found in info string. The more accurate approach would be to search according to info string composed in following order: unit, location (Company string after comma), company name (Company string before comma). This was attempted, but reverted due to insignificant result changes at expense of significant complication to table and its functions.</t>
    </r>
  </si>
  <si>
    <t>Hydro power</t>
  </si>
  <si>
    <t>Industry CHP</t>
  </si>
  <si>
    <t>Wind power</t>
  </si>
  <si>
    <t>District heating CHP</t>
  </si>
  <si>
    <t>Separate electricity production</t>
  </si>
  <si>
    <t>Nuclear energy</t>
  </si>
  <si>
    <t>Ind CHP</t>
  </si>
  <si>
    <t>DH CHP</t>
  </si>
  <si>
    <t>Omitting "Separate electricity", DH CHP, Ind CHP as only 10 units have at least two values. I.e., total captures practically all register data.</t>
  </si>
  <si>
    <t>Info sting</t>
  </si>
  <si>
    <t>Humppila; Urjala</t>
  </si>
  <si>
    <t>Register-text inference: the Name/Location field explicitly contains “Närpiö”; it was taken as the plant municipality.</t>
  </si>
  <si>
    <t>Register-text inference: the Name/Location field explicitly contains “Forssa”; it was taken as the plant municipality.</t>
  </si>
  <si>
    <t>Register-text inference: the Name/Location field explicitly contains “Harjavalta”; it was taken as the plant municipality.</t>
  </si>
  <si>
    <t>Register-text inference: the Name/Location field explicitly contains “Humppila; Urjala”; it was taken as the plant municipality.</t>
  </si>
  <si>
    <t>Register-text inference: the Name/Location field explicitly contains “Hämeenkyrö”; it was taken as the plant municipality.</t>
  </si>
  <si>
    <t>Register-text inference: the Name/Location field explicitly contains “Leppävirta”; it was taken as the plant municipality.</t>
  </si>
  <si>
    <t>Register-text inference: the Name/Location field explicitly contains “Kaskinen”; it was taken as the plant municipality.</t>
  </si>
  <si>
    <t>Register-text inference: the Name/Location field explicitly contains “Kerava”; it was taken as the plant municipality.</t>
  </si>
  <si>
    <t>Register-text inference: the Name/Location field explicitly contains “Honkajoki”; it was taken as the plant municipality.</t>
  </si>
  <si>
    <t>Existing workbook site-family match: P_el!A169:B169 identifies Koivukoski power plant in Kotka.</t>
  </si>
  <si>
    <t>Register-text inference: the Name/Location field explicitly contains “Kokkola”; it was taken as the plant municipality.</t>
  </si>
  <si>
    <t>Register-text inference: the Name/Location field explicitly contains “Kuopio”; it was taken as the plant municipality.</t>
  </si>
  <si>
    <t>Existing workbook site-family match: P_el!A210:B210 identifies Lakiakangas 1 in Isojoki; unit 2 was treated as the same site.</t>
  </si>
  <si>
    <t>Existing workbook site-family match: P_el!A210:B210 identifies Lakiakangas 1 in Isojoki; unit 3 was treated as the same site.</t>
  </si>
  <si>
    <t>Register-text inference: the Name/Location field explicitly contains “Lappeenranta”; it was taken as the plant municipality.</t>
  </si>
  <si>
    <t>Register-text inference: the Name/Location field explicitly contains “Pori”; it was taken as the plant municipality.</t>
  </si>
  <si>
    <t>Existing workbook site-family match: P_el!A300:B300 identifies the Olkiluoto site in Eurajoki.</t>
  </si>
  <si>
    <t>Register-text inference: the Name/Location field explicitly contains “Eurajoki”; it was taken as the plant municipality.</t>
  </si>
  <si>
    <t>Register-text inference: the Name/Location field explicitly contains “Porvoo”; it was taken as the plant municipality.</t>
  </si>
  <si>
    <t>Existing workbook site-family match: P_el!A435:B435 identifies Tahkoluoto in Pori.</t>
  </si>
  <si>
    <t>Register-text inference: the Name/Location field explicitly contains “Tornio”; it was taken as the plant municipality.</t>
  </si>
  <si>
    <t>Register-text inference: the Name/Location field explicitly contains “Uusikaupunki”; it was taken as the plant municipality.</t>
  </si>
  <si>
    <t>Existing workbook site-family match: P_el!A486:B486 identifies Vaskiluoto in Vaasa.</t>
  </si>
  <si>
    <t>Register-text inference: the Name/Location field explicitly contains “Vehmaa”; it was taken as the plant municipality.</t>
  </si>
  <si>
    <t>Register-text inference: the Name/Location field explicitly contains “Kalajoki”; it was taken as the plant municipality.</t>
  </si>
  <si>
    <t>Register-text inference: the Name/Location field explicitly contains “Äänekoski”; it was taken as the plant municipality.</t>
  </si>
  <si>
    <t>Pyhtää; Loviisa</t>
  </si>
  <si>
    <t>Haapavesi; Kärsämäki</t>
  </si>
  <si>
    <t>https://fi.wikipedia.org/wiki/Ahvenkosken_voimalaitos</t>
  </si>
  <si>
    <t>https://www.fortum.com/aittokoski-hydropower-plant</t>
  </si>
  <si>
    <t>https://www.ox2.com/fi/suomi/hankkeet/ajos/</t>
  </si>
  <si>
    <t>https://www.pohjolanvoima.fi/voimalaitokset/alholmens-kraft-pietarsaari/</t>
  </si>
  <si>
    <t>https://fi.wikipedia.org/wiki/Annankankaan_tuulipuisto</t>
  </si>
  <si>
    <t>https://fi.wikipedia.org/wiki/Bj%C3%B6rkforsin_voimalaitos</t>
  </si>
  <si>
    <t>https://fi.wikipedia.org/wiki/Finlaysonin_voimalaitos</t>
  </si>
  <si>
    <t>https://www.aboenergy.com/fi/hankekehitys-ja-rakentaminen/hankkeet/savineva.html</t>
  </si>
  <si>
    <t>https://fi.wikipedia.org/wiki/Haapakosken_voimalaitos</t>
  </si>
  <si>
    <t>https://www.thewindpower.net/windfarm_en_22175_hailikari.php</t>
  </si>
  <si>
    <t>https://fi.wikipedia.org/wiki/Halmekankaan_tuulivoimapuisto</t>
  </si>
  <si>
    <t>https://www.haapavesi.fi/hankilannevan-tuulivoimipuiston-osayleiskaava; https://karsamaki.fi/wp-content/uploads/2026/02/Liite-12.-Hankilanneva_Keso_AVON_27.1.2026_muistio.pdf</t>
  </si>
  <si>
    <t>https://fi.wikipedia.org/wiki/Haukinevan_tuulivoimapuisto</t>
  </si>
  <si>
    <t>https://www.thewindpower.net/windfarm_en_33653_illevaara.php</t>
  </si>
  <si>
    <t>https://www.isonevantuulipuisto.fi/</t>
  </si>
  <si>
    <t>https://www.thewindpower.net/windfarm_en_25149_jeppo.php</t>
  </si>
  <si>
    <t>https://ilmatar.com/project/jakalakangas/</t>
  </si>
  <si>
    <t>https://fi.wikipedia.org/wiki/Kaaranneskosken_vesivoimalaitos</t>
  </si>
  <si>
    <t>https://www.thewindpower.net/windfarm_en_23044_kankaanpaanmaki.php</t>
  </si>
  <si>
    <t>https://www.thewindpower.net/windfarm_en_25129_kantti.php</t>
  </si>
  <si>
    <t>https://www.wpd.fi/projects/pyhajoki-karhunnevankangas/</t>
  </si>
  <si>
    <t>https://fi.wikipedia.org/wiki/Kattilakosken_voimalaitos</t>
  </si>
  <si>
    <t>https://fi.wikipedia.org/wiki/Kl%C3%A5sar%C3%B6n_vesivoimalaitos</t>
  </si>
  <si>
    <t>https://fi.wikipedia.org/wiki/V%C3%A4rn%C3%A5n_voimalaitos</t>
  </si>
  <si>
    <t>Pedersöre was standardized to the workbook municipality label “Pedersören kunta”.</t>
  </si>
  <si>
    <t>The source gives Oulu (Yli-Ii area); the result uses the workbook’s historical municipality “Yli-Ii”.</t>
  </si>
  <si>
    <t>Two municipal planning sources were combined because the Hankilanneva project spans Haapavesi and Kärsämäki.</t>
  </si>
  <si>
    <t>https://www.kemijoki.fi/toimintamme/voimalaitokset/</t>
  </si>
  <si>
    <t>The source gives current municipality Kouvola; the workbook uses historical municipality Anjalankoski for Inkeroinen.</t>
  </si>
  <si>
    <t>Kemi; Keminmaa</t>
  </si>
  <si>
    <t>https://fi.wikipedia.org/wiki/Isohaaran_vesivoimalaitos</t>
  </si>
  <si>
    <t>https://www.fortum.com/energy-production/hydropower/plants/oulujoki-river-system</t>
  </si>
  <si>
    <t>https://www.upmenergy.com/globaloperationsmap/en/location/57</t>
  </si>
  <si>
    <t>https://www.upm.com/globaloperationsmap/en/location/60</t>
  </si>
  <si>
    <t>https://www.upm.com/globaloperationsmap/en/location/63</t>
  </si>
  <si>
    <t>https://fi.wikipedia.org/wiki/Pamilon_vesivoimalaitos</t>
  </si>
  <si>
    <t>The source gives current municipality Joensuu and notes the former Eno municipality; the workbook uses Eno.</t>
  </si>
  <si>
    <t>https://fi.wikipedia.org/wiki/Peltokosken_voimalaitos</t>
  </si>
  <si>
    <t>The source gives current municipality Raasepori and locality Mustio; the workbook uses historical municipality Karjaa.</t>
  </si>
  <si>
    <t>https://www.pohjolanvoima.fi/en/tornionlaakson-voima-oys-portimokoski-hydropower-turbine-to-undergo-major-overhaul/</t>
  </si>
  <si>
    <t>https://www.tampereenenergia.fi/tampereen-energia/energia/energiantuotanto-tampereella/vesivoimalaitokset/</t>
  </si>
  <si>
    <t>https://tammervoima.fi/</t>
  </si>
  <si>
    <t>https://fi.wikipedia.org/wiki/H%C3%B6gs%C3%A5ran_tuulivoimapuisto</t>
  </si>
  <si>
    <t>The source gives current municipality Kemiönsaari; the workbook uses historical municipality Dragsfjärd for Högsara.</t>
  </si>
  <si>
    <t>https://ilmatar.com/project/isokeidas/</t>
  </si>
  <si>
    <t>https://hyotytuuli.fi/tuulivoima/jokelan-tuulipuisto/</t>
  </si>
  <si>
    <t>https://www.ox2.com/fi/suomi/hankkeet/jouttikallio/</t>
  </si>
  <si>
    <t>https://www.fortum.com/energy-production/wind-power/farms/kalax-wind-farm</t>
  </si>
  <si>
    <t>https://puhuri.fi/en/tuulipuistot/kaukanen-kannus/</t>
  </si>
  <si>
    <t>https://puhuri.fi/en/tuulipuistot/haapavesi-keso/</t>
  </si>
  <si>
    <t>Hyrynsalmi; Suomussalmi</t>
  </si>
  <si>
    <t>https://www.thewindpower.net/windfarm_en_25145_kivivaara-peuravaara-2-3.php</t>
  </si>
  <si>
    <t>The source lists phases 2–3 across Hyrynsalmi and Suomussalmi.</t>
  </si>
  <si>
    <t>https://www.thewindpower.net/windfarm_en_23040_koirakari.php</t>
  </si>
  <si>
    <t>Siikalatva</t>
  </si>
  <si>
    <t>https://www.aneo.com/en/projects/kokkoneva-wind-park</t>
  </si>
  <si>
    <t>https://www.thewindpower.net/windfarm_en_25128_kooninkallio.php</t>
  </si>
  <si>
    <t>https://ilmatar.com/project/korpilevonmaki/</t>
  </si>
  <si>
    <t>Kittilä; Sodankylä</t>
  </si>
  <si>
    <t>https://fi.wikipedia.org/wiki/Kuolavaara-Keulakkop%C3%A4%C3%A4n_tuulivoimapuisto</t>
  </si>
  <si>
    <t>https://klimavest.de/en/portfolio/wind-kuuronkallio/</t>
  </si>
  <si>
    <t>https://fi.wikipedia.org/wiki/Kyt%C3%B6l%C3%A4n_tuulivoimapuisto</t>
  </si>
  <si>
    <t>https://fi.wikipedia.org/wiki/Leipi%C3%B6n_tuulivoimapuistot_2_ja_3</t>
  </si>
  <si>
    <t>https://www.thewindpower.net/windfarm_en_25138_limakko.php</t>
  </si>
  <si>
    <t>https://ilmatar.com/project/louhukangas/</t>
  </si>
  <si>
    <t>https://www.kuopionenergia.fi/yritys/tuotanto-ja-jakelu/voimalaitokset-ja-lampokeskukset/</t>
  </si>
  <si>
    <t>https://fi.wikipedia.org/wiki/Hovinsaaren_voimalaitos</t>
  </si>
  <si>
    <t>https://www.kotkanenergia.fi/yhteystiedot-ja-laskutusosoitteet/toimipisteet-ja-tuotantolaitokset/</t>
  </si>
  <si>
    <t>https://fi.wikipedia.org/wiki/Patalankosken_voimalaitos</t>
  </si>
  <si>
    <t>The source places the associated Jämsänkoski industrial power environment in Jämsänkoski; the workbook municipality is Jämsä.</t>
  </si>
  <si>
    <t>https://saalasti.com/wp-content/uploads/2026/04/UPM_Kaipola_Success_Story-15YearsContinuousOperation.pdf</t>
  </si>
  <si>
    <t>https://www.imatra.fi/hukkalampohanke-loppusuoralla-kaukolammon-tuotanto-alkanut</t>
  </si>
  <si>
    <t>https://adven.com/fi/kaukolampo/kaukolampoverkosto/kaukolampo-eura-kauttua/</t>
  </si>
  <si>
    <t>https://fi.wikipedia.org/wiki/Keljonlahden_voimalaitos</t>
  </si>
  <si>
    <t>https://fi.wikipedia.org/wiki/Korpirannan_tuulivoimalaitos</t>
  </si>
  <si>
    <t>https://fi.wikipedia.org/wiki/Koskenkyl%C3%A4n_tuulivoimalaitos</t>
  </si>
  <si>
    <t>https://www.thewindpower.net/windfarm_en_23889_mustaisneva.php</t>
  </si>
  <si>
    <t>https://fi.wikipedia.org/wiki/Pensalan_tuulivoimalaitos</t>
  </si>
  <si>
    <t>The source gives current municipality Vöyri and locality Oravainen; the workbook uses historical municipality Oravainen.</t>
  </si>
  <si>
    <t>https://www.ox2.com/projects/langmossa/</t>
  </si>
  <si>
    <t>https://www.wpd.fi/projects/oulainen-maaselankangas/</t>
  </si>
  <si>
    <t>https://www.epvtuulivoima.fi/project/metsalan-tuulivoimapuisto-kristiinankaupungissa/</t>
  </si>
  <si>
    <t>https://www.aboenergy.com/fi/hankekehitys-ja-rakentaminen/hankkeet/muntila.html</t>
  </si>
  <si>
    <t>https://www.murtotuulentuulipuisto.fi/</t>
  </si>
  <si>
    <t>https://www.gem.wiki/Myllykangas_wind_farm</t>
  </si>
  <si>
    <t>https://www.thewindpower.net/windfarm_en_38287_moksy.php</t>
  </si>
  <si>
    <t>https://puhuri.fi/en/tuulipuistot/kopsa-ii-raahe/</t>
  </si>
  <si>
    <t>https://hyotytuuli.fi/en/wind-power/nikkarinkaarto-wind-farm/</t>
  </si>
  <si>
    <t>https://www.epvtuulivoima.fi/sv/project/vindparken-norrskogen-narpes/</t>
  </si>
  <si>
    <t>https://www.thewindpower.net/windfarm_en_35195_nuolivaara.php</t>
  </si>
  <si>
    <t>https://fi.wikipedia.org/wiki/Nybyn_tuulivoimapuisto</t>
  </si>
  <si>
    <t>https://ilmatar.com/project/pahkakoski/</t>
  </si>
  <si>
    <t>https://www.thewindpower.net/windfarm_en_16112_pajukoski.php</t>
  </si>
  <si>
    <t>https://www.aboenergy.com/fi/hankekehitys-ja-rakentaminen/hankkeet/pajuperankangas.html</t>
  </si>
  <si>
    <t>https://www.gem.wiki/Lind%C3%B6_G%C3%A5rd_Tenhola_solar_project</t>
  </si>
  <si>
    <t>The source gives current municipality Raasepori and locality Tenhola; the workbook uses historical municipality Tenhola.</t>
  </si>
  <si>
    <t>https://www.norelco.fi/fi/ajankohtaista/nurmijarvelle-valmistui-teollisen-luokan-aurinkopuisto-norelco-mukana-toteutuksessa</t>
  </si>
  <si>
    <t>https://solarigo.fi/en/utility-scale-solar-projects/atrian-aurinko/</t>
  </si>
  <si>
    <t>The source gives locality Nurmo; the workbook uses historical municipality Nurmo.</t>
  </si>
  <si>
    <t>https://fi.wikipedia.org/wiki/Parantalankosken_vesivoimalaitos</t>
  </si>
  <si>
    <t>https://www.karstulanseutu.fi/puulaakso/puulaakson-energia-oy/</t>
  </si>
  <si>
    <t>https://caruna.fi/ajankohtaista/lampaita-ja-paneeleita-ensimmainen-aurinkopuisto-liitetaan-carunan-sahkoverkkoon</t>
  </si>
  <si>
    <t>The source gives current municipality Kemiönsaari and identifies the Kemiö project area; the workbook uses historical municipality Kemiö.</t>
  </si>
  <si>
    <t>https://www.lumme-energia.fi/yrityksille/blogi/sulkavan-aurinkopuisto-avajaiset</t>
  </si>
  <si>
    <t>https://fi.wikipedia.org/wiki/Kortekallion_tuulivoimapuisto</t>
  </si>
  <si>
    <t>The source gives current municipality Sastamala and locality Suodenniemi; the workbook uses historical municipality Suodenniemi.</t>
  </si>
  <si>
    <t>https://neve.fi/tietoa-meista/tuotantomme/</t>
  </si>
  <si>
    <t>https://fi.wikipedia.org/wiki/Sysimyllyn_tuulivoimalaitos</t>
  </si>
  <si>
    <t>Finland</t>
  </si>
  <si>
    <t>Gas CCGT</t>
  </si>
  <si>
    <t>City-level heat-only capacity (coppied dirrectly from H2 heavy)</t>
  </si>
  <si>
    <t>Heat-only capacity for ROF mapped onto modeled regions</t>
  </si>
  <si>
    <t>Heat storage</t>
  </si>
  <si>
    <t>Seasonal heat storage</t>
  </si>
  <si>
    <t>Heat pump</t>
  </si>
  <si>
    <t>Hourly industrial heat demand in SW</t>
  </si>
  <si>
    <t>Avg hourly [MW]</t>
  </si>
  <si>
    <t>Total el. [GWh]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</si>
</sst>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gt;=0]###0\ \ ;@\ ____"/>
    <numFmt numFmtId="167" formatCode="0.0%"/>
  </numFmts>
  <fonts count="5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8" tint="0.59999389629810485"/>
      <name val="Calibri"/>
      <family val="2"/>
      <scheme val="minor"/>
    </font>
    <font>
      <sz val="11"/>
      <color theme="0" tint="-0.499984740745262"/>
      <name val="Calibri"/>
      <family val="2"/>
      <scheme val="minor"/>
    </font>
    <font>
      <sz val="10"/>
      <name val="Arial"/>
      <family val="2"/>
    </font>
    <font>
      <sz val="11"/>
      <color theme="9" tint="0.59999389629810485"/>
      <name val="Calibri"/>
      <family val="2"/>
      <scheme val="minor"/>
    </font>
    <font>
      <sz val="11"/>
      <color theme="9" tint="-0.249977111117893"/>
      <name val="Calibri"/>
      <family val="2"/>
      <scheme val="minor"/>
    </font>
    <font>
      <sz val="11"/>
      <color theme="8" tint="-0.249977111117893"/>
      <name val="Calibri"/>
      <family val="2"/>
      <scheme val="minor"/>
    </font>
    <font>
      <sz val="10"/>
      <color theme="9" tint="0.59999389629810485"/>
      <name val="Arial"/>
      <family val="2"/>
    </font>
    <font>
      <sz val="10"/>
      <color theme="0" tint="-0.499984740745262"/>
      <name val="Arial"/>
      <family val="2"/>
    </font>
    <font>
      <sz val="10"/>
      <color theme="9" tint="-0.249977111117893"/>
      <name val="Arial"/>
      <family val="2"/>
    </font>
    <font>
      <sz val="11"/>
      <name val="Calibri"/>
      <family val="2"/>
      <scheme val="minor"/>
    </font>
    <font>
      <sz val="11"/>
      <color theme="0" tint="-0.249977111117893"/>
      <name val="Calibri"/>
      <family val="2"/>
      <scheme val="minor"/>
    </font>
    <font>
      <sz val="10"/>
      <name val="Verdana"/>
      <family val="2"/>
    </font>
    <font>
      <b/>
      <sz val="11"/>
      <color theme="0" tint="-0.499984740745262"/>
      <name val="Calibri"/>
      <family val="2"/>
      <scheme val="minor"/>
    </font>
    <font>
      <i/>
      <sz val="11"/>
      <color theme="8" tint="0.59999389629810485"/>
      <name val="Calibri"/>
      <family val="2"/>
      <scheme val="minor"/>
    </font>
    <font>
      <sz val="11"/>
      <color theme="5" tint="0.39997558519241921"/>
      <name val="Calibri"/>
      <family val="2"/>
      <scheme val="minor"/>
    </font>
    <font>
      <sz val="11"/>
      <color theme="1"/>
      <name val="AvenirNext LT Com Regular"/>
      <family val="2"/>
    </font>
    <font>
      <sz val="11"/>
      <color theme="8" tint="0.39997558519241921"/>
      <name val="Calibri"/>
      <family val="2"/>
      <scheme val="minor"/>
    </font>
    <font>
      <b/>
      <sz val="11"/>
      <name val="Calibri"/>
      <family val="2"/>
      <scheme val="minor"/>
    </font>
    <font>
      <sz val="8"/>
      <name val="Calibri"/>
      <family val="2"/>
      <scheme val="minor"/>
    </font>
    <font>
      <sz val="11"/>
      <color theme="6" tint="-0.249977111117893"/>
      <name val="Calibri"/>
      <family val="2"/>
      <scheme val="minor"/>
    </font>
    <font>
      <sz val="11"/>
      <color rgb="FFC00000"/>
      <name val="Calibri"/>
      <family val="2"/>
      <scheme val="minor"/>
    </font>
    <font>
      <sz val="11"/>
      <color theme="0"/>
      <name val="Calibri"/>
      <family val="2"/>
      <scheme val="minor"/>
    </font>
    <font>
      <sz val="11"/>
      <color theme="9" tint="-0.249977111117893"/>
      <name val="Calibri"/>
      <family val="2"/>
    </font>
    <font>
      <sz val="11"/>
      <color rgb="FF000000"/>
      <name val="Calibri"/>
      <family val="2"/>
    </font>
    <font>
      <sz val="11"/>
      <color theme="0" tint="-0.499984740745262"/>
      <name val="Calibri"/>
      <family val="2"/>
    </font>
    <font>
      <sz val="11"/>
      <color theme="9" tint="0.59999389629810485"/>
      <name val="Calibri"/>
      <family val="2"/>
    </font>
    <font>
      <sz val="11"/>
      <color theme="9" tint="0.79998168889431442"/>
      <name val="Calibri"/>
      <family val="2"/>
    </font>
    <font>
      <sz val="11"/>
      <color theme="8" tint="0.79998168889431442"/>
      <name val="Calibri"/>
      <family val="2"/>
      <scheme val="minor"/>
    </font>
    <font>
      <sz val="11"/>
      <color theme="0" tint="-0.499984740745262"/>
      <name val="Aptos Narrow"/>
      <family val="2"/>
    </font>
    <font>
      <sz val="11"/>
      <color rgb="FFFF0000"/>
      <name val="Calibri"/>
      <family val="2"/>
      <scheme val="minor"/>
    </font>
    <font>
      <sz val="11"/>
      <color rgb="FF00B050"/>
      <name val="Calibri"/>
      <family val="2"/>
      <scheme val="minor"/>
    </font>
    <font>
      <sz val="11"/>
      <color rgb="FFFFC000"/>
      <name val="Calibri"/>
      <family val="2"/>
      <scheme val="minor"/>
    </font>
    <font>
      <sz val="10"/>
      <name val="Arial"/>
      <family val="2"/>
      <charset val="1"/>
    </font>
    <font>
      <b/>
      <sz val="11"/>
      <color rgb="FF000000"/>
      <name val="Calibri"/>
      <family val="2"/>
      <charset val="1"/>
    </font>
    <font>
      <b/>
      <sz val="10"/>
      <name val="Arial"/>
      <family val="2"/>
    </font>
    <font>
      <b/>
      <sz val="11"/>
      <color rgb="FF000000"/>
      <name val="Calibri"/>
      <family val="2"/>
    </font>
    <font>
      <u/>
      <sz val="11"/>
      <color theme="8" tint="-0.249977111117893"/>
      <name val="Calibri"/>
      <family val="2"/>
      <scheme val="minor"/>
    </font>
    <font>
      <b/>
      <sz val="11"/>
      <color theme="0" tint="-0.499984740745262"/>
      <name val="Calibri"/>
      <family val="2"/>
    </font>
    <font>
      <u/>
      <sz val="11"/>
      <color theme="9" tint="-0.249977111117893"/>
      <name val="Calibri"/>
      <family val="2"/>
      <scheme val="minor"/>
    </font>
    <font>
      <u/>
      <sz val="11"/>
      <color rgb="FF0563C1"/>
      <name val="Calibri"/>
      <family val="2"/>
    </font>
    <font>
      <sz val="11"/>
      <color theme="0" tint="-0.34998626667073579"/>
      <name val="Calibri"/>
      <family val="2"/>
      <scheme val="minor"/>
    </font>
    <font>
      <b/>
      <sz val="11"/>
      <color rgb="FFFFFFFF"/>
      <name val="Calibri"/>
      <family val="2"/>
      <scheme val="minor"/>
    </font>
    <font>
      <sz val="10"/>
      <color theme="8" tint="-0.249977111117893"/>
      <name val="Arial"/>
      <family val="2"/>
    </font>
    <font>
      <sz val="11"/>
      <color theme="8" tint="-0.249977111117893"/>
      <name val="Calibri"/>
      <family val="2"/>
    </font>
    <font>
      <u/>
      <sz val="11"/>
      <color rgb="FF0070C0"/>
      <name val="Calibri"/>
      <family val="2"/>
      <scheme val="minor"/>
    </font>
    <font>
      <sz val="11"/>
      <color rgb="FF000000"/>
      <name val="Calibri"/>
      <family val="2"/>
      <charset val="1"/>
    </font>
    <font>
      <u/>
      <sz val="11"/>
      <color theme="0" tint="-0.499984740745262"/>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bgColor rgb="FF000000"/>
      </patternFill>
    </fill>
    <fill>
      <patternFill patternType="solid">
        <fgColor theme="0"/>
        <bgColor theme="0" tint="-0.14999847407452621"/>
      </patternFill>
    </fill>
  </fills>
  <borders count="13">
    <border>
      <left/>
      <right/>
      <top/>
      <bottom/>
      <diagonal/>
    </border>
    <border>
      <left style="thin">
        <color theme="0" tint="-0.249977111117893"/>
      </left>
      <right/>
      <top/>
      <bottom/>
      <diagonal/>
    </border>
    <border>
      <left/>
      <right/>
      <top/>
      <bottom style="thin">
        <color theme="0" tint="-0.249977111117893"/>
      </bottom>
      <diagonal/>
    </border>
    <border>
      <left/>
      <right/>
      <top style="thin">
        <color theme="0" tint="-0.499984740745262"/>
      </top>
      <bottom/>
      <diagonal/>
    </border>
    <border>
      <left/>
      <right/>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right/>
      <top/>
      <bottom style="thin">
        <color theme="1"/>
      </bottom>
      <diagonal/>
    </border>
    <border>
      <left/>
      <right/>
      <top style="thin">
        <color theme="0" tint="-0.249977111117893"/>
      </top>
      <bottom/>
      <diagonal/>
    </border>
    <border>
      <left/>
      <right/>
      <top style="thin">
        <color theme="0" tint="-0.249977111117893"/>
      </top>
      <bottom style="thin">
        <color theme="0" tint="-0.249977111117893"/>
      </bottom>
      <diagonal/>
    </border>
    <border>
      <left/>
      <right/>
      <top style="thin">
        <color theme="1"/>
      </top>
      <bottom style="thin">
        <color theme="0" tint="-0.499984740745262"/>
      </bottom>
      <diagonal/>
    </border>
    <border>
      <left/>
      <right/>
      <top style="thin">
        <color theme="1"/>
      </top>
      <bottom/>
      <diagonal/>
    </border>
    <border>
      <left/>
      <right/>
      <top/>
      <bottom style="thin">
        <color indexed="64"/>
      </bottom>
      <diagonal/>
    </border>
  </borders>
  <cellStyleXfs count="7">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15" fillId="0" borderId="0"/>
    <xf numFmtId="0" fontId="19" fillId="0" borderId="0"/>
    <xf numFmtId="0" fontId="36" fillId="0" borderId="0"/>
    <xf numFmtId="0" fontId="49" fillId="0" borderId="0"/>
  </cellStyleXfs>
  <cellXfs count="350">
    <xf numFmtId="0" fontId="0" fillId="0" borderId="0" xfId="0"/>
    <xf numFmtId="0" fontId="0" fillId="2" borderId="0" xfId="0" applyFill="1"/>
    <xf numFmtId="3" fontId="0" fillId="2" borderId="0" xfId="0" applyNumberFormat="1" applyFill="1"/>
    <xf numFmtId="3" fontId="2" fillId="3" borderId="0" xfId="0" applyNumberFormat="1" applyFont="1" applyFill="1"/>
    <xf numFmtId="3" fontId="0" fillId="3" borderId="0" xfId="0" applyNumberFormat="1" applyFill="1"/>
    <xf numFmtId="3" fontId="0" fillId="5" borderId="0" xfId="0" applyNumberFormat="1" applyFill="1"/>
    <xf numFmtId="3" fontId="4" fillId="2" borderId="0" xfId="0" applyNumberFormat="1" applyFont="1" applyFill="1"/>
    <xf numFmtId="3" fontId="5" fillId="2" borderId="0" xfId="0" applyNumberFormat="1" applyFont="1" applyFill="1"/>
    <xf numFmtId="3" fontId="5" fillId="5" borderId="0" xfId="0" applyNumberFormat="1" applyFont="1" applyFill="1"/>
    <xf numFmtId="3" fontId="7" fillId="2" borderId="0" xfId="0" applyNumberFormat="1" applyFont="1" applyFill="1"/>
    <xf numFmtId="3" fontId="8" fillId="2" borderId="0" xfId="0" applyNumberFormat="1" applyFont="1" applyFill="1"/>
    <xf numFmtId="9" fontId="4" fillId="2" borderId="0" xfId="1" applyFont="1" applyFill="1"/>
    <xf numFmtId="3" fontId="0" fillId="4" borderId="0" xfId="0" applyNumberFormat="1" applyFill="1"/>
    <xf numFmtId="3" fontId="3" fillId="4" borderId="0" xfId="2" applyNumberFormat="1" applyFill="1"/>
    <xf numFmtId="0" fontId="0" fillId="5" borderId="0" xfId="0" applyFill="1"/>
    <xf numFmtId="3" fontId="0" fillId="5" borderId="1" xfId="0" applyNumberFormat="1" applyFill="1" applyBorder="1"/>
    <xf numFmtId="3" fontId="8" fillId="2" borderId="1" xfId="0" applyNumberFormat="1" applyFont="1" applyFill="1" applyBorder="1"/>
    <xf numFmtId="3" fontId="0" fillId="2" borderId="1" xfId="0" applyNumberFormat="1" applyFill="1" applyBorder="1"/>
    <xf numFmtId="0" fontId="0" fillId="5" borderId="2" xfId="0" applyFill="1" applyBorder="1"/>
    <xf numFmtId="0" fontId="6" fillId="5" borderId="2" xfId="0" applyFont="1" applyFill="1" applyBorder="1" applyAlignment="1">
      <alignment horizontal="right"/>
    </xf>
    <xf numFmtId="0" fontId="6" fillId="5" borderId="2" xfId="0" applyFont="1" applyFill="1" applyBorder="1"/>
    <xf numFmtId="0" fontId="0" fillId="2" borderId="2" xfId="0" applyFill="1" applyBorder="1"/>
    <xf numFmtId="0" fontId="8" fillId="2" borderId="0" xfId="0" applyFont="1" applyFill="1"/>
    <xf numFmtId="0" fontId="8" fillId="2" borderId="2" xfId="0" applyFont="1" applyFill="1" applyBorder="1"/>
    <xf numFmtId="3" fontId="9" fillId="2" borderId="0" xfId="0" applyNumberFormat="1" applyFont="1" applyFill="1"/>
    <xf numFmtId="3" fontId="5" fillId="4" borderId="0" xfId="0" applyNumberFormat="1" applyFont="1" applyFill="1"/>
    <xf numFmtId="0" fontId="6" fillId="2" borderId="0" xfId="0" applyFont="1" applyFill="1" applyAlignment="1">
      <alignment horizontal="left" vertical="center"/>
    </xf>
    <xf numFmtId="0" fontId="6" fillId="5" borderId="0" xfId="0" applyFont="1" applyFill="1" applyAlignment="1">
      <alignment horizontal="center" vertical="center"/>
    </xf>
    <xf numFmtId="1" fontId="6" fillId="5" borderId="0" xfId="0" applyNumberFormat="1" applyFont="1" applyFill="1" applyAlignment="1">
      <alignment horizontal="right" vertical="center"/>
    </xf>
    <xf numFmtId="3" fontId="0" fillId="5" borderId="2" xfId="0" applyNumberFormat="1" applyFill="1" applyBorder="1"/>
    <xf numFmtId="3" fontId="0" fillId="2" borderId="2" xfId="0" applyNumberFormat="1" applyFill="1" applyBorder="1"/>
    <xf numFmtId="0" fontId="11" fillId="2" borderId="0" xfId="0" applyFont="1" applyFill="1" applyAlignment="1">
      <alignment horizontal="left" vertical="center"/>
    </xf>
    <xf numFmtId="3" fontId="7" fillId="4" borderId="0" xfId="0" applyNumberFormat="1" applyFont="1" applyFill="1"/>
    <xf numFmtId="3" fontId="4" fillId="2" borderId="1" xfId="0" applyNumberFormat="1" applyFont="1" applyFill="1" applyBorder="1"/>
    <xf numFmtId="165" fontId="4" fillId="2" borderId="0" xfId="0" applyNumberFormat="1" applyFont="1" applyFill="1"/>
    <xf numFmtId="0" fontId="5" fillId="2" borderId="0" xfId="0" applyFont="1" applyFill="1"/>
    <xf numFmtId="0" fontId="0" fillId="3" borderId="0" xfId="0" applyFill="1"/>
    <xf numFmtId="165" fontId="0" fillId="4" borderId="0" xfId="0" applyNumberFormat="1" applyFill="1"/>
    <xf numFmtId="165" fontId="0" fillId="2" borderId="3" xfId="0" applyNumberFormat="1" applyFill="1" applyBorder="1"/>
    <xf numFmtId="165" fontId="0" fillId="2" borderId="0" xfId="0" applyNumberFormat="1" applyFill="1"/>
    <xf numFmtId="165" fontId="0" fillId="2" borderId="4" xfId="0" applyNumberFormat="1" applyFill="1" applyBorder="1"/>
    <xf numFmtId="165" fontId="5" fillId="2" borderId="4" xfId="0" applyNumberFormat="1" applyFont="1" applyFill="1" applyBorder="1"/>
    <xf numFmtId="165" fontId="8" fillId="2" borderId="0" xfId="0" applyNumberFormat="1" applyFont="1" applyFill="1"/>
    <xf numFmtId="165" fontId="9" fillId="2" borderId="0" xfId="0" applyNumberFormat="1" applyFont="1" applyFill="1"/>
    <xf numFmtId="0" fontId="0" fillId="2" borderId="4" xfId="0" applyFill="1" applyBorder="1"/>
    <xf numFmtId="0" fontId="0" fillId="4" borderId="0" xfId="0" applyFill="1"/>
    <xf numFmtId="0" fontId="13" fillId="4" borderId="0" xfId="0" applyFont="1" applyFill="1"/>
    <xf numFmtId="165" fontId="13" fillId="4" borderId="0" xfId="0" applyNumberFormat="1" applyFont="1" applyFill="1"/>
    <xf numFmtId="165" fontId="5" fillId="4" borderId="0" xfId="0" applyNumberFormat="1" applyFont="1" applyFill="1"/>
    <xf numFmtId="9" fontId="4" fillId="2" borderId="0" xfId="1" applyFont="1" applyFill="1" applyBorder="1"/>
    <xf numFmtId="0" fontId="0" fillId="2" borderId="3" xfId="0" applyFill="1" applyBorder="1"/>
    <xf numFmtId="0" fontId="8" fillId="2" borderId="3" xfId="0" applyFont="1" applyFill="1" applyBorder="1"/>
    <xf numFmtId="165" fontId="13" fillId="2" borderId="0" xfId="0" applyNumberFormat="1" applyFont="1" applyFill="1"/>
    <xf numFmtId="165" fontId="7" fillId="2" borderId="0" xfId="0" applyNumberFormat="1" applyFont="1" applyFill="1"/>
    <xf numFmtId="0" fontId="7" fillId="2" borderId="0" xfId="0" applyFont="1" applyFill="1"/>
    <xf numFmtId="164" fontId="7" fillId="2" borderId="0" xfId="0" applyNumberFormat="1" applyFont="1" applyFill="1"/>
    <xf numFmtId="165" fontId="4" fillId="2" borderId="4" xfId="0" applyNumberFormat="1" applyFont="1" applyFill="1" applyBorder="1"/>
    <xf numFmtId="164" fontId="4" fillId="2" borderId="4" xfId="0" applyNumberFormat="1" applyFont="1" applyFill="1" applyBorder="1"/>
    <xf numFmtId="165" fontId="0" fillId="2" borderId="0" xfId="0" applyNumberFormat="1" applyFill="1" applyAlignment="1">
      <alignment vertical="center"/>
    </xf>
    <xf numFmtId="165" fontId="5" fillId="2" borderId="3" xfId="0" applyNumberFormat="1" applyFont="1" applyFill="1" applyBorder="1"/>
    <xf numFmtId="165" fontId="7" fillId="2" borderId="3" xfId="0" applyNumberFormat="1" applyFont="1" applyFill="1" applyBorder="1"/>
    <xf numFmtId="164" fontId="7" fillId="2" borderId="3" xfId="0" applyNumberFormat="1" applyFont="1" applyFill="1" applyBorder="1"/>
    <xf numFmtId="165" fontId="0" fillId="5" borderId="0" xfId="0" applyNumberFormat="1" applyFill="1"/>
    <xf numFmtId="165" fontId="5" fillId="5" borderId="4" xfId="0" applyNumberFormat="1" applyFont="1" applyFill="1" applyBorder="1"/>
    <xf numFmtId="165" fontId="0" fillId="5" borderId="4" xfId="0" applyNumberFormat="1" applyFill="1" applyBorder="1"/>
    <xf numFmtId="0" fontId="2" fillId="3" borderId="0" xfId="0" applyFont="1" applyFill="1"/>
    <xf numFmtId="3" fontId="7" fillId="2" borderId="4" xfId="0" applyNumberFormat="1" applyFont="1" applyFill="1" applyBorder="1"/>
    <xf numFmtId="3" fontId="0" fillId="4" borderId="0" xfId="0" applyNumberFormat="1" applyFill="1" applyAlignment="1">
      <alignment horizontal="center"/>
    </xf>
    <xf numFmtId="165" fontId="8" fillId="2" borderId="0" xfId="1" applyNumberFormat="1" applyFont="1" applyFill="1"/>
    <xf numFmtId="0" fontId="3" fillId="4" borderId="0" xfId="2" applyFill="1"/>
    <xf numFmtId="3" fontId="4" fillId="2" borderId="5" xfId="0" applyNumberFormat="1" applyFont="1" applyFill="1" applyBorder="1"/>
    <xf numFmtId="3" fontId="4" fillId="2" borderId="6" xfId="0" applyNumberFormat="1" applyFont="1" applyFill="1" applyBorder="1"/>
    <xf numFmtId="3" fontId="0" fillId="4" borderId="0" xfId="0" applyNumberFormat="1" applyFill="1" applyAlignment="1">
      <alignment horizontal="left"/>
    </xf>
    <xf numFmtId="3" fontId="7" fillId="2" borderId="5" xfId="0" applyNumberFormat="1" applyFont="1" applyFill="1" applyBorder="1"/>
    <xf numFmtId="3" fontId="7" fillId="2" borderId="6" xfId="0" applyNumberFormat="1" applyFont="1" applyFill="1" applyBorder="1"/>
    <xf numFmtId="3" fontId="8" fillId="2" borderId="5" xfId="0" applyNumberFormat="1" applyFont="1" applyFill="1" applyBorder="1"/>
    <xf numFmtId="9" fontId="0" fillId="2" borderId="0" xfId="1" applyFont="1" applyFill="1"/>
    <xf numFmtId="0" fontId="6" fillId="5" borderId="0" xfId="0" applyFont="1" applyFill="1" applyAlignment="1">
      <alignment horizontal="left"/>
    </xf>
    <xf numFmtId="9" fontId="7" fillId="2" borderId="0" xfId="1" applyFont="1" applyFill="1"/>
    <xf numFmtId="9" fontId="4" fillId="4" borderId="0" xfId="1" applyFont="1" applyFill="1"/>
    <xf numFmtId="9" fontId="4" fillId="3" borderId="0" xfId="1" applyFont="1" applyFill="1"/>
    <xf numFmtId="3" fontId="13" fillId="2" borderId="0" xfId="0" applyNumberFormat="1" applyFont="1" applyFill="1"/>
    <xf numFmtId="3" fontId="10" fillId="2" borderId="0" xfId="0" applyNumberFormat="1" applyFont="1" applyFill="1" applyAlignment="1">
      <alignment vertical="center"/>
    </xf>
    <xf numFmtId="3" fontId="12" fillId="2" borderId="0" xfId="0" applyNumberFormat="1" applyFont="1" applyFill="1" applyAlignment="1">
      <alignment vertical="center"/>
    </xf>
    <xf numFmtId="3" fontId="4" fillId="2" borderId="0" xfId="1" applyNumberFormat="1" applyFont="1" applyFill="1"/>
    <xf numFmtId="3" fontId="17" fillId="2" borderId="0" xfId="1" applyNumberFormat="1" applyFont="1" applyFill="1"/>
    <xf numFmtId="9" fontId="17" fillId="2" borderId="0" xfId="1" applyFont="1" applyFill="1"/>
    <xf numFmtId="3" fontId="13" fillId="5" borderId="0" xfId="0" applyNumberFormat="1" applyFont="1" applyFill="1"/>
    <xf numFmtId="9" fontId="13" fillId="5" borderId="0" xfId="1" applyFont="1" applyFill="1"/>
    <xf numFmtId="3" fontId="2" fillId="2" borderId="0" xfId="0" applyNumberFormat="1" applyFont="1" applyFill="1"/>
    <xf numFmtId="3" fontId="13" fillId="4" borderId="0" xfId="0" applyNumberFormat="1" applyFont="1" applyFill="1"/>
    <xf numFmtId="9" fontId="13" fillId="4" borderId="0" xfId="1" applyFont="1" applyFill="1"/>
    <xf numFmtId="3" fontId="0" fillId="5" borderId="0" xfId="0" applyNumberFormat="1" applyFill="1" applyAlignment="1">
      <alignment wrapText="1"/>
    </xf>
    <xf numFmtId="4" fontId="0" fillId="2" borderId="1" xfId="0" applyNumberFormat="1" applyFill="1" applyBorder="1"/>
    <xf numFmtId="3" fontId="5" fillId="5" borderId="0" xfId="0" applyNumberFormat="1" applyFont="1" applyFill="1" applyAlignment="1">
      <alignment wrapText="1"/>
    </xf>
    <xf numFmtId="9" fontId="9" fillId="2" borderId="0" xfId="1" applyFont="1" applyFill="1"/>
    <xf numFmtId="0" fontId="18" fillId="2" borderId="0" xfId="0" applyFont="1" applyFill="1"/>
    <xf numFmtId="0" fontId="3" fillId="3" borderId="0" xfId="2" applyFill="1"/>
    <xf numFmtId="0" fontId="5" fillId="4" borderId="0" xfId="0" applyFont="1" applyFill="1"/>
    <xf numFmtId="1" fontId="4" fillId="2" borderId="0" xfId="0" applyNumberFormat="1" applyFont="1" applyFill="1"/>
    <xf numFmtId="0" fontId="13" fillId="2" borderId="0" xfId="0" applyFont="1" applyFill="1"/>
    <xf numFmtId="0" fontId="5" fillId="5" borderId="0" xfId="0" applyFont="1" applyFill="1"/>
    <xf numFmtId="0" fontId="5" fillId="2" borderId="0" xfId="0" applyFont="1" applyFill="1" applyAlignment="1">
      <alignment horizontal="center"/>
    </xf>
    <xf numFmtId="0" fontId="5" fillId="5" borderId="0" xfId="0" applyFont="1" applyFill="1" applyAlignment="1">
      <alignment horizontal="center"/>
    </xf>
    <xf numFmtId="1" fontId="9" fillId="2" borderId="0" xfId="0" applyNumberFormat="1" applyFont="1" applyFill="1"/>
    <xf numFmtId="0" fontId="0" fillId="2" borderId="0" xfId="0" applyFill="1" applyAlignment="1">
      <alignment wrapText="1"/>
    </xf>
    <xf numFmtId="0" fontId="0" fillId="2" borderId="7" xfId="0" applyFill="1" applyBorder="1"/>
    <xf numFmtId="0" fontId="9" fillId="2" borderId="0" xfId="0" applyFont="1" applyFill="1"/>
    <xf numFmtId="0" fontId="5" fillId="5" borderId="0" xfId="0" applyFont="1" applyFill="1" applyAlignment="1">
      <alignment horizontal="left"/>
    </xf>
    <xf numFmtId="3" fontId="4" fillId="5" borderId="0" xfId="0" applyNumberFormat="1" applyFont="1" applyFill="1"/>
    <xf numFmtId="3" fontId="20" fillId="2" borderId="0" xfId="0" applyNumberFormat="1" applyFont="1" applyFill="1"/>
    <xf numFmtId="1" fontId="20" fillId="2" borderId="0" xfId="0" applyNumberFormat="1" applyFont="1" applyFill="1"/>
    <xf numFmtId="0" fontId="0" fillId="2" borderId="0" xfId="0" applyFill="1" applyAlignment="1">
      <alignment vertical="center"/>
    </xf>
    <xf numFmtId="0" fontId="0" fillId="2" borderId="2" xfId="0" applyFill="1" applyBorder="1" applyAlignment="1">
      <alignment vertical="center"/>
    </xf>
    <xf numFmtId="165" fontId="0" fillId="2" borderId="0" xfId="0" applyNumberFormat="1" applyFill="1" applyAlignment="1">
      <alignment horizontal="left" vertical="center"/>
    </xf>
    <xf numFmtId="0" fontId="0" fillId="2" borderId="0" xfId="0" applyFill="1" applyAlignment="1">
      <alignment horizontal="left"/>
    </xf>
    <xf numFmtId="3" fontId="21" fillId="3" borderId="0" xfId="0" applyNumberFormat="1" applyFont="1" applyFill="1"/>
    <xf numFmtId="4" fontId="0" fillId="2" borderId="0" xfId="0" applyNumberFormat="1" applyFill="1"/>
    <xf numFmtId="2" fontId="0" fillId="2" borderId="0" xfId="0" applyNumberFormat="1" applyFill="1"/>
    <xf numFmtId="9" fontId="5" fillId="2" borderId="0" xfId="1" applyFont="1" applyFill="1"/>
    <xf numFmtId="0" fontId="0" fillId="2" borderId="0" xfId="0" applyFill="1" applyAlignment="1">
      <alignment horizontal="center"/>
    </xf>
    <xf numFmtId="0" fontId="5" fillId="2" borderId="0" xfId="0" applyFont="1" applyFill="1" applyAlignment="1">
      <alignment vertical="top" wrapText="1"/>
    </xf>
    <xf numFmtId="0" fontId="5" fillId="4" borderId="0" xfId="0" quotePrefix="1" applyFont="1" applyFill="1"/>
    <xf numFmtId="9" fontId="0" fillId="2" borderId="0" xfId="0" applyNumberFormat="1" applyFill="1"/>
    <xf numFmtId="9" fontId="8" fillId="2" borderId="0" xfId="1" applyFont="1" applyFill="1"/>
    <xf numFmtId="0" fontId="5" fillId="4" borderId="0" xfId="0" applyFont="1" applyFill="1" applyAlignment="1">
      <alignment vertical="top" wrapText="1"/>
    </xf>
    <xf numFmtId="0" fontId="0" fillId="5" borderId="0" xfId="0" applyFill="1" applyAlignment="1">
      <alignment wrapText="1"/>
    </xf>
    <xf numFmtId="0" fontId="13" fillId="5" borderId="0" xfId="0" applyFont="1" applyFill="1"/>
    <xf numFmtId="0" fontId="5" fillId="3" borderId="0" xfId="0" applyFont="1" applyFill="1"/>
    <xf numFmtId="0" fontId="23" fillId="2" borderId="0" xfId="0" applyFont="1" applyFill="1"/>
    <xf numFmtId="0" fontId="0" fillId="2" borderId="0" xfId="0" quotePrefix="1" applyFill="1"/>
    <xf numFmtId="0" fontId="5" fillId="2" borderId="0" xfId="0" quotePrefix="1" applyFont="1" applyFill="1"/>
    <xf numFmtId="0" fontId="5" fillId="2" borderId="7" xfId="0" applyFont="1" applyFill="1" applyBorder="1"/>
    <xf numFmtId="0" fontId="23" fillId="2" borderId="0" xfId="0" quotePrefix="1" applyFont="1" applyFill="1"/>
    <xf numFmtId="0" fontId="13" fillId="3" borderId="0" xfId="0" applyFont="1" applyFill="1"/>
    <xf numFmtId="0" fontId="9" fillId="2" borderId="0" xfId="0" quotePrefix="1" applyFont="1" applyFill="1"/>
    <xf numFmtId="0" fontId="0" fillId="2" borderId="0" xfId="0" applyFill="1" applyAlignment="1">
      <alignment horizontal="right"/>
    </xf>
    <xf numFmtId="0" fontId="8" fillId="2" borderId="0" xfId="0" quotePrefix="1" applyFont="1" applyFill="1"/>
    <xf numFmtId="1" fontId="8" fillId="2" borderId="0" xfId="0" applyNumberFormat="1" applyFont="1" applyFill="1"/>
    <xf numFmtId="0" fontId="23" fillId="2" borderId="7" xfId="0" applyFont="1" applyFill="1" applyBorder="1"/>
    <xf numFmtId="0" fontId="23" fillId="2" borderId="7" xfId="0" quotePrefix="1" applyFont="1" applyFill="1" applyBorder="1"/>
    <xf numFmtId="164" fontId="7" fillId="2" borderId="7" xfId="0" applyNumberFormat="1" applyFont="1" applyFill="1" applyBorder="1"/>
    <xf numFmtId="0" fontId="9" fillId="2" borderId="7" xfId="0" quotePrefix="1" applyFont="1" applyFill="1" applyBorder="1"/>
    <xf numFmtId="0" fontId="13" fillId="2" borderId="0" xfId="0" quotePrefix="1" applyFont="1" applyFill="1"/>
    <xf numFmtId="0" fontId="13" fillId="2" borderId="7" xfId="0" applyFont="1" applyFill="1" applyBorder="1"/>
    <xf numFmtId="165" fontId="0" fillId="5" borderId="0" xfId="0" applyNumberFormat="1" applyFill="1" applyAlignment="1">
      <alignment horizontal="left" vertical="center" wrapText="1"/>
    </xf>
    <xf numFmtId="0" fontId="13" fillId="2" borderId="0" xfId="0" applyFont="1" applyFill="1" applyAlignment="1">
      <alignment horizontal="center"/>
    </xf>
    <xf numFmtId="0" fontId="24" fillId="2" borderId="0" xfId="0" applyFont="1" applyFill="1" applyAlignment="1">
      <alignment horizontal="center"/>
    </xf>
    <xf numFmtId="0" fontId="7" fillId="2" borderId="0" xfId="0" quotePrefix="1" applyFont="1" applyFill="1"/>
    <xf numFmtId="0" fontId="25" fillId="2" borderId="0" xfId="0" applyFont="1" applyFill="1"/>
    <xf numFmtId="0" fontId="5" fillId="5" borderId="0" xfId="0" applyFont="1" applyFill="1" applyAlignment="1">
      <alignment horizontal="right"/>
    </xf>
    <xf numFmtId="4" fontId="9" fillId="2" borderId="0" xfId="0" applyNumberFormat="1" applyFont="1" applyFill="1"/>
    <xf numFmtId="1" fontId="0" fillId="2" borderId="0" xfId="0" applyNumberFormat="1" applyFill="1"/>
    <xf numFmtId="164" fontId="4" fillId="2" borderId="0" xfId="0" applyNumberFormat="1" applyFont="1" applyFill="1"/>
    <xf numFmtId="164" fontId="9" fillId="2" borderId="0" xfId="0" applyNumberFormat="1" applyFont="1" applyFill="1"/>
    <xf numFmtId="165" fontId="5" fillId="2" borderId="0" xfId="0" applyNumberFormat="1" applyFont="1" applyFill="1"/>
    <xf numFmtId="165" fontId="0" fillId="2" borderId="4" xfId="0" applyNumberFormat="1" applyFill="1" applyBorder="1" applyAlignment="1">
      <alignment vertical="center"/>
    </xf>
    <xf numFmtId="165" fontId="9" fillId="2" borderId="4" xfId="0" applyNumberFormat="1" applyFont="1" applyFill="1" applyBorder="1"/>
    <xf numFmtId="0" fontId="7" fillId="2" borderId="4" xfId="0" applyFont="1" applyFill="1" applyBorder="1"/>
    <xf numFmtId="3" fontId="26" fillId="2" borderId="0" xfId="0" applyNumberFormat="1" applyFont="1" applyFill="1"/>
    <xf numFmtId="3" fontId="27" fillId="2" borderId="2" xfId="0" applyNumberFormat="1" applyFont="1" applyFill="1" applyBorder="1"/>
    <xf numFmtId="3" fontId="28" fillId="2" borderId="2" xfId="0" applyNumberFormat="1" applyFont="1" applyFill="1" applyBorder="1"/>
    <xf numFmtId="0" fontId="28" fillId="2" borderId="2" xfId="0" applyFont="1" applyFill="1" applyBorder="1"/>
    <xf numFmtId="3" fontId="29" fillId="2" borderId="2" xfId="0" applyNumberFormat="1" applyFont="1" applyFill="1" applyBorder="1"/>
    <xf numFmtId="3" fontId="27" fillId="2" borderId="0" xfId="0" applyNumberFormat="1" applyFont="1" applyFill="1"/>
    <xf numFmtId="3" fontId="28" fillId="2" borderId="0" xfId="0" applyNumberFormat="1" applyFont="1" applyFill="1"/>
    <xf numFmtId="0" fontId="28" fillId="2" borderId="0" xfId="0" applyFont="1" applyFill="1"/>
    <xf numFmtId="3" fontId="29" fillId="2" borderId="0" xfId="0" applyNumberFormat="1" applyFont="1" applyFill="1"/>
    <xf numFmtId="3" fontId="30" fillId="2" borderId="0" xfId="0" applyNumberFormat="1" applyFont="1" applyFill="1"/>
    <xf numFmtId="3" fontId="30" fillId="2" borderId="2" xfId="0" applyNumberFormat="1" applyFont="1" applyFill="1" applyBorder="1"/>
    <xf numFmtId="3" fontId="31" fillId="2" borderId="0" xfId="0" applyNumberFormat="1" applyFont="1" applyFill="1"/>
    <xf numFmtId="0" fontId="0" fillId="5" borderId="0" xfId="0" applyFill="1" applyAlignment="1">
      <alignment horizontal="left"/>
    </xf>
    <xf numFmtId="0" fontId="4" fillId="2" borderId="0" xfId="0" applyFont="1" applyFill="1"/>
    <xf numFmtId="0" fontId="0" fillId="6" borderId="0" xfId="0" applyFill="1"/>
    <xf numFmtId="0" fontId="2" fillId="6" borderId="0" xfId="0" applyFont="1" applyFill="1"/>
    <xf numFmtId="0" fontId="0" fillId="2" borderId="1" xfId="0" applyFill="1" applyBorder="1"/>
    <xf numFmtId="0" fontId="0" fillId="5" borderId="1" xfId="0" applyFill="1" applyBorder="1"/>
    <xf numFmtId="0" fontId="8" fillId="2" borderId="1" xfId="0" applyFont="1" applyFill="1" applyBorder="1"/>
    <xf numFmtId="0" fontId="8" fillId="2" borderId="1" xfId="0" quotePrefix="1" applyFont="1" applyFill="1" applyBorder="1"/>
    <xf numFmtId="0" fontId="7" fillId="2" borderId="1" xfId="0" applyFont="1" applyFill="1" applyBorder="1"/>
    <xf numFmtId="0" fontId="7" fillId="2" borderId="1" xfId="0" quotePrefix="1" applyFont="1" applyFill="1" applyBorder="1"/>
    <xf numFmtId="0" fontId="9" fillId="2" borderId="1" xfId="0" applyFont="1" applyFill="1" applyBorder="1"/>
    <xf numFmtId="0" fontId="32" fillId="5" borderId="0" xfId="0" applyFont="1" applyFill="1" applyAlignment="1">
      <alignment horizontal="right"/>
    </xf>
    <xf numFmtId="0" fontId="0" fillId="2" borderId="0" xfId="0" applyFill="1" applyAlignment="1">
      <alignment vertical="top"/>
    </xf>
    <xf numFmtId="0" fontId="13" fillId="2" borderId="0" xfId="0" applyFont="1" applyFill="1" applyAlignment="1">
      <alignment vertical="top"/>
    </xf>
    <xf numFmtId="0" fontId="13" fillId="2" borderId="0" xfId="0" applyFont="1" applyFill="1" applyAlignment="1">
      <alignment wrapText="1"/>
    </xf>
    <xf numFmtId="0" fontId="13" fillId="2" borderId="2" xfId="0" applyFont="1" applyFill="1" applyBorder="1"/>
    <xf numFmtId="0" fontId="13" fillId="2" borderId="9" xfId="0" applyFont="1" applyFill="1" applyBorder="1"/>
    <xf numFmtId="0" fontId="0" fillId="3" borderId="0" xfId="0" applyFill="1" applyAlignment="1">
      <alignment horizontal="center"/>
    </xf>
    <xf numFmtId="0" fontId="34" fillId="2" borderId="0" xfId="0" applyFont="1" applyFill="1" applyAlignment="1">
      <alignment horizontal="center" vertical="top"/>
    </xf>
    <xf numFmtId="0" fontId="33" fillId="2" borderId="0" xfId="0" applyFont="1" applyFill="1" applyAlignment="1">
      <alignment horizontal="center"/>
    </xf>
    <xf numFmtId="0" fontId="0" fillId="3" borderId="0" xfId="0" applyFill="1" applyAlignment="1">
      <alignment horizontal="left"/>
    </xf>
    <xf numFmtId="0" fontId="35" fillId="2" borderId="0" xfId="0" quotePrefix="1" applyFont="1" applyFill="1" applyAlignment="1">
      <alignment horizontal="center" vertical="top"/>
    </xf>
    <xf numFmtId="0" fontId="35" fillId="2" borderId="2" xfId="0" applyFont="1" applyFill="1" applyBorder="1" applyAlignment="1">
      <alignment horizontal="center"/>
    </xf>
    <xf numFmtId="0" fontId="35" fillId="2" borderId="0" xfId="0" applyFont="1" applyFill="1" applyAlignment="1">
      <alignment horizontal="center"/>
    </xf>
    <xf numFmtId="0" fontId="34" fillId="2" borderId="0" xfId="0" applyFont="1" applyFill="1" applyAlignment="1">
      <alignment horizontal="center"/>
    </xf>
    <xf numFmtId="0" fontId="34" fillId="2" borderId="2" xfId="0" applyFont="1" applyFill="1" applyBorder="1" applyAlignment="1">
      <alignment horizontal="center"/>
    </xf>
    <xf numFmtId="0" fontId="33" fillId="2" borderId="2" xfId="0" applyFont="1" applyFill="1" applyBorder="1" applyAlignment="1">
      <alignment horizontal="center"/>
    </xf>
    <xf numFmtId="0" fontId="33" fillId="2" borderId="2" xfId="0" quotePrefix="1" applyFont="1" applyFill="1" applyBorder="1" applyAlignment="1">
      <alignment horizontal="center" vertical="top"/>
    </xf>
    <xf numFmtId="0" fontId="35" fillId="2" borderId="0" xfId="0" applyFont="1" applyFill="1" applyAlignment="1">
      <alignment horizontal="center" vertical="top"/>
    </xf>
    <xf numFmtId="3" fontId="0" fillId="2" borderId="0" xfId="0" quotePrefix="1" applyNumberFormat="1" applyFill="1"/>
    <xf numFmtId="0" fontId="37" fillId="4" borderId="10" xfId="5" applyFont="1" applyFill="1" applyBorder="1" applyAlignment="1">
      <alignment horizontal="center" vertical="top"/>
    </xf>
    <xf numFmtId="3" fontId="38" fillId="4" borderId="10" xfId="5" applyNumberFormat="1" applyFont="1" applyFill="1" applyBorder="1"/>
    <xf numFmtId="0" fontId="21" fillId="4" borderId="4" xfId="0" applyFont="1" applyFill="1" applyBorder="1"/>
    <xf numFmtId="0" fontId="39" fillId="4" borderId="4" xfId="0" applyFont="1" applyFill="1" applyBorder="1"/>
    <xf numFmtId="0" fontId="39" fillId="4" borderId="4" xfId="0" applyFont="1" applyFill="1" applyBorder="1" applyAlignment="1">
      <alignment horizontal="center"/>
    </xf>
    <xf numFmtId="3" fontId="40" fillId="2" borderId="0" xfId="0" applyNumberFormat="1" applyFont="1" applyFill="1"/>
    <xf numFmtId="0" fontId="2" fillId="4" borderId="11" xfId="0" applyFont="1" applyFill="1" applyBorder="1" applyAlignment="1">
      <alignment horizontal="center" vertical="top"/>
    </xf>
    <xf numFmtId="0" fontId="41" fillId="4" borderId="10" xfId="5" applyFont="1" applyFill="1" applyBorder="1" applyAlignment="1">
      <alignment horizontal="center" vertical="top"/>
    </xf>
    <xf numFmtId="0" fontId="16" fillId="4" borderId="11" xfId="0" applyFont="1" applyFill="1" applyBorder="1" applyAlignment="1">
      <alignment horizontal="center" vertical="top"/>
    </xf>
    <xf numFmtId="0" fontId="41" fillId="4" borderId="4" xfId="0" applyFont="1" applyFill="1" applyBorder="1"/>
    <xf numFmtId="0" fontId="41" fillId="4" borderId="4" xfId="0" applyFont="1" applyFill="1" applyBorder="1" applyAlignment="1">
      <alignment horizontal="center"/>
    </xf>
    <xf numFmtId="0" fontId="5" fillId="2" borderId="2" xfId="0" applyFont="1" applyFill="1" applyBorder="1"/>
    <xf numFmtId="0" fontId="5" fillId="2" borderId="4" xfId="0" applyFont="1" applyFill="1" applyBorder="1"/>
    <xf numFmtId="0" fontId="40" fillId="2" borderId="0" xfId="0" applyFont="1" applyFill="1"/>
    <xf numFmtId="1" fontId="40" fillId="2" borderId="0" xfId="0" applyNumberFormat="1" applyFont="1" applyFill="1"/>
    <xf numFmtId="0" fontId="2" fillId="2" borderId="0" xfId="0" applyFont="1" applyFill="1"/>
    <xf numFmtId="0" fontId="37" fillId="4" borderId="12" xfId="0" applyFont="1" applyFill="1" applyBorder="1" applyAlignment="1">
      <alignment horizontal="center" vertical="top" wrapText="1"/>
    </xf>
    <xf numFmtId="1" fontId="42" fillId="2" borderId="0" xfId="0" applyNumberFormat="1" applyFont="1" applyFill="1"/>
    <xf numFmtId="0" fontId="42" fillId="2" borderId="0" xfId="0" applyFont="1" applyFill="1"/>
    <xf numFmtId="3" fontId="42" fillId="2" borderId="0" xfId="0" applyNumberFormat="1" applyFont="1" applyFill="1"/>
    <xf numFmtId="2" fontId="4" fillId="2" borderId="0" xfId="0" applyNumberFormat="1" applyFont="1" applyFill="1"/>
    <xf numFmtId="0" fontId="0" fillId="2" borderId="8" xfId="0" applyFill="1" applyBorder="1"/>
    <xf numFmtId="0" fontId="37" fillId="4" borderId="0" xfId="0" applyFont="1" applyFill="1" applyAlignment="1">
      <alignment horizontal="center" vertical="top" wrapText="1"/>
    </xf>
    <xf numFmtId="0" fontId="3" fillId="2" borderId="0" xfId="2" applyFill="1"/>
    <xf numFmtId="0" fontId="43" fillId="7" borderId="0" xfId="2" applyFont="1" applyFill="1" applyBorder="1"/>
    <xf numFmtId="166" fontId="6" fillId="2" borderId="0" xfId="0" applyNumberFormat="1" applyFont="1" applyFill="1" applyAlignment="1">
      <alignment horizontal="right"/>
    </xf>
    <xf numFmtId="0" fontId="0" fillId="4" borderId="0" xfId="0" applyFill="1" applyAlignment="1">
      <alignment horizontal="left"/>
    </xf>
    <xf numFmtId="166" fontId="0" fillId="2" borderId="0" xfId="0" applyNumberFormat="1" applyFill="1"/>
    <xf numFmtId="0" fontId="24" fillId="2" borderId="0" xfId="0" applyFont="1" applyFill="1"/>
    <xf numFmtId="0" fontId="7" fillId="2" borderId="7" xfId="0" applyFont="1" applyFill="1" applyBorder="1"/>
    <xf numFmtId="0" fontId="44" fillId="2" borderId="0" xfId="0" applyFont="1" applyFill="1"/>
    <xf numFmtId="3" fontId="44" fillId="2" borderId="0" xfId="0" applyNumberFormat="1" applyFont="1" applyFill="1"/>
    <xf numFmtId="0" fontId="3" fillId="5" borderId="0" xfId="2" applyFill="1"/>
    <xf numFmtId="49" fontId="9" fillId="2" borderId="0" xfId="0" applyNumberFormat="1" applyFont="1" applyFill="1"/>
    <xf numFmtId="0" fontId="21" fillId="5" borderId="0" xfId="0" applyFont="1" applyFill="1" applyAlignment="1">
      <alignment horizontal="left"/>
    </xf>
    <xf numFmtId="0" fontId="6" fillId="2" borderId="0" xfId="0" applyFont="1" applyFill="1" applyAlignment="1">
      <alignment horizontal="left" wrapText="1"/>
    </xf>
    <xf numFmtId="0" fontId="45" fillId="2" borderId="0" xfId="0" applyFont="1" applyFill="1" applyAlignment="1">
      <alignment horizontal="left"/>
    </xf>
    <xf numFmtId="0" fontId="12" fillId="2" borderId="0" xfId="0" applyFont="1" applyFill="1"/>
    <xf numFmtId="0" fontId="12" fillId="2" borderId="0" xfId="0" applyFont="1" applyFill="1" applyAlignment="1">
      <alignment wrapText="1"/>
    </xf>
    <xf numFmtId="0" fontId="46" fillId="2" borderId="0" xfId="0" applyFont="1" applyFill="1"/>
    <xf numFmtId="0" fontId="46" fillId="2" borderId="0" xfId="0" applyFont="1" applyFill="1" applyAlignment="1">
      <alignment wrapText="1"/>
    </xf>
    <xf numFmtId="166" fontId="10" fillId="2" borderId="0" xfId="0" applyNumberFormat="1" applyFont="1" applyFill="1" applyAlignment="1">
      <alignment horizontal="right"/>
    </xf>
    <xf numFmtId="166" fontId="12" fillId="2" borderId="0" xfId="0" applyNumberFormat="1" applyFont="1" applyFill="1" applyAlignment="1">
      <alignment horizontal="right"/>
    </xf>
    <xf numFmtId="0" fontId="10" fillId="2" borderId="0" xfId="0" applyFont="1" applyFill="1" applyAlignment="1">
      <alignment horizontal="left"/>
    </xf>
    <xf numFmtId="0" fontId="21" fillId="5" borderId="0" xfId="0" applyFont="1" applyFill="1"/>
    <xf numFmtId="0" fontId="46" fillId="2" borderId="0" xfId="0" applyFont="1" applyFill="1" applyAlignment="1">
      <alignment horizontal="left"/>
    </xf>
    <xf numFmtId="0" fontId="10" fillId="2" borderId="0" xfId="0" applyFont="1" applyFill="1" applyAlignment="1">
      <alignment horizontal="center"/>
    </xf>
    <xf numFmtId="166" fontId="12" fillId="2" borderId="0" xfId="0" applyNumberFormat="1" applyFont="1" applyFill="1" applyAlignment="1">
      <alignment horizontal="left"/>
    </xf>
    <xf numFmtId="0" fontId="4" fillId="2" borderId="0" xfId="0" applyFont="1" applyFill="1" applyAlignment="1">
      <alignment horizontal="right"/>
    </xf>
    <xf numFmtId="0" fontId="2" fillId="4" borderId="0" xfId="0" applyFont="1" applyFill="1"/>
    <xf numFmtId="0" fontId="16" fillId="5" borderId="0" xfId="0" applyFont="1" applyFill="1" applyAlignment="1">
      <alignment horizontal="left"/>
    </xf>
    <xf numFmtId="3" fontId="4" fillId="2" borderId="0" xfId="0" applyNumberFormat="1" applyFont="1" applyFill="1" applyAlignment="1">
      <alignment horizontal="right"/>
    </xf>
    <xf numFmtId="0" fontId="2" fillId="2" borderId="7" xfId="0" applyFont="1" applyFill="1" applyBorder="1"/>
    <xf numFmtId="0" fontId="21" fillId="3" borderId="0" xfId="0" applyFont="1" applyFill="1"/>
    <xf numFmtId="3" fontId="4" fillId="2" borderId="0" xfId="0" applyNumberFormat="1" applyFont="1" applyFill="1" applyAlignment="1">
      <alignment horizontal="right" wrapText="1"/>
    </xf>
    <xf numFmtId="0" fontId="0" fillId="2" borderId="12" xfId="0" applyFill="1" applyBorder="1"/>
    <xf numFmtId="0" fontId="5" fillId="2" borderId="12" xfId="0" applyFont="1" applyFill="1" applyBorder="1"/>
    <xf numFmtId="165" fontId="9" fillId="2" borderId="2" xfId="0" applyNumberFormat="1" applyFont="1" applyFill="1" applyBorder="1"/>
    <xf numFmtId="164" fontId="9" fillId="2" borderId="2" xfId="0" applyNumberFormat="1" applyFont="1" applyFill="1" applyBorder="1"/>
    <xf numFmtId="0" fontId="8" fillId="2" borderId="4" xfId="0" applyFont="1" applyFill="1" applyBorder="1"/>
    <xf numFmtId="3" fontId="47" fillId="2" borderId="0" xfId="0" applyNumberFormat="1" applyFont="1" applyFill="1" applyAlignment="1">
      <alignment horizontal="right"/>
    </xf>
    <xf numFmtId="3" fontId="47" fillId="2" borderId="2" xfId="0" applyNumberFormat="1" applyFont="1" applyFill="1" applyBorder="1" applyAlignment="1">
      <alignment horizontal="right"/>
    </xf>
    <xf numFmtId="3" fontId="9" fillId="2" borderId="2" xfId="0" applyNumberFormat="1" applyFont="1" applyFill="1" applyBorder="1"/>
    <xf numFmtId="3" fontId="9" fillId="2" borderId="4" xfId="0" applyNumberFormat="1" applyFont="1" applyFill="1" applyBorder="1"/>
    <xf numFmtId="1" fontId="9" fillId="2" borderId="12" xfId="0" applyNumberFormat="1" applyFont="1" applyFill="1" applyBorder="1"/>
    <xf numFmtId="1" fontId="8" fillId="2" borderId="4" xfId="0" applyNumberFormat="1" applyFont="1" applyFill="1" applyBorder="1"/>
    <xf numFmtId="166" fontId="10" fillId="2" borderId="0" xfId="0" applyNumberFormat="1" applyFont="1" applyFill="1" applyAlignment="1">
      <alignment horizontal="center"/>
    </xf>
    <xf numFmtId="0" fontId="12" fillId="2" borderId="12" xfId="0" applyFont="1" applyFill="1" applyBorder="1"/>
    <xf numFmtId="0" fontId="46" fillId="2" borderId="12" xfId="0" applyFont="1" applyFill="1" applyBorder="1"/>
    <xf numFmtId="166" fontId="10" fillId="2" borderId="12" xfId="0" applyNumberFormat="1" applyFont="1" applyFill="1" applyBorder="1" applyAlignment="1">
      <alignment horizontal="right"/>
    </xf>
    <xf numFmtId="166" fontId="12" fillId="2" borderId="12" xfId="0" applyNumberFormat="1" applyFont="1" applyFill="1" applyBorder="1" applyAlignment="1">
      <alignment horizontal="right"/>
    </xf>
    <xf numFmtId="0" fontId="10" fillId="2" borderId="12" xfId="0" applyFont="1" applyFill="1" applyBorder="1" applyAlignment="1">
      <alignment horizontal="center"/>
    </xf>
    <xf numFmtId="166" fontId="10" fillId="2" borderId="12" xfId="0" applyNumberFormat="1" applyFont="1" applyFill="1" applyBorder="1" applyAlignment="1">
      <alignment horizontal="center"/>
    </xf>
    <xf numFmtId="166" fontId="12" fillId="2" borderId="12" xfId="0" applyNumberFormat="1" applyFont="1" applyFill="1" applyBorder="1" applyAlignment="1">
      <alignment horizontal="left"/>
    </xf>
    <xf numFmtId="0" fontId="46" fillId="2" borderId="12" xfId="0" applyFont="1" applyFill="1" applyBorder="1" applyAlignment="1">
      <alignment horizontal="left"/>
    </xf>
    <xf numFmtId="0" fontId="10" fillId="2" borderId="12" xfId="0" applyFont="1" applyFill="1" applyBorder="1" applyAlignment="1">
      <alignment horizontal="left"/>
    </xf>
    <xf numFmtId="0" fontId="13" fillId="4" borderId="0" xfId="0" applyFont="1" applyFill="1" applyAlignment="1">
      <alignment horizontal="left"/>
    </xf>
    <xf numFmtId="0" fontId="3" fillId="2" borderId="0" xfId="2" applyFill="1" applyBorder="1"/>
    <xf numFmtId="0" fontId="48" fillId="2" borderId="0" xfId="0" applyFont="1" applyFill="1"/>
    <xf numFmtId="0" fontId="0" fillId="2" borderId="0" xfId="0" applyFill="1" applyAlignment="1">
      <alignment vertical="top" wrapText="1"/>
    </xf>
    <xf numFmtId="1" fontId="9" fillId="5" borderId="0" xfId="0" applyNumberFormat="1" applyFont="1" applyFill="1"/>
    <xf numFmtId="3" fontId="9" fillId="5" borderId="0" xfId="0" applyNumberFormat="1" applyFont="1" applyFill="1"/>
    <xf numFmtId="0" fontId="0" fillId="5" borderId="4" xfId="0" applyFill="1" applyBorder="1"/>
    <xf numFmtId="0" fontId="5" fillId="5" borderId="4" xfId="0" applyFont="1" applyFill="1" applyBorder="1"/>
    <xf numFmtId="1" fontId="9" fillId="5" borderId="4" xfId="0" applyNumberFormat="1" applyFont="1" applyFill="1" applyBorder="1"/>
    <xf numFmtId="3" fontId="9" fillId="5" borderId="4" xfId="0" applyNumberFormat="1" applyFont="1" applyFill="1" applyBorder="1"/>
    <xf numFmtId="0" fontId="0" fillId="5" borderId="0" xfId="0" applyFill="1" applyAlignment="1">
      <alignment horizontal="right"/>
    </xf>
    <xf numFmtId="2" fontId="8" fillId="5" borderId="0" xfId="0" applyNumberFormat="1" applyFont="1" applyFill="1"/>
    <xf numFmtId="2" fontId="0" fillId="5" borderId="0" xfId="0" applyNumberFormat="1" applyFill="1"/>
    <xf numFmtId="0" fontId="8" fillId="5" borderId="0" xfId="0" applyFont="1" applyFill="1"/>
    <xf numFmtId="0" fontId="5" fillId="5" borderId="2" xfId="0" applyFont="1" applyFill="1" applyBorder="1"/>
    <xf numFmtId="0" fontId="8" fillId="5" borderId="2" xfId="0" applyFont="1" applyFill="1" applyBorder="1" applyAlignment="1">
      <alignment horizontal="right"/>
    </xf>
    <xf numFmtId="0" fontId="8" fillId="5" borderId="2" xfId="0" applyFont="1" applyFill="1" applyBorder="1"/>
    <xf numFmtId="2" fontId="8" fillId="5" borderId="2" xfId="0" applyNumberFormat="1" applyFont="1" applyFill="1" applyBorder="1"/>
    <xf numFmtId="2" fontId="0" fillId="5" borderId="2" xfId="0" applyNumberFormat="1" applyFill="1" applyBorder="1"/>
    <xf numFmtId="1" fontId="8" fillId="5" borderId="0" xfId="0" applyNumberFormat="1" applyFont="1" applyFill="1"/>
    <xf numFmtId="1" fontId="8" fillId="5" borderId="2" xfId="0" applyNumberFormat="1" applyFont="1" applyFill="1" applyBorder="1"/>
    <xf numFmtId="0" fontId="8" fillId="5" borderId="0" xfId="0" applyFont="1" applyFill="1" applyAlignment="1">
      <alignment horizontal="right"/>
    </xf>
    <xf numFmtId="0" fontId="0" fillId="5" borderId="12" xfId="0" applyFill="1" applyBorder="1"/>
    <xf numFmtId="0" fontId="5" fillId="5" borderId="12" xfId="0" applyFont="1" applyFill="1" applyBorder="1"/>
    <xf numFmtId="0" fontId="8" fillId="5" borderId="12" xfId="0" applyFont="1" applyFill="1" applyBorder="1" applyAlignment="1">
      <alignment horizontal="right"/>
    </xf>
    <xf numFmtId="1" fontId="8" fillId="5" borderId="12" xfId="0" applyNumberFormat="1" applyFont="1" applyFill="1" applyBorder="1"/>
    <xf numFmtId="2" fontId="8" fillId="5" borderId="12" xfId="0" applyNumberFormat="1" applyFont="1" applyFill="1" applyBorder="1"/>
    <xf numFmtId="2" fontId="0" fillId="5" borderId="12" xfId="0" applyNumberFormat="1" applyFill="1" applyBorder="1"/>
    <xf numFmtId="3" fontId="40" fillId="2" borderId="0" xfId="0" applyNumberFormat="1" applyFont="1" applyFill="1" applyAlignment="1">
      <alignment horizontal="right"/>
    </xf>
    <xf numFmtId="164" fontId="40" fillId="2" borderId="0" xfId="0" applyNumberFormat="1" applyFont="1" applyFill="1"/>
    <xf numFmtId="0" fontId="9" fillId="2" borderId="12" xfId="0" applyFont="1" applyFill="1" applyBorder="1"/>
    <xf numFmtId="0" fontId="0" fillId="8" borderId="0" xfId="0" applyFill="1"/>
    <xf numFmtId="0" fontId="2" fillId="4" borderId="11" xfId="0" applyFont="1" applyFill="1" applyBorder="1"/>
    <xf numFmtId="0" fontId="9" fillId="2" borderId="0" xfId="0" applyFont="1" applyFill="1" applyAlignment="1">
      <alignment horizontal="right"/>
    </xf>
    <xf numFmtId="0" fontId="9" fillId="2" borderId="2" xfId="0" applyFont="1" applyFill="1" applyBorder="1" applyAlignment="1">
      <alignment horizontal="right"/>
    </xf>
    <xf numFmtId="167" fontId="9" fillId="2" borderId="0" xfId="1" applyNumberFormat="1" applyFont="1" applyFill="1"/>
    <xf numFmtId="4" fontId="5" fillId="2" borderId="0" xfId="0" applyNumberFormat="1" applyFont="1" applyFill="1"/>
    <xf numFmtId="3" fontId="9" fillId="3" borderId="0" xfId="0" applyNumberFormat="1" applyFont="1" applyFill="1"/>
    <xf numFmtId="9" fontId="5" fillId="4" borderId="0" xfId="1" applyFont="1" applyFill="1"/>
    <xf numFmtId="3" fontId="13" fillId="5" borderId="0" xfId="0" applyNumberFormat="1" applyFont="1" applyFill="1" applyAlignment="1">
      <alignment horizontal="left" vertical="top" wrapText="1"/>
    </xf>
    <xf numFmtId="3" fontId="0" fillId="5" borderId="0" xfId="0" applyNumberFormat="1" applyFill="1" applyAlignment="1">
      <alignment horizontal="center" vertical="top"/>
    </xf>
    <xf numFmtId="3" fontId="0" fillId="5" borderId="0" xfId="0" applyNumberFormat="1" applyFill="1" applyAlignment="1">
      <alignment horizontal="center"/>
    </xf>
    <xf numFmtId="0" fontId="0" fillId="5" borderId="1" xfId="0" applyFill="1" applyBorder="1" applyAlignment="1">
      <alignment horizontal="center"/>
    </xf>
    <xf numFmtId="0" fontId="0" fillId="5" borderId="0" xfId="0" applyFill="1" applyAlignment="1">
      <alignment horizontal="center"/>
    </xf>
    <xf numFmtId="9" fontId="13" fillId="5" borderId="0" xfId="1" applyFont="1" applyFill="1" applyAlignment="1">
      <alignment horizontal="center"/>
    </xf>
    <xf numFmtId="3" fontId="0" fillId="5" borderId="0" xfId="0" applyNumberFormat="1" applyFill="1" applyAlignment="1">
      <alignment horizontal="left" wrapText="1"/>
    </xf>
    <xf numFmtId="0" fontId="0" fillId="2" borderId="8" xfId="0" applyFill="1" applyBorder="1" applyAlignment="1">
      <alignment horizontal="left" vertical="top"/>
    </xf>
    <xf numFmtId="0" fontId="0" fillId="2" borderId="0" xfId="0" applyFill="1" applyAlignment="1">
      <alignment horizontal="left" vertical="top"/>
    </xf>
    <xf numFmtId="0" fontId="0" fillId="2" borderId="2" xfId="0" applyFill="1" applyBorder="1" applyAlignment="1">
      <alignment horizontal="left" vertical="top"/>
    </xf>
    <xf numFmtId="0" fontId="21" fillId="4" borderId="0" xfId="0" applyFont="1" applyFill="1" applyAlignment="1">
      <alignment horizontal="center"/>
    </xf>
    <xf numFmtId="0" fontId="13" fillId="5" borderId="0" xfId="3" applyFont="1" applyFill="1" applyAlignment="1">
      <alignment horizontal="center" textRotation="90" wrapText="1"/>
    </xf>
    <xf numFmtId="3" fontId="0" fillId="5" borderId="5" xfId="0" applyNumberFormat="1" applyFill="1" applyBorder="1" applyAlignment="1">
      <alignment horizontal="center"/>
    </xf>
    <xf numFmtId="3" fontId="0" fillId="5" borderId="6" xfId="0" applyNumberFormat="1" applyFill="1" applyBorder="1" applyAlignment="1">
      <alignment horizontal="center"/>
    </xf>
    <xf numFmtId="0" fontId="13" fillId="5" borderId="5" xfId="3" applyFont="1" applyFill="1" applyBorder="1" applyAlignment="1">
      <alignment horizontal="center" textRotation="90" wrapText="1"/>
    </xf>
    <xf numFmtId="0" fontId="0" fillId="5" borderId="0" xfId="0" applyFill="1" applyAlignment="1">
      <alignment horizontal="left" wrapText="1"/>
    </xf>
    <xf numFmtId="165" fontId="13" fillId="4" borderId="0" xfId="0" applyNumberFormat="1" applyFont="1" applyFill="1" applyAlignment="1">
      <alignment horizontal="left" wrapText="1"/>
    </xf>
    <xf numFmtId="165" fontId="0" fillId="5" borderId="3" xfId="0" applyNumberFormat="1" applyFill="1" applyBorder="1" applyAlignment="1">
      <alignment horizontal="left" vertical="center" wrapText="1"/>
    </xf>
    <xf numFmtId="165" fontId="0" fillId="5" borderId="0" xfId="0" applyNumberFormat="1" applyFill="1" applyAlignment="1">
      <alignment horizontal="left" vertical="center" wrapText="1"/>
    </xf>
    <xf numFmtId="165" fontId="0" fillId="5" borderId="4" xfId="0" applyNumberFormat="1" applyFill="1" applyBorder="1" applyAlignment="1">
      <alignment horizontal="left" vertical="center" wrapText="1"/>
    </xf>
    <xf numFmtId="165" fontId="5" fillId="2" borderId="3" xfId="0" applyNumberFormat="1" applyFont="1" applyFill="1" applyBorder="1" applyAlignment="1">
      <alignment horizontal="center" vertical="center"/>
    </xf>
    <xf numFmtId="165" fontId="5" fillId="2" borderId="0" xfId="0" applyNumberFormat="1" applyFont="1" applyFill="1" applyAlignment="1">
      <alignment horizontal="center" vertical="center"/>
    </xf>
    <xf numFmtId="165" fontId="5" fillId="2" borderId="4" xfId="0" applyNumberFormat="1" applyFont="1" applyFill="1" applyBorder="1" applyAlignment="1">
      <alignment horizontal="center" vertical="center"/>
    </xf>
    <xf numFmtId="165" fontId="0" fillId="2" borderId="0" xfId="0" applyNumberFormat="1" applyFill="1" applyAlignment="1">
      <alignment horizontal="left" vertical="center"/>
    </xf>
    <xf numFmtId="165" fontId="0" fillId="2" borderId="4" xfId="0" applyNumberFormat="1" applyFill="1" applyBorder="1" applyAlignment="1">
      <alignment horizontal="left" vertical="center"/>
    </xf>
    <xf numFmtId="165" fontId="0" fillId="2" borderId="3" xfId="0" applyNumberFormat="1" applyFill="1" applyBorder="1" applyAlignment="1">
      <alignment horizontal="left" vertical="center"/>
    </xf>
    <xf numFmtId="0" fontId="0" fillId="4" borderId="0" xfId="0" applyFill="1" applyAlignment="1">
      <alignment horizontal="left" vertical="top" wrapText="1"/>
    </xf>
    <xf numFmtId="0" fontId="0" fillId="4" borderId="0" xfId="0" applyFill="1" applyAlignment="1">
      <alignment horizontal="center"/>
    </xf>
    <xf numFmtId="0" fontId="5" fillId="4" borderId="0" xfId="0" applyFont="1" applyFill="1" applyAlignment="1">
      <alignment horizontal="left" vertical="top" wrapText="1"/>
    </xf>
    <xf numFmtId="0" fontId="5" fillId="4" borderId="0" xfId="0" applyFont="1" applyFill="1" applyAlignment="1">
      <alignment horizontal="center" vertical="top" wrapText="1"/>
    </xf>
    <xf numFmtId="0" fontId="5" fillId="4" borderId="0" xfId="0" applyFont="1" applyFill="1" applyAlignment="1">
      <alignment horizontal="left" wrapText="1"/>
    </xf>
    <xf numFmtId="0" fontId="5" fillId="5" borderId="0" xfId="0" applyFont="1" applyFill="1" applyAlignment="1">
      <alignment horizontal="left" vertical="top" wrapText="1"/>
    </xf>
    <xf numFmtId="0" fontId="13" fillId="5" borderId="0" xfId="0" applyFont="1" applyFill="1" applyAlignment="1">
      <alignment horizontal="center"/>
    </xf>
    <xf numFmtId="0" fontId="5" fillId="2" borderId="0" xfId="0" applyFont="1" applyFill="1" applyAlignment="1">
      <alignment horizontal="left" vertical="top" wrapText="1"/>
    </xf>
  </cellXfs>
  <cellStyles count="7">
    <cellStyle name="Hyperlink" xfId="2" builtinId="8"/>
    <cellStyle name="Normaali 4" xfId="3" xr:uid="{FB114CE0-098D-45FC-9ECB-05E8082EE4BD}"/>
    <cellStyle name="Normal" xfId="0" builtinId="0"/>
    <cellStyle name="Normal 3" xfId="5" xr:uid="{849C9DB1-9493-49C8-8B82-52F85C97E493}"/>
    <cellStyle name="Normal 4" xfId="6" xr:uid="{A9A0FD81-5435-42D0-BC53-2168836C402F}"/>
    <cellStyle name="Normal 5" xfId="4" xr:uid="{4AC22AD3-7798-453A-B423-79643AFA8A24}"/>
    <cellStyle name="Percent" xfId="1" builtinId="5"/>
  </cellStyles>
  <dxfs count="196">
    <dxf>
      <font>
        <color rgb="FF9C0006"/>
      </font>
      <fill>
        <patternFill>
          <bgColor rgb="FFFFC7CE"/>
        </patternFill>
      </fill>
    </dxf>
    <dxf>
      <font>
        <color theme="0"/>
      </font>
      <fill>
        <patternFill>
          <bgColor theme="0"/>
        </patternFill>
      </fill>
    </dxf>
    <dxf>
      <font>
        <color theme="0"/>
      </font>
      <fill>
        <patternFill patternType="solid">
          <bgColor theme="0"/>
        </patternFill>
      </fill>
    </dxf>
    <dxf>
      <font>
        <color theme="0"/>
      </font>
      <fill>
        <patternFill>
          <bgColor theme="0"/>
        </patternFill>
      </fill>
    </dxf>
    <dxf>
      <font>
        <color rgb="FF9C0006"/>
      </font>
      <fill>
        <patternFill>
          <bgColor rgb="FFFFC7CE"/>
        </patternFill>
      </fill>
    </dxf>
    <dxf>
      <font>
        <color rgb="FF9C0006"/>
      </font>
      <fill>
        <patternFill>
          <bgColor rgb="FFFFC7CE"/>
        </patternFill>
      </fill>
    </dxf>
    <dxf>
      <numFmt numFmtId="0" formatCode="General"/>
      <fill>
        <patternFill patternType="solid">
          <fgColor indexed="64"/>
          <bgColor theme="0"/>
        </patternFill>
      </fill>
    </dxf>
    <dxf>
      <fill>
        <patternFill patternType="solid">
          <fgColor indexed="64"/>
          <bgColor theme="0"/>
        </patternFill>
      </fill>
    </dxf>
    <dxf>
      <font>
        <strike val="0"/>
        <outline val="0"/>
        <shadow val="0"/>
        <u val="none"/>
        <vertAlign val="baseline"/>
        <sz val="11"/>
        <color theme="0" tint="-0.499984740745262"/>
        <name val="Calibri"/>
        <family val="2"/>
        <scheme val="minor"/>
      </font>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strike val="0"/>
        <outline val="0"/>
        <shadow val="0"/>
        <u val="none"/>
        <vertAlign val="baseline"/>
        <sz val="11"/>
        <color theme="9" tint="-0.249977111117893"/>
        <name val="Calibri"/>
        <family val="2"/>
        <scheme val="minor"/>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strike val="0"/>
        <outline val="0"/>
        <shadow val="0"/>
        <u val="none"/>
        <vertAlign val="baseline"/>
        <sz val="11"/>
        <color theme="9" tint="-0.249977111117893"/>
        <name val="Calibri"/>
        <family val="2"/>
        <scheme val="minor"/>
      </font>
      <fill>
        <patternFill patternType="solid">
          <fgColor indexed="64"/>
          <bgColor theme="0"/>
        </patternFill>
      </fill>
    </dxf>
    <dxf>
      <font>
        <strike val="0"/>
        <outline val="0"/>
        <shadow val="0"/>
        <u val="none"/>
        <vertAlign val="baseline"/>
        <sz val="11"/>
        <color theme="9" tint="0.59999389629810485"/>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ertAlign val="baseline"/>
        <sz val="11"/>
        <color theme="8" tint="-0.249977111117893"/>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1"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ill>
        <patternFill patternType="solid">
          <fgColor indexed="64"/>
          <bgColor theme="0"/>
        </patternFill>
      </fill>
      <alignment horizontal="left"/>
    </dxf>
    <dxf>
      <fill>
        <patternFill patternType="solid">
          <fgColor indexed="64"/>
          <bgColor theme="0"/>
        </patternFill>
      </fill>
      <alignment horizontal="right"/>
    </dxf>
    <dxf>
      <font>
        <b/>
        <strike val="0"/>
        <outline val="0"/>
        <shadow val="0"/>
        <u val="none"/>
        <vertAlign val="baseline"/>
        <sz val="11"/>
        <color auto="1"/>
        <name val="Calibri"/>
        <family val="2"/>
        <scheme val="minor"/>
      </font>
      <fill>
        <patternFill patternType="solid">
          <fgColor indexed="64"/>
          <bgColor theme="0" tint="-4.9989318521683403E-2"/>
        </patternFill>
      </fill>
      <alignment horizontal="lef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vertical="bottom" textRotation="0" wrapText="0" indent="0" justifyLastLine="0" shrinkToFit="0" readingOrder="0"/>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alignment horizontal="right"/>
    </dxf>
    <dxf>
      <fill>
        <patternFill patternType="solid">
          <fgColor indexed="64"/>
          <bgColor theme="0"/>
        </patternFill>
      </fill>
      <alignment horizontal="left"/>
    </dxf>
    <dxf>
      <fill>
        <patternFill patternType="solid">
          <fgColor indexed="64"/>
          <bgColor theme="0"/>
        </patternFill>
      </fill>
      <alignment horizontal="right"/>
    </dxf>
    <dxf>
      <font>
        <b/>
        <strike val="0"/>
        <outline val="0"/>
        <shadow val="0"/>
        <u val="none"/>
        <vertAlign val="baseline"/>
        <sz val="11"/>
        <color auto="1"/>
        <name val="Calibri"/>
        <family val="2"/>
        <scheme val="minor"/>
      </font>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9" tint="0.59999389629810485"/>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9" tint="-0.249977111117893"/>
        <name val="Arial"/>
        <family val="2"/>
        <scheme val="none"/>
      </font>
      <numFmt numFmtId="166" formatCode="[&gt;=0]###0\ \ ;@\ ____"/>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9" tint="0.59999389629810485"/>
        <name val="Arial"/>
        <family val="2"/>
        <scheme val="none"/>
      </font>
      <numFmt numFmtId="166" formatCode="[&gt;=0]###0\ \ ;@\ _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9" tint="0.59999389629810485"/>
        <name val="Arial"/>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9" tint="-0.249977111117893"/>
        <name val="Arial"/>
        <family val="2"/>
        <scheme val="none"/>
      </font>
      <numFmt numFmtId="166" formatCode="[&gt;=0]###0\ \ ;@\ _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9" tint="-0.249977111117893"/>
        <name val="Arial"/>
        <family val="2"/>
        <scheme val="none"/>
      </font>
      <numFmt numFmtId="166" formatCode="[&gt;=0]###0\ \ ;@\ _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9" tint="0.59999389629810485"/>
        <name val="Arial"/>
        <family val="2"/>
        <scheme val="none"/>
      </font>
      <numFmt numFmtId="166" formatCode="[&gt;=0]###0\ \ ;@\ _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theme="8" tint="-0.249977111117893"/>
        <name val="Arial"/>
        <family val="2"/>
        <scheme val="none"/>
      </font>
      <numFmt numFmtId="0" formatCode="General"/>
      <fill>
        <patternFill patternType="solid">
          <fgColor indexed="64"/>
          <bgColor theme="0"/>
        </patternFill>
      </fill>
    </dxf>
    <dxf>
      <font>
        <b val="0"/>
        <i val="0"/>
        <strike val="0"/>
        <condense val="0"/>
        <extend val="0"/>
        <outline val="0"/>
        <shadow val="0"/>
        <u val="none"/>
        <vertAlign val="baseline"/>
        <sz val="10"/>
        <color theme="9" tint="-0.249977111117893"/>
        <name val="Arial"/>
        <family val="2"/>
        <scheme val="none"/>
      </font>
      <fill>
        <patternFill patternType="solid">
          <fgColor indexed="64"/>
          <bgColor theme="0"/>
        </patternFill>
      </fill>
    </dxf>
    <dxf>
      <font>
        <b val="0"/>
        <i val="0"/>
        <strike val="0"/>
        <condense val="0"/>
        <extend val="0"/>
        <outline val="0"/>
        <shadow val="0"/>
        <u val="none"/>
        <vertAlign val="baseline"/>
        <sz val="10"/>
        <color theme="9" tint="-0.249977111117893"/>
        <name val="Arial"/>
        <family val="2"/>
        <scheme val="none"/>
      </font>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numFmt numFmtId="1"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 formatCode="0"/>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8" tint="0.59999389629810485"/>
        <name val="Calibri"/>
        <family val="2"/>
        <scheme val="minor"/>
      </font>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dxf>
    <dxf>
      <font>
        <strike val="0"/>
        <outline val="0"/>
        <shadow val="0"/>
        <u val="none"/>
        <vertAlign val="baseline"/>
        <sz val="11"/>
        <color theme="8" tint="0.59999389629810485"/>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rgb="FF808080"/>
        <name val="Calibri"/>
        <family val="2"/>
        <scheme val="none"/>
      </font>
      <fill>
        <patternFill patternType="solid">
          <fgColor rgb="FF000000"/>
          <bgColor rgb="FFFFFFFF"/>
        </patternFill>
      </fill>
    </dxf>
    <dxf>
      <font>
        <b val="0"/>
        <i val="0"/>
        <strike val="0"/>
        <condense val="0"/>
        <extend val="0"/>
        <outline val="0"/>
        <shadow val="0"/>
        <u val="none"/>
        <vertAlign val="baseline"/>
        <sz val="11"/>
        <color theme="0" tint="-0.499984740745262"/>
        <name val="Calibri"/>
        <family val="2"/>
        <scheme val="minor"/>
      </font>
      <fill>
        <patternFill patternType="solid">
          <fgColor indexed="64"/>
          <bgColor theme="0" tint="-4.9989318521683403E-2"/>
        </patternFill>
      </fill>
    </dxf>
    <dxf>
      <numFmt numFmtId="165" formatCode="#,##0.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1" formatCode="0"/>
      <fill>
        <patternFill patternType="solid">
          <fgColor indexed="64"/>
          <bgColor theme="0"/>
        </patternFill>
      </fill>
    </dxf>
    <dxf>
      <numFmt numFmtId="3" formatCode="#,##0"/>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ont>
        <b val="0"/>
        <i val="0"/>
        <strike val="0"/>
        <condense val="0"/>
        <extend val="0"/>
        <outline val="0"/>
        <shadow val="0"/>
        <u val="none"/>
        <vertAlign val="baseline"/>
        <sz val="11"/>
        <color theme="8" tint="0.59999389629810485"/>
        <name val="Calibri"/>
        <family val="2"/>
        <scheme val="minor"/>
      </font>
      <numFmt numFmtId="3" formatCode="#,##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8" tint="0.59999389629810485"/>
        <name val="Calibri"/>
        <family val="2"/>
        <scheme val="minor"/>
      </font>
      <numFmt numFmtId="3" formatCode="#,##0"/>
      <fill>
        <patternFill patternType="solid">
          <fgColor indexed="64"/>
          <bgColor theme="0"/>
        </patternFill>
      </fill>
    </dxf>
    <dxf>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ill>
        <patternFill patternType="solid">
          <fgColor indexed="64"/>
          <bgColor theme="0" tint="-4.9989318521683403E-2"/>
        </patternFill>
      </fill>
    </dxf>
    <dxf>
      <font>
        <strike val="0"/>
        <outline val="0"/>
        <shadow val="0"/>
        <u/>
        <vertAlign val="baseline"/>
        <sz val="11"/>
        <color theme="8" tint="-0.249977111117893"/>
        <name val="Calibri"/>
        <family val="2"/>
        <scheme val="minor"/>
      </font>
      <numFmt numFmtId="1"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numFmt numFmtId="3" formatCode="#,##0"/>
      <fill>
        <patternFill patternType="solid">
          <fgColor indexed="64"/>
          <bgColor theme="0"/>
        </patternFill>
      </fill>
    </dxf>
    <dxf>
      <font>
        <b val="0"/>
        <i val="0"/>
        <strike val="0"/>
        <condense val="0"/>
        <extend val="0"/>
        <outline val="0"/>
        <shadow val="0"/>
        <u val="none"/>
        <vertAlign val="baseline"/>
        <sz val="11"/>
        <color theme="9" tint="-0.249977111117893"/>
        <name val="Calibri"/>
        <family val="2"/>
        <scheme val="minor"/>
      </font>
      <fill>
        <patternFill patternType="solid">
          <fgColor indexed="64"/>
          <bgColor theme="0"/>
        </patternFill>
      </fill>
    </dxf>
    <dxf>
      <font>
        <b val="0"/>
        <i val="0"/>
        <strike val="0"/>
        <condense val="0"/>
        <extend val="0"/>
        <outline val="0"/>
        <shadow val="0"/>
        <u val="none"/>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alignment horizontal="general" vertical="bottom" textRotation="0" wrapText="1" indent="0" justifyLastLine="0" shrinkToFit="0" readingOrder="0"/>
    </dxf>
    <dxf>
      <font>
        <strike val="0"/>
        <outline val="0"/>
        <shadow val="0"/>
        <u val="none"/>
        <vertAlign val="baseline"/>
        <sz val="11"/>
        <color theme="8" tint="0.39997558519241921"/>
        <name val="Calibri"/>
        <family val="2"/>
        <scheme val="minor"/>
      </font>
      <numFmt numFmtId="1"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strike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strike val="0"/>
        <outline val="0"/>
        <shadow val="0"/>
        <u val="none"/>
        <vertAlign val="baseline"/>
        <sz val="11"/>
        <color theme="8" tint="-0.249977111117893"/>
        <name val="Calibri"/>
        <family val="2"/>
        <scheme val="minor"/>
      </font>
      <numFmt numFmtId="0" formatCode="General"/>
      <fill>
        <patternFill patternType="solid">
          <fgColor indexed="64"/>
          <bgColor theme="0"/>
        </patternFill>
      </fill>
    </dxf>
    <dxf>
      <font>
        <strike val="0"/>
        <outline val="0"/>
        <shadow val="0"/>
        <u val="none"/>
        <vertAlign val="baseline"/>
        <sz val="11"/>
        <color theme="8" tint="-0.249977111117893"/>
        <name val="Calibri"/>
        <family val="2"/>
        <scheme val="minor"/>
      </font>
      <numFmt numFmtId="3" formatCode="#,##0"/>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0" tint="-0.499984740745262"/>
        <name val="Calibri"/>
        <family val="2"/>
        <scheme val="minor"/>
      </font>
      <fill>
        <patternFill patternType="solid">
          <fgColor indexed="64"/>
          <bgColor theme="0"/>
        </patternFill>
      </fill>
    </dxf>
    <dxf>
      <font>
        <strike val="0"/>
        <outline val="0"/>
        <shadow val="0"/>
        <u val="none"/>
        <vertAlign val="baseline"/>
        <sz val="11"/>
        <color theme="0" tint="-0.499984740745262"/>
        <name val="Calibri"/>
        <family val="2"/>
        <scheme val="minor"/>
      </font>
      <fill>
        <patternFill patternType="solid">
          <fgColor indexed="64"/>
          <bgColor theme="0"/>
        </patternFill>
      </fill>
    </dxf>
    <dxf>
      <font>
        <strike val="0"/>
        <outline val="0"/>
        <shadow val="0"/>
        <u val="none"/>
        <vertAlign val="baseline"/>
        <sz val="11"/>
        <color theme="8" tint="-0.249977111117893"/>
        <name val="Calibri"/>
        <family val="2"/>
        <scheme val="minor"/>
      </font>
      <fill>
        <patternFill patternType="solid">
          <fgColor indexed="64"/>
          <bgColor theme="0"/>
        </patternFill>
      </fill>
    </dxf>
    <dxf>
      <font>
        <strike val="0"/>
        <outline val="0"/>
        <shadow val="0"/>
        <u val="none"/>
        <vertAlign val="baseline"/>
        <sz val="11"/>
        <color theme="9" tint="-0.249977111117893"/>
        <name val="Calibri"/>
        <family val="2"/>
        <scheme val="minor"/>
      </font>
      <numFmt numFmtId="165" formatCode="#,##0.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164" formatCode="0.0"/>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numFmt numFmtId="3" formatCode="#,##0"/>
      <fill>
        <patternFill patternType="solid">
          <fgColor indexed="64"/>
          <bgColor theme="0"/>
        </patternFill>
      </fill>
    </dxf>
    <dxf>
      <fill>
        <patternFill patternType="solid">
          <fgColor indexed="64"/>
          <bgColor theme="0"/>
        </patternFill>
      </fill>
    </dxf>
    <dxf>
      <font>
        <b val="0"/>
        <i val="0"/>
        <strike val="0"/>
        <condense val="0"/>
        <extend val="0"/>
        <outline val="0"/>
        <shadow val="0"/>
        <u/>
        <vertAlign val="baseline"/>
        <sz val="11"/>
        <color theme="8" tint="-0.249977111117893"/>
        <name val="Calibri"/>
        <family val="2"/>
        <scheme val="minor"/>
      </font>
      <fill>
        <patternFill patternType="solid">
          <fgColor indexed="64"/>
          <bgColor theme="0"/>
        </patternFill>
      </fill>
    </dxf>
    <dxf>
      <fill>
        <patternFill patternType="solid">
          <fgColor indexed="64"/>
          <bgColor theme="0" tint="-4.9989318521683403E-2"/>
        </patternFill>
      </fill>
    </dxf>
    <dxf>
      <font>
        <strike val="0"/>
        <outline val="0"/>
        <shadow val="0"/>
        <u val="none"/>
        <vertAlign val="baseline"/>
        <sz val="11"/>
        <color theme="8" tint="-0.249977111117893"/>
        <name val="Calibri"/>
        <family val="2"/>
        <scheme val="minor"/>
      </font>
      <numFmt numFmtId="30" formatCode="@"/>
      <fill>
        <patternFill patternType="solid">
          <fgColor indexed="64"/>
          <bgColor theme="0"/>
        </patternFill>
      </fill>
    </dxf>
    <dxf>
      <font>
        <strike val="0"/>
        <outline val="0"/>
        <shadow val="0"/>
        <u val="none"/>
        <vertAlign val="baseline"/>
        <sz val="11"/>
        <color theme="9" tint="-0.249977111117893"/>
        <name val="Calibri"/>
        <family val="2"/>
        <scheme val="minor"/>
      </font>
      <numFmt numFmtId="0" formatCode="General"/>
      <fill>
        <patternFill patternType="solid">
          <fgColor indexed="64"/>
          <bgColor theme="0"/>
        </patternFill>
      </fill>
    </dxf>
    <dxf>
      <font>
        <strike val="0"/>
        <outline val="0"/>
        <shadow val="0"/>
        <u val="none"/>
        <vertAlign val="baseline"/>
        <sz val="11"/>
        <color theme="9" tint="0.59999389629810485"/>
        <name val="Calibri"/>
        <family val="2"/>
        <scheme val="minor"/>
      </font>
      <fill>
        <patternFill patternType="solid">
          <fgColor indexed="64"/>
          <bgColor theme="0"/>
        </patternFill>
      </fill>
    </dxf>
    <dxf>
      <font>
        <strike val="0"/>
        <outline val="0"/>
        <shadow val="0"/>
        <u val="none"/>
        <vertAlign val="baseline"/>
        <sz val="11"/>
        <color theme="9" tint="-0.249977111117893"/>
        <name val="Calibri"/>
        <family val="2"/>
        <scheme val="minor"/>
      </font>
      <fill>
        <patternFill patternType="solid">
          <fgColor indexed="64"/>
          <bgColor theme="0"/>
        </patternFill>
      </fill>
    </dxf>
    <dxf>
      <fill>
        <patternFill patternType="solid">
          <fgColor indexed="64"/>
          <bgColor theme="0"/>
        </patternFill>
      </fill>
    </dxf>
    <dxf>
      <font>
        <strike val="0"/>
        <outline val="0"/>
        <shadow val="0"/>
        <u val="none"/>
        <vertAlign val="baseline"/>
        <sz val="11"/>
        <color auto="1"/>
        <name val="Calibri"/>
        <family val="2"/>
        <scheme val="minor"/>
      </font>
      <fill>
        <patternFill patternType="solid">
          <fgColor indexed="64"/>
          <bgColor theme="0"/>
        </patternFill>
      </fill>
    </dxf>
    <dxf>
      <font>
        <strike val="0"/>
        <outline val="0"/>
        <shadow val="0"/>
        <u val="none"/>
        <vertAlign val="baseline"/>
        <sz val="11"/>
        <color theme="9" tint="0.59999389629810485"/>
        <name val="Calibri"/>
        <family val="2"/>
        <scheme val="minor"/>
      </font>
      <fill>
        <patternFill patternType="solid">
          <fgColor indexed="64"/>
          <bgColor theme="0"/>
        </patternFill>
      </fill>
    </dxf>
    <dxf>
      <font>
        <b val="0"/>
        <i val="0"/>
        <strike val="0"/>
        <condense val="0"/>
        <extend val="0"/>
        <outline val="0"/>
        <shadow val="0"/>
        <u val="none"/>
        <vertAlign val="baseline"/>
        <sz val="11"/>
        <color theme="9" tint="-0.249977111117893"/>
        <name val="Calibri"/>
        <family val="2"/>
        <scheme val="minor"/>
      </font>
      <fill>
        <patternFill patternType="solid">
          <fgColor indexed="64"/>
          <bgColor theme="0"/>
        </patternFill>
      </fill>
    </dxf>
    <dxf>
      <font>
        <b val="0"/>
        <i val="0"/>
        <strike val="0"/>
        <condense val="0"/>
        <extend val="0"/>
        <outline val="0"/>
        <shadow val="0"/>
        <u val="none"/>
        <vertAlign val="baseline"/>
        <sz val="11"/>
        <color theme="0"/>
        <name val="Calibri"/>
        <family val="2"/>
        <scheme val="minor"/>
      </font>
      <numFmt numFmtId="3" formatCode="#,##0"/>
      <fill>
        <patternFill patternType="solid">
          <fgColor indexed="64"/>
          <bgColor theme="0"/>
        </patternFill>
      </fill>
    </dxf>
    <dxf>
      <font>
        <strike val="0"/>
        <outline val="0"/>
        <shadow val="0"/>
        <u val="none"/>
        <vertAlign val="baseline"/>
        <sz val="11"/>
        <color auto="1"/>
        <name val="Calibri"/>
        <family val="2"/>
        <scheme val="minor"/>
      </font>
      <fill>
        <patternFill patternType="solid">
          <fgColor indexed="64"/>
          <bgColor theme="0"/>
        </patternFill>
      </fill>
    </dxf>
  </dxfs>
  <tableStyles count="0" defaultTableStyle="TableStyleMedium2" defaultPivotStyle="PivotStyleLight16"/>
  <colors>
    <mruColors>
      <color rgb="FFCC00FF"/>
      <color rgb="FF9900CC"/>
      <color rgb="FFFF00FF"/>
      <color rgb="FF00CC00"/>
      <color rgb="FF009900"/>
      <color rgb="FF0080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1"/>
          <c:order val="0"/>
          <c:tx>
            <c:strRef>
              <c:f>D_el!$C$40</c:f>
              <c:strCache>
                <c:ptCount val="1"/>
                <c:pt idx="0">
                  <c:v>Industry</c:v>
                </c:pt>
              </c:strCache>
            </c:strRef>
          </c:tx>
          <c:spPr>
            <a:solidFill>
              <a:schemeClr val="accent6">
                <a:lumMod val="50000"/>
              </a:schemeClr>
            </a:solidFill>
            <a:ln>
              <a:noFill/>
            </a:ln>
            <a:effectLst/>
          </c:spPr>
          <c:invertIfNegative val="0"/>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E38B-4283-9DC1-668FD682DAB7}"/>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E38B-4283-9DC1-668FD682DAB7}"/>
              </c:ext>
            </c:extLst>
          </c:dPt>
          <c:dPt>
            <c:idx val="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E38B-4283-9DC1-668FD682DAB7}"/>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E38B-4283-9DC1-668FD682DAB7}"/>
              </c:ext>
            </c:extLst>
          </c:dPt>
          <c:dPt>
            <c:idx val="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E38B-4283-9DC1-668FD682DAB7}"/>
              </c:ext>
            </c:extLst>
          </c:dPt>
          <c:dPt>
            <c:idx val="1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B-E38B-4283-9DC1-668FD682DAB7}"/>
              </c:ext>
            </c:extLst>
          </c:dPt>
          <c:dPt>
            <c:idx val="1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D-E38B-4283-9DC1-668FD682DAB7}"/>
              </c:ext>
            </c:extLst>
          </c:dPt>
          <c:dPt>
            <c:idx val="1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F-E38B-4283-9DC1-668FD682DAB7}"/>
              </c:ext>
            </c:extLst>
          </c:dPt>
          <c:dPt>
            <c:idx val="1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1-E38B-4283-9DC1-668FD682DAB7}"/>
              </c:ext>
            </c:extLst>
          </c:dPt>
          <c:dPt>
            <c:idx val="1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3-E38B-4283-9DC1-668FD682DAB7}"/>
              </c:ext>
            </c:extLst>
          </c:dPt>
          <c:dPt>
            <c:idx val="2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5-E38B-4283-9DC1-668FD682DAB7}"/>
              </c:ext>
            </c:extLst>
          </c:dPt>
          <c:dPt>
            <c:idx val="2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7-E38B-4283-9DC1-668FD682DAB7}"/>
              </c:ext>
            </c:extLst>
          </c:dPt>
          <c:dPt>
            <c:idx val="2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9-E38B-4283-9DC1-668FD682DAB7}"/>
              </c:ext>
            </c:extLst>
          </c:dPt>
          <c:dPt>
            <c:idx val="2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B-E38B-4283-9DC1-668FD682DAB7}"/>
              </c:ext>
            </c:extLst>
          </c:dPt>
          <c:dPt>
            <c:idx val="2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D-E38B-4283-9DC1-668FD682DAB7}"/>
              </c:ext>
            </c:extLst>
          </c:dPt>
          <c:dPt>
            <c:idx val="3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F-E38B-4283-9DC1-668FD682DAB7}"/>
              </c:ext>
            </c:extLst>
          </c:dPt>
          <c:dPt>
            <c:idx val="3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21-E38B-4283-9DC1-668FD682DAB7}"/>
              </c:ext>
            </c:extLst>
          </c:dPt>
          <c:dPt>
            <c:idx val="3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23-E38B-4283-9DC1-668FD682DAB7}"/>
              </c:ext>
            </c:extLst>
          </c:dPt>
          <c:cat>
            <c:multiLvlStrRef>
              <c:f>D_el!$A$41:$B$78</c:f>
            </c:multiLvlStrRef>
          </c:cat>
          <c:val>
            <c:numRef>
              <c:f>D_el!$C$41:$C$78</c:f>
            </c:numRef>
          </c:val>
          <c:extLst>
            <c:ext xmlns:c16="http://schemas.microsoft.com/office/drawing/2014/chart" uri="{C3380CC4-5D6E-409C-BE32-E72D297353CC}">
              <c16:uniqueId val="{00000024-E38B-4283-9DC1-668FD682DAB7}"/>
            </c:ext>
          </c:extLst>
        </c:ser>
        <c:ser>
          <c:idx val="2"/>
          <c:order val="1"/>
          <c:tx>
            <c:strRef>
              <c:f>D_el!$D$40</c:f>
              <c:strCache>
                <c:ptCount val="1"/>
                <c:pt idx="0">
                  <c:v>Comerce</c:v>
                </c:pt>
              </c:strCache>
            </c:strRef>
          </c:tx>
          <c:spPr>
            <a:solidFill>
              <a:schemeClr val="tx2">
                <a:lumMod val="75000"/>
              </a:schemeClr>
            </a:solidFill>
            <a:ln>
              <a:noFill/>
            </a:ln>
            <a:effectLst/>
          </c:spPr>
          <c:invertIfNegative val="0"/>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26-E38B-4283-9DC1-668FD682DAB7}"/>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28-E38B-4283-9DC1-668FD682DAB7}"/>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2A-E38B-4283-9DC1-668FD682DAB7}"/>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2C-E38B-4283-9DC1-668FD682DAB7}"/>
              </c:ext>
            </c:extLst>
          </c:dPt>
          <c:dPt>
            <c:idx val="9"/>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2E-E38B-4283-9DC1-668FD682DAB7}"/>
              </c:ext>
            </c:extLst>
          </c:dPt>
          <c:dPt>
            <c:idx val="1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30-E38B-4283-9DC1-668FD682DAB7}"/>
              </c:ext>
            </c:extLst>
          </c:dPt>
          <c:dPt>
            <c:idx val="1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32-E38B-4283-9DC1-668FD682DAB7}"/>
              </c:ext>
            </c:extLst>
          </c:dPt>
          <c:dPt>
            <c:idx val="1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34-E38B-4283-9DC1-668FD682DAB7}"/>
              </c:ext>
            </c:extLst>
          </c:dPt>
          <c:dPt>
            <c:idx val="1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36-E38B-4283-9DC1-668FD682DAB7}"/>
              </c:ext>
            </c:extLst>
          </c:dPt>
          <c:dPt>
            <c:idx val="19"/>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38-E38B-4283-9DC1-668FD682DAB7}"/>
              </c:ext>
            </c:extLst>
          </c:dPt>
          <c:dPt>
            <c:idx val="2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3A-E38B-4283-9DC1-668FD682DAB7}"/>
              </c:ext>
            </c:extLst>
          </c:dPt>
          <c:dPt>
            <c:idx val="2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3C-E38B-4283-9DC1-668FD682DAB7}"/>
              </c:ext>
            </c:extLst>
          </c:dPt>
          <c:dPt>
            <c:idx val="2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3E-E38B-4283-9DC1-668FD682DAB7}"/>
              </c:ext>
            </c:extLst>
          </c:dPt>
          <c:dPt>
            <c:idx val="2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40-E38B-4283-9DC1-668FD682DAB7}"/>
              </c:ext>
            </c:extLst>
          </c:dPt>
          <c:dPt>
            <c:idx val="29"/>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42-E38B-4283-9DC1-668FD682DAB7}"/>
              </c:ext>
            </c:extLst>
          </c:dPt>
          <c:dPt>
            <c:idx val="3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44-E38B-4283-9DC1-668FD682DAB7}"/>
              </c:ext>
            </c:extLst>
          </c:dPt>
          <c:dPt>
            <c:idx val="3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46-E38B-4283-9DC1-668FD682DAB7}"/>
              </c:ext>
            </c:extLst>
          </c:dPt>
          <c:dPt>
            <c:idx val="3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48-E38B-4283-9DC1-668FD682DAB7}"/>
              </c:ext>
            </c:extLst>
          </c:dPt>
          <c:dPt>
            <c:idx val="3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4A-E38B-4283-9DC1-668FD682DAB7}"/>
              </c:ext>
            </c:extLst>
          </c:dPt>
          <c:cat>
            <c:multiLvlStrRef>
              <c:f>D_el!$A$41:$B$78</c:f>
            </c:multiLvlStrRef>
          </c:cat>
          <c:val>
            <c:numRef>
              <c:f>D_el!$D$41:$D$78</c:f>
            </c:numRef>
          </c:val>
          <c:extLst>
            <c:ext xmlns:c16="http://schemas.microsoft.com/office/drawing/2014/chart" uri="{C3380CC4-5D6E-409C-BE32-E72D297353CC}">
              <c16:uniqueId val="{0000004B-E38B-4283-9DC1-668FD682DAB7}"/>
            </c:ext>
          </c:extLst>
        </c:ser>
        <c:ser>
          <c:idx val="0"/>
          <c:order val="2"/>
          <c:tx>
            <c:strRef>
              <c:f>D_el!$E$40</c:f>
              <c:strCache>
                <c:ptCount val="1"/>
                <c:pt idx="0">
                  <c:v>Residence</c:v>
                </c:pt>
              </c:strCache>
            </c:strRef>
          </c:tx>
          <c:spPr>
            <a:solidFill>
              <a:schemeClr val="accent3">
                <a:lumMod val="75000"/>
              </a:schemeClr>
            </a:solidFill>
            <a:ln>
              <a:noFill/>
            </a:ln>
            <a:effectLst/>
          </c:spPr>
          <c:invertIfNegative val="0"/>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4D-E38B-4283-9DC1-668FD682DAB7}"/>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4F-E38B-4283-9DC1-668FD682DAB7}"/>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51-E38B-4283-9DC1-668FD682DAB7}"/>
              </c:ext>
            </c:extLst>
          </c:dPt>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53-E38B-4283-9DC1-668FD682DAB7}"/>
              </c:ext>
            </c:extLst>
          </c:dPt>
          <c:dPt>
            <c:idx val="9"/>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55-E38B-4283-9DC1-668FD682DAB7}"/>
              </c:ext>
            </c:extLst>
          </c:dPt>
          <c:dPt>
            <c:idx val="1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57-E38B-4283-9DC1-668FD682DAB7}"/>
              </c:ext>
            </c:extLst>
          </c:dPt>
          <c:dPt>
            <c:idx val="1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59-E38B-4283-9DC1-668FD682DAB7}"/>
              </c:ext>
            </c:extLst>
          </c:dPt>
          <c:dPt>
            <c:idx val="1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5B-E38B-4283-9DC1-668FD682DAB7}"/>
              </c:ext>
            </c:extLst>
          </c:dPt>
          <c:dPt>
            <c:idx val="1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5D-E38B-4283-9DC1-668FD682DAB7}"/>
              </c:ext>
            </c:extLst>
          </c:dPt>
          <c:dPt>
            <c:idx val="19"/>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5F-E38B-4283-9DC1-668FD682DAB7}"/>
              </c:ext>
            </c:extLst>
          </c:dPt>
          <c:dPt>
            <c:idx val="2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61-E38B-4283-9DC1-668FD682DAB7}"/>
              </c:ext>
            </c:extLst>
          </c:dPt>
          <c:dPt>
            <c:idx val="2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63-E38B-4283-9DC1-668FD682DAB7}"/>
              </c:ext>
            </c:extLst>
          </c:dPt>
          <c:dPt>
            <c:idx val="2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65-E38B-4283-9DC1-668FD682DAB7}"/>
              </c:ext>
            </c:extLst>
          </c:dPt>
          <c:dPt>
            <c:idx val="2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67-E38B-4283-9DC1-668FD682DAB7}"/>
              </c:ext>
            </c:extLst>
          </c:dPt>
          <c:dPt>
            <c:idx val="29"/>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69-E38B-4283-9DC1-668FD682DAB7}"/>
              </c:ext>
            </c:extLst>
          </c:dPt>
          <c:dPt>
            <c:idx val="3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6B-E38B-4283-9DC1-668FD682DAB7}"/>
              </c:ext>
            </c:extLst>
          </c:dPt>
          <c:dPt>
            <c:idx val="3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6D-E38B-4283-9DC1-668FD682DAB7}"/>
              </c:ext>
            </c:extLst>
          </c:dPt>
          <c:dPt>
            <c:idx val="3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6F-E38B-4283-9DC1-668FD682DAB7}"/>
              </c:ext>
            </c:extLst>
          </c:dPt>
          <c:dPt>
            <c:idx val="3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71-E38B-4283-9DC1-668FD682DAB7}"/>
              </c:ext>
            </c:extLst>
          </c:dPt>
          <c:cat>
            <c:multiLvlStrRef>
              <c:f>D_el!$A$41:$B$78</c:f>
            </c:multiLvlStrRef>
          </c:cat>
          <c:val>
            <c:numRef>
              <c:f>D_el!$E$41:$E$78</c:f>
            </c:numRef>
          </c:val>
          <c:extLst>
            <c:ext xmlns:c16="http://schemas.microsoft.com/office/drawing/2014/chart" uri="{C3380CC4-5D6E-409C-BE32-E72D297353CC}">
              <c16:uniqueId val="{00000072-E38B-4283-9DC1-668FD682DAB7}"/>
            </c:ext>
          </c:extLst>
        </c:ser>
        <c:dLbls>
          <c:showLegendKey val="0"/>
          <c:showVal val="0"/>
          <c:showCatName val="0"/>
          <c:showSerName val="0"/>
          <c:showPercent val="0"/>
          <c:showBubbleSize val="0"/>
        </c:dLbls>
        <c:gapWidth val="10"/>
        <c:overlap val="100"/>
        <c:axId val="412035952"/>
        <c:axId val="412035472"/>
      </c:barChart>
      <c:catAx>
        <c:axId val="4120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35472"/>
        <c:crosses val="autoZero"/>
        <c:auto val="1"/>
        <c:lblAlgn val="ctr"/>
        <c:lblOffset val="100"/>
        <c:noMultiLvlLbl val="0"/>
      </c:catAx>
      <c:valAx>
        <c:axId val="41203547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35952"/>
        <c:crosses val="autoZero"/>
        <c:crossBetween val="between"/>
        <c:minorUnit val="1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1"/>
          <c:order val="0"/>
          <c:tx>
            <c:strRef>
              <c:f>D_el!$P$64</c:f>
              <c:strCache>
                <c:ptCount val="1"/>
                <c:pt idx="0">
                  <c:v>Industry</c:v>
                </c:pt>
              </c:strCache>
            </c:strRef>
          </c:tx>
          <c:spPr>
            <a:solidFill>
              <a:schemeClr val="accent6">
                <a:lumMod val="50000"/>
              </a:schemeClr>
            </a:solidFill>
            <a:ln>
              <a:noFill/>
            </a:ln>
            <a:effectLst/>
          </c:spPr>
          <c:invertIfNegative val="0"/>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85A6-4A06-A315-5EA22B8505A1}"/>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5A6-4A06-A315-5EA22B8505A1}"/>
              </c:ext>
            </c:extLst>
          </c:dPt>
          <c:dPt>
            <c:idx val="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85A6-4A06-A315-5EA22B8505A1}"/>
              </c:ext>
            </c:extLst>
          </c:dPt>
          <c:dPt>
            <c:idx val="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85A6-4A06-A315-5EA22B8505A1}"/>
              </c:ext>
            </c:extLst>
          </c:dPt>
          <c:dPt>
            <c:idx val="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85A6-4A06-A315-5EA22B8505A1}"/>
              </c:ext>
            </c:extLst>
          </c:dPt>
          <c:dPt>
            <c:idx val="1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B-85A6-4A06-A315-5EA22B8505A1}"/>
              </c:ext>
            </c:extLst>
          </c:dPt>
          <c:dPt>
            <c:idx val="1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D-85A6-4A06-A315-5EA22B8505A1}"/>
              </c:ext>
            </c:extLst>
          </c:dPt>
          <c:cat>
            <c:multiLvlStrRef>
              <c:f>D_el!$N$65:$O$78</c:f>
            </c:multiLvlStrRef>
          </c:cat>
          <c:val>
            <c:numRef>
              <c:f>D_el!$P$65:$P$78</c:f>
            </c:numRef>
          </c:val>
          <c:extLst>
            <c:ext xmlns:c16="http://schemas.microsoft.com/office/drawing/2014/chart" uri="{C3380CC4-5D6E-409C-BE32-E72D297353CC}">
              <c16:uniqueId val="{0000000E-85A6-4A06-A315-5EA22B8505A1}"/>
            </c:ext>
          </c:extLst>
        </c:ser>
        <c:ser>
          <c:idx val="2"/>
          <c:order val="1"/>
          <c:tx>
            <c:strRef>
              <c:f>D_el!$Q$64</c:f>
              <c:strCache>
                <c:ptCount val="1"/>
                <c:pt idx="0">
                  <c:v>Commerce</c:v>
                </c:pt>
              </c:strCache>
            </c:strRef>
          </c:tx>
          <c:spPr>
            <a:solidFill>
              <a:schemeClr val="tx2">
                <a:lumMod val="75000"/>
              </a:schemeClr>
            </a:solidFill>
            <a:ln>
              <a:noFill/>
            </a:ln>
            <a:effectLst/>
          </c:spPr>
          <c:invertIfNegative val="0"/>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0-85A6-4A06-A315-5EA22B8505A1}"/>
              </c:ext>
            </c:extLst>
          </c:dPt>
          <c:dPt>
            <c:idx val="3"/>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2-85A6-4A06-A315-5EA22B8505A1}"/>
              </c:ext>
            </c:extLst>
          </c:dPt>
          <c:dPt>
            <c:idx val="5"/>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4-85A6-4A06-A315-5EA22B8505A1}"/>
              </c:ext>
            </c:extLst>
          </c:dPt>
          <c:dPt>
            <c:idx val="7"/>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6-85A6-4A06-A315-5EA22B8505A1}"/>
              </c:ext>
            </c:extLst>
          </c:dPt>
          <c:dPt>
            <c:idx val="9"/>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8-85A6-4A06-A315-5EA22B8505A1}"/>
              </c:ext>
            </c:extLst>
          </c:dPt>
          <c:dPt>
            <c:idx val="1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A-85A6-4A06-A315-5EA22B8505A1}"/>
              </c:ext>
            </c:extLst>
          </c:dPt>
          <c:dPt>
            <c:idx val="13"/>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C-85A6-4A06-A315-5EA22B8505A1}"/>
              </c:ext>
            </c:extLst>
          </c:dPt>
          <c:cat>
            <c:multiLvlStrRef>
              <c:f>D_el!$N$65:$O$78</c:f>
            </c:multiLvlStrRef>
          </c:cat>
          <c:val>
            <c:numRef>
              <c:f>D_el!$Q$65:$Q$78</c:f>
            </c:numRef>
          </c:val>
          <c:extLst>
            <c:ext xmlns:c16="http://schemas.microsoft.com/office/drawing/2014/chart" uri="{C3380CC4-5D6E-409C-BE32-E72D297353CC}">
              <c16:uniqueId val="{0000001D-85A6-4A06-A315-5EA22B8505A1}"/>
            </c:ext>
          </c:extLst>
        </c:ser>
        <c:ser>
          <c:idx val="0"/>
          <c:order val="2"/>
          <c:tx>
            <c:strRef>
              <c:f>D_el!$R$64</c:f>
              <c:strCache>
                <c:ptCount val="1"/>
                <c:pt idx="0">
                  <c:v>Ressidence</c:v>
                </c:pt>
              </c:strCache>
            </c:strRef>
          </c:tx>
          <c:spPr>
            <a:solidFill>
              <a:schemeClr val="accent3">
                <a:lumMod val="75000"/>
              </a:schemeClr>
            </a:solidFill>
            <a:ln>
              <a:noFill/>
            </a:ln>
            <a:effectLst/>
          </c:spPr>
          <c:invertIfNegative val="0"/>
          <c:dPt>
            <c:idx val="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1F-85A6-4A06-A315-5EA22B8505A1}"/>
              </c:ext>
            </c:extLst>
          </c:dPt>
          <c:dPt>
            <c:idx val="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1-85A6-4A06-A315-5EA22B8505A1}"/>
              </c:ext>
            </c:extLst>
          </c:dPt>
          <c:dPt>
            <c:idx val="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3-85A6-4A06-A315-5EA22B8505A1}"/>
              </c:ext>
            </c:extLst>
          </c:dPt>
          <c:dPt>
            <c:idx val="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5-85A6-4A06-A315-5EA22B8505A1}"/>
              </c:ext>
            </c:extLst>
          </c:dPt>
          <c:dPt>
            <c:idx val="9"/>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7-85A6-4A06-A315-5EA22B8505A1}"/>
              </c:ext>
            </c:extLst>
          </c:dPt>
          <c:dPt>
            <c:idx val="1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9-85A6-4A06-A315-5EA22B8505A1}"/>
              </c:ext>
            </c:extLst>
          </c:dPt>
          <c:dPt>
            <c:idx val="1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B-85A6-4A06-A315-5EA22B8505A1}"/>
              </c:ext>
            </c:extLst>
          </c:dPt>
          <c:cat>
            <c:multiLvlStrRef>
              <c:f>D_el!$N$65:$O$78</c:f>
            </c:multiLvlStrRef>
          </c:cat>
          <c:val>
            <c:numRef>
              <c:f>D_el!$R$65:$R$78</c:f>
            </c:numRef>
          </c:val>
          <c:extLst>
            <c:ext xmlns:c16="http://schemas.microsoft.com/office/drawing/2014/chart" uri="{C3380CC4-5D6E-409C-BE32-E72D297353CC}">
              <c16:uniqueId val="{0000002C-85A6-4A06-A315-5EA22B8505A1}"/>
            </c:ext>
          </c:extLst>
        </c:ser>
        <c:dLbls>
          <c:showLegendKey val="0"/>
          <c:showVal val="0"/>
          <c:showCatName val="0"/>
          <c:showSerName val="0"/>
          <c:showPercent val="0"/>
          <c:showBubbleSize val="0"/>
        </c:dLbls>
        <c:gapWidth val="50"/>
        <c:overlap val="100"/>
        <c:axId val="261355920"/>
        <c:axId val="261357840"/>
      </c:barChart>
      <c:catAx>
        <c:axId val="26135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1357840"/>
        <c:crosses val="autoZero"/>
        <c:auto val="1"/>
        <c:lblAlgn val="ctr"/>
        <c:lblOffset val="100"/>
        <c:noMultiLvlLbl val="0"/>
      </c:catAx>
      <c:valAx>
        <c:axId val="261357840"/>
        <c:scaling>
          <c:orientation val="minMax"/>
        </c:scaling>
        <c:delete val="0"/>
        <c:axPos val="b"/>
        <c:majorGridlines>
          <c:spPr>
            <a:ln w="9525" cap="flat" cmpd="sng" algn="ctr">
              <a:solidFill>
                <a:sysClr val="window" lastClr="FFFFFF">
                  <a:lumMod val="50000"/>
                </a:sysClr>
              </a:solidFill>
              <a:round/>
            </a:ln>
            <a:effectLst/>
          </c:spPr>
        </c:majorGridlines>
        <c:minorGridlines>
          <c:spPr>
            <a:ln w="9525" cap="flat" cmpd="sng" algn="ctr">
              <a:solidFill>
                <a:sysClr val="window" lastClr="FFFFFF">
                  <a:lumMod val="75000"/>
                </a:sys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1355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D_el!$L$87</c:f>
              <c:strCache>
                <c:ptCount val="1"/>
                <c:pt idx="0">
                  <c:v>Industry</c:v>
                </c:pt>
              </c:strCache>
            </c:strRef>
          </c:tx>
          <c:spPr>
            <a:solidFill>
              <a:schemeClr val="accent2">
                <a:lumMod val="50000"/>
              </a:schemeClr>
            </a:solidFill>
            <a:ln>
              <a:noFill/>
            </a:ln>
            <a:effectLst/>
          </c:spPr>
          <c:invertIfNegative val="0"/>
          <c:cat>
            <c:strRef>
              <c:f>D_el!$J$88:$J$94</c:f>
              <c:strCache>
                <c:ptCount val="7"/>
                <c:pt idx="0">
                  <c:v>North</c:v>
                </c:pt>
                <c:pt idx="1">
                  <c:v>West</c:v>
                </c:pt>
                <c:pt idx="2">
                  <c:v>Center</c:v>
                </c:pt>
                <c:pt idx="3">
                  <c:v>East</c:v>
                </c:pt>
                <c:pt idx="4">
                  <c:v>South West</c:v>
                </c:pt>
                <c:pt idx="5">
                  <c:v>South East</c:v>
                </c:pt>
                <c:pt idx="6">
                  <c:v>Uusimaa</c:v>
                </c:pt>
              </c:strCache>
            </c:strRef>
          </c:cat>
          <c:val>
            <c:numRef>
              <c:f>D_el!$L$88:$L$94</c:f>
              <c:numCache>
                <c:formatCode>#,##0</c:formatCode>
                <c:ptCount val="7"/>
                <c:pt idx="0">
                  <c:v>15937.548017481837</c:v>
                </c:pt>
                <c:pt idx="1">
                  <c:v>13991.423666029163</c:v>
                </c:pt>
                <c:pt idx="2">
                  <c:v>10907.959880179282</c:v>
                </c:pt>
                <c:pt idx="3">
                  <c:v>7957.4846605138709</c:v>
                </c:pt>
                <c:pt idx="4">
                  <c:v>3380.6368074968541</c:v>
                </c:pt>
                <c:pt idx="5">
                  <c:v>20117.888869368995</c:v>
                </c:pt>
                <c:pt idx="6">
                  <c:v>13487.082553662654</c:v>
                </c:pt>
              </c:numCache>
            </c:numRef>
          </c:val>
          <c:extLst xmlns:c15="http://schemas.microsoft.com/office/drawing/2012/chart">
            <c:ext xmlns:c16="http://schemas.microsoft.com/office/drawing/2014/chart" uri="{C3380CC4-5D6E-409C-BE32-E72D297353CC}">
              <c16:uniqueId val="{00000003-8EFE-4D35-8BB9-B213A3AEC23B}"/>
            </c:ext>
          </c:extLst>
        </c:ser>
        <c:ser>
          <c:idx val="1"/>
          <c:order val="1"/>
          <c:tx>
            <c:strRef>
              <c:f>D_el!$M$87</c:f>
              <c:strCache>
                <c:ptCount val="1"/>
                <c:pt idx="0">
                  <c:v>Commerce</c:v>
                </c:pt>
              </c:strCache>
            </c:strRef>
          </c:tx>
          <c:spPr>
            <a:solidFill>
              <a:schemeClr val="accent5">
                <a:lumMod val="50000"/>
              </a:schemeClr>
            </a:solidFill>
            <a:ln>
              <a:noFill/>
            </a:ln>
            <a:effectLst/>
          </c:spPr>
          <c:invertIfNegative val="0"/>
          <c:cat>
            <c:strRef>
              <c:f>D_el!$J$88:$J$94</c:f>
              <c:strCache>
                <c:ptCount val="7"/>
                <c:pt idx="0">
                  <c:v>North</c:v>
                </c:pt>
                <c:pt idx="1">
                  <c:v>West</c:v>
                </c:pt>
                <c:pt idx="2">
                  <c:v>Center</c:v>
                </c:pt>
                <c:pt idx="3">
                  <c:v>East</c:v>
                </c:pt>
                <c:pt idx="4">
                  <c:v>South West</c:v>
                </c:pt>
                <c:pt idx="5">
                  <c:v>South East</c:v>
                </c:pt>
                <c:pt idx="6">
                  <c:v>Uusimaa</c:v>
                </c:pt>
              </c:strCache>
            </c:strRef>
          </c:cat>
          <c:val>
            <c:numRef>
              <c:f>D_el!$M$88:$M$94</c:f>
              <c:numCache>
                <c:formatCode>#,##0</c:formatCode>
                <c:ptCount val="7"/>
                <c:pt idx="0">
                  <c:v>1617.0715032010019</c:v>
                </c:pt>
                <c:pt idx="1">
                  <c:v>1778.6949108228523</c:v>
                </c:pt>
                <c:pt idx="2">
                  <c:v>2038.2972753968093</c:v>
                </c:pt>
                <c:pt idx="3">
                  <c:v>1571.0130191636867</c:v>
                </c:pt>
                <c:pt idx="4">
                  <c:v>1963.766273954609</c:v>
                </c:pt>
                <c:pt idx="5">
                  <c:v>1614.5592222535122</c:v>
                </c:pt>
                <c:pt idx="6">
                  <c:v>5686.9666381346478</c:v>
                </c:pt>
              </c:numCache>
            </c:numRef>
          </c:val>
          <c:extLst>
            <c:ext xmlns:c16="http://schemas.microsoft.com/office/drawing/2014/chart" uri="{C3380CC4-5D6E-409C-BE32-E72D297353CC}">
              <c16:uniqueId val="{00000000-8EFE-4D35-8BB9-B213A3AEC23B}"/>
            </c:ext>
          </c:extLst>
        </c:ser>
        <c:ser>
          <c:idx val="2"/>
          <c:order val="2"/>
          <c:tx>
            <c:strRef>
              <c:f>D_el!$N$87</c:f>
              <c:strCache>
                <c:ptCount val="1"/>
                <c:pt idx="0">
                  <c:v>Residence</c:v>
                </c:pt>
              </c:strCache>
            </c:strRef>
          </c:tx>
          <c:spPr>
            <a:solidFill>
              <a:schemeClr val="accent6">
                <a:lumMod val="75000"/>
              </a:schemeClr>
            </a:solidFill>
            <a:ln>
              <a:noFill/>
            </a:ln>
            <a:effectLst/>
          </c:spPr>
          <c:invertIfNegative val="0"/>
          <c:cat>
            <c:strRef>
              <c:f>D_el!$J$88:$J$94</c:f>
              <c:strCache>
                <c:ptCount val="7"/>
                <c:pt idx="0">
                  <c:v>North</c:v>
                </c:pt>
                <c:pt idx="1">
                  <c:v>West</c:v>
                </c:pt>
                <c:pt idx="2">
                  <c:v>Center</c:v>
                </c:pt>
                <c:pt idx="3">
                  <c:v>East</c:v>
                </c:pt>
                <c:pt idx="4">
                  <c:v>South West</c:v>
                </c:pt>
                <c:pt idx="5">
                  <c:v>South East</c:v>
                </c:pt>
                <c:pt idx="6">
                  <c:v>Uusimaa</c:v>
                </c:pt>
              </c:strCache>
            </c:strRef>
          </c:cat>
          <c:val>
            <c:numRef>
              <c:f>D_el!$N$88:$N$94</c:f>
              <c:numCache>
                <c:formatCode>#,##0</c:formatCode>
                <c:ptCount val="7"/>
                <c:pt idx="0">
                  <c:v>3762.0231881284208</c:v>
                </c:pt>
                <c:pt idx="1">
                  <c:v>4498.2361993895975</c:v>
                </c:pt>
                <c:pt idx="2">
                  <c:v>4297.1058406429875</c:v>
                </c:pt>
                <c:pt idx="3">
                  <c:v>3390.1217700686507</c:v>
                </c:pt>
                <c:pt idx="4">
                  <c:v>3893.5801523400396</c:v>
                </c:pt>
                <c:pt idx="5">
                  <c:v>2596.9850723697537</c:v>
                </c:pt>
                <c:pt idx="6">
                  <c:v>7387.4295288063131</c:v>
                </c:pt>
              </c:numCache>
            </c:numRef>
          </c:val>
          <c:extLst>
            <c:ext xmlns:c16="http://schemas.microsoft.com/office/drawing/2014/chart" uri="{C3380CC4-5D6E-409C-BE32-E72D297353CC}">
              <c16:uniqueId val="{00000001-8EFE-4D35-8BB9-B213A3AEC23B}"/>
            </c:ext>
          </c:extLst>
        </c:ser>
        <c:dLbls>
          <c:showLegendKey val="0"/>
          <c:showVal val="0"/>
          <c:showCatName val="0"/>
          <c:showSerName val="0"/>
          <c:showPercent val="0"/>
          <c:showBubbleSize val="0"/>
        </c:dLbls>
        <c:gapWidth val="150"/>
        <c:overlap val="100"/>
        <c:axId val="771264239"/>
        <c:axId val="771278639"/>
        <c:extLst/>
      </c:barChart>
      <c:catAx>
        <c:axId val="77126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1278639"/>
        <c:crosses val="autoZero"/>
        <c:auto val="1"/>
        <c:lblAlgn val="ctr"/>
        <c:lblOffset val="100"/>
        <c:noMultiLvlLbl val="0"/>
      </c:catAx>
      <c:valAx>
        <c:axId val="771278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1264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3425925925926"/>
          <c:y val="6.4587962962962958E-2"/>
          <c:w val="0.86165740740740737"/>
          <c:h val="0.72141388888888891"/>
        </c:manualLayout>
      </c:layout>
      <c:barChart>
        <c:barDir val="col"/>
        <c:grouping val="stacked"/>
        <c:varyColors val="0"/>
        <c:ser>
          <c:idx val="0"/>
          <c:order val="0"/>
          <c:tx>
            <c:strRef>
              <c:f>D_el!$AA$2</c:f>
              <c:strCache>
                <c:ptCount val="1"/>
                <c:pt idx="0">
                  <c:v>Industry</c:v>
                </c:pt>
              </c:strCache>
            </c:strRef>
          </c:tx>
          <c:spPr>
            <a:solidFill>
              <a:schemeClr val="accent2">
                <a:lumMod val="50000"/>
              </a:schemeClr>
            </a:solidFill>
            <a:ln>
              <a:noFill/>
            </a:ln>
            <a:effectLst/>
          </c:spPr>
          <c:invertIfNegative val="0"/>
          <c:cat>
            <c:strRef>
              <c:f>D_el!$Z$3:$Z$5</c:f>
              <c:strCache>
                <c:ptCount val="3"/>
                <c:pt idx="0">
                  <c:v>2007</c:v>
                </c:pt>
                <c:pt idx="1">
                  <c:v>2023</c:v>
                </c:pt>
                <c:pt idx="2">
                  <c:v>2035*</c:v>
                </c:pt>
              </c:strCache>
            </c:strRef>
          </c:cat>
          <c:val>
            <c:numRef>
              <c:f>D_el!$AA$3:$AA$5</c:f>
              <c:numCache>
                <c:formatCode>#,##0</c:formatCode>
                <c:ptCount val="3"/>
                <c:pt idx="0">
                  <c:v>47677</c:v>
                </c:pt>
                <c:pt idx="1">
                  <c:v>34100</c:v>
                </c:pt>
                <c:pt idx="2">
                  <c:v>85806.024454732658</c:v>
                </c:pt>
              </c:numCache>
            </c:numRef>
          </c:val>
          <c:extLst>
            <c:ext xmlns:c16="http://schemas.microsoft.com/office/drawing/2014/chart" uri="{C3380CC4-5D6E-409C-BE32-E72D297353CC}">
              <c16:uniqueId val="{00000000-21E0-4C3E-BB4E-24475B74CC26}"/>
            </c:ext>
          </c:extLst>
        </c:ser>
        <c:ser>
          <c:idx val="1"/>
          <c:order val="1"/>
          <c:tx>
            <c:strRef>
              <c:f>D_el!$AB$2</c:f>
              <c:strCache>
                <c:ptCount val="1"/>
                <c:pt idx="0">
                  <c:v>Commerce</c:v>
                </c:pt>
              </c:strCache>
            </c:strRef>
          </c:tx>
          <c:spPr>
            <a:solidFill>
              <a:srgbClr val="002060"/>
            </a:solidFill>
            <a:ln>
              <a:noFill/>
            </a:ln>
            <a:effectLst/>
          </c:spPr>
          <c:invertIfNegative val="0"/>
          <c:cat>
            <c:strRef>
              <c:f>D_el!$Z$3:$Z$5</c:f>
              <c:strCache>
                <c:ptCount val="3"/>
                <c:pt idx="0">
                  <c:v>2007</c:v>
                </c:pt>
                <c:pt idx="1">
                  <c:v>2023</c:v>
                </c:pt>
                <c:pt idx="2">
                  <c:v>2035*</c:v>
                </c:pt>
              </c:strCache>
            </c:strRef>
          </c:cat>
          <c:val>
            <c:numRef>
              <c:f>D_el!$AB$3:$AB$5</c:f>
              <c:numCache>
                <c:formatCode>#,##0</c:formatCode>
                <c:ptCount val="3"/>
                <c:pt idx="0">
                  <c:v>17263</c:v>
                </c:pt>
                <c:pt idx="1">
                  <c:v>19428</c:v>
                </c:pt>
                <c:pt idx="2">
                  <c:v>16269.531415944622</c:v>
                </c:pt>
              </c:numCache>
            </c:numRef>
          </c:val>
          <c:extLst>
            <c:ext xmlns:c16="http://schemas.microsoft.com/office/drawing/2014/chart" uri="{C3380CC4-5D6E-409C-BE32-E72D297353CC}">
              <c16:uniqueId val="{00000001-21E0-4C3E-BB4E-24475B74CC26}"/>
            </c:ext>
          </c:extLst>
        </c:ser>
        <c:ser>
          <c:idx val="2"/>
          <c:order val="2"/>
          <c:tx>
            <c:strRef>
              <c:f>D_el!$AC$2</c:f>
              <c:strCache>
                <c:ptCount val="1"/>
                <c:pt idx="0">
                  <c:v>Residence</c:v>
                </c:pt>
              </c:strCache>
            </c:strRef>
          </c:tx>
          <c:spPr>
            <a:solidFill>
              <a:schemeClr val="accent6">
                <a:lumMod val="75000"/>
              </a:schemeClr>
            </a:solidFill>
            <a:ln>
              <a:noFill/>
            </a:ln>
            <a:effectLst/>
          </c:spPr>
          <c:invertIfNegative val="0"/>
          <c:cat>
            <c:strRef>
              <c:f>D_el!$Z$3:$Z$5</c:f>
              <c:strCache>
                <c:ptCount val="3"/>
                <c:pt idx="0">
                  <c:v>2007</c:v>
                </c:pt>
                <c:pt idx="1">
                  <c:v>2023</c:v>
                </c:pt>
                <c:pt idx="2">
                  <c:v>2035*</c:v>
                </c:pt>
              </c:strCache>
            </c:strRef>
          </c:cat>
          <c:val>
            <c:numRef>
              <c:f>D_el!$AC$3:$AC$5</c:f>
              <c:numCache>
                <c:formatCode>#,##0</c:formatCode>
                <c:ptCount val="3"/>
                <c:pt idx="0">
                  <c:v>22391</c:v>
                </c:pt>
                <c:pt idx="1">
                  <c:v>23575</c:v>
                </c:pt>
                <c:pt idx="2">
                  <c:v>29821.686839316582</c:v>
                </c:pt>
              </c:numCache>
            </c:numRef>
          </c:val>
          <c:extLst>
            <c:ext xmlns:c16="http://schemas.microsoft.com/office/drawing/2014/chart" uri="{C3380CC4-5D6E-409C-BE32-E72D297353CC}">
              <c16:uniqueId val="{00000002-21E0-4C3E-BB4E-24475B74CC26}"/>
            </c:ext>
          </c:extLst>
        </c:ser>
        <c:dLbls>
          <c:showLegendKey val="0"/>
          <c:showVal val="0"/>
          <c:showCatName val="0"/>
          <c:showSerName val="0"/>
          <c:showPercent val="0"/>
          <c:showBubbleSize val="0"/>
        </c:dLbls>
        <c:gapWidth val="150"/>
        <c:overlap val="100"/>
        <c:axId val="1113021776"/>
        <c:axId val="1113023216"/>
      </c:barChart>
      <c:catAx>
        <c:axId val="11130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13023216"/>
        <c:crosses val="autoZero"/>
        <c:auto val="1"/>
        <c:lblAlgn val="ctr"/>
        <c:lblOffset val="100"/>
        <c:noMultiLvlLbl val="0"/>
      </c:catAx>
      <c:valAx>
        <c:axId val="1113023216"/>
        <c:scaling>
          <c:orientation val="minMax"/>
        </c:scaling>
        <c:delete val="0"/>
        <c:axPos val="l"/>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13021776"/>
        <c:crosses val="autoZero"/>
        <c:crossBetween val="between"/>
        <c:dispUnits>
          <c:builtInUnit val="thousan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a:t>2023</a:t>
            </a:r>
          </a:p>
        </c:rich>
      </c:tx>
      <c:layout>
        <c:manualLayout>
          <c:xMode val="edge"/>
          <c:yMode val="edge"/>
          <c:x val="0.41110000000000002"/>
          <c:y val="9.1630591630591628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5077469135802469"/>
          <c:y val="8.4588744588744588E-2"/>
          <c:w val="0.56572222222222224"/>
          <c:h val="0.83163564213564212"/>
        </c:manualLayout>
      </c:layout>
      <c:barChart>
        <c:barDir val="bar"/>
        <c:grouping val="stacked"/>
        <c:varyColors val="0"/>
        <c:ser>
          <c:idx val="0"/>
          <c:order val="0"/>
          <c:tx>
            <c:strRef>
              <c:f>D_el!$AF$2</c:f>
              <c:strCache>
                <c:ptCount val="1"/>
                <c:pt idx="0">
                  <c:v>Industry</c:v>
                </c:pt>
              </c:strCache>
            </c:strRef>
          </c:tx>
          <c:spPr>
            <a:solidFill>
              <a:schemeClr val="accent2">
                <a:lumMod val="50000"/>
              </a:schemeClr>
            </a:solidFill>
            <a:ln>
              <a:noFill/>
            </a:ln>
            <a:effectLst/>
          </c:spPr>
          <c:invertIfNegative val="0"/>
          <c:cat>
            <c:strRef>
              <c:f>D_el!$AE$3:$AE$21</c:f>
              <c:strCache>
                <c:ptCount val="19"/>
                <c:pt idx="0">
                  <c:v>Uusimaa</c:v>
                </c:pt>
                <c:pt idx="1">
                  <c:v>Southwest Finland</c:v>
                </c:pt>
                <c:pt idx="2">
                  <c:v>Satakunta</c:v>
                </c:pt>
                <c:pt idx="3">
                  <c:v>Kanta-Häme</c:v>
                </c:pt>
                <c:pt idx="4">
                  <c:v>Pirkanmaa</c:v>
                </c:pt>
                <c:pt idx="5">
                  <c:v>Päijät-Häme</c:v>
                </c:pt>
                <c:pt idx="6">
                  <c:v>Kymenlaakso</c:v>
                </c:pt>
                <c:pt idx="7">
                  <c:v>South Karelia</c:v>
                </c:pt>
                <c:pt idx="8">
                  <c:v>South Savo</c:v>
                </c:pt>
                <c:pt idx="9">
                  <c:v>North Savo</c:v>
                </c:pt>
                <c:pt idx="10">
                  <c:v>North Karelia</c:v>
                </c:pt>
                <c:pt idx="11">
                  <c:v>Central Finland</c:v>
                </c:pt>
                <c:pt idx="12">
                  <c:v>South Ostrobothnia</c:v>
                </c:pt>
                <c:pt idx="13">
                  <c:v>Ostrobothnia</c:v>
                </c:pt>
                <c:pt idx="14">
                  <c:v>Central Ostrobothnia</c:v>
                </c:pt>
                <c:pt idx="15">
                  <c:v>North Ostrobothnia</c:v>
                </c:pt>
                <c:pt idx="16">
                  <c:v>Kainuu</c:v>
                </c:pt>
                <c:pt idx="17">
                  <c:v>Lapland</c:v>
                </c:pt>
                <c:pt idx="18">
                  <c:v>Åland</c:v>
                </c:pt>
              </c:strCache>
            </c:strRef>
          </c:cat>
          <c:val>
            <c:numRef>
              <c:f>D_el!$AF$3:$AF$21</c:f>
              <c:numCache>
                <c:formatCode>#,##0</c:formatCode>
                <c:ptCount val="19"/>
                <c:pt idx="0">
                  <c:v>4073</c:v>
                </c:pt>
                <c:pt idx="1">
                  <c:v>1041</c:v>
                </c:pt>
                <c:pt idx="2">
                  <c:v>3334</c:v>
                </c:pt>
                <c:pt idx="3">
                  <c:v>753</c:v>
                </c:pt>
                <c:pt idx="4">
                  <c:v>1972</c:v>
                </c:pt>
                <c:pt idx="5">
                  <c:v>741</c:v>
                </c:pt>
                <c:pt idx="6">
                  <c:v>2023</c:v>
                </c:pt>
                <c:pt idx="7">
                  <c:v>3933</c:v>
                </c:pt>
                <c:pt idx="8">
                  <c:v>332</c:v>
                </c:pt>
                <c:pt idx="9">
                  <c:v>1569</c:v>
                </c:pt>
                <c:pt idx="10">
                  <c:v>1254</c:v>
                </c:pt>
                <c:pt idx="11">
                  <c:v>2365</c:v>
                </c:pt>
                <c:pt idx="12">
                  <c:v>545</c:v>
                </c:pt>
                <c:pt idx="13">
                  <c:v>1125</c:v>
                </c:pt>
                <c:pt idx="14">
                  <c:v>1525</c:v>
                </c:pt>
                <c:pt idx="15">
                  <c:v>2419</c:v>
                </c:pt>
                <c:pt idx="16">
                  <c:v>713</c:v>
                </c:pt>
                <c:pt idx="17">
                  <c:v>4357</c:v>
                </c:pt>
                <c:pt idx="18">
                  <c:v>26</c:v>
                </c:pt>
              </c:numCache>
            </c:numRef>
          </c:val>
          <c:extLst>
            <c:ext xmlns:c16="http://schemas.microsoft.com/office/drawing/2014/chart" uri="{C3380CC4-5D6E-409C-BE32-E72D297353CC}">
              <c16:uniqueId val="{00000000-15B7-4686-A9DC-9EAF5363D97B}"/>
            </c:ext>
          </c:extLst>
        </c:ser>
        <c:ser>
          <c:idx val="1"/>
          <c:order val="1"/>
          <c:tx>
            <c:strRef>
              <c:f>D_el!$AG$2</c:f>
              <c:strCache>
                <c:ptCount val="1"/>
                <c:pt idx="0">
                  <c:v>Commerce</c:v>
                </c:pt>
              </c:strCache>
            </c:strRef>
          </c:tx>
          <c:spPr>
            <a:solidFill>
              <a:schemeClr val="accent5">
                <a:lumMod val="50000"/>
              </a:schemeClr>
            </a:solidFill>
            <a:ln>
              <a:noFill/>
            </a:ln>
            <a:effectLst/>
          </c:spPr>
          <c:invertIfNegative val="0"/>
          <c:cat>
            <c:strRef>
              <c:f>D_el!$AE$3:$AE$21</c:f>
              <c:strCache>
                <c:ptCount val="19"/>
                <c:pt idx="0">
                  <c:v>Uusimaa</c:v>
                </c:pt>
                <c:pt idx="1">
                  <c:v>Southwest Finland</c:v>
                </c:pt>
                <c:pt idx="2">
                  <c:v>Satakunta</c:v>
                </c:pt>
                <c:pt idx="3">
                  <c:v>Kanta-Häme</c:v>
                </c:pt>
                <c:pt idx="4">
                  <c:v>Pirkanmaa</c:v>
                </c:pt>
                <c:pt idx="5">
                  <c:v>Päijät-Häme</c:v>
                </c:pt>
                <c:pt idx="6">
                  <c:v>Kymenlaakso</c:v>
                </c:pt>
                <c:pt idx="7">
                  <c:v>South Karelia</c:v>
                </c:pt>
                <c:pt idx="8">
                  <c:v>South Savo</c:v>
                </c:pt>
                <c:pt idx="9">
                  <c:v>North Savo</c:v>
                </c:pt>
                <c:pt idx="10">
                  <c:v>North Karelia</c:v>
                </c:pt>
                <c:pt idx="11">
                  <c:v>Central Finland</c:v>
                </c:pt>
                <c:pt idx="12">
                  <c:v>South Ostrobothnia</c:v>
                </c:pt>
                <c:pt idx="13">
                  <c:v>Ostrobothnia</c:v>
                </c:pt>
                <c:pt idx="14">
                  <c:v>Central Ostrobothnia</c:v>
                </c:pt>
                <c:pt idx="15">
                  <c:v>North Ostrobothnia</c:v>
                </c:pt>
                <c:pt idx="16">
                  <c:v>Kainuu</c:v>
                </c:pt>
                <c:pt idx="17">
                  <c:v>Lapland</c:v>
                </c:pt>
                <c:pt idx="18">
                  <c:v>Åland</c:v>
                </c:pt>
              </c:strCache>
            </c:strRef>
          </c:cat>
          <c:val>
            <c:numRef>
              <c:f>D_el!$AG$3:$AG$21</c:f>
              <c:numCache>
                <c:formatCode>#,##0</c:formatCode>
                <c:ptCount val="19"/>
                <c:pt idx="0">
                  <c:v>6791</c:v>
                </c:pt>
                <c:pt idx="1">
                  <c:v>1661</c:v>
                </c:pt>
                <c:pt idx="2">
                  <c:v>707</c:v>
                </c:pt>
                <c:pt idx="3">
                  <c:v>578</c:v>
                </c:pt>
                <c:pt idx="4">
                  <c:v>1643</c:v>
                </c:pt>
                <c:pt idx="5">
                  <c:v>566</c:v>
                </c:pt>
                <c:pt idx="6">
                  <c:v>945</c:v>
                </c:pt>
                <c:pt idx="7">
                  <c:v>417</c:v>
                </c:pt>
                <c:pt idx="8">
                  <c:v>429</c:v>
                </c:pt>
                <c:pt idx="9">
                  <c:v>765</c:v>
                </c:pt>
                <c:pt idx="10">
                  <c:v>433</c:v>
                </c:pt>
                <c:pt idx="11">
                  <c:v>791</c:v>
                </c:pt>
                <c:pt idx="12">
                  <c:v>622</c:v>
                </c:pt>
                <c:pt idx="13">
                  <c:v>619</c:v>
                </c:pt>
                <c:pt idx="14">
                  <c:v>176</c:v>
                </c:pt>
                <c:pt idx="15">
                  <c:v>1254</c:v>
                </c:pt>
                <c:pt idx="16">
                  <c:v>249</c:v>
                </c:pt>
                <c:pt idx="17">
                  <c:v>677</c:v>
                </c:pt>
                <c:pt idx="18">
                  <c:v>106</c:v>
                </c:pt>
              </c:numCache>
            </c:numRef>
          </c:val>
          <c:extLst>
            <c:ext xmlns:c16="http://schemas.microsoft.com/office/drawing/2014/chart" uri="{C3380CC4-5D6E-409C-BE32-E72D297353CC}">
              <c16:uniqueId val="{00000001-15B7-4686-A9DC-9EAF5363D97B}"/>
            </c:ext>
          </c:extLst>
        </c:ser>
        <c:ser>
          <c:idx val="2"/>
          <c:order val="2"/>
          <c:tx>
            <c:strRef>
              <c:f>D_el!$AH$2</c:f>
              <c:strCache>
                <c:ptCount val="1"/>
                <c:pt idx="0">
                  <c:v>Residence</c:v>
                </c:pt>
              </c:strCache>
            </c:strRef>
          </c:tx>
          <c:spPr>
            <a:solidFill>
              <a:schemeClr val="accent6">
                <a:lumMod val="75000"/>
              </a:schemeClr>
            </a:solidFill>
            <a:ln>
              <a:noFill/>
            </a:ln>
            <a:effectLst/>
          </c:spPr>
          <c:invertIfNegative val="0"/>
          <c:cat>
            <c:strRef>
              <c:f>D_el!$AE$3:$AE$21</c:f>
              <c:strCache>
                <c:ptCount val="19"/>
                <c:pt idx="0">
                  <c:v>Uusimaa</c:v>
                </c:pt>
                <c:pt idx="1">
                  <c:v>Southwest Finland</c:v>
                </c:pt>
                <c:pt idx="2">
                  <c:v>Satakunta</c:v>
                </c:pt>
                <c:pt idx="3">
                  <c:v>Kanta-Häme</c:v>
                </c:pt>
                <c:pt idx="4">
                  <c:v>Pirkanmaa</c:v>
                </c:pt>
                <c:pt idx="5">
                  <c:v>Päijät-Häme</c:v>
                </c:pt>
                <c:pt idx="6">
                  <c:v>Kymenlaakso</c:v>
                </c:pt>
                <c:pt idx="7">
                  <c:v>South Karelia</c:v>
                </c:pt>
                <c:pt idx="8">
                  <c:v>South Savo</c:v>
                </c:pt>
                <c:pt idx="9">
                  <c:v>North Savo</c:v>
                </c:pt>
                <c:pt idx="10">
                  <c:v>North Karelia</c:v>
                </c:pt>
                <c:pt idx="11">
                  <c:v>Central Finland</c:v>
                </c:pt>
                <c:pt idx="12">
                  <c:v>South Ostrobothnia</c:v>
                </c:pt>
                <c:pt idx="13">
                  <c:v>Ostrobothnia</c:v>
                </c:pt>
                <c:pt idx="14">
                  <c:v>Central Ostrobothnia</c:v>
                </c:pt>
                <c:pt idx="15">
                  <c:v>North Ostrobothnia</c:v>
                </c:pt>
                <c:pt idx="16">
                  <c:v>Kainuu</c:v>
                </c:pt>
                <c:pt idx="17">
                  <c:v>Lapland</c:v>
                </c:pt>
                <c:pt idx="18">
                  <c:v>Åland</c:v>
                </c:pt>
              </c:strCache>
            </c:strRef>
          </c:cat>
          <c:val>
            <c:numRef>
              <c:f>D_el!$AH$3:$AH$21</c:f>
              <c:numCache>
                <c:formatCode>#,##0</c:formatCode>
                <c:ptCount val="19"/>
                <c:pt idx="0">
                  <c:v>5840</c:v>
                </c:pt>
                <c:pt idx="1">
                  <c:v>2146</c:v>
                </c:pt>
                <c:pt idx="2">
                  <c:v>1040</c:v>
                </c:pt>
                <c:pt idx="3">
                  <c:v>800</c:v>
                </c:pt>
                <c:pt idx="4">
                  <c:v>2188</c:v>
                </c:pt>
                <c:pt idx="5">
                  <c:v>848</c:v>
                </c:pt>
                <c:pt idx="6">
                  <c:v>713</c:v>
                </c:pt>
                <c:pt idx="7">
                  <c:v>492</c:v>
                </c:pt>
                <c:pt idx="8">
                  <c:v>654</c:v>
                </c:pt>
                <c:pt idx="9">
                  <c:v>1015</c:v>
                </c:pt>
                <c:pt idx="10">
                  <c:v>701</c:v>
                </c:pt>
                <c:pt idx="11">
                  <c:v>1209</c:v>
                </c:pt>
                <c:pt idx="12">
                  <c:v>925</c:v>
                </c:pt>
                <c:pt idx="13">
                  <c:v>1250</c:v>
                </c:pt>
                <c:pt idx="14">
                  <c:v>341</c:v>
                </c:pt>
                <c:pt idx="15">
                  <c:v>1784</c:v>
                </c:pt>
                <c:pt idx="16">
                  <c:v>310</c:v>
                </c:pt>
                <c:pt idx="17">
                  <c:v>1190</c:v>
                </c:pt>
                <c:pt idx="18">
                  <c:v>132</c:v>
                </c:pt>
              </c:numCache>
            </c:numRef>
          </c:val>
          <c:extLst>
            <c:ext xmlns:c16="http://schemas.microsoft.com/office/drawing/2014/chart" uri="{C3380CC4-5D6E-409C-BE32-E72D297353CC}">
              <c16:uniqueId val="{00000002-15B7-4686-A9DC-9EAF5363D97B}"/>
            </c:ext>
          </c:extLst>
        </c:ser>
        <c:ser>
          <c:idx val="3"/>
          <c:order val="3"/>
          <c:tx>
            <c:strRef>
              <c:f>D_el!$AI$2</c:f>
              <c:strCache>
                <c:ptCount val="1"/>
              </c:strCache>
            </c:strRef>
          </c:tx>
          <c:spPr>
            <a:solidFill>
              <a:schemeClr val="accent2">
                <a:lumMod val="60000"/>
                <a:lumOff val="40000"/>
              </a:schemeClr>
            </a:solidFill>
            <a:ln>
              <a:noFill/>
            </a:ln>
            <a:effectLst/>
          </c:spPr>
          <c:invertIfNegative val="0"/>
          <c:cat>
            <c:strRef>
              <c:f>D_el!$AE$3:$AE$21</c:f>
              <c:strCache>
                <c:ptCount val="19"/>
                <c:pt idx="0">
                  <c:v>Uusimaa</c:v>
                </c:pt>
                <c:pt idx="1">
                  <c:v>Southwest Finland</c:v>
                </c:pt>
                <c:pt idx="2">
                  <c:v>Satakunta</c:v>
                </c:pt>
                <c:pt idx="3">
                  <c:v>Kanta-Häme</c:v>
                </c:pt>
                <c:pt idx="4">
                  <c:v>Pirkanmaa</c:v>
                </c:pt>
                <c:pt idx="5">
                  <c:v>Päijät-Häme</c:v>
                </c:pt>
                <c:pt idx="6">
                  <c:v>Kymenlaakso</c:v>
                </c:pt>
                <c:pt idx="7">
                  <c:v>South Karelia</c:v>
                </c:pt>
                <c:pt idx="8">
                  <c:v>South Savo</c:v>
                </c:pt>
                <c:pt idx="9">
                  <c:v>North Savo</c:v>
                </c:pt>
                <c:pt idx="10">
                  <c:v>North Karelia</c:v>
                </c:pt>
                <c:pt idx="11">
                  <c:v>Central Finland</c:v>
                </c:pt>
                <c:pt idx="12">
                  <c:v>South Ostrobothnia</c:v>
                </c:pt>
                <c:pt idx="13">
                  <c:v>Ostrobothnia</c:v>
                </c:pt>
                <c:pt idx="14">
                  <c:v>Central Ostrobothnia</c:v>
                </c:pt>
                <c:pt idx="15">
                  <c:v>North Ostrobothnia</c:v>
                </c:pt>
                <c:pt idx="16">
                  <c:v>Kainuu</c:v>
                </c:pt>
                <c:pt idx="17">
                  <c:v>Lapland</c:v>
                </c:pt>
                <c:pt idx="18">
                  <c:v>Åland</c:v>
                </c:pt>
              </c:strCache>
            </c:strRef>
          </c:cat>
          <c:val>
            <c:numRef>
              <c:f>D_el!$AI$3:$AI$21</c:f>
              <c:numCache>
                <c:formatCode>#,##0</c:formatCode>
                <c:ptCount val="19"/>
                <c:pt idx="0">
                  <c:v>16161</c:v>
                </c:pt>
                <c:pt idx="1">
                  <c:v>1887</c:v>
                </c:pt>
                <c:pt idx="2">
                  <c:v>6114</c:v>
                </c:pt>
                <c:pt idx="3">
                  <c:v>1033</c:v>
                </c:pt>
                <c:pt idx="4">
                  <c:v>2663</c:v>
                </c:pt>
                <c:pt idx="5">
                  <c:v>1551</c:v>
                </c:pt>
                <c:pt idx="6">
                  <c:v>7929</c:v>
                </c:pt>
                <c:pt idx="7">
                  <c:v>14579</c:v>
                </c:pt>
                <c:pt idx="8">
                  <c:v>869</c:v>
                </c:pt>
                <c:pt idx="9">
                  <c:v>3102</c:v>
                </c:pt>
                <c:pt idx="10">
                  <c:v>3665</c:v>
                </c:pt>
                <c:pt idx="11">
                  <c:v>9119</c:v>
                </c:pt>
                <c:pt idx="12">
                  <c:v>751</c:v>
                </c:pt>
                <c:pt idx="13">
                  <c:v>5358</c:v>
                </c:pt>
                <c:pt idx="14">
                  <c:v>852</c:v>
                </c:pt>
                <c:pt idx="15">
                  <c:v>10151</c:v>
                </c:pt>
                <c:pt idx="16">
                  <c:v>323</c:v>
                </c:pt>
                <c:pt idx="17">
                  <c:v>6899</c:v>
                </c:pt>
                <c:pt idx="18">
                  <c:v>41</c:v>
                </c:pt>
              </c:numCache>
            </c:numRef>
          </c:val>
          <c:extLst>
            <c:ext xmlns:c16="http://schemas.microsoft.com/office/drawing/2014/chart" uri="{C3380CC4-5D6E-409C-BE32-E72D297353CC}">
              <c16:uniqueId val="{00000003-15B7-4686-A9DC-9EAF5363D97B}"/>
            </c:ext>
          </c:extLst>
        </c:ser>
        <c:dLbls>
          <c:showLegendKey val="0"/>
          <c:showVal val="0"/>
          <c:showCatName val="0"/>
          <c:showSerName val="0"/>
          <c:showPercent val="0"/>
          <c:showBubbleSize val="0"/>
        </c:dLbls>
        <c:gapWidth val="50"/>
        <c:overlap val="100"/>
        <c:axId val="1535267744"/>
        <c:axId val="1535268224"/>
      </c:barChart>
      <c:catAx>
        <c:axId val="153526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35268224"/>
        <c:crosses val="autoZero"/>
        <c:auto val="1"/>
        <c:lblAlgn val="ctr"/>
        <c:lblOffset val="100"/>
        <c:noMultiLvlLbl val="0"/>
      </c:catAx>
      <c:valAx>
        <c:axId val="1535268224"/>
        <c:scaling>
          <c:orientation val="minMax"/>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35267744"/>
        <c:crosses val="autoZero"/>
        <c:crossBetween val="between"/>
        <c:majorUnit val="10000"/>
        <c:dispUnits>
          <c:builtInUnit val="thousands"/>
        </c:dispUnits>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a:t>2035*</a:t>
            </a:r>
          </a:p>
        </c:rich>
      </c:tx>
      <c:layout>
        <c:manualLayout>
          <c:xMode val="edge"/>
          <c:yMode val="edge"/>
          <c:x val="0.43691157407407399"/>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1899572649572649"/>
          <c:y val="0.17599097222222221"/>
          <c:w val="0.59628379629629624"/>
          <c:h val="0.62117361111111125"/>
        </c:manualLayout>
      </c:layout>
      <c:barChart>
        <c:barDir val="bar"/>
        <c:grouping val="stacked"/>
        <c:varyColors val="0"/>
        <c:ser>
          <c:idx val="0"/>
          <c:order val="0"/>
          <c:tx>
            <c:strRef>
              <c:f>D_el!$L$87</c:f>
              <c:strCache>
                <c:ptCount val="1"/>
                <c:pt idx="0">
                  <c:v>Industry</c:v>
                </c:pt>
              </c:strCache>
            </c:strRef>
          </c:tx>
          <c:spPr>
            <a:solidFill>
              <a:schemeClr val="accent2">
                <a:lumMod val="50000"/>
              </a:schemeClr>
            </a:solidFill>
            <a:ln>
              <a:noFill/>
            </a:ln>
            <a:effectLst/>
          </c:spPr>
          <c:invertIfNegative val="0"/>
          <c:cat>
            <c:strRef>
              <c:f>D_el!$J$88:$J$94</c:f>
              <c:strCache>
                <c:ptCount val="7"/>
                <c:pt idx="0">
                  <c:v>North</c:v>
                </c:pt>
                <c:pt idx="1">
                  <c:v>West</c:v>
                </c:pt>
                <c:pt idx="2">
                  <c:v>Center</c:v>
                </c:pt>
                <c:pt idx="3">
                  <c:v>East</c:v>
                </c:pt>
                <c:pt idx="4">
                  <c:v>South West</c:v>
                </c:pt>
                <c:pt idx="5">
                  <c:v>South East</c:v>
                </c:pt>
                <c:pt idx="6">
                  <c:v>Uusimaa</c:v>
                </c:pt>
              </c:strCache>
            </c:strRef>
          </c:cat>
          <c:val>
            <c:numRef>
              <c:f>D_el!$L$88:$L$94</c:f>
              <c:numCache>
                <c:formatCode>#,##0</c:formatCode>
                <c:ptCount val="7"/>
                <c:pt idx="0">
                  <c:v>15937.548017481837</c:v>
                </c:pt>
                <c:pt idx="1">
                  <c:v>13991.423666029163</c:v>
                </c:pt>
                <c:pt idx="2">
                  <c:v>10907.959880179282</c:v>
                </c:pt>
                <c:pt idx="3">
                  <c:v>7957.4846605138709</c:v>
                </c:pt>
                <c:pt idx="4">
                  <c:v>3380.6368074968541</c:v>
                </c:pt>
                <c:pt idx="5">
                  <c:v>20117.888869368995</c:v>
                </c:pt>
                <c:pt idx="6">
                  <c:v>13487.082553662654</c:v>
                </c:pt>
              </c:numCache>
            </c:numRef>
          </c:val>
          <c:extLst xmlns:c15="http://schemas.microsoft.com/office/drawing/2012/chart">
            <c:ext xmlns:c16="http://schemas.microsoft.com/office/drawing/2014/chart" uri="{C3380CC4-5D6E-409C-BE32-E72D297353CC}">
              <c16:uniqueId val="{00000000-746D-4FFA-91DE-3350B0485161}"/>
            </c:ext>
          </c:extLst>
        </c:ser>
        <c:ser>
          <c:idx val="1"/>
          <c:order val="1"/>
          <c:tx>
            <c:strRef>
              <c:f>D_el!$M$87</c:f>
              <c:strCache>
                <c:ptCount val="1"/>
                <c:pt idx="0">
                  <c:v>Commerce</c:v>
                </c:pt>
              </c:strCache>
            </c:strRef>
          </c:tx>
          <c:spPr>
            <a:solidFill>
              <a:schemeClr val="accent5">
                <a:lumMod val="50000"/>
              </a:schemeClr>
            </a:solidFill>
            <a:ln>
              <a:noFill/>
            </a:ln>
            <a:effectLst/>
          </c:spPr>
          <c:invertIfNegative val="0"/>
          <c:cat>
            <c:strRef>
              <c:f>D_el!$J$88:$J$94</c:f>
              <c:strCache>
                <c:ptCount val="7"/>
                <c:pt idx="0">
                  <c:v>North</c:v>
                </c:pt>
                <c:pt idx="1">
                  <c:v>West</c:v>
                </c:pt>
                <c:pt idx="2">
                  <c:v>Center</c:v>
                </c:pt>
                <c:pt idx="3">
                  <c:v>East</c:v>
                </c:pt>
                <c:pt idx="4">
                  <c:v>South West</c:v>
                </c:pt>
                <c:pt idx="5">
                  <c:v>South East</c:v>
                </c:pt>
                <c:pt idx="6">
                  <c:v>Uusimaa</c:v>
                </c:pt>
              </c:strCache>
            </c:strRef>
          </c:cat>
          <c:val>
            <c:numRef>
              <c:f>D_el!$M$88:$M$94</c:f>
              <c:numCache>
                <c:formatCode>#,##0</c:formatCode>
                <c:ptCount val="7"/>
                <c:pt idx="0">
                  <c:v>1617.0715032010019</c:v>
                </c:pt>
                <c:pt idx="1">
                  <c:v>1778.6949108228523</c:v>
                </c:pt>
                <c:pt idx="2">
                  <c:v>2038.2972753968093</c:v>
                </c:pt>
                <c:pt idx="3">
                  <c:v>1571.0130191636867</c:v>
                </c:pt>
                <c:pt idx="4">
                  <c:v>1963.766273954609</c:v>
                </c:pt>
                <c:pt idx="5">
                  <c:v>1614.5592222535122</c:v>
                </c:pt>
                <c:pt idx="6">
                  <c:v>5686.9666381346478</c:v>
                </c:pt>
              </c:numCache>
            </c:numRef>
          </c:val>
          <c:extLst>
            <c:ext xmlns:c16="http://schemas.microsoft.com/office/drawing/2014/chart" uri="{C3380CC4-5D6E-409C-BE32-E72D297353CC}">
              <c16:uniqueId val="{00000001-746D-4FFA-91DE-3350B0485161}"/>
            </c:ext>
          </c:extLst>
        </c:ser>
        <c:ser>
          <c:idx val="2"/>
          <c:order val="2"/>
          <c:tx>
            <c:strRef>
              <c:f>D_el!$N$87</c:f>
              <c:strCache>
                <c:ptCount val="1"/>
                <c:pt idx="0">
                  <c:v>Residence</c:v>
                </c:pt>
              </c:strCache>
            </c:strRef>
          </c:tx>
          <c:spPr>
            <a:solidFill>
              <a:schemeClr val="accent6">
                <a:lumMod val="75000"/>
              </a:schemeClr>
            </a:solidFill>
            <a:ln>
              <a:noFill/>
            </a:ln>
            <a:effectLst/>
          </c:spPr>
          <c:invertIfNegative val="0"/>
          <c:cat>
            <c:strRef>
              <c:f>D_el!$J$88:$J$94</c:f>
              <c:strCache>
                <c:ptCount val="7"/>
                <c:pt idx="0">
                  <c:v>North</c:v>
                </c:pt>
                <c:pt idx="1">
                  <c:v>West</c:v>
                </c:pt>
                <c:pt idx="2">
                  <c:v>Center</c:v>
                </c:pt>
                <c:pt idx="3">
                  <c:v>East</c:v>
                </c:pt>
                <c:pt idx="4">
                  <c:v>South West</c:v>
                </c:pt>
                <c:pt idx="5">
                  <c:v>South East</c:v>
                </c:pt>
                <c:pt idx="6">
                  <c:v>Uusimaa</c:v>
                </c:pt>
              </c:strCache>
            </c:strRef>
          </c:cat>
          <c:val>
            <c:numRef>
              <c:f>D_el!$N$88:$N$94</c:f>
              <c:numCache>
                <c:formatCode>#,##0</c:formatCode>
                <c:ptCount val="7"/>
                <c:pt idx="0">
                  <c:v>3762.0231881284208</c:v>
                </c:pt>
                <c:pt idx="1">
                  <c:v>4498.2361993895975</c:v>
                </c:pt>
                <c:pt idx="2">
                  <c:v>4297.1058406429875</c:v>
                </c:pt>
                <c:pt idx="3">
                  <c:v>3390.1217700686507</c:v>
                </c:pt>
                <c:pt idx="4">
                  <c:v>3893.5801523400396</c:v>
                </c:pt>
                <c:pt idx="5">
                  <c:v>2596.9850723697537</c:v>
                </c:pt>
                <c:pt idx="6">
                  <c:v>7387.4295288063131</c:v>
                </c:pt>
              </c:numCache>
            </c:numRef>
          </c:val>
          <c:extLst>
            <c:ext xmlns:c16="http://schemas.microsoft.com/office/drawing/2014/chart" uri="{C3380CC4-5D6E-409C-BE32-E72D297353CC}">
              <c16:uniqueId val="{00000002-746D-4FFA-91DE-3350B0485161}"/>
            </c:ext>
          </c:extLst>
        </c:ser>
        <c:dLbls>
          <c:showLegendKey val="0"/>
          <c:showVal val="0"/>
          <c:showCatName val="0"/>
          <c:showSerName val="0"/>
          <c:showPercent val="0"/>
          <c:showBubbleSize val="0"/>
        </c:dLbls>
        <c:gapWidth val="50"/>
        <c:overlap val="100"/>
        <c:axId val="771264239"/>
        <c:axId val="771278639"/>
        <c:extLst/>
      </c:barChart>
      <c:catAx>
        <c:axId val="771264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71278639"/>
        <c:crosses val="autoZero"/>
        <c:auto val="1"/>
        <c:lblAlgn val="ctr"/>
        <c:lblOffset val="100"/>
        <c:noMultiLvlLbl val="0"/>
      </c:catAx>
      <c:valAx>
        <c:axId val="771278639"/>
        <c:scaling>
          <c:orientation val="minMax"/>
        </c:scaling>
        <c:delete val="0"/>
        <c:axPos val="b"/>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7126423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P!$Q$3</c:f>
              <c:strCache>
                <c:ptCount val="1"/>
                <c:pt idx="0">
                  <c:v>Nuclear</c:v>
                </c:pt>
              </c:strCache>
            </c:strRef>
          </c:tx>
          <c:spPr>
            <a:solidFill>
              <a:srgbClr val="7030A0"/>
            </a:solidFill>
            <a:ln>
              <a:noFill/>
            </a:ln>
            <a:effectLst/>
          </c:spPr>
          <c:invertIfNegative val="0"/>
          <c:cat>
            <c:strRef>
              <c:f>P!$P$4:$P$10</c:f>
              <c:strCache>
                <c:ptCount val="7"/>
                <c:pt idx="0">
                  <c:v>North</c:v>
                </c:pt>
                <c:pt idx="1">
                  <c:v>West</c:v>
                </c:pt>
                <c:pt idx="2">
                  <c:v>Center</c:v>
                </c:pt>
                <c:pt idx="3">
                  <c:v>East</c:v>
                </c:pt>
                <c:pt idx="4">
                  <c:v>South West</c:v>
                </c:pt>
                <c:pt idx="5">
                  <c:v>South East</c:v>
                </c:pt>
                <c:pt idx="6">
                  <c:v>Uusimaa</c:v>
                </c:pt>
              </c:strCache>
            </c:strRef>
          </c:cat>
          <c:val>
            <c:numRef>
              <c:f>P!$Q$4:$Q$10</c:f>
              <c:numCache>
                <c:formatCode>#,##0</c:formatCode>
                <c:ptCount val="7"/>
                <c:pt idx="0">
                  <c:v>0</c:v>
                </c:pt>
                <c:pt idx="1">
                  <c:v>3355</c:v>
                </c:pt>
                <c:pt idx="2">
                  <c:v>0</c:v>
                </c:pt>
                <c:pt idx="3">
                  <c:v>0</c:v>
                </c:pt>
                <c:pt idx="4">
                  <c:v>0</c:v>
                </c:pt>
                <c:pt idx="5">
                  <c:v>0</c:v>
                </c:pt>
                <c:pt idx="6">
                  <c:v>0</c:v>
                </c:pt>
              </c:numCache>
            </c:numRef>
          </c:val>
          <c:extLst>
            <c:ext xmlns:c16="http://schemas.microsoft.com/office/drawing/2014/chart" uri="{C3380CC4-5D6E-409C-BE32-E72D297353CC}">
              <c16:uniqueId val="{00000000-EEB4-47B9-A3BD-BF6183D65371}"/>
            </c:ext>
          </c:extLst>
        </c:ser>
        <c:ser>
          <c:idx val="1"/>
          <c:order val="1"/>
          <c:tx>
            <c:strRef>
              <c:f>P!$Y$3</c:f>
              <c:strCache>
                <c:ptCount val="1"/>
                <c:pt idx="0">
                  <c:v>Thermal</c:v>
                </c:pt>
              </c:strCache>
            </c:strRef>
          </c:tx>
          <c:spPr>
            <a:solidFill>
              <a:schemeClr val="bg1">
                <a:lumMod val="50000"/>
              </a:schemeClr>
            </a:solidFill>
            <a:ln>
              <a:noFill/>
            </a:ln>
            <a:effectLst/>
          </c:spPr>
          <c:invertIfNegative val="0"/>
          <c:cat>
            <c:strRef>
              <c:f>P!$P$4:$P$10</c:f>
              <c:strCache>
                <c:ptCount val="7"/>
                <c:pt idx="0">
                  <c:v>North</c:v>
                </c:pt>
                <c:pt idx="1">
                  <c:v>West</c:v>
                </c:pt>
                <c:pt idx="2">
                  <c:v>Center</c:v>
                </c:pt>
                <c:pt idx="3">
                  <c:v>East</c:v>
                </c:pt>
                <c:pt idx="4">
                  <c:v>South West</c:v>
                </c:pt>
                <c:pt idx="5">
                  <c:v>South East</c:v>
                </c:pt>
                <c:pt idx="6">
                  <c:v>Uusimaa</c:v>
                </c:pt>
              </c:strCache>
            </c:strRef>
          </c:cat>
          <c:val>
            <c:numRef>
              <c:f>P!$Y$4:$Y$10</c:f>
              <c:numCache>
                <c:formatCode>#,##0</c:formatCode>
                <c:ptCount val="7"/>
                <c:pt idx="0">
                  <c:v>733.65895562522132</c:v>
                </c:pt>
                <c:pt idx="1">
                  <c:v>1923.6057591393658</c:v>
                </c:pt>
                <c:pt idx="2">
                  <c:v>590.40998103869958</c:v>
                </c:pt>
                <c:pt idx="3">
                  <c:v>937.55640174718314</c:v>
                </c:pt>
                <c:pt idx="4">
                  <c:v>667.888215921864</c:v>
                </c:pt>
                <c:pt idx="5">
                  <c:v>1169.6847049162259</c:v>
                </c:pt>
                <c:pt idx="6">
                  <c:v>767.92373322664844</c:v>
                </c:pt>
              </c:numCache>
            </c:numRef>
          </c:val>
          <c:extLst>
            <c:ext xmlns:c16="http://schemas.microsoft.com/office/drawing/2014/chart" uri="{C3380CC4-5D6E-409C-BE32-E72D297353CC}">
              <c16:uniqueId val="{00000013-EEB4-47B9-A3BD-BF6183D65371}"/>
            </c:ext>
          </c:extLst>
        </c:ser>
        <c:ser>
          <c:idx val="2"/>
          <c:order val="2"/>
          <c:tx>
            <c:strRef>
              <c:f>P!$Z$3</c:f>
              <c:strCache>
                <c:ptCount val="1"/>
                <c:pt idx="0">
                  <c:v>Hydro</c:v>
                </c:pt>
              </c:strCache>
            </c:strRef>
          </c:tx>
          <c:spPr>
            <a:solidFill>
              <a:srgbClr val="002060"/>
            </a:solidFill>
            <a:ln>
              <a:noFill/>
            </a:ln>
            <a:effectLst/>
          </c:spPr>
          <c:invertIfNegative val="0"/>
          <c:cat>
            <c:strRef>
              <c:f>P!$P$4:$P$10</c:f>
              <c:strCache>
                <c:ptCount val="7"/>
                <c:pt idx="0">
                  <c:v>North</c:v>
                </c:pt>
                <c:pt idx="1">
                  <c:v>West</c:v>
                </c:pt>
                <c:pt idx="2">
                  <c:v>Center</c:v>
                </c:pt>
                <c:pt idx="3">
                  <c:v>East</c:v>
                </c:pt>
                <c:pt idx="4">
                  <c:v>South West</c:v>
                </c:pt>
                <c:pt idx="5">
                  <c:v>South East</c:v>
                </c:pt>
                <c:pt idx="6">
                  <c:v>Uusimaa</c:v>
                </c:pt>
              </c:strCache>
            </c:strRef>
          </c:cat>
          <c:val>
            <c:numRef>
              <c:f>P!$Z$4:$Z$10</c:f>
              <c:numCache>
                <c:formatCode>#,##0</c:formatCode>
                <c:ptCount val="7"/>
                <c:pt idx="0">
                  <c:v>1767</c:v>
                </c:pt>
                <c:pt idx="1">
                  <c:v>150</c:v>
                </c:pt>
                <c:pt idx="2">
                  <c:v>116.10000000000001</c:v>
                </c:pt>
                <c:pt idx="3">
                  <c:v>457.9</c:v>
                </c:pt>
                <c:pt idx="4">
                  <c:v>14</c:v>
                </c:pt>
                <c:pt idx="5">
                  <c:v>452.70000000000005</c:v>
                </c:pt>
                <c:pt idx="6">
                  <c:v>0</c:v>
                </c:pt>
              </c:numCache>
            </c:numRef>
          </c:val>
          <c:extLst>
            <c:ext xmlns:c16="http://schemas.microsoft.com/office/drawing/2014/chart" uri="{C3380CC4-5D6E-409C-BE32-E72D297353CC}">
              <c16:uniqueId val="{00000014-EEB4-47B9-A3BD-BF6183D65371}"/>
            </c:ext>
          </c:extLst>
        </c:ser>
        <c:ser>
          <c:idx val="3"/>
          <c:order val="3"/>
          <c:tx>
            <c:strRef>
              <c:f>P!$AA$3</c:f>
              <c:strCache>
                <c:ptCount val="1"/>
                <c:pt idx="0">
                  <c:v>Wind Onshore</c:v>
                </c:pt>
              </c:strCache>
            </c:strRef>
          </c:tx>
          <c:spPr>
            <a:solidFill>
              <a:srgbClr val="0070C0"/>
            </a:solidFill>
            <a:ln>
              <a:noFill/>
            </a:ln>
            <a:effectLst/>
          </c:spPr>
          <c:invertIfNegative val="0"/>
          <c:cat>
            <c:strRef>
              <c:f>P!$P$4:$P$10</c:f>
              <c:strCache>
                <c:ptCount val="7"/>
                <c:pt idx="0">
                  <c:v>North</c:v>
                </c:pt>
                <c:pt idx="1">
                  <c:v>West</c:v>
                </c:pt>
                <c:pt idx="2">
                  <c:v>Center</c:v>
                </c:pt>
                <c:pt idx="3">
                  <c:v>East</c:v>
                </c:pt>
                <c:pt idx="4">
                  <c:v>South West</c:v>
                </c:pt>
                <c:pt idx="5">
                  <c:v>South East</c:v>
                </c:pt>
                <c:pt idx="6">
                  <c:v>Uusimaa</c:v>
                </c:pt>
              </c:strCache>
            </c:strRef>
          </c:cat>
          <c:val>
            <c:numRef>
              <c:f>P!$AA$4:$AA$10</c:f>
              <c:numCache>
                <c:formatCode>#,##0</c:formatCode>
                <c:ptCount val="7"/>
                <c:pt idx="0">
                  <c:v>22638.197509624475</c:v>
                </c:pt>
                <c:pt idx="1">
                  <c:v>18945.898495339359</c:v>
                </c:pt>
                <c:pt idx="2">
                  <c:v>2004.4279610226617</c:v>
                </c:pt>
                <c:pt idx="3">
                  <c:v>1253.0377598841774</c:v>
                </c:pt>
                <c:pt idx="4">
                  <c:v>750.57934840344262</c:v>
                </c:pt>
                <c:pt idx="5">
                  <c:v>263.79742313351102</c:v>
                </c:pt>
                <c:pt idx="6">
                  <c:v>144.06150259237845</c:v>
                </c:pt>
              </c:numCache>
            </c:numRef>
          </c:val>
          <c:extLst>
            <c:ext xmlns:c16="http://schemas.microsoft.com/office/drawing/2014/chart" uri="{C3380CC4-5D6E-409C-BE32-E72D297353CC}">
              <c16:uniqueId val="{00000015-EEB4-47B9-A3BD-BF6183D65371}"/>
            </c:ext>
          </c:extLst>
        </c:ser>
        <c:ser>
          <c:idx val="4"/>
          <c:order val="4"/>
          <c:tx>
            <c:strRef>
              <c:f>P!$AB$3</c:f>
              <c:strCache>
                <c:ptCount val="1"/>
                <c:pt idx="0">
                  <c:v>Wind Offshore</c:v>
                </c:pt>
              </c:strCache>
            </c:strRef>
          </c:tx>
          <c:spPr>
            <a:solidFill>
              <a:srgbClr val="00B0F0"/>
            </a:solidFill>
            <a:ln>
              <a:noFill/>
            </a:ln>
            <a:effectLst/>
          </c:spPr>
          <c:invertIfNegative val="0"/>
          <c:cat>
            <c:strRef>
              <c:f>P!$P$4:$P$10</c:f>
              <c:strCache>
                <c:ptCount val="7"/>
                <c:pt idx="0">
                  <c:v>North</c:v>
                </c:pt>
                <c:pt idx="1">
                  <c:v>West</c:v>
                </c:pt>
                <c:pt idx="2">
                  <c:v>Center</c:v>
                </c:pt>
                <c:pt idx="3">
                  <c:v>East</c:v>
                </c:pt>
                <c:pt idx="4">
                  <c:v>South West</c:v>
                </c:pt>
                <c:pt idx="5">
                  <c:v>South East</c:v>
                </c:pt>
                <c:pt idx="6">
                  <c:v>Uusimaa</c:v>
                </c:pt>
              </c:strCache>
            </c:strRef>
          </c:cat>
          <c:val>
            <c:numRef>
              <c:f>P!$AB$4:$AB$10</c:f>
              <c:numCache>
                <c:formatCode>#,##0</c:formatCode>
                <c:ptCount val="7"/>
                <c:pt idx="0">
                  <c:v>1925.0770285679264</c:v>
                </c:pt>
                <c:pt idx="1">
                  <c:v>1611.0961998388561</c:v>
                </c:pt>
                <c:pt idx="2">
                  <c:v>0</c:v>
                </c:pt>
                <c:pt idx="3">
                  <c:v>0</c:v>
                </c:pt>
                <c:pt idx="4">
                  <c:v>63.82677159321765</c:v>
                </c:pt>
                <c:pt idx="5">
                  <c:v>0</c:v>
                </c:pt>
                <c:pt idx="6">
                  <c:v>0</c:v>
                </c:pt>
              </c:numCache>
            </c:numRef>
          </c:val>
          <c:extLst>
            <c:ext xmlns:c16="http://schemas.microsoft.com/office/drawing/2014/chart" uri="{C3380CC4-5D6E-409C-BE32-E72D297353CC}">
              <c16:uniqueId val="{00000016-EEB4-47B9-A3BD-BF6183D65371}"/>
            </c:ext>
          </c:extLst>
        </c:ser>
        <c:ser>
          <c:idx val="5"/>
          <c:order val="5"/>
          <c:tx>
            <c:strRef>
              <c:f>P!$AC$3</c:f>
              <c:strCache>
                <c:ptCount val="1"/>
                <c:pt idx="0">
                  <c:v>Solar</c:v>
                </c:pt>
              </c:strCache>
            </c:strRef>
          </c:tx>
          <c:spPr>
            <a:solidFill>
              <a:srgbClr val="FFFF00"/>
            </a:solidFill>
            <a:ln>
              <a:noFill/>
            </a:ln>
            <a:effectLst/>
          </c:spPr>
          <c:invertIfNegative val="0"/>
          <c:cat>
            <c:strRef>
              <c:f>P!$P$4:$P$10</c:f>
              <c:strCache>
                <c:ptCount val="7"/>
                <c:pt idx="0">
                  <c:v>North</c:v>
                </c:pt>
                <c:pt idx="1">
                  <c:v>West</c:v>
                </c:pt>
                <c:pt idx="2">
                  <c:v>Center</c:v>
                </c:pt>
                <c:pt idx="3">
                  <c:v>East</c:v>
                </c:pt>
                <c:pt idx="4">
                  <c:v>South West</c:v>
                </c:pt>
                <c:pt idx="5">
                  <c:v>South East</c:v>
                </c:pt>
                <c:pt idx="6">
                  <c:v>Uusimaa</c:v>
                </c:pt>
              </c:strCache>
            </c:strRef>
          </c:cat>
          <c:val>
            <c:numRef>
              <c:f>P!$AC$4:$AC$10</c:f>
              <c:numCache>
                <c:formatCode>#,##0</c:formatCode>
                <c:ptCount val="7"/>
                <c:pt idx="0">
                  <c:v>2066.3930093362978</c:v>
                </c:pt>
                <c:pt idx="1">
                  <c:v>7869.4987055912188</c:v>
                </c:pt>
                <c:pt idx="2">
                  <c:v>645.83508632721851</c:v>
                </c:pt>
                <c:pt idx="3">
                  <c:v>2895.0872120404274</c:v>
                </c:pt>
                <c:pt idx="4">
                  <c:v>2762.8604007957688</c:v>
                </c:pt>
                <c:pt idx="5">
                  <c:v>3283.025377262361</c:v>
                </c:pt>
                <c:pt idx="6">
                  <c:v>1747.3002086467079</c:v>
                </c:pt>
              </c:numCache>
            </c:numRef>
          </c:val>
          <c:extLst>
            <c:ext xmlns:c16="http://schemas.microsoft.com/office/drawing/2014/chart" uri="{C3380CC4-5D6E-409C-BE32-E72D297353CC}">
              <c16:uniqueId val="{00000017-EEB4-47B9-A3BD-BF6183D65371}"/>
            </c:ext>
          </c:extLst>
        </c:ser>
        <c:ser>
          <c:idx val="6"/>
          <c:order val="6"/>
          <c:tx>
            <c:strRef>
              <c:f>P!$AD$3</c:f>
              <c:strCache>
                <c:ptCount val="1"/>
                <c:pt idx="0">
                  <c:v>Batteries</c:v>
                </c:pt>
              </c:strCache>
            </c:strRef>
          </c:tx>
          <c:spPr>
            <a:solidFill>
              <a:srgbClr val="FFC000"/>
            </a:solidFill>
            <a:ln>
              <a:noFill/>
            </a:ln>
            <a:effectLst/>
          </c:spPr>
          <c:invertIfNegative val="0"/>
          <c:cat>
            <c:strRef>
              <c:f>P!$P$4:$P$10</c:f>
              <c:strCache>
                <c:ptCount val="7"/>
                <c:pt idx="0">
                  <c:v>North</c:v>
                </c:pt>
                <c:pt idx="1">
                  <c:v>West</c:v>
                </c:pt>
                <c:pt idx="2">
                  <c:v>Center</c:v>
                </c:pt>
                <c:pt idx="3">
                  <c:v>East</c:v>
                </c:pt>
                <c:pt idx="4">
                  <c:v>South West</c:v>
                </c:pt>
                <c:pt idx="5">
                  <c:v>South East</c:v>
                </c:pt>
                <c:pt idx="6">
                  <c:v>Uusimaa</c:v>
                </c:pt>
              </c:strCache>
            </c:strRef>
          </c:cat>
          <c:val>
            <c:numRef>
              <c:f>P!$AD$4:$AD$10</c:f>
              <c:numCache>
                <c:formatCode>#,##0</c:formatCode>
                <c:ptCount val="7"/>
                <c:pt idx="0">
                  <c:v>458.3816004035163</c:v>
                </c:pt>
                <c:pt idx="1">
                  <c:v>526.61338946585442</c:v>
                </c:pt>
                <c:pt idx="2">
                  <c:v>44.579337052329407</c:v>
                </c:pt>
                <c:pt idx="3">
                  <c:v>76.972874807939675</c:v>
                </c:pt>
                <c:pt idx="4">
                  <c:v>64.848843030088119</c:v>
                </c:pt>
                <c:pt idx="5">
                  <c:v>64.565235963509949</c:v>
                </c:pt>
                <c:pt idx="6">
                  <c:v>34.038719276761832</c:v>
                </c:pt>
              </c:numCache>
            </c:numRef>
          </c:val>
          <c:extLst>
            <c:ext xmlns:c16="http://schemas.microsoft.com/office/drawing/2014/chart" uri="{C3380CC4-5D6E-409C-BE32-E72D297353CC}">
              <c16:uniqueId val="{00000018-EEB4-47B9-A3BD-BF6183D65371}"/>
            </c:ext>
          </c:extLst>
        </c:ser>
        <c:dLbls>
          <c:showLegendKey val="0"/>
          <c:showVal val="0"/>
          <c:showCatName val="0"/>
          <c:showSerName val="0"/>
          <c:showPercent val="0"/>
          <c:showBubbleSize val="0"/>
        </c:dLbls>
        <c:gapWidth val="50"/>
        <c:overlap val="100"/>
        <c:axId val="311488832"/>
        <c:axId val="2078011215"/>
      </c:barChart>
      <c:catAx>
        <c:axId val="3114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11215"/>
        <c:crosses val="autoZero"/>
        <c:auto val="1"/>
        <c:lblAlgn val="ctr"/>
        <c:lblOffset val="100"/>
        <c:noMultiLvlLbl val="0"/>
      </c:catAx>
      <c:valAx>
        <c:axId val="2078011215"/>
        <c:scaling>
          <c:orientation val="minMax"/>
          <c:max val="35000"/>
        </c:scaling>
        <c:delete val="0"/>
        <c:axPos val="l"/>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8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999694444444444"/>
          <c:y val="5.5436507936507937E-2"/>
          <c:w val="0.57038444444444447"/>
          <c:h val="0.69273373015873019"/>
        </c:manualLayout>
      </c:layout>
      <c:barChart>
        <c:barDir val="col"/>
        <c:grouping val="stacked"/>
        <c:varyColors val="0"/>
        <c:ser>
          <c:idx val="0"/>
          <c:order val="0"/>
          <c:tx>
            <c:strRef>
              <c:f>P!$B$3</c:f>
              <c:strCache>
                <c:ptCount val="1"/>
                <c:pt idx="0">
                  <c:v>Nuclear</c:v>
                </c:pt>
              </c:strCache>
            </c:strRef>
          </c:tx>
          <c:spPr>
            <a:solidFill>
              <a:srgbClr val="7030A0"/>
            </a:solidFill>
            <a:ln>
              <a:noFill/>
            </a:ln>
            <a:effectLst/>
          </c:spPr>
          <c:invertIfNegative val="0"/>
          <c:cat>
            <c:strRef>
              <c:f>P!$A$4:$A$10</c:f>
              <c:strCache>
                <c:ptCount val="7"/>
                <c:pt idx="0">
                  <c:v>North</c:v>
                </c:pt>
                <c:pt idx="1">
                  <c:v>West</c:v>
                </c:pt>
                <c:pt idx="2">
                  <c:v>Center</c:v>
                </c:pt>
                <c:pt idx="3">
                  <c:v>East</c:v>
                </c:pt>
                <c:pt idx="4">
                  <c:v>South West</c:v>
                </c:pt>
                <c:pt idx="5">
                  <c:v>South East</c:v>
                </c:pt>
                <c:pt idx="6">
                  <c:v>Uusimaa</c:v>
                </c:pt>
              </c:strCache>
            </c:strRef>
          </c:cat>
          <c:val>
            <c:numRef>
              <c:f>P!$B$4:$B$10</c:f>
              <c:numCache>
                <c:formatCode>#,##0</c:formatCode>
                <c:ptCount val="7"/>
                <c:pt idx="0">
                  <c:v>0</c:v>
                </c:pt>
                <c:pt idx="1">
                  <c:v>3355</c:v>
                </c:pt>
                <c:pt idx="2">
                  <c:v>0</c:v>
                </c:pt>
                <c:pt idx="3">
                  <c:v>0</c:v>
                </c:pt>
                <c:pt idx="4">
                  <c:v>0</c:v>
                </c:pt>
                <c:pt idx="5">
                  <c:v>0</c:v>
                </c:pt>
                <c:pt idx="6">
                  <c:v>1014</c:v>
                </c:pt>
              </c:numCache>
            </c:numRef>
          </c:val>
          <c:extLst>
            <c:ext xmlns:c16="http://schemas.microsoft.com/office/drawing/2014/chart" uri="{C3380CC4-5D6E-409C-BE32-E72D297353CC}">
              <c16:uniqueId val="{00000000-238B-4777-8877-F164EBD54A65}"/>
            </c:ext>
          </c:extLst>
        </c:ser>
        <c:ser>
          <c:idx val="1"/>
          <c:order val="1"/>
          <c:tx>
            <c:strRef>
              <c:f>P!$I$3</c:f>
              <c:strCache>
                <c:ptCount val="1"/>
                <c:pt idx="0">
                  <c:v>Thermal</c:v>
                </c:pt>
              </c:strCache>
            </c:strRef>
          </c:tx>
          <c:spPr>
            <a:solidFill>
              <a:schemeClr val="bg1">
                <a:lumMod val="50000"/>
              </a:schemeClr>
            </a:solidFill>
            <a:ln>
              <a:noFill/>
            </a:ln>
            <a:effectLst/>
          </c:spPr>
          <c:invertIfNegative val="0"/>
          <c:cat>
            <c:strRef>
              <c:f>P!$A$4:$A$10</c:f>
              <c:strCache>
                <c:ptCount val="7"/>
                <c:pt idx="0">
                  <c:v>North</c:v>
                </c:pt>
                <c:pt idx="1">
                  <c:v>West</c:v>
                </c:pt>
                <c:pt idx="2">
                  <c:v>Center</c:v>
                </c:pt>
                <c:pt idx="3">
                  <c:v>East</c:v>
                </c:pt>
                <c:pt idx="4">
                  <c:v>South West</c:v>
                </c:pt>
                <c:pt idx="5">
                  <c:v>South East</c:v>
                </c:pt>
                <c:pt idx="6">
                  <c:v>Uusimaa</c:v>
                </c:pt>
              </c:strCache>
            </c:strRef>
          </c:cat>
          <c:val>
            <c:numRef>
              <c:f>P!$I$4:$I$10</c:f>
              <c:numCache>
                <c:formatCode>#,##0</c:formatCode>
                <c:ptCount val="7"/>
                <c:pt idx="0">
                  <c:v>815.9</c:v>
                </c:pt>
                <c:pt idx="1">
                  <c:v>1865.7</c:v>
                </c:pt>
                <c:pt idx="2">
                  <c:v>939.8</c:v>
                </c:pt>
                <c:pt idx="3">
                  <c:v>812.6</c:v>
                </c:pt>
                <c:pt idx="4">
                  <c:v>710.30000000000007</c:v>
                </c:pt>
                <c:pt idx="5">
                  <c:v>1037.1000000000001</c:v>
                </c:pt>
                <c:pt idx="6">
                  <c:v>1645.99</c:v>
                </c:pt>
              </c:numCache>
            </c:numRef>
          </c:val>
          <c:extLst>
            <c:ext xmlns:c16="http://schemas.microsoft.com/office/drawing/2014/chart" uri="{C3380CC4-5D6E-409C-BE32-E72D297353CC}">
              <c16:uniqueId val="{00000011-238B-4777-8877-F164EBD54A65}"/>
            </c:ext>
          </c:extLst>
        </c:ser>
        <c:ser>
          <c:idx val="2"/>
          <c:order val="2"/>
          <c:tx>
            <c:strRef>
              <c:f>P!$J$3</c:f>
              <c:strCache>
                <c:ptCount val="1"/>
                <c:pt idx="0">
                  <c:v>Hydro</c:v>
                </c:pt>
              </c:strCache>
            </c:strRef>
          </c:tx>
          <c:spPr>
            <a:solidFill>
              <a:srgbClr val="002060"/>
            </a:solidFill>
            <a:ln>
              <a:noFill/>
            </a:ln>
            <a:effectLst/>
          </c:spPr>
          <c:invertIfNegative val="0"/>
          <c:cat>
            <c:strRef>
              <c:f>P!$A$4:$A$10</c:f>
              <c:strCache>
                <c:ptCount val="7"/>
                <c:pt idx="0">
                  <c:v>North</c:v>
                </c:pt>
                <c:pt idx="1">
                  <c:v>West</c:v>
                </c:pt>
                <c:pt idx="2">
                  <c:v>Center</c:v>
                </c:pt>
                <c:pt idx="3">
                  <c:v>East</c:v>
                </c:pt>
                <c:pt idx="4">
                  <c:v>South West</c:v>
                </c:pt>
                <c:pt idx="5">
                  <c:v>South East</c:v>
                </c:pt>
                <c:pt idx="6">
                  <c:v>Uusimaa</c:v>
                </c:pt>
              </c:strCache>
            </c:strRef>
          </c:cat>
          <c:val>
            <c:numRef>
              <c:f>P!$J$4:$J$10</c:f>
              <c:numCache>
                <c:formatCode>#,##0</c:formatCode>
                <c:ptCount val="7"/>
                <c:pt idx="0">
                  <c:v>1767</c:v>
                </c:pt>
                <c:pt idx="1">
                  <c:v>150</c:v>
                </c:pt>
                <c:pt idx="2">
                  <c:v>116.10000000000001</c:v>
                </c:pt>
                <c:pt idx="3">
                  <c:v>457.9</c:v>
                </c:pt>
                <c:pt idx="4">
                  <c:v>14</c:v>
                </c:pt>
                <c:pt idx="5">
                  <c:v>452.70000000000005</c:v>
                </c:pt>
                <c:pt idx="6">
                  <c:v>0</c:v>
                </c:pt>
              </c:numCache>
            </c:numRef>
          </c:val>
          <c:extLst>
            <c:ext xmlns:c16="http://schemas.microsoft.com/office/drawing/2014/chart" uri="{C3380CC4-5D6E-409C-BE32-E72D297353CC}">
              <c16:uniqueId val="{00000012-238B-4777-8877-F164EBD54A65}"/>
            </c:ext>
          </c:extLst>
        </c:ser>
        <c:ser>
          <c:idx val="3"/>
          <c:order val="3"/>
          <c:tx>
            <c:strRef>
              <c:f>P!$K$3</c:f>
              <c:strCache>
                <c:ptCount val="1"/>
                <c:pt idx="0">
                  <c:v>Wind</c:v>
                </c:pt>
              </c:strCache>
            </c:strRef>
          </c:tx>
          <c:spPr>
            <a:solidFill>
              <a:srgbClr val="0070C0"/>
            </a:solidFill>
            <a:ln>
              <a:noFill/>
            </a:ln>
            <a:effectLst/>
          </c:spPr>
          <c:invertIfNegative val="0"/>
          <c:cat>
            <c:strRef>
              <c:f>P!$A$4:$A$10</c:f>
              <c:strCache>
                <c:ptCount val="7"/>
                <c:pt idx="0">
                  <c:v>North</c:v>
                </c:pt>
                <c:pt idx="1">
                  <c:v>West</c:v>
                </c:pt>
                <c:pt idx="2">
                  <c:v>Center</c:v>
                </c:pt>
                <c:pt idx="3">
                  <c:v>East</c:v>
                </c:pt>
                <c:pt idx="4">
                  <c:v>South West</c:v>
                </c:pt>
                <c:pt idx="5">
                  <c:v>South East</c:v>
                </c:pt>
                <c:pt idx="6">
                  <c:v>Uusimaa</c:v>
                </c:pt>
              </c:strCache>
            </c:strRef>
          </c:cat>
          <c:val>
            <c:numRef>
              <c:f>P!$K$4:$K$10</c:f>
              <c:numCache>
                <c:formatCode>#,##0</c:formatCode>
                <c:ptCount val="7"/>
                <c:pt idx="0">
                  <c:v>4187.8500000000004</c:v>
                </c:pt>
                <c:pt idx="1">
                  <c:v>3504.81</c:v>
                </c:pt>
                <c:pt idx="2">
                  <c:v>370.8</c:v>
                </c:pt>
                <c:pt idx="3">
                  <c:v>231.8</c:v>
                </c:pt>
                <c:pt idx="4">
                  <c:v>138.85</c:v>
                </c:pt>
                <c:pt idx="5">
                  <c:v>48.8</c:v>
                </c:pt>
                <c:pt idx="6">
                  <c:v>26.65</c:v>
                </c:pt>
              </c:numCache>
            </c:numRef>
          </c:val>
          <c:extLst>
            <c:ext xmlns:c16="http://schemas.microsoft.com/office/drawing/2014/chart" uri="{C3380CC4-5D6E-409C-BE32-E72D297353CC}">
              <c16:uniqueId val="{00000013-238B-4777-8877-F164EBD54A65}"/>
            </c:ext>
          </c:extLst>
        </c:ser>
        <c:ser>
          <c:idx val="4"/>
          <c:order val="4"/>
          <c:tx>
            <c:strRef>
              <c:f>P!$L$3</c:f>
              <c:strCache>
                <c:ptCount val="1"/>
                <c:pt idx="0">
                  <c:v>Solar</c:v>
                </c:pt>
              </c:strCache>
            </c:strRef>
          </c:tx>
          <c:spPr>
            <a:solidFill>
              <a:srgbClr val="FFFF00"/>
            </a:solidFill>
            <a:ln>
              <a:noFill/>
            </a:ln>
            <a:effectLst/>
          </c:spPr>
          <c:invertIfNegative val="0"/>
          <c:cat>
            <c:strRef>
              <c:f>P!$A$4:$A$10</c:f>
              <c:strCache>
                <c:ptCount val="7"/>
                <c:pt idx="0">
                  <c:v>North</c:v>
                </c:pt>
                <c:pt idx="1">
                  <c:v>West</c:v>
                </c:pt>
                <c:pt idx="2">
                  <c:v>Center</c:v>
                </c:pt>
                <c:pt idx="3">
                  <c:v>East</c:v>
                </c:pt>
                <c:pt idx="4">
                  <c:v>South West</c:v>
                </c:pt>
                <c:pt idx="5">
                  <c:v>South East</c:v>
                </c:pt>
                <c:pt idx="6">
                  <c:v>Uusimaa</c:v>
                </c:pt>
              </c:strCache>
            </c:strRef>
          </c:cat>
          <c:val>
            <c:numRef>
              <c:f>P!$L$4:$L$10</c:f>
              <c:numCache>
                <c:formatCode>#,##0</c:formatCode>
                <c:ptCount val="7"/>
                <c:pt idx="0">
                  <c:v>19.3</c:v>
                </c:pt>
                <c:pt idx="1">
                  <c:v>79.5</c:v>
                </c:pt>
                <c:pt idx="2">
                  <c:v>4.5999999999999996</c:v>
                </c:pt>
                <c:pt idx="3">
                  <c:v>16.98</c:v>
                </c:pt>
                <c:pt idx="4">
                  <c:v>0</c:v>
                </c:pt>
                <c:pt idx="5">
                  <c:v>2.31</c:v>
                </c:pt>
                <c:pt idx="6">
                  <c:v>10.33</c:v>
                </c:pt>
              </c:numCache>
            </c:numRef>
          </c:val>
          <c:extLst>
            <c:ext xmlns:c16="http://schemas.microsoft.com/office/drawing/2014/chart" uri="{C3380CC4-5D6E-409C-BE32-E72D297353CC}">
              <c16:uniqueId val="{00000014-238B-4777-8877-F164EBD54A65}"/>
            </c:ext>
          </c:extLst>
        </c:ser>
        <c:dLbls>
          <c:showLegendKey val="0"/>
          <c:showVal val="0"/>
          <c:showCatName val="0"/>
          <c:showSerName val="0"/>
          <c:showPercent val="0"/>
          <c:showBubbleSize val="0"/>
        </c:dLbls>
        <c:gapWidth val="50"/>
        <c:overlap val="100"/>
        <c:axId val="311488832"/>
        <c:axId val="2078011215"/>
      </c:barChart>
      <c:catAx>
        <c:axId val="3114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11215"/>
        <c:crosses val="autoZero"/>
        <c:auto val="1"/>
        <c:lblAlgn val="ctr"/>
        <c:lblOffset val="100"/>
        <c:noMultiLvlLbl val="0"/>
      </c:catAx>
      <c:valAx>
        <c:axId val="2078011215"/>
        <c:scaling>
          <c:orientation val="minMax"/>
          <c:max val="9100"/>
          <c:min val="0"/>
        </c:scaling>
        <c:delete val="0"/>
        <c:axPos val="l"/>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88832"/>
        <c:crosses val="autoZero"/>
        <c:crossBetween val="between"/>
      </c:valAx>
      <c:spPr>
        <a:noFill/>
        <a:ln>
          <a:noFill/>
        </a:ln>
        <a:effectLst/>
      </c:spPr>
    </c:plotArea>
    <c:legend>
      <c:legendPos val="r"/>
      <c:layout>
        <c:manualLayout>
          <c:xMode val="edge"/>
          <c:yMode val="edge"/>
          <c:x val="0.74918694444444456"/>
          <c:y val="0.32171825396825393"/>
          <c:w val="0.24396944444444443"/>
          <c:h val="0.42522619047619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P!$D$28</c:f>
              <c:strCache>
                <c:ptCount val="1"/>
                <c:pt idx="0">
                  <c:v>Ind CHP</c:v>
                </c:pt>
              </c:strCache>
            </c:strRef>
          </c:tx>
          <c:spPr>
            <a:solidFill>
              <a:schemeClr val="tx1">
                <a:lumMod val="75000"/>
                <a:lumOff val="25000"/>
              </a:schemeClr>
            </a:solidFill>
            <a:ln>
              <a:noFill/>
            </a:ln>
            <a:effectLst/>
          </c:spPr>
          <c:invertIfNegative val="0"/>
          <c:cat>
            <c:strRef>
              <c:f>P!$A$29:$A$35</c:f>
              <c:strCache>
                <c:ptCount val="7"/>
                <c:pt idx="0">
                  <c:v>North</c:v>
                </c:pt>
                <c:pt idx="1">
                  <c:v>West</c:v>
                </c:pt>
                <c:pt idx="2">
                  <c:v>Center</c:v>
                </c:pt>
                <c:pt idx="3">
                  <c:v>East</c:v>
                </c:pt>
                <c:pt idx="4">
                  <c:v>South West</c:v>
                </c:pt>
                <c:pt idx="5">
                  <c:v>South East</c:v>
                </c:pt>
                <c:pt idx="6">
                  <c:v>Uusimaa</c:v>
                </c:pt>
              </c:strCache>
            </c:strRef>
          </c:cat>
          <c:val>
            <c:numRef>
              <c:f>P!$D$29:$D$35</c:f>
              <c:numCache>
                <c:formatCode>#,##0</c:formatCode>
                <c:ptCount val="7"/>
                <c:pt idx="0">
                  <c:v>807.09300000000007</c:v>
                </c:pt>
                <c:pt idx="1">
                  <c:v>1051.1690000000001</c:v>
                </c:pt>
                <c:pt idx="2">
                  <c:v>850.8850000000001</c:v>
                </c:pt>
                <c:pt idx="3">
                  <c:v>453.37600000000009</c:v>
                </c:pt>
                <c:pt idx="4">
                  <c:v>80.701177863348278</c:v>
                </c:pt>
                <c:pt idx="5">
                  <c:v>1232.2940000000003</c:v>
                </c:pt>
                <c:pt idx="6">
                  <c:v>466.25600000000009</c:v>
                </c:pt>
              </c:numCache>
            </c:numRef>
          </c:val>
          <c:extLst>
            <c:ext xmlns:c16="http://schemas.microsoft.com/office/drawing/2014/chart" uri="{C3380CC4-5D6E-409C-BE32-E72D297353CC}">
              <c16:uniqueId val="{00000000-5D7B-472A-8B76-D55DE90B483E}"/>
            </c:ext>
          </c:extLst>
        </c:ser>
        <c:ser>
          <c:idx val="1"/>
          <c:order val="1"/>
          <c:tx>
            <c:strRef>
              <c:f>P!$H$28</c:f>
              <c:strCache>
                <c:ptCount val="1"/>
                <c:pt idx="0">
                  <c:v>DH CHP</c:v>
                </c:pt>
              </c:strCache>
            </c:strRef>
          </c:tx>
          <c:spPr>
            <a:solidFill>
              <a:schemeClr val="accent4">
                <a:lumMod val="50000"/>
              </a:schemeClr>
            </a:solidFill>
            <a:ln>
              <a:noFill/>
            </a:ln>
            <a:effectLst/>
          </c:spPr>
          <c:invertIfNegative val="0"/>
          <c:cat>
            <c:strRef>
              <c:f>P!$A$29:$A$35</c:f>
              <c:strCache>
                <c:ptCount val="7"/>
                <c:pt idx="0">
                  <c:v>North</c:v>
                </c:pt>
                <c:pt idx="1">
                  <c:v>West</c:v>
                </c:pt>
                <c:pt idx="2">
                  <c:v>Center</c:v>
                </c:pt>
                <c:pt idx="3">
                  <c:v>East</c:v>
                </c:pt>
                <c:pt idx="4">
                  <c:v>South West</c:v>
                </c:pt>
                <c:pt idx="5">
                  <c:v>South East</c:v>
                </c:pt>
                <c:pt idx="6">
                  <c:v>Uusimaa</c:v>
                </c:pt>
              </c:strCache>
            </c:strRef>
          </c:cat>
          <c:val>
            <c:numRef>
              <c:f>P!$H$29:$H$35</c:f>
              <c:numCache>
                <c:formatCode>#,##0</c:formatCode>
                <c:ptCount val="7"/>
                <c:pt idx="0">
                  <c:v>243.88348602919424</c:v>
                </c:pt>
                <c:pt idx="1">
                  <c:v>844.17989326733687</c:v>
                </c:pt>
                <c:pt idx="2">
                  <c:v>137.01115117624758</c:v>
                </c:pt>
                <c:pt idx="3">
                  <c:v>1028.3705985805723</c:v>
                </c:pt>
                <c:pt idx="4">
                  <c:v>424.42757579721069</c:v>
                </c:pt>
                <c:pt idx="5">
                  <c:v>922.07617050793579</c:v>
                </c:pt>
                <c:pt idx="6">
                  <c:v>547.63221743260306</c:v>
                </c:pt>
              </c:numCache>
            </c:numRef>
          </c:val>
          <c:extLst>
            <c:ext xmlns:c16="http://schemas.microsoft.com/office/drawing/2014/chart" uri="{C3380CC4-5D6E-409C-BE32-E72D297353CC}">
              <c16:uniqueId val="{00000001-5D7B-472A-8B76-D55DE90B483E}"/>
            </c:ext>
          </c:extLst>
        </c:ser>
        <c:ser>
          <c:idx val="2"/>
          <c:order val="2"/>
          <c:tx>
            <c:strRef>
              <c:f>P!$I$28</c:f>
              <c:strCache>
                <c:ptCount val="1"/>
                <c:pt idx="0">
                  <c:v>Oil HOB</c:v>
                </c:pt>
              </c:strCache>
            </c:strRef>
          </c:tx>
          <c:spPr>
            <a:solidFill>
              <a:schemeClr val="bg1">
                <a:lumMod val="50000"/>
              </a:schemeClr>
            </a:solidFill>
            <a:ln>
              <a:noFill/>
            </a:ln>
            <a:effectLst/>
          </c:spPr>
          <c:invertIfNegative val="0"/>
          <c:cat>
            <c:strRef>
              <c:f>P!$A$29:$A$35</c:f>
              <c:strCache>
                <c:ptCount val="7"/>
                <c:pt idx="0">
                  <c:v>North</c:v>
                </c:pt>
                <c:pt idx="1">
                  <c:v>West</c:v>
                </c:pt>
                <c:pt idx="2">
                  <c:v>Center</c:v>
                </c:pt>
                <c:pt idx="3">
                  <c:v>East</c:v>
                </c:pt>
                <c:pt idx="4">
                  <c:v>South West</c:v>
                </c:pt>
                <c:pt idx="5">
                  <c:v>South East</c:v>
                </c:pt>
                <c:pt idx="6">
                  <c:v>Uusimaa</c:v>
                </c:pt>
              </c:strCache>
            </c:strRef>
          </c:cat>
          <c:val>
            <c:numRef>
              <c:f>P!$I$29:$I$35</c:f>
              <c:numCache>
                <c:formatCode>#,##0</c:formatCode>
                <c:ptCount val="7"/>
                <c:pt idx="0">
                  <c:v>754.4</c:v>
                </c:pt>
                <c:pt idx="1">
                  <c:v>832.3</c:v>
                </c:pt>
                <c:pt idx="2">
                  <c:v>226.6</c:v>
                </c:pt>
                <c:pt idx="3">
                  <c:v>1557.4</c:v>
                </c:pt>
                <c:pt idx="4">
                  <c:v>1099.8</c:v>
                </c:pt>
                <c:pt idx="5">
                  <c:v>215.70000000000002</c:v>
                </c:pt>
                <c:pt idx="6">
                  <c:v>1135.3</c:v>
                </c:pt>
              </c:numCache>
            </c:numRef>
          </c:val>
          <c:extLst>
            <c:ext xmlns:c16="http://schemas.microsoft.com/office/drawing/2014/chart" uri="{C3380CC4-5D6E-409C-BE32-E72D297353CC}">
              <c16:uniqueId val="{00000002-5D7B-472A-8B76-D55DE90B483E}"/>
            </c:ext>
          </c:extLst>
        </c:ser>
        <c:ser>
          <c:idx val="3"/>
          <c:order val="3"/>
          <c:tx>
            <c:strRef>
              <c:f>P!$J$28</c:f>
              <c:strCache>
                <c:ptCount val="1"/>
                <c:pt idx="0">
                  <c:v>Gas HOB</c:v>
                </c:pt>
              </c:strCache>
            </c:strRef>
          </c:tx>
          <c:spPr>
            <a:solidFill>
              <a:schemeClr val="bg1">
                <a:lumMod val="75000"/>
              </a:schemeClr>
            </a:solidFill>
            <a:ln>
              <a:noFill/>
            </a:ln>
            <a:effectLst/>
          </c:spPr>
          <c:invertIfNegative val="0"/>
          <c:cat>
            <c:strRef>
              <c:f>P!$A$29:$A$35</c:f>
              <c:strCache>
                <c:ptCount val="7"/>
                <c:pt idx="0">
                  <c:v>North</c:v>
                </c:pt>
                <c:pt idx="1">
                  <c:v>West</c:v>
                </c:pt>
                <c:pt idx="2">
                  <c:v>Center</c:v>
                </c:pt>
                <c:pt idx="3">
                  <c:v>East</c:v>
                </c:pt>
                <c:pt idx="4">
                  <c:v>South West</c:v>
                </c:pt>
                <c:pt idx="5">
                  <c:v>South East</c:v>
                </c:pt>
                <c:pt idx="6">
                  <c:v>Uusimaa</c:v>
                </c:pt>
              </c:strCache>
            </c:strRef>
          </c:cat>
          <c:val>
            <c:numRef>
              <c:f>P!$J$29:$J$35</c:f>
              <c:numCache>
                <c:formatCode>#,##0</c:formatCode>
                <c:ptCount val="7"/>
                <c:pt idx="0">
                  <c:v>1</c:v>
                </c:pt>
                <c:pt idx="1">
                  <c:v>0</c:v>
                </c:pt>
                <c:pt idx="2">
                  <c:v>149.9</c:v>
                </c:pt>
                <c:pt idx="3">
                  <c:v>343.1</c:v>
                </c:pt>
                <c:pt idx="4">
                  <c:v>169.3</c:v>
                </c:pt>
                <c:pt idx="5">
                  <c:v>914.79999999999984</c:v>
                </c:pt>
                <c:pt idx="6">
                  <c:v>2606.4</c:v>
                </c:pt>
              </c:numCache>
            </c:numRef>
          </c:val>
          <c:extLst>
            <c:ext xmlns:c16="http://schemas.microsoft.com/office/drawing/2014/chart" uri="{C3380CC4-5D6E-409C-BE32-E72D297353CC}">
              <c16:uniqueId val="{00000003-5D7B-472A-8B76-D55DE90B483E}"/>
            </c:ext>
          </c:extLst>
        </c:ser>
        <c:ser>
          <c:idx val="4"/>
          <c:order val="4"/>
          <c:tx>
            <c:strRef>
              <c:f>P!$M$28</c:f>
              <c:strCache>
                <c:ptCount val="1"/>
                <c:pt idx="0">
                  <c:v>Bio HOB</c:v>
                </c:pt>
              </c:strCache>
            </c:strRef>
          </c:tx>
          <c:spPr>
            <a:solidFill>
              <a:schemeClr val="accent6">
                <a:lumMod val="60000"/>
                <a:lumOff val="40000"/>
              </a:schemeClr>
            </a:solidFill>
            <a:ln>
              <a:noFill/>
            </a:ln>
            <a:effectLst/>
          </c:spPr>
          <c:invertIfNegative val="0"/>
          <c:cat>
            <c:strRef>
              <c:f>P!$A$29:$A$35</c:f>
              <c:strCache>
                <c:ptCount val="7"/>
                <c:pt idx="0">
                  <c:v>North</c:v>
                </c:pt>
                <c:pt idx="1">
                  <c:v>West</c:v>
                </c:pt>
                <c:pt idx="2">
                  <c:v>Center</c:v>
                </c:pt>
                <c:pt idx="3">
                  <c:v>East</c:v>
                </c:pt>
                <c:pt idx="4">
                  <c:v>South West</c:v>
                </c:pt>
                <c:pt idx="5">
                  <c:v>South East</c:v>
                </c:pt>
                <c:pt idx="6">
                  <c:v>Uusimaa</c:v>
                </c:pt>
              </c:strCache>
            </c:strRef>
          </c:cat>
          <c:val>
            <c:numRef>
              <c:f>P!$M$29:$M$35</c:f>
              <c:numCache>
                <c:formatCode>#,##0</c:formatCode>
                <c:ptCount val="7"/>
                <c:pt idx="0">
                  <c:v>592.4</c:v>
                </c:pt>
                <c:pt idx="1">
                  <c:v>582.20000000000005</c:v>
                </c:pt>
                <c:pt idx="2">
                  <c:v>240.80000000000004</c:v>
                </c:pt>
                <c:pt idx="3">
                  <c:v>658.10000000000014</c:v>
                </c:pt>
                <c:pt idx="4">
                  <c:v>385.2</c:v>
                </c:pt>
                <c:pt idx="5">
                  <c:v>164.20000000000002</c:v>
                </c:pt>
                <c:pt idx="6">
                  <c:v>1018.4</c:v>
                </c:pt>
              </c:numCache>
            </c:numRef>
          </c:val>
          <c:extLst>
            <c:ext xmlns:c16="http://schemas.microsoft.com/office/drawing/2014/chart" uri="{C3380CC4-5D6E-409C-BE32-E72D297353CC}">
              <c16:uniqueId val="{00000004-5D7B-472A-8B76-D55DE90B483E}"/>
            </c:ext>
          </c:extLst>
        </c:ser>
        <c:ser>
          <c:idx val="5"/>
          <c:order val="5"/>
          <c:tx>
            <c:strRef>
              <c:f>P!$N$28</c:f>
              <c:strCache>
                <c:ptCount val="1"/>
                <c:pt idx="0">
                  <c:v>Electric boiler</c:v>
                </c:pt>
              </c:strCache>
            </c:strRef>
          </c:tx>
          <c:spPr>
            <a:solidFill>
              <a:srgbClr val="7030A0"/>
            </a:solidFill>
            <a:ln>
              <a:noFill/>
            </a:ln>
            <a:effectLst/>
          </c:spPr>
          <c:invertIfNegative val="0"/>
          <c:cat>
            <c:strRef>
              <c:f>P!$A$29:$A$35</c:f>
              <c:strCache>
                <c:ptCount val="7"/>
                <c:pt idx="0">
                  <c:v>North</c:v>
                </c:pt>
                <c:pt idx="1">
                  <c:v>West</c:v>
                </c:pt>
                <c:pt idx="2">
                  <c:v>Center</c:v>
                </c:pt>
                <c:pt idx="3">
                  <c:v>East</c:v>
                </c:pt>
                <c:pt idx="4">
                  <c:v>South West</c:v>
                </c:pt>
                <c:pt idx="5">
                  <c:v>South East</c:v>
                </c:pt>
                <c:pt idx="6">
                  <c:v>Uusimaa</c:v>
                </c:pt>
              </c:strCache>
            </c:strRef>
          </c:cat>
          <c:val>
            <c:numRef>
              <c:f>P!$N$29:$N$35</c:f>
              <c:numCache>
                <c:formatCode>#,##0</c:formatCode>
                <c:ptCount val="7"/>
                <c:pt idx="0">
                  <c:v>200</c:v>
                </c:pt>
                <c:pt idx="1">
                  <c:v>545</c:v>
                </c:pt>
                <c:pt idx="2">
                  <c:v>0.3</c:v>
                </c:pt>
                <c:pt idx="3">
                  <c:v>460</c:v>
                </c:pt>
                <c:pt idx="4">
                  <c:v>92.6</c:v>
                </c:pt>
                <c:pt idx="5">
                  <c:v>160</c:v>
                </c:pt>
                <c:pt idx="6">
                  <c:v>910</c:v>
                </c:pt>
              </c:numCache>
            </c:numRef>
          </c:val>
          <c:extLst>
            <c:ext xmlns:c16="http://schemas.microsoft.com/office/drawing/2014/chart" uri="{C3380CC4-5D6E-409C-BE32-E72D297353CC}">
              <c16:uniqueId val="{00000005-5D7B-472A-8B76-D55DE90B483E}"/>
            </c:ext>
          </c:extLst>
        </c:ser>
        <c:ser>
          <c:idx val="6"/>
          <c:order val="6"/>
          <c:tx>
            <c:strRef>
              <c:f>P!$O$28</c:f>
              <c:strCache>
                <c:ptCount val="1"/>
                <c:pt idx="0">
                  <c:v>Heat pump</c:v>
                </c:pt>
              </c:strCache>
            </c:strRef>
          </c:tx>
          <c:spPr>
            <a:solidFill>
              <a:srgbClr val="CC00FF"/>
            </a:solidFill>
            <a:ln>
              <a:noFill/>
            </a:ln>
            <a:effectLst/>
          </c:spPr>
          <c:invertIfNegative val="0"/>
          <c:cat>
            <c:strRef>
              <c:f>P!$A$29:$A$35</c:f>
              <c:strCache>
                <c:ptCount val="7"/>
                <c:pt idx="0">
                  <c:v>North</c:v>
                </c:pt>
                <c:pt idx="1">
                  <c:v>West</c:v>
                </c:pt>
                <c:pt idx="2">
                  <c:v>Center</c:v>
                </c:pt>
                <c:pt idx="3">
                  <c:v>East</c:v>
                </c:pt>
                <c:pt idx="4">
                  <c:v>South West</c:v>
                </c:pt>
                <c:pt idx="5">
                  <c:v>South East</c:v>
                </c:pt>
                <c:pt idx="6">
                  <c:v>Uusimaa</c:v>
                </c:pt>
              </c:strCache>
            </c:strRef>
          </c:cat>
          <c:val>
            <c:numRef>
              <c:f>P!$O$29:$O$35</c:f>
              <c:numCache>
                <c:formatCode>#,##0</c:formatCode>
                <c:ptCount val="7"/>
                <c:pt idx="0">
                  <c:v>7.3000000000000007</c:v>
                </c:pt>
                <c:pt idx="1">
                  <c:v>34.700000000000003</c:v>
                </c:pt>
                <c:pt idx="2">
                  <c:v>3.5</c:v>
                </c:pt>
                <c:pt idx="3">
                  <c:v>50.9</c:v>
                </c:pt>
                <c:pt idx="4">
                  <c:v>83</c:v>
                </c:pt>
                <c:pt idx="5">
                  <c:v>64.8</c:v>
                </c:pt>
                <c:pt idx="6">
                  <c:v>687.30000000000007</c:v>
                </c:pt>
              </c:numCache>
            </c:numRef>
          </c:val>
          <c:extLst>
            <c:ext xmlns:c16="http://schemas.microsoft.com/office/drawing/2014/chart" uri="{C3380CC4-5D6E-409C-BE32-E72D297353CC}">
              <c16:uniqueId val="{00000006-5D7B-472A-8B76-D55DE90B483E}"/>
            </c:ext>
          </c:extLst>
        </c:ser>
        <c:ser>
          <c:idx val="7"/>
          <c:order val="7"/>
          <c:tx>
            <c:strRef>
              <c:f>P!$S$28</c:f>
              <c:strCache>
                <c:ptCount val="1"/>
                <c:pt idx="0">
                  <c:v>Heat storage </c:v>
                </c:pt>
              </c:strCache>
            </c:strRef>
          </c:tx>
          <c:spPr>
            <a:solidFill>
              <a:srgbClr val="FFC000"/>
            </a:solidFill>
            <a:ln>
              <a:noFill/>
            </a:ln>
            <a:effectLst/>
          </c:spPr>
          <c:invertIfNegative val="0"/>
          <c:cat>
            <c:strRef>
              <c:f>P!$A$29:$A$35</c:f>
              <c:strCache>
                <c:ptCount val="7"/>
                <c:pt idx="0">
                  <c:v>North</c:v>
                </c:pt>
                <c:pt idx="1">
                  <c:v>West</c:v>
                </c:pt>
                <c:pt idx="2">
                  <c:v>Center</c:v>
                </c:pt>
                <c:pt idx="3">
                  <c:v>East</c:v>
                </c:pt>
                <c:pt idx="4">
                  <c:v>South West</c:v>
                </c:pt>
                <c:pt idx="5">
                  <c:v>South East</c:v>
                </c:pt>
                <c:pt idx="6">
                  <c:v>Uusimaa</c:v>
                </c:pt>
              </c:strCache>
            </c:strRef>
          </c:cat>
          <c:val>
            <c:numRef>
              <c:f>P!$S$29:$S$35</c:f>
              <c:numCache>
                <c:formatCode>#,##0</c:formatCode>
                <c:ptCount val="7"/>
                <c:pt idx="0">
                  <c:v>196</c:v>
                </c:pt>
                <c:pt idx="1">
                  <c:v>278</c:v>
                </c:pt>
                <c:pt idx="2">
                  <c:v>3.5</c:v>
                </c:pt>
                <c:pt idx="3">
                  <c:v>335</c:v>
                </c:pt>
                <c:pt idx="4">
                  <c:v>133</c:v>
                </c:pt>
                <c:pt idx="5">
                  <c:v>190</c:v>
                </c:pt>
                <c:pt idx="6">
                  <c:v>1170</c:v>
                </c:pt>
              </c:numCache>
            </c:numRef>
          </c:val>
          <c:extLst>
            <c:ext xmlns:c16="http://schemas.microsoft.com/office/drawing/2014/chart" uri="{C3380CC4-5D6E-409C-BE32-E72D297353CC}">
              <c16:uniqueId val="{00000007-5D7B-472A-8B76-D55DE90B483E}"/>
            </c:ext>
          </c:extLst>
        </c:ser>
        <c:dLbls>
          <c:showLegendKey val="0"/>
          <c:showVal val="0"/>
          <c:showCatName val="0"/>
          <c:showSerName val="0"/>
          <c:showPercent val="0"/>
          <c:showBubbleSize val="0"/>
        </c:dLbls>
        <c:gapWidth val="50"/>
        <c:overlap val="100"/>
        <c:axId val="1426607487"/>
        <c:axId val="868735439"/>
      </c:barChart>
      <c:catAx>
        <c:axId val="14266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35439"/>
        <c:crosses val="autoZero"/>
        <c:auto val="1"/>
        <c:lblAlgn val="ctr"/>
        <c:lblOffset val="100"/>
        <c:noMultiLvlLbl val="0"/>
      </c:catAx>
      <c:valAx>
        <c:axId val="868735439"/>
        <c:scaling>
          <c:orientation val="minMax"/>
        </c:scaling>
        <c:delete val="0"/>
        <c:axPos val="l"/>
        <c:majorGridlines>
          <c:spPr>
            <a:ln w="9525" cap="flat" cmpd="sng" algn="ctr">
              <a:solidFill>
                <a:schemeClr val="bg1">
                  <a:lumMod val="50000"/>
                </a:schemeClr>
              </a:solidFill>
              <a:round/>
            </a:ln>
            <a:effectLst/>
          </c:spPr>
        </c:majorGridlines>
        <c:minorGridlines>
          <c:spPr>
            <a:ln w="9525" cap="flat" cmpd="sng" algn="ctr">
              <a:solidFill>
                <a:schemeClr val="bg1">
                  <a:lumMod val="7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60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30480</xdr:rowOff>
    </xdr:from>
    <xdr:to>
      <xdr:col>2</xdr:col>
      <xdr:colOff>1262708</xdr:colOff>
      <xdr:row>54</xdr:row>
      <xdr:rowOff>182879</xdr:rowOff>
    </xdr:to>
    <xdr:pic>
      <xdr:nvPicPr>
        <xdr:cNvPr id="2" name="Picture 1">
          <a:extLst>
            <a:ext uri="{FF2B5EF4-FFF2-40B4-BE49-F238E27FC236}">
              <a16:creationId xmlns:a16="http://schemas.microsoft.com/office/drawing/2014/main" id="{98742808-7527-C059-8104-F72748C2DA23}"/>
            </a:ext>
          </a:extLst>
        </xdr:cNvPr>
        <xdr:cNvPicPr>
          <a:picLocks noChangeAspect="1"/>
        </xdr:cNvPicPr>
      </xdr:nvPicPr>
      <xdr:blipFill>
        <a:blip xmlns:r="http://schemas.openxmlformats.org/officeDocument/2006/relationships" r:embed="rId1"/>
        <a:stretch>
          <a:fillRect/>
        </a:stretch>
      </xdr:blipFill>
      <xdr:spPr>
        <a:xfrm>
          <a:off x="0" y="4053840"/>
          <a:ext cx="3563948" cy="60045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581025</xdr:colOff>
      <xdr:row>42</xdr:row>
      <xdr:rowOff>161925</xdr:rowOff>
    </xdr:from>
    <xdr:to>
      <xdr:col>22</xdr:col>
      <xdr:colOff>245025</xdr:colOff>
      <xdr:row>61</xdr:row>
      <xdr:rowOff>76200</xdr:rowOff>
    </xdr:to>
    <xdr:graphicFrame macro="">
      <xdr:nvGraphicFramePr>
        <xdr:cNvPr id="8" name="Chart 7">
          <a:extLst>
            <a:ext uri="{FF2B5EF4-FFF2-40B4-BE49-F238E27FC236}">
              <a16:creationId xmlns:a16="http://schemas.microsoft.com/office/drawing/2014/main" id="{1B286D1F-A219-4213-8599-7173389A9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133350</xdr:colOff>
      <xdr:row>63</xdr:row>
      <xdr:rowOff>47625</xdr:rowOff>
    </xdr:from>
    <xdr:to>
      <xdr:col>22</xdr:col>
      <xdr:colOff>574950</xdr:colOff>
      <xdr:row>78</xdr:row>
      <xdr:rowOff>0</xdr:rowOff>
    </xdr:to>
    <xdr:graphicFrame macro="">
      <xdr:nvGraphicFramePr>
        <xdr:cNvPr id="9" name="Chart 8">
          <a:extLst>
            <a:ext uri="{FF2B5EF4-FFF2-40B4-BE49-F238E27FC236}">
              <a16:creationId xmlns:a16="http://schemas.microsoft.com/office/drawing/2014/main" id="{04B86BD1-C779-4496-AFCE-ADDAFCB83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462915</xdr:colOff>
      <xdr:row>85</xdr:row>
      <xdr:rowOff>95250</xdr:rowOff>
    </xdr:from>
    <xdr:to>
      <xdr:col>22</xdr:col>
      <xdr:colOff>266699</xdr:colOff>
      <xdr:row>96</xdr:row>
      <xdr:rowOff>100013</xdr:rowOff>
    </xdr:to>
    <xdr:graphicFrame macro="">
      <xdr:nvGraphicFramePr>
        <xdr:cNvPr id="3" name="Chart 2">
          <a:extLst>
            <a:ext uri="{FF2B5EF4-FFF2-40B4-BE49-F238E27FC236}">
              <a16:creationId xmlns:a16="http://schemas.microsoft.com/office/drawing/2014/main" id="{077BA5F3-FE6C-44B0-87F0-468DDDC02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561975</xdr:colOff>
      <xdr:row>6</xdr:row>
      <xdr:rowOff>80962</xdr:rowOff>
    </xdr:from>
    <xdr:to>
      <xdr:col>28</xdr:col>
      <xdr:colOff>283575</xdr:colOff>
      <xdr:row>12</xdr:row>
      <xdr:rowOff>17962</xdr:rowOff>
    </xdr:to>
    <xdr:graphicFrame macro="">
      <xdr:nvGraphicFramePr>
        <xdr:cNvPr id="2" name="Chart 1">
          <a:extLst>
            <a:ext uri="{FF2B5EF4-FFF2-40B4-BE49-F238E27FC236}">
              <a16:creationId xmlns:a16="http://schemas.microsoft.com/office/drawing/2014/main" id="{0B814151-D66B-5713-EF14-EB144BF37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509587</xdr:colOff>
      <xdr:row>23</xdr:row>
      <xdr:rowOff>80962</xdr:rowOff>
    </xdr:from>
    <xdr:to>
      <xdr:col>28</xdr:col>
      <xdr:colOff>411187</xdr:colOff>
      <xdr:row>82</xdr:row>
      <xdr:rowOff>262462</xdr:rowOff>
    </xdr:to>
    <xdr:graphicFrame macro="">
      <xdr:nvGraphicFramePr>
        <xdr:cNvPr id="4" name="Chart 3">
          <a:extLst>
            <a:ext uri="{FF2B5EF4-FFF2-40B4-BE49-F238E27FC236}">
              <a16:creationId xmlns:a16="http://schemas.microsoft.com/office/drawing/2014/main" id="{2EB34438-16AA-B981-87D9-A0B52A9E2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581025</xdr:colOff>
      <xdr:row>84</xdr:row>
      <xdr:rowOff>142875</xdr:rowOff>
    </xdr:from>
    <xdr:to>
      <xdr:col>28</xdr:col>
      <xdr:colOff>482625</xdr:colOff>
      <xdr:row>93</xdr:row>
      <xdr:rowOff>104775</xdr:rowOff>
    </xdr:to>
    <xdr:graphicFrame macro="">
      <xdr:nvGraphicFramePr>
        <xdr:cNvPr id="5" name="Chart 4">
          <a:extLst>
            <a:ext uri="{FF2B5EF4-FFF2-40B4-BE49-F238E27FC236}">
              <a16:creationId xmlns:a16="http://schemas.microsoft.com/office/drawing/2014/main" id="{2216BA6C-450E-40B7-92F3-A711C62B2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25</xdr:col>
      <xdr:colOff>19051</xdr:colOff>
      <xdr:row>33</xdr:row>
      <xdr:rowOff>188596</xdr:rowOff>
    </xdr:from>
    <xdr:to>
      <xdr:col>30</xdr:col>
      <xdr:colOff>167641</xdr:colOff>
      <xdr:row>64</xdr:row>
      <xdr:rowOff>7588</xdr:rowOff>
    </xdr:to>
    <xdr:pic>
      <xdr:nvPicPr>
        <xdr:cNvPr id="2" name="Picture 1">
          <a:extLst>
            <a:ext uri="{FF2B5EF4-FFF2-40B4-BE49-F238E27FC236}">
              <a16:creationId xmlns:a16="http://schemas.microsoft.com/office/drawing/2014/main" id="{DB1B0650-C05F-449A-B5D8-0D8583063DB6}"/>
            </a:ext>
          </a:extLst>
        </xdr:cNvPr>
        <xdr:cNvPicPr>
          <a:picLocks noChangeAspect="1"/>
        </xdr:cNvPicPr>
      </xdr:nvPicPr>
      <xdr:blipFill>
        <a:blip xmlns:r="http://schemas.openxmlformats.org/officeDocument/2006/relationships" r:embed="rId1"/>
        <a:stretch>
          <a:fillRect/>
        </a:stretch>
      </xdr:blipFill>
      <xdr:spPr>
        <a:xfrm>
          <a:off x="15259051" y="6475096"/>
          <a:ext cx="3196590" cy="5724492"/>
        </a:xfrm>
        <a:prstGeom prst="rect">
          <a:avLst/>
        </a:prstGeom>
      </xdr:spPr>
    </xdr:pic>
    <xdr:clientData/>
  </xdr:twoCellAnchor>
  <xdr:twoCellAnchor editAs="oneCell">
    <xdr:from>
      <xdr:col>25</xdr:col>
      <xdr:colOff>0</xdr:colOff>
      <xdr:row>0</xdr:row>
      <xdr:rowOff>0</xdr:rowOff>
    </xdr:from>
    <xdr:to>
      <xdr:col>32</xdr:col>
      <xdr:colOff>394685</xdr:colOff>
      <xdr:row>26</xdr:row>
      <xdr:rowOff>180975</xdr:rowOff>
    </xdr:to>
    <xdr:pic>
      <xdr:nvPicPr>
        <xdr:cNvPr id="3" name="Picture 2" descr="Synertics - Bidding Zones">
          <a:extLst>
            <a:ext uri="{FF2B5EF4-FFF2-40B4-BE49-F238E27FC236}">
              <a16:creationId xmlns:a16="http://schemas.microsoft.com/office/drawing/2014/main" id="{48A660FC-44AB-412F-A341-71C00AC1CADE}"/>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4229" r="1" b="49594"/>
        <a:stretch>
          <a:fillRect/>
        </a:stretch>
      </xdr:blipFill>
      <xdr:spPr bwMode="auto">
        <a:xfrm>
          <a:off x="15240000" y="0"/>
          <a:ext cx="4661885" cy="513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0</xdr:colOff>
      <xdr:row>0</xdr:row>
      <xdr:rowOff>0</xdr:rowOff>
    </xdr:from>
    <xdr:to>
      <xdr:col>23</xdr:col>
      <xdr:colOff>467386</xdr:colOff>
      <xdr:row>35</xdr:row>
      <xdr:rowOff>10457</xdr:rowOff>
    </xdr:to>
    <xdr:pic>
      <xdr:nvPicPr>
        <xdr:cNvPr id="2" name="Picture 1">
          <a:extLst>
            <a:ext uri="{FF2B5EF4-FFF2-40B4-BE49-F238E27FC236}">
              <a16:creationId xmlns:a16="http://schemas.microsoft.com/office/drawing/2014/main" id="{D5F15F46-2ADB-44D5-8227-70A39ABE5FDB}"/>
            </a:ext>
          </a:extLst>
        </xdr:cNvPr>
        <xdr:cNvPicPr>
          <a:picLocks noChangeAspect="1"/>
        </xdr:cNvPicPr>
      </xdr:nvPicPr>
      <xdr:blipFill>
        <a:blip xmlns:r="http://schemas.openxmlformats.org/officeDocument/2006/relationships" r:embed="rId1"/>
        <a:stretch>
          <a:fillRect/>
        </a:stretch>
      </xdr:blipFill>
      <xdr:spPr>
        <a:xfrm>
          <a:off x="9953625" y="0"/>
          <a:ext cx="4734586" cy="66779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114300</xdr:colOff>
      <xdr:row>11</xdr:row>
      <xdr:rowOff>175260</xdr:rowOff>
    </xdr:from>
    <xdr:to>
      <xdr:col>9</xdr:col>
      <xdr:colOff>327300</xdr:colOff>
      <xdr:row>25</xdr:row>
      <xdr:rowOff>134940</xdr:rowOff>
    </xdr:to>
    <xdr:graphicFrame macro="">
      <xdr:nvGraphicFramePr>
        <xdr:cNvPr id="2" name="Chart 1">
          <a:extLst>
            <a:ext uri="{FF2B5EF4-FFF2-40B4-BE49-F238E27FC236}">
              <a16:creationId xmlns:a16="http://schemas.microsoft.com/office/drawing/2014/main" id="{CE38C70B-E6EC-EE45-0016-B2CAFD0A8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175260</xdr:rowOff>
    </xdr:from>
    <xdr:to>
      <xdr:col>4</xdr:col>
      <xdr:colOff>103140</xdr:colOff>
      <xdr:row>25</xdr:row>
      <xdr:rowOff>134940</xdr:rowOff>
    </xdr:to>
    <xdr:graphicFrame macro="">
      <xdr:nvGraphicFramePr>
        <xdr:cNvPr id="3" name="Chart 2">
          <a:extLst>
            <a:ext uri="{FF2B5EF4-FFF2-40B4-BE49-F238E27FC236}">
              <a16:creationId xmlns:a16="http://schemas.microsoft.com/office/drawing/2014/main" id="{EBCAC09C-DA78-4083-9555-92FFCB4EA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335280</xdr:colOff>
      <xdr:row>11</xdr:row>
      <xdr:rowOff>179070</xdr:rowOff>
    </xdr:from>
    <xdr:to>
      <xdr:col>15</xdr:col>
      <xdr:colOff>91080</xdr:colOff>
      <xdr:row>25</xdr:row>
      <xdr:rowOff>138750</xdr:rowOff>
    </xdr:to>
    <xdr:graphicFrame macro="">
      <xdr:nvGraphicFramePr>
        <xdr:cNvPr id="4" name="Chart 3">
          <a:extLst>
            <a:ext uri="{FF2B5EF4-FFF2-40B4-BE49-F238E27FC236}">
              <a16:creationId xmlns:a16="http://schemas.microsoft.com/office/drawing/2014/main" id="{A7E3C117-CA90-BE98-E70D-FB27F1673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asiunas Justinas" id="{FE71752C-85C2-4EE2-8B65-793DCD6C885D}" userId="S::justinas.jasiunas@vtt.fi::c190a721-4a8b-4328-a850-ea6de092b83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44862B-8318-4958-811D-AFFC4E655F3A}" name="Region" displayName="Region" ref="A2:C21" totalsRowShown="0" headerRowDxfId="195">
  <autoFilter ref="A2:C21" xr:uid="{BE44862B-8318-4958-811D-AFFC4E655F3A}"/>
  <tableColumns count="3">
    <tableColumn id="1" xr3:uid="{333332FF-EB04-4086-BEAC-FE41D59F7C47}" name="Model" dataDxfId="194"/>
    <tableColumn id="2" xr3:uid="{B004BBAD-DF49-474A-A2FA-AD2F68E87E9F}" name="Administrative" dataDxfId="193"/>
    <tableColumn id="3" xr3:uid="{C89F303A-9979-44F1-A6B0-11FCE1220AC4}" name="Administrative (FI)" dataDxfId="19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8750910-C572-414D-B5DD-17857D8035FC}" name="Municipality" displayName="Municipality" ref="H2:K462" totalsRowShown="0" headerRowDxfId="191" dataDxfId="190">
  <autoFilter ref="H2:K462" xr:uid="{08750910-C572-414D-B5DD-17857D8035FC}"/>
  <tableColumns count="4">
    <tableColumn id="1" xr3:uid="{5C4596D6-CB38-4727-A3FC-1DF3DFDB842A}" name="Municipality" dataDxfId="189"/>
    <tableColumn id="2" xr3:uid="{1ED223CC-64B4-46D3-BEFE-245A15FEB5A6}" name="Region 1990" dataDxfId="188"/>
    <tableColumn id="3" xr3:uid="{C5475170-686C-495F-BC4A-2E49A58C8493}" name="Administrative" dataDxfId="187">
      <calculatedColumnFormula>IF(Municipality[[#This Row],[Region 1990]]=$M$13,$O$13,IF(Municipality[[#This Row],[Region 1990]]=$M$14,$O$14,Municipality[[#This Row],[Region 1990]]))</calculatedColumnFormula>
    </tableColumn>
    <tableColumn id="4" xr3:uid="{9F700FB9-4CD7-4DF5-A23C-80FC7D6A5D6F}" name="Model" dataDxfId="186">
      <calculatedColumnFormula>_xlfn.XLOOKUP(Municipality[[#This Row],[Administrative]],Region[Administrative (FI)],Region[Model],"")</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73EA1E-25BA-4D0B-84D6-D6D594C8810D}" name="P_H2" displayName="P_H2" ref="A34:G41" totalsRowShown="0" headerRowDxfId="185" dataDxfId="184">
  <autoFilter ref="A34:G41" xr:uid="{9873EA1E-25BA-4D0B-84D6-D6D594C8810D}"/>
  <tableColumns count="7">
    <tableColumn id="1" xr3:uid="{2F490FA8-18BD-4407-BF9E-C9B8047D7209}" name="Column1" dataDxfId="183"/>
    <tableColumn id="2" xr3:uid="{9E3C4F98-A9E4-4CD2-BFE8-2167B34996D2}" name="Electrolyser" dataDxfId="182">
      <calculatedColumnFormula>$E$8*B46/$B$54</calculatedColumnFormula>
    </tableColumn>
    <tableColumn id="3" xr3:uid="{92AB6001-DE69-4836-8ECF-05DB4AA17CE6}" name="Demand" dataDxfId="181">
      <calculatedColumnFormula>$E$23*D_el!$K88/(D_el!$K$95-D_el!$K$91)</calculatedColumnFormula>
    </tableColumn>
    <tableColumn id="4" xr3:uid="{52C6A270-233C-41FA-BD45-BE22E3171B1B}" name="Store_short" dataDxfId="180">
      <calculatedColumnFormula>$E$24*D_el!$K88/(D_el!$K$95-D_el!$K$91)</calculatedColumnFormula>
    </tableColumn>
    <tableColumn id="5" xr3:uid="{81DB4133-D365-4237-8C95-96AE1E97C20D}" name="Store_long_in" dataDxfId="179">
      <calculatedColumnFormula>$E$25*D_el!$K88/(D_el!$K$95-D_el!$K$91)</calculatedColumnFormula>
    </tableColumn>
    <tableColumn id="6" xr3:uid="{4D5AAAFB-C784-49ED-9539-89F15812BF1B}" name="Store_long_out" dataDxfId="178">
      <calculatedColumnFormula>$E$26*D_el!$K88/(D_el!$K$95-D_el!$K$91)</calculatedColumnFormula>
    </tableColumn>
    <tableColumn id="7" xr3:uid="{4E08D788-E1BE-4628-9356-C898A1332369}" name="Valve" dataDxfId="177">
      <calculatedColumnFormula>P_H2[[#This Row],[Demand]]/0.00876*1.01</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F194A-8631-41D9-9A95-FA4B24FAF420}" name="P_el" displayName="P_el" ref="A15:G270" totalsRowShown="0" headerRowDxfId="176" dataDxfId="175">
  <autoFilter ref="A15:G270" xr:uid="{5E5F194A-8631-41D9-9A95-FA4B24FAF420}"/>
  <tableColumns count="7">
    <tableColumn id="1" xr3:uid="{7F4076E1-57F5-4565-922B-77DD407BACB6}" name="Name" dataDxfId="174"/>
    <tableColumn id="2" xr3:uid="{0DFAF130-DCAA-49A7-8757-D10A0B11E46A}" name="Location" dataDxfId="173"/>
    <tableColumn id="3" xr3:uid="{69965991-26FC-491F-A908-4526445BA278}" name="Type" dataDxfId="172"/>
    <tableColumn id="4" xr3:uid="{A1ACF938-749A-470E-9F33-B2EB251300A6}" name="Capacity" dataDxfId="171"/>
    <tableColumn id="5" xr3:uid="{975B93F8-2A6B-455C-8331-8F196B4DD38C}" name="Region 1" dataDxfId="170"/>
    <tableColumn id="7" xr3:uid="{9A9DD3B4-6012-47E6-AE7F-A6CB84F8EF21}" name="Region 2" dataDxfId="169"/>
    <tableColumn id="6" xr3:uid="{F02D0F46-0227-4874-A791-BBF829B44A2B}" name="Basis" dataDxfId="168"/>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45B443-ACDF-482E-91E7-03279C74FAEB}" name="P_el_2" displayName="P_el_2" ref="I15:N33" totalsRowShown="0" headerRowDxfId="167" dataDxfId="166">
  <autoFilter ref="I15:N33" xr:uid="{B745B443-ACDF-482E-91E7-03279C74FAEB}"/>
  <tableColumns count="6">
    <tableColumn id="1" xr3:uid="{E86DE0FD-5F5A-41AA-A8B2-601F853297C8}" name="Region" dataDxfId="165"/>
    <tableColumn id="2" xr3:uid="{A7D7EC6D-79B8-4EC2-A302-298E502D3B52}" name="Nuclear" dataDxfId="164">
      <calculatedColumnFormula>SUMIFS(P_el[Capacity], P_el[Type], J$15, P_el[Region 1], P_el_2[[#This Row],[Region]])</calculatedColumnFormula>
    </tableColumn>
    <tableColumn id="3" xr3:uid="{0E2CFE00-E4AD-4B09-B357-7F0A698C400C}" name="Wind" dataDxfId="163">
      <calculatedColumnFormula>SUMIFS(P_el[Capacity], P_el[Type], K$15, P_el[Region 1], P_el_2[[#This Row],[Region]])</calculatedColumnFormula>
    </tableColumn>
    <tableColumn id="4" xr3:uid="{20925CB1-B560-4569-85AF-957549995520}" name="Thermal" dataDxfId="162">
      <calculatedColumnFormula>SUMIFS(P_el[Capacity], P_el[Type], L$15, P_el[Region 1], P_el_2[[#This Row],[Region]])</calculatedColumnFormula>
    </tableColumn>
    <tableColumn id="5" xr3:uid="{FB6B7A86-92D4-4D96-8159-F5C9D6693531}" name="Solar" dataDxfId="161">
      <calculatedColumnFormula>SUMIFS(P_el[Capacity], P_el[Type], M$15, P_el[Region 1], P_el_2[[#This Row],[Region]])</calculatedColumnFormula>
    </tableColumn>
    <tableColumn id="6" xr3:uid="{21CBDF51-9365-459C-8334-2093598D07F2}" name="Total" dataDxfId="160">
      <calculatedColumnFormula>SUM(P_el_2[[#This Row],[Nuclear]:[Thermal]])</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A3C5E4-C31E-486D-A545-C244525787DE}" name="P_el_3" displayName="P_el_3" ref="I37:M44" totalsRowShown="0" headerRowDxfId="159">
  <autoFilter ref="I37:M44" xr:uid="{65A3C5E4-C31E-486D-A545-C244525787DE}"/>
  <tableColumns count="5">
    <tableColumn id="1" xr3:uid="{2B6D336D-352B-4F8F-9880-25B0E8DE629F}" name="Region" dataDxfId="158"/>
    <tableColumn id="4" xr3:uid="{B780B3CD-0F54-4E1D-B297-722277946E6D}" name="Nuclear" dataDxfId="157">
      <calculatedColumnFormula array="1">SUM(_xlfn._xlws.FILTER(P_el_2[Nuclear],ISNUMBER(MATCH(P_el_2[Region],_xlfn._xlws.FILTER(Region[Administrative],Region[Model]=P_el_3[[#This Row],[Region]]),0))))</calculatedColumnFormula>
    </tableColumn>
    <tableColumn id="2" xr3:uid="{6FF34F2D-7E40-4216-870C-05EAF16A1EC7}" name="Wind" dataDxfId="156">
      <calculatedColumnFormula array="1">SUM(_xlfn._xlws.FILTER(P_el_2[Wind],ISNUMBER(MATCH(P_el_2[Region],_xlfn._xlws.FILTER(Region[Administrative],Region[Model]=P_el_3[[#This Row],[Region]]),0))))</calculatedColumnFormula>
    </tableColumn>
    <tableColumn id="3" xr3:uid="{37CDD96C-AA2A-468A-962B-F08804F9CD5B}" name="Thermal" dataDxfId="155">
      <calculatedColumnFormula array="1">SUM(_xlfn._xlws.FILTER(P_el_2[Thermal],ISNUMBER(MATCH(P_el_2[Region],_xlfn._xlws.FILTER(Region[Administrative],Region[Model]=P_el_3[[#This Row],[Region]]),0))))</calculatedColumnFormula>
    </tableColumn>
    <tableColumn id="5" xr3:uid="{A0F9C4A2-5448-4E28-B596-7193A323B8D7}" name="Solar" dataDxfId="154">
      <calculatedColumnFormula array="1">SUM(_xlfn._xlws.FILTER(P_el_2[Solar],ISNUMBER(MATCH(P_el_2[Region],_xlfn._xlws.FILTER(Region[Administrative],Region[Model]=P_el_3[[#This Row],[Region]]),0))))</calculatedColumnFormula>
    </tableColum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C1BADB-568F-4480-9F35-B31059B5D238}" name="P_el_S5_1" displayName="P_el_S5_1" ref="AA26:AD44" totalsRowShown="0" headerRowDxfId="153">
  <autoFilter ref="AA26:AD44" xr:uid="{5CC1BADB-568F-4480-9F35-B31059B5D238}"/>
  <tableColumns count="4">
    <tableColumn id="1" xr3:uid="{346D7B0D-8D3C-4A81-A65B-2064CC26F88F}" name="Region" dataDxfId="152"/>
    <tableColumn id="2" xr3:uid="{6C446B92-71FE-4489-93A9-00513680F618}" name="Regional" dataDxfId="151">
      <calculatedColumnFormula>AC27*$AD$29</calculatedColumnFormula>
    </tableColumn>
    <tableColumn id="3" xr3:uid="{219D84CB-0FE5-45CD-BFE7-0EBE0DE0061E}" name="Regional%" dataDxfId="150" dataCellStyle="Percent"/>
    <tableColumn id="4" xr3:uid="{6911B3E8-3D26-499D-A2FD-0FF786CE57AC}" name="National" dataDxfId="14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602FA53-D0E8-44FF-AF71-ABC271D638A9}" name="P_el_S5_2" displayName="P_el_S5_2" ref="AA48:AB55" totalsRowShown="0" headerRowDxfId="148" dataDxfId="147">
  <autoFilter ref="AA48:AB55" xr:uid="{6602FA53-D0E8-44FF-AF71-ABC271D638A9}"/>
  <tableColumns count="2">
    <tableColumn id="1" xr3:uid="{443A2EF1-F5F9-4192-9DC9-315146875111}" name="Region" dataDxfId="146"/>
    <tableColumn id="2" xr3:uid="{8DD55727-A46C-4374-B04F-8FF1E52C88C1}" name="Capacity" dataDxfId="145">
      <calculatedColumnFormula array="1">SUM(_xlfn._xlws.FILTER(P_el_S5_1[Regional],ISNUMBER(MATCH(P_el_S5_1[Region],_xlfn._xlws.FILTER(Region[Administrative],Region[Model]=P_el_S5_2[[#This Row],[Region]]),0))))</calculatedColumnFormula>
    </tableColum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E86FD4-2D7B-4600-87A3-D38AB4515274}" name="Battery" displayName="Battery" ref="AT7:AV14" totalsRowShown="0" headerRowDxfId="144">
  <autoFilter ref="AT7:AV14" xr:uid="{E6E86FD4-2D7B-4600-87A3-D38AB4515274}"/>
  <tableColumns count="3">
    <tableColumn id="1" xr3:uid="{1D8494B0-995A-4F43-8EB9-D455085F802A}" name="Region" dataDxfId="143"/>
    <tableColumn id="2" xr3:uid="{3FCA1E53-321E-47CD-A403-2550F9E73F8E}" name="non-CHP" dataDxfId="142">
      <calculatedColumnFormula>_xlfn.XLOOKUP(Battery[[#This Row],[Region]],P_el_final[Region],P_el_final[Total])+_xlfn.XLOOKUP(Battery[[#This Row],[Region]],P_hydro_3[Region],P_hydro_3[Capacity])</calculatedColumnFormula>
    </tableColumn>
    <tableColumn id="3" xr3:uid="{F63EF468-2FF9-4A95-88F9-6648CD452C8F}" name="Battery" dataDxfId="141">
      <calculatedColumnFormula>$AW$5*AU8/$AU$15</calculatedColumnFormula>
    </tableColum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621415F-F2E2-4BFC-B0CF-B0BAAAC10822}" name="P_el_final" displayName="P_el_final" ref="AF14:AM21" totalsRowShown="0" headerRowDxfId="140" dataDxfId="139">
  <autoFilter ref="AF14:AM21" xr:uid="{1621415F-F2E2-4BFC-B0CF-B0BAAAC10822}"/>
  <tableColumns count="8">
    <tableColumn id="1" xr3:uid="{D0B915B7-2937-409F-9534-68581334D910}" name="Region" dataDxfId="138"/>
    <tableColumn id="2" xr3:uid="{A75CBA32-9B3C-4C9B-8BBD-0CBEE5251792}" name="Nuclear" dataDxfId="137"/>
    <tableColumn id="3" xr3:uid="{47DC543B-4798-4AA2-A2CA-0C8C190C2D43}" name="Wind Onshore" dataDxfId="136">
      <calculatedColumnFormula>K38/$K$45*$R$5</calculatedColumnFormula>
    </tableColumn>
    <tableColumn id="4" xr3:uid="{7D19913F-E275-4ACE-9D82-EA3DDD902C43}" name="Wind Offshore" dataDxfId="135"/>
    <tableColumn id="5" xr3:uid="{29D63C9F-87C4-4EED-A4F4-F567EF232BAD}" name="Hard coal new bio" dataDxfId="134"/>
    <tableColumn id="6" xr3:uid="{61F2DBC8-ABD3-432A-BD8A-6724623BE06E}" name="Gass CCGT old 2" dataDxfId="133">
      <calculatedColumnFormula>L38-AJ15</calculatedColumnFormula>
    </tableColumn>
    <tableColumn id="7" xr3:uid="{2780A726-DD07-431B-91ED-AD5A894E1E05}" name="Solar" dataDxfId="132">
      <calculatedColumnFormula>AB49/$AB$56*$R$4</calculatedColumnFormula>
    </tableColumn>
    <tableColumn id="8" xr3:uid="{476CB984-B786-48F1-82CD-40F6F144214F}" name="Total" dataDxfId="131">
      <calculatedColumnFormula>SUM(AG15:AL15)</calculatedColumnFormula>
    </tableColum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BA331CE-D3B1-4A2E-B66F-24E0A489111B}" name="P_hydro_2" displayName="P_hydro_2" ref="G10:H28" totalsRowShown="0" headerRowDxfId="130">
  <autoFilter ref="G10:H28" xr:uid="{BBA331CE-D3B1-4A2E-B66F-24E0A489111B}"/>
  <tableColumns count="2">
    <tableColumn id="1" xr3:uid="{EA2A02E7-9DBF-4B92-8A24-0B8350424C02}" name="Region" dataDxfId="129"/>
    <tableColumn id="4" xr3:uid="{0706E766-2FA5-4325-BC60-96F0DA5DBF9D}" name="Capacity" dataDxfId="128">
      <calculatedColumnFormula>SUMIF($D$11:$D$69, G11, $C$11:$C$69)</calculatedColumnFormula>
    </tableColum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CB86A57-B678-455A-A576-37503CD9F000}" name="P_hydro_3" displayName="P_hydro_3" ref="J10:K17" totalsRowShown="0" headerRowDxfId="127">
  <autoFilter ref="J10:K17" xr:uid="{CCB86A57-B678-455A-A576-37503CD9F000}"/>
  <tableColumns count="2">
    <tableColumn id="1" xr3:uid="{8F55695D-D634-41A4-8109-C55EC7255074}" name="Region" dataDxfId="126"/>
    <tableColumn id="4" xr3:uid="{27AA6BDB-9EEF-4B3B-AA9B-09AE67C8E5AA}" name="Capacity" dataDxfId="125">
      <calculatedColumnFormula array="1">SUM(_xlfn._xlws.FILTER(P_hydro_2[Capacity],ISNUMBER(MATCH(P_hydro_2[Region],_xlfn._xlws.FILTER(Region[Administrative],Region[Model]=P_hydro_3[[#This Row],[Region]]),0))))</calculatedColumnFormula>
    </tableColum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1C197B-7A0D-44A2-A3DD-281F97867B49}" name="P_ind" displayName="P_ind" ref="A5:H75" totalsRowShown="0" headerRowDxfId="124" dataDxfId="123">
  <autoFilter ref="A5:H75" xr:uid="{FDE08183-CC1B-49C9-963E-7509F41C6A34}"/>
  <sortState xmlns:xlrd2="http://schemas.microsoft.com/office/spreadsheetml/2017/richdata2" ref="A6:G77">
    <sortCondition descending="1" ref="D5:D77"/>
  </sortState>
  <tableColumns count="8">
    <tableColumn id="1" xr3:uid="{2EE78666-4A36-4ADE-B25C-039E063C204B}" name="Name" dataDxfId="122"/>
    <tableColumn id="2" xr3:uid="{E0265CBD-B729-4CD1-B0F4-903CA11D8BFA}" name="Location" dataDxfId="121"/>
    <tableColumn id="3" xr3:uid="{5927EAA1-05B3-4D7C-8D67-DDC2719E1E9E}" name="Region" dataDxfId="120"/>
    <tableColumn id="5" xr3:uid="{590D505A-EEDE-416F-89B7-AED428F510D6}" name="Capacity" dataDxfId="119"/>
    <tableColumn id="6" xr3:uid="{2B8B3B07-1347-4959-B88E-C6EA45E5E048}" name="Main fuel" dataDxfId="118"/>
    <tableColumn id="7" xr3:uid="{CFFBA61D-3878-4536-8DA2-17584484705E}" name="Standby fuel 1" dataDxfId="117"/>
    <tableColumn id="8" xr3:uid="{B6CC7EF7-58A6-4AD6-877C-6CC197B598FD}" name="Standby fuel 2" dataDxfId="116"/>
    <tableColumn id="9" xr3:uid="{B8D6E265-7B6C-4DCC-B718-64996C1B7DE5}" name="Unit type" dataDxfId="115">
      <calculatedColumnFormula>IF(ISNUMBER(MATCH(P_ind[[#This Row],[Main fuel]],$J$29:$J$42,0)),"RE","non-RE")</calculatedColumnFormula>
    </tableColum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35918A1-06E8-433A-8F9E-DE2C70A05575}" name="P_chp_ind14" displayName="P_chp_ind14" ref="J44:L62" totalsRowShown="0" headerRowDxfId="114">
  <autoFilter ref="J44:L62" xr:uid="{F4005DBF-8922-4CB8-AA26-82543805E8ED}"/>
  <tableColumns count="3">
    <tableColumn id="1" xr3:uid="{B4261F10-0AD1-4291-B0BE-3337E679BB20}" name="Region" dataDxfId="113"/>
    <tableColumn id="2" xr3:uid="{2378EE75-53F6-420E-96A9-B81A7C3D587B}" name="RE" dataDxfId="112">
      <calculatedColumnFormula>SUMIFS(P_ind[Capacity], P_ind[Unit type], K$44, P_ind[Region], P_chp_ind14[[#This Row],[Region]])</calculatedColumnFormula>
    </tableColumn>
    <tableColumn id="3" xr3:uid="{47369599-C323-4A9C-A40C-0ADB8E412EC5}" name="non-RE" dataDxfId="111">
      <calculatedColumnFormula>SUMIFS(P_ind[Capacity], P_ind[Unit type], L$44, P_ind[Region], P_chp_ind14[[#This Row],[Region]])</calculatedColumnFormula>
    </tableColum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7533CEA-5A9F-4306-AE2E-2E5C1DDB1FA6}" name="P_chp_ind216" displayName="P_chp_ind216" ref="J65:L72" totalsRowShown="0" headerRowDxfId="110">
  <autoFilter ref="J65:L72" xr:uid="{58AD5D3F-A4DD-4E2F-8236-E45D6FF1F78A}"/>
  <tableColumns count="3">
    <tableColumn id="1" xr3:uid="{1D5BA847-4C80-4008-8098-1CA252FBE6B9}" name="Region" dataDxfId="109"/>
    <tableColumn id="2" xr3:uid="{5F7F9272-65DE-4DC1-9E07-7A2EAD014CCE}" name="RE" dataDxfId="108">
      <calculatedColumnFormula array="1">SUM(_xlfn._xlws.FILTER(P_chp_ind14[RE],ISNUMBER(MATCH(P_chp_ind14[Region],_xlfn._xlws.FILTER(Region[Administrative],Region[Model]=P_chp_ind216[[#This Row],[Region]]),0))))</calculatedColumnFormula>
    </tableColumn>
    <tableColumn id="3" xr3:uid="{AA20D9E7-154A-425B-9916-BD263330748B}" name="non-RE" dataDxfId="107">
      <calculatedColumnFormula array="1">SUM(_xlfn._xlws.FILTER(P_chp_ind14[non-RE],ISNUMBER(MATCH(P_chp_ind14[Region],_xlfn._xlws.FILTER(Region[Administrative],Region[Model]=P_chp_ind216[[#This Row],[Region]]),0))))</calculatedColumnFormula>
    </tableColum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FC2999-F487-4554-9612-AC1D67069D33}" name="P_ind_chp_2" displayName="P_ind_chp_2" ref="N23:P30" totalsRowShown="0" headerRowDxfId="106">
  <autoFilter ref="N23:P30" xr:uid="{72FC2999-F487-4554-9612-AC1D67069D33}"/>
  <tableColumns count="3">
    <tableColumn id="1" xr3:uid="{FF60426B-9E80-443D-993B-B591296E0F27}" name="Electric capacity" dataDxfId="105"/>
    <tableColumn id="2" xr3:uid="{F110B147-FC23-41C5-B163-C2C7E8C673B1}" name="RE" dataDxfId="104">
      <calculatedColumnFormula>M66-P24</calculatedColumnFormula>
    </tableColumn>
    <tableColumn id="3" xr3:uid="{60E7F68B-6FAF-4DC3-BFD1-1D5797D66787}" name="non-RE" dataDxfId="103"/>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DE08183-CC1B-49C9-963E-7509F41C6A34}" name="P_dh_chp" displayName="P_dh_chp" ref="A7:H66" totalsRowShown="0" headerRowDxfId="102" dataDxfId="101">
  <sortState xmlns:xlrd2="http://schemas.microsoft.com/office/spreadsheetml/2017/richdata2" ref="A8:G79">
    <sortCondition descending="1" ref="D7:D79"/>
  </sortState>
  <tableColumns count="8">
    <tableColumn id="1" xr3:uid="{70940690-4623-4EBA-A3EE-CCB5CB8AE3EB}" name="Name" dataDxfId="100"/>
    <tableColumn id="2" xr3:uid="{50811435-D3E6-496F-BD51-92708297785C}" name="Location" dataDxfId="99"/>
    <tableColumn id="3" xr3:uid="{5C56A402-D70D-420F-BC07-51556FE30E5A}" name="Region" dataDxfId="98"/>
    <tableColumn id="5" xr3:uid="{3F3E9A43-2E7A-4780-9822-038CD54B173C}" name="Capacity" dataDxfId="97"/>
    <tableColumn id="6" xr3:uid="{F8D6C7FB-A0C9-41D4-BC59-777FE3BEEED7}" name="Main fuel" dataDxfId="96"/>
    <tableColumn id="7" xr3:uid="{F1B6A9FD-C6CF-4C21-8B71-4E1954DB7147}" name="Standby fuel 1" dataDxfId="95"/>
    <tableColumn id="8" xr3:uid="{09E03024-3E0C-4EB2-BBC7-5C23DF233EBD}" name="Standby fuel 2" dataDxfId="94"/>
    <tableColumn id="9" xr3:uid="{E129DD2E-7673-4EEB-97BC-3FE149824F29}" name="Unit type" dataDxfId="93">
      <calculatedColumnFormula>_xlfn.XLOOKUP(P_dh_chp[[#This Row],[Main fuel]],$J$7:$J$21,$K$7:$K$21)</calculatedColumnFormula>
    </tableColum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4005DBF-8922-4CB8-AA26-82543805E8ED}" name="P_dh_chp_2" displayName="P_dh_chp_2" ref="J23:M41" totalsRowShown="0" headerRowDxfId="92">
  <autoFilter ref="J23:M41" xr:uid="{F4005DBF-8922-4CB8-AA26-82543805E8ED}"/>
  <tableColumns count="4">
    <tableColumn id="1" xr3:uid="{73395B54-C5A6-4939-8794-97500132BA0F}" name="Region" dataDxfId="91"/>
    <tableColumn id="2" xr3:uid="{0D18F70A-24EF-4411-B430-78F164923430}" name="Gas" dataDxfId="90">
      <calculatedColumnFormula>SUMIFS(P_dh_chp[Capacity], P_dh_chp[Unit type], K$23, P_dh_chp[Region], P_dh_chp_2[[#This Row],[Region]])</calculatedColumnFormula>
    </tableColumn>
    <tableColumn id="3" xr3:uid="{C8641F63-29BB-46C4-B00B-874A22AAB7C6}" name="Bio" dataDxfId="89">
      <calculatedColumnFormula>SUMIFS(P_dh_chp[Capacity], P_dh_chp[Unit type], L$23, P_dh_chp[Region], P_dh_chp_2[[#This Row],[Region]])</calculatedColumnFormula>
    </tableColumn>
    <tableColumn id="4" xr3:uid="{7E2A0847-4339-4284-8A79-144BEAB8C641}" name="Waste" dataDxfId="88">
      <calculatedColumnFormula>SUMIFS(P_dh_chp[Capacity], P_dh_chp[Unit type], M$23, P_dh_chp[Region], P_dh_chp_2[[#This Row],[Region]])</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AD5D3F-A4DD-4E2F-8236-E45D6FF1F78A}" name="P_chp_ind2" displayName="P_chp_ind2" ref="J45:M52" totalsRowShown="0" headerRowDxfId="87">
  <autoFilter ref="J45:M52" xr:uid="{58AD5D3F-A4DD-4E2F-8236-E45D6FF1F78A}"/>
  <tableColumns count="4">
    <tableColumn id="1" xr3:uid="{2B01F9EC-7C9A-4FF4-B1B5-1EE42272BC1C}" name="Region" dataDxfId="86"/>
    <tableColumn id="2" xr3:uid="{F7EE49B5-215E-4040-B5A2-8D4A5E1E0BA3}" name="Gas" dataDxfId="85">
      <calculatedColumnFormula array="1">SUM(_xlfn._xlws.FILTER(P_dh_chp_2[Gas],ISNUMBER(MATCH(P_dh_chp_2[Region],_xlfn._xlws.FILTER(Region[Administrative],Region[Model]=P_chp_ind2[[#This Row],[Region]]),0))))</calculatedColumnFormula>
    </tableColumn>
    <tableColumn id="3" xr3:uid="{2C38E9E3-2923-4096-ADEF-EDBF9503FACE}" name="Bio" dataDxfId="84">
      <calculatedColumnFormula array="1">SUM(_xlfn._xlws.FILTER(P_dh_chp_2[Bio],ISNUMBER(MATCH(P_dh_chp_2[Region],_xlfn._xlws.FILTER(Region[Administrative],Region[Model]=P_chp_ind2[[#This Row],[Region]]),0))))</calculatedColumnFormula>
    </tableColumn>
    <tableColumn id="4" xr3:uid="{8271E13A-A2A0-4AB5-8B9E-0FB6D08BC8A4}" name="Waste" dataDxfId="83">
      <calculatedColumnFormula array="1">SUM(_xlfn._xlws.FILTER(P_dh_chp_2[Waste],ISNUMBER(MATCH(P_dh_chp_2[Region],_xlfn._xlws.FILTER(Region[Administrative],Region[Model]=P_chp_ind2[[#This Row],[Region]]),0))))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7C92589-DF7C-47FD-85A8-C02D0ABC33E4}" name="P_dh_chp_3" displayName="P_dh_chp_3" ref="AE12:AH19" totalsRowShown="0" headerRowDxfId="82" dataDxfId="81">
  <autoFilter ref="AE12:AH19" xr:uid="{17C92589-DF7C-47FD-85A8-C02D0ABC33E4}"/>
  <tableColumns count="4">
    <tableColumn id="1" xr3:uid="{15E6203E-73FE-466F-8BBC-F80FE34A6C73}" name="Region" dataDxfId="80"/>
    <tableColumn id="2" xr3:uid="{B5B7F5E1-1830-4011-846A-81812C7CABF4}" name="Gas CCGT" dataDxfId="79"/>
    <tableColumn id="3" xr3:uid="{FD37EDA3-DA3C-4865-B233-CDC20707CA74}" name="Bio" dataDxfId="78"/>
    <tableColumn id="4" xr3:uid="{E9156503-E880-42E8-9791-9DA93D7C020C}" name="Waste" dataDxfId="77"/>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865E15D-1B4C-4FFE-A565-804CFD189823}" name="P_dh_chp_4" displayName="P_dh_chp_4" ref="AE23:AH30" totalsRowShown="0" headerRowDxfId="76" dataDxfId="75">
  <autoFilter ref="AE23:AH30" xr:uid="{0865E15D-1B4C-4FFE-A565-804CFD189823}"/>
  <tableColumns count="4">
    <tableColumn id="1" xr3:uid="{9500BE92-36EE-4CA5-B719-CEEBA16BE026}" name="Region" dataDxfId="74"/>
    <tableColumn id="2" xr3:uid="{83600FAF-F8F0-42EA-85AE-89A120FDD7E3}" name="Gas CCGT" dataDxfId="73">
      <calculatedColumnFormula>AF13*Y$9</calculatedColumnFormula>
    </tableColumn>
    <tableColumn id="3" xr3:uid="{23E6BF84-B645-4C85-A3E5-F4D56E755591}" name="Bio" dataDxfId="72">
      <calculatedColumnFormula>AG13*Z$9</calculatedColumnFormula>
    </tableColumn>
    <tableColumn id="4" xr3:uid="{1D1401F0-3B6D-4287-9EB2-971548333925}" name="Waste" dataDxfId="71">
      <calculatedColumnFormula>AH13*AA$9</calculatedColumnFormula>
    </tableColum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40147D4-F62A-406A-B420-52F09CFF54F3}" name="H_unit" displayName="H_unit" ref="A7:O922" totalsRowShown="0" headerRowDxfId="70">
  <autoFilter ref="A7:O922" xr:uid="{C40147D4-F62A-406A-B420-52F09CFF54F3}"/>
  <tableColumns count="15">
    <tableColumn id="1" xr3:uid="{02A01897-65FC-46B0-AC53-F86AE8E1B2A0}" name="Company" dataDxfId="69"/>
    <tableColumn id="2" xr3:uid="{D756E3A9-5ABF-4F34-A116-5D59744037F5}" name="Unit" dataDxfId="68"/>
    <tableColumn id="12" xr3:uid="{94F61EB8-701D-4CD0-860D-E505049D2723}" name="Info string" dataDxfId="67">
      <calculatedColumnFormula array="1">" "&amp;LOWER(_xlfn.REDUCE(H_unit[[#This Row],[Company]]&amp;" "&amp;H_unit[[#This Row],[Unit]],{",",".","(",")","/"},_xlfn.LAMBDA(_xlpm.txt,_xlpm.delim,SUBSTITUTE(_xlpm.txt,_xlpm.delim," "))))&amp;" "</calculatedColumnFormula>
    </tableColumn>
    <tableColumn id="3" xr3:uid="{EC24CFB5-906B-444B-BC30-0CF9AD281C3B}" name="Start" dataDxfId="66"/>
    <tableColumn id="4" xr3:uid="{F3F9A8A9-19ED-47FE-AC57-FC4B617FE59A}" name="Heat" dataDxfId="65"/>
    <tableColumn id="5" xr3:uid="{043C50DF-4BF9-44E6-B067-4ACD1F36033D}" name="Power" dataDxfId="64"/>
    <tableColumn id="6" xr3:uid="{5A990B9A-08C4-44DF-8612-65879C573DD2}" name="Storage" dataDxfId="63"/>
    <tableColumn id="8" xr3:uid="{2DD87CDC-71BE-44E1-B91C-BD0A54D08E27}" name="Fuel" dataDxfId="62"/>
    <tableColumn id="9" xr3:uid="{26DDCA5E-A642-43C7-AD82-1B94D917BEDD}" name="Type" dataDxfId="61"/>
    <tableColumn id="14" xr3:uid="{8FA8509F-2762-4FC6-80B1-3DD4F19E9C36}" name="Exact" dataDxfId="60">
      <calculatedColumnFormula array="1">_xlfn.XLOOKUP(TRUE,ISNUMBER(SEARCH(" "&amp;Municipality[Municipality]&amp;" ",H_unit[[#This Row],[Info string]])),Municipality[Municipality],"")</calculatedColumnFormula>
    </tableColumn>
    <tableColumn id="16" xr3:uid="{85F1AD81-446B-4726-87F0-C62C3F2D8AA8}" name="Exact+n" dataDxfId="59">
      <calculatedColumnFormula array="1">IF(H_unit[[#This Row],[Exact]]&lt;&gt;"","",_xlfn.XLOOKUP(TRUE,ISNUMBER(SEARCH(" "&amp;Municipality[Municipality]&amp;"n ",H_unit[[#This Row],[Info string]])),Municipality[Municipality],""))</calculatedColumnFormula>
    </tableColumn>
    <tableColumn id="17" xr3:uid="{955EC1F5-5C1A-41C5-8C21-2B5420321647}" name="Copilot" dataDxfId="58"/>
    <tableColumn id="18" xr3:uid="{8F6EFFF5-A37A-41AC-A390-E3C1D9BC6437}" name="Copilot basis" dataDxfId="57"/>
    <tableColumn id="19" xr3:uid="{3CEEC808-42BD-4438-A872-DD298325AD65}" name="Municipality" dataDxfId="56">
      <calculatedColumnFormula>_xlfn.TEXTJOIN("",TRUE,H_unit[[#This Row],[Exact]],H_unit[[#This Row],[Exact+n]],H_unit[[#This Row],[Copilot]])</calculatedColumnFormula>
    </tableColumn>
    <tableColumn id="7" xr3:uid="{89A0C31D-5834-423C-86C7-A2E1D13F4446}" name="Region" dataDxfId="55">
      <calculatedColumnFormula>_xlfn.XLOOKUP(H_unit[[#This Row],[Municipality]],Municipality[Municipality],Municipality[Model],"")</calculatedColumnFormula>
    </tableColum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BAB63C-7E69-44CD-97DB-B77BA1BC29BA}" name="P_heat3" displayName="P_heat3" ref="Y17:AA24" totalsRowShown="0" headerRowDxfId="54" headerRowBorderDxfId="53" tableBorderDxfId="52">
  <autoFilter ref="Y17:AA24" xr:uid="{BEBAB63C-7E69-44CD-97DB-B77BA1BC29BA}"/>
  <tableColumns count="3">
    <tableColumn id="1" xr3:uid="{E197680E-B48F-4300-993C-22CA549845B5}" name="Region" dataDxfId="51"/>
    <tableColumn id="2" xr3:uid="{1B5A34CE-95DE-4C45-B9CB-5307DA65595B}" name="Heat storage " dataDxfId="50">
      <calculatedColumnFormula array="1">SUMPRODUCT((H_unit[Region]=P_heat3[[#This Row],[Region]])*(H_unit[Type]=P_heat3[[#Headers],[Heat storage ]])*IFERROR(_xlfn.NUMBERVALUE(H_unit[Storage]),0))</calculatedColumnFormula>
    </tableColumn>
    <tableColumn id="3" xr3:uid="{315001E9-A1D8-4842-A0EB-8D2BB99E4724}" name="Large heat storage" dataDxfId="49">
      <calculatedColumnFormula array="1">SUMPRODUCT((H_unit[Region]=P_heat3[[#This Row],[Region]])*(H_unit[Type]=P_heat3[[#Headers],[Large heat storage]])*IFERROR(_xlfn.NUMBERVALUE(H_unit[Storage]),0))</calculatedColumnFormula>
    </tableColum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730EC80-30BA-4276-8A11-0776759E7A1C}" name="P_heat2" displayName="P_heat2" ref="Q17:V24" totalsRowShown="0" headerRowDxfId="48" dataDxfId="47">
  <autoFilter ref="Q17:V24" xr:uid="{6730EC80-30BA-4276-8A11-0776759E7A1C}"/>
  <tableColumns count="6">
    <tableColumn id="1" xr3:uid="{6C37B9D9-FFFF-4E99-AD94-1B060C847335}" name="Region" dataDxfId="46"/>
    <tableColumn id="2" xr3:uid="{0E98852F-DF61-46DB-AAF5-0A3228320642}" name="Excluded" dataDxfId="45">
      <calculatedColumnFormula array="1">SUMPRODUCT((H_unit[Region]=P_heat2[[#This Row],[Region]])*(H_unit[Type]=P_heat2[[#Headers],[Excluded]])*IFERROR(_xlfn.NUMBERVALUE(H_unit[Power]),0))</calculatedColumnFormula>
    </tableColumn>
    <tableColumn id="3" xr3:uid="{D74A9570-D703-4661-8912-BFD10D4EF0AC}" name="Bio CHP" dataDxfId="44">
      <calculatedColumnFormula array="1">SUMPRODUCT((H_unit[Region]=P_heat2[[#This Row],[Region]])*(H_unit[Type]=P_heat2[[#Headers],[Bio CHP]])*IFERROR(_xlfn.NUMBERVALUE(H_unit[Power]),0))</calculatedColumnFormula>
    </tableColumn>
    <tableColumn id="6" xr3:uid="{FB296CAD-EC03-4F85-950E-AD12DA4AA894}" name="Gas CCGT CHP" dataDxfId="43">
      <calculatedColumnFormula array="1">SUMPRODUCT((H_unit[Region]=P_heat2[[#This Row],[Region]])*(H_unit[Type]=P_heat2[[#Headers],[Gas CCGT CHP]])*IFERROR(_xlfn.NUMBERVALUE(H_unit[Power]),0))</calculatedColumnFormula>
    </tableColumn>
    <tableColumn id="8" xr3:uid="{0A711127-991F-493C-B646-993B4E230BB7}" name="Waste CHP" dataDxfId="42">
      <calculatedColumnFormula array="1">SUMPRODUCT((H_unit[Region]=P_heat2[[#This Row],[Region]])*(H_unit[Type]=P_heat2[[#Headers],[Waste CHP]])*IFERROR(_xlfn.NUMBERVALUE(H_unit[Power]),0))</calculatedColumnFormula>
    </tableColumn>
    <tableColumn id="12" xr3:uid="{4340CF52-2103-4709-A1C3-C74D61E73826}" name="Included in industry" dataDxfId="41">
      <calculatedColumnFormula array="1">SUMPRODUCT((H_unit[Region]=P_heat2[[#This Row],[Region]])*(H_unit[Type]=P_heat2[[#Headers],[Included in industry]])*IFERROR(_xlfn.NUMBERVALUE(H_unit[Power]),0))</calculatedColumnFormula>
    </tableColum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95621C3-0ED2-4422-A534-ED0279910531}" name="P_heat" displayName="P_heat" ref="Q6:AD13" totalsRowShown="0" headerRowDxfId="40" dataDxfId="39">
  <autoFilter ref="Q6:AD13" xr:uid="{095621C3-0ED2-4422-A534-ED0279910531}"/>
  <tableColumns count="14">
    <tableColumn id="1" xr3:uid="{8343364C-5793-43A0-B95C-0E5512CC5783}" name="Region" dataDxfId="38"/>
    <tableColumn id="2" xr3:uid="{E0CDBF1B-DCE1-43C3-9807-FBC75351678C}" name="Excluded" dataDxfId="37">
      <calculatedColumnFormula array="1">SUMPRODUCT((H_unit[Region]=P_heat[[#This Row],[Region]])*(H_unit[Type]=P_heat[[#Headers],[Excluded]])*IFERROR(_xlfn.NUMBERVALUE(H_unit[Heat]),0))</calculatedColumnFormula>
    </tableColumn>
    <tableColumn id="12" xr3:uid="{3C44EFC2-AC00-443C-99CE-E3D3DAAE82BA}" name="Included in industry" dataDxfId="36">
      <calculatedColumnFormula array="1">SUMPRODUCT((H_unit[Region]=P_heat[[#This Row],[Region]])*(H_unit[Type]=P_heat[[#Headers],[Included in industry]])*IFERROR(_xlfn.NUMBERVALUE(H_unit[Heat]),0))</calculatedColumnFormula>
    </tableColumn>
    <tableColumn id="3" xr3:uid="{9C302F37-C7FB-41B8-808C-8D67D0DF5BE4}" name="Bio CHP" dataDxfId="35">
      <calculatedColumnFormula array="1">SUMPRODUCT((H_unit[Region]=P_heat[[#This Row],[Region]])*(H_unit[Type]=P_heat[[#Headers],[Bio CHP]])*IFERROR(_xlfn.NUMBERVALUE(H_unit[Heat]),0))</calculatedColumnFormula>
    </tableColumn>
    <tableColumn id="6" xr3:uid="{3DA4D03D-BFB6-41AF-AFD5-AFFBD025751F}" name="Gas CCGT CHP" dataDxfId="34">
      <calculatedColumnFormula array="1">SUMPRODUCT((H_unit[Region]=P_heat[[#This Row],[Region]])*(H_unit[Type]=P_heat[[#Headers],[Gas CCGT CHP]])*IFERROR(_xlfn.NUMBERVALUE(H_unit[Heat]),0))</calculatedColumnFormula>
    </tableColumn>
    <tableColumn id="8" xr3:uid="{9C2DCDF9-7778-44EA-A971-FC7E82C0F348}" name="Waste CHP" dataDxfId="33">
      <calculatedColumnFormula array="1">SUMPRODUCT((H_unit[Region]=P_heat[[#This Row],[Region]])*(H_unit[Type]=P_heat[[#Headers],[Waste CHP]])*IFERROR(_xlfn.NUMBERVALUE(H_unit[Heat]),0))</calculatedColumnFormula>
    </tableColumn>
    <tableColumn id="4" xr3:uid="{EAC169C4-37F8-4D29-8120-2382B55C3C85}" name="Oil HOB" dataDxfId="32">
      <calculatedColumnFormula array="1">SUMPRODUCT((H_unit[Region]=P_heat[[#This Row],[Region]])*(H_unit[Type]=P_heat[[#Headers],[Oil HOB]])*IFERROR(_xlfn.NUMBERVALUE(H_unit[Heat]),0))</calculatedColumnFormula>
    </tableColumn>
    <tableColumn id="5" xr3:uid="{19E92FEF-E9E5-49A9-B610-1E8708849F0F}" name="Bio HOB" dataDxfId="31">
      <calculatedColumnFormula array="1">SUMPRODUCT((H_unit[Region]=P_heat[[#This Row],[Region]])*(H_unit[Type]=P_heat[[#Headers],[Bio HOB]])*IFERROR(_xlfn.NUMBERVALUE(H_unit[Heat]),0))</calculatedColumnFormula>
    </tableColumn>
    <tableColumn id="7" xr3:uid="{285B8533-D0E5-4B0A-921C-419450FE31D9}" name="Electric boiler" dataDxfId="30">
      <calculatedColumnFormula array="1">SUMPRODUCT((H_unit[Region]=P_heat[[#This Row],[Region]])*(H_unit[Type]=P_heat[[#Headers],[Electric boiler]])*IFERROR(_xlfn.NUMBERVALUE(H_unit[Heat]),0))</calculatedColumnFormula>
    </tableColumn>
    <tableColumn id="9" xr3:uid="{97A6FB2A-1266-4E33-8F7A-F66F4AB86EDC}" name="Gas HOB" dataDxfId="29">
      <calculatedColumnFormula array="1">SUMPRODUCT((H_unit[Region]=P_heat[[#This Row],[Region]])*(H_unit[Type]=P_heat[[#Headers],[Gas HOB]])*IFERROR(_xlfn.NUMBERVALUE(H_unit[Heat]),0))</calculatedColumnFormula>
    </tableColumn>
    <tableColumn id="10" xr3:uid="{7AD2A7A3-99AC-4EA9-8567-9534A0109158}" name="Ground source heat pump" dataDxfId="28">
      <calculatedColumnFormula array="1">SUMPRODUCT((H_unit[Region]=P_heat[[#This Row],[Region]])*(H_unit[Type]=P_heat[[#Headers],[Ground source heat pump]])*IFERROR(_xlfn.NUMBERVALUE(H_unit[Heat]),0))</calculatedColumnFormula>
    </tableColumn>
    <tableColumn id="11" xr3:uid="{F0B89833-FB83-49B9-B024-48E0213A323F}" name="Waste HOB" dataDxfId="27">
      <calculatedColumnFormula array="1">SUMPRODUCT((H_unit[Region]=P_heat[[#This Row],[Region]])*(H_unit[Type]=P_heat[[#Headers],[Waste HOB]])*IFERROR(_xlfn.NUMBERVALUE(H_unit[Heat]),0))</calculatedColumnFormula>
    </tableColumn>
    <tableColumn id="13" xr3:uid="{B81BE996-BAFC-4F42-ABDA-1B5CD7D43A7E}" name="Heat storage " dataDxfId="26">
      <calculatedColumnFormula array="1">SUMPRODUCT((H_unit[Region]=P_heat[[#This Row],[Region]])*(H_unit[Type]=P_heat[[#Headers],[Heat storage ]])*IFERROR(_xlfn.NUMBERVALUE(H_unit[Heat]),0))</calculatedColumnFormula>
    </tableColumn>
    <tableColumn id="14" xr3:uid="{00EAEFD4-6BCE-4537-BD9F-C55B2A04EFF1}" name="Large heat storage" dataDxfId="25">
      <calculatedColumnFormula array="1">SUMPRODUCT((H_unit[Region]=P_heat[[#This Row],[Region]])*(H_unit[Type]=P_heat[[#Headers],[Large heat storage]])*IFERROR(_xlfn.NUMBERVALUE(H_unit[Heat]),0))</calculatedColumnFormula>
    </tableColum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0C54220-2EEE-4147-938E-26A772FEA5BF}" name="El_unit" displayName="El_unit" ref="A5:Q526" totalsRowShown="0" headerRowDxfId="24" dataDxfId="23">
  <autoFilter ref="A5:Q526" xr:uid="{20C54220-2EEE-4147-938E-26A772FEA5BF}"/>
  <tableColumns count="17">
    <tableColumn id="1" xr3:uid="{557ABB2F-480A-4CD7-A24E-566CAE3C5E48}" name="Name" dataDxfId="22"/>
    <tableColumn id="2" xr3:uid="{D84163C6-51FD-40B4-BD34-3CF368F26F85}" name="Location" dataDxfId="21"/>
    <tableColumn id="11" xr3:uid="{3F28FE09-F4FA-4C8E-B3C8-2F6FE63A1A89}" name="Info sting" dataDxfId="20">
      <calculatedColumnFormula array="1">" "&amp;LOWER(_xlfn.REDUCE(El_unit[[#This Row],[Location]],{",",".","(",")","/"},_xlfn.LAMBDA(_xlpm.txt,_xlpm.delim,SUBSTITUTE(_xlpm.txt,_xlpm.delim," "))))&amp;" "</calculatedColumnFormula>
    </tableColumn>
    <tableColumn id="3" xr3:uid="{25CF45BF-53A3-4417-B78B-5F986C52A581}" name="Type" dataDxfId="19"/>
    <tableColumn id="4" xr3:uid="{91B84978-EC1D-46AE-913B-9FEAB23601D7}" name="Electricity" dataDxfId="18"/>
    <tableColumn id="5" xr3:uid="{843E92D9-1E55-416E-BB91-1DBE672160F2}" name="Ind CHP" dataDxfId="17"/>
    <tableColumn id="6" xr3:uid="{9AA6D5BF-1F9F-49C5-83A1-48BC2F11D9E7}" name="DH CHP" dataDxfId="16"/>
    <tableColumn id="7" xr3:uid="{C6F8B035-25CD-4512-A7D2-1EC3328550EE}" name="Capacity" dataDxfId="15"/>
    <tableColumn id="8" xr3:uid="{EE37EE60-5F7D-4799-B85A-DD97AC656B85}" name="Main fuel" dataDxfId="14"/>
    <tableColumn id="9" xr3:uid="{AE1A4925-959D-4B9B-A45E-E250185CB4B9}" name="Standby fuel 1" dataDxfId="13"/>
    <tableColumn id="10" xr3:uid="{F9A24E4E-7315-4C87-891F-9A0517BDF8B6}" name="Standby fuel 2" dataDxfId="12"/>
    <tableColumn id="12" xr3:uid="{CCB4AA7F-7ED8-4A35-A5A6-CA38F82CA042}" name="Exact" dataDxfId="11">
      <calculatedColumnFormula array="1">_xlfn.XLOOKUP(TRUE,ISNUMBER(SEARCH(" "&amp;Municipality[Municipality]&amp;" ",El_unit[[#This Row],[Info sting]])),Municipality[Municipality],"")</calculatedColumnFormula>
    </tableColumn>
    <tableColumn id="13" xr3:uid="{3F3C8A65-FADF-44EE-9A5A-3FEDA13E8595}" name="Exact+n" dataDxfId="10">
      <calculatedColumnFormula array="1">IF(El_unit[[#This Row],[Exact]]&lt;&gt;"","",_xlfn.XLOOKUP(TRUE,ISNUMBER(SEARCH(" "&amp;Municipality[Municipality]&amp;"n ",El_unit[[#This Row],[Info sting]])),Municipality[Municipality],""))</calculatedColumnFormula>
    </tableColumn>
    <tableColumn id="14" xr3:uid="{D6D2145D-F533-48CC-AF15-716E0097C6BD}" name="Copilot" dataDxfId="9"/>
    <tableColumn id="16" xr3:uid="{7A516884-F58F-4BC0-ABEE-0183FDF5663A}" name="Source" dataDxfId="8"/>
    <tableColumn id="15" xr3:uid="{BE2FDB7B-7678-43E3-B205-9B5F836E4FA7}" name="Basis" dataDxfId="7"/>
    <tableColumn id="17" xr3:uid="{D5F7BC4B-CEE5-4085-8413-DF13BB855760}" name="Municipality" dataDxfId="6">
      <calculatedColumnFormula>_xlfn.TEXTJOIN("",TRUE,El_unit[[#This Row],[Exact]],El_unit[[#This Row],[Exact+n]],El_unit[[#This Row],[Copilot]])</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O28" dT="2026-08-26T12:35:56.80" personId="{FE71752C-85C2-4EE2-8B65-793DCD6C885D}" id="{28D6AE99-43C4-4197-82DB-222196CF798D}">
    <text>Adjusted to avoid constant shortages</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s://stat.fi/fi/luokitukset/kunta/kunta_1_19900101"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hyperlink" Target="https://pxdata.stat.fi/PxWeb/pxweb/en/StatFin/StatFin__tene/statfin_tene_pxt_12bu.px/" TargetMode="External"/><Relationship Id="rId2" Type="http://schemas.openxmlformats.org/officeDocument/2006/relationships/hyperlink" Target="https://pxdata.stat.fi/PxWeb/pxweb/en/StatFin/StatFin__tene/statfin_tene_pxt_12bw.px/table/tableViewLayout1/" TargetMode="External"/><Relationship Id="rId1" Type="http://schemas.openxmlformats.org/officeDocument/2006/relationships/hyperlink" Target="https://view.officeapps.live.com/op/view.aspx?src=https%3A%2F%2Fenergia.fi%2Fwp-content%2Fuploads%2F2024%2F12%2FSahkonkulutus-maakunnittain-2007-2023.xlsx&amp;wdOrigin=BROWSELINK"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view.officeapps.live.com/op/view.aspx?src=https%3A%2F%2Fenergia.fi%2Fwp-content%2Fuploads%2F2024%2F05%2FDH_Regional_2023.xlsx&amp;wdOrigin=BROWSELIN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fingrid.fi/globalassets/dokumentit/fi/kantaverkko/kantaverkon-kehittaminen/fingrid_kehittamissuunnitelma_syksy23_en.pdf" TargetMode="External"/><Relationship Id="rId2" Type="http://schemas.openxmlformats.org/officeDocument/2006/relationships/hyperlink" Target="https://www.fingrid.fi/globalassets/dokumentit/fi/kantaverkko/kantaverkon-kehittaminen/fingrid_kehittamissuunnitelma_syksy23_en.pdf" TargetMode="External"/><Relationship Id="rId1" Type="http://schemas.openxmlformats.org/officeDocument/2006/relationships/hyperlink" Target="https://www.fingrid.fi/en/grid/development/part-of-the-nordic-power-system/" TargetMode="External"/><Relationship Id="rId6" Type="http://schemas.openxmlformats.org/officeDocument/2006/relationships/drawing" Target="../drawings/drawing3.xml"/><Relationship Id="rId5" Type="http://schemas.openxmlformats.org/officeDocument/2006/relationships/hyperlink" Target="https://karttapalaute.fingrid.fi/?link=hDzo" TargetMode="External"/><Relationship Id="rId4" Type="http://schemas.openxmlformats.org/officeDocument/2006/relationships/hyperlink" Target="https://www.e-cigre.org/publications/detail/207-thermal-behaviour-of-overhead-conductors.html"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hyperlink" Target="https://suomenuusiutuvat.fi/en/solar-power/solar-power-projects-in-finland/" TargetMode="External"/><Relationship Id="rId7" Type="http://schemas.openxmlformats.org/officeDocument/2006/relationships/table" Target="../tables/table7.xml"/><Relationship Id="rId2" Type="http://schemas.openxmlformats.org/officeDocument/2006/relationships/hyperlink" Target="https://www.gem.wiki/Main_Page" TargetMode="External"/><Relationship Id="rId1" Type="http://schemas.openxmlformats.org/officeDocument/2006/relationships/hyperlink" Target="https://energiavirasto.fi/toimitusvarmuus" TargetMode="Externa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hyperlink" Target="https://energiavirasto.fi/toimitusvarmuus" TargetMode="Externa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13.xml"/><Relationship Id="rId7"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energiavirasto.fi/toimitusvarmuus" TargetMode="Externa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hyperlink" Target="https://energiavirasto.fi/toimitusvarmuus" TargetMode="Externa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hyperlink" Target="https://neve.fi/ajankohtaista/jateveden-lampo-hyotykiertoon-ja-kustannuksia-alas-neven-uudella-lampopumppulaitoksella-toteutus-alkaa-ensi-vuonna/" TargetMode="External"/><Relationship Id="rId1" Type="http://schemas.openxmlformats.org/officeDocument/2006/relationships/hyperlink" Target="https://www.imatra.fi/hukkalampohanke-loppusuoralla-kaukolammon-tuotanto-alkanut" TargetMode="Externa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hyperlink" Target="https://energiavirasto.fi/toimitusvarmu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BF21-E88F-4C29-8117-31AE111BFC7A}">
  <sheetPr>
    <tabColor theme="1"/>
  </sheetPr>
  <dimension ref="A1:H27"/>
  <sheetViews>
    <sheetView zoomScaleNormal="100" workbookViewId="0">
      <selection activeCell="F2" sqref="F2"/>
    </sheetView>
  </sheetViews>
  <sheetFormatPr defaultColWidth="9.109375" defaultRowHeight="14.4"/>
  <cols>
    <col min="1" max="1" width="6.44140625" style="1" bestFit="1" customWidth="1"/>
    <col min="2" max="2" width="11.5546875" style="1" bestFit="1" customWidth="1"/>
    <col min="3" max="3" width="10.6640625" style="1" bestFit="1" customWidth="1"/>
    <col min="4" max="4" width="8.21875" style="1" bestFit="1" customWidth="1"/>
    <col min="5" max="5" width="11.5546875" style="1" customWidth="1"/>
    <col min="6" max="6" width="53.109375" style="1" customWidth="1"/>
    <col min="7" max="7" width="59.109375" style="1" customWidth="1"/>
    <col min="8" max="8" width="91.21875" style="1" customWidth="1"/>
    <col min="9" max="16384" width="9.109375" style="1"/>
  </cols>
  <sheetData>
    <row r="1" spans="1:8">
      <c r="A1" s="36" t="s">
        <v>159</v>
      </c>
      <c r="B1" s="36" t="s">
        <v>148</v>
      </c>
      <c r="C1" s="36" t="s">
        <v>158</v>
      </c>
      <c r="D1" s="191" t="s">
        <v>1396</v>
      </c>
      <c r="E1" s="188" t="s">
        <v>1346</v>
      </c>
      <c r="F1" s="36" t="s">
        <v>1312</v>
      </c>
      <c r="G1" s="36" t="s">
        <v>143</v>
      </c>
      <c r="H1" s="36" t="s">
        <v>1313</v>
      </c>
    </row>
    <row r="2" spans="1:8" ht="28.8">
      <c r="A2" s="183" t="s">
        <v>149</v>
      </c>
      <c r="B2" s="183" t="s">
        <v>62</v>
      </c>
      <c r="C2" s="184" t="s">
        <v>154</v>
      </c>
      <c r="D2" s="189" t="s">
        <v>1347</v>
      </c>
      <c r="E2" s="189" t="s">
        <v>1347</v>
      </c>
      <c r="F2" s="184" t="s">
        <v>1314</v>
      </c>
      <c r="G2" s="105" t="s">
        <v>1315</v>
      </c>
      <c r="H2" s="185" t="s">
        <v>1316</v>
      </c>
    </row>
    <row r="3" spans="1:8">
      <c r="A3" s="112"/>
      <c r="B3" s="183"/>
      <c r="C3" s="184" t="s">
        <v>156</v>
      </c>
      <c r="D3" s="189" t="s">
        <v>1347</v>
      </c>
      <c r="E3" s="189" t="s">
        <v>1345</v>
      </c>
      <c r="F3" s="184" t="s">
        <v>1317</v>
      </c>
      <c r="G3" s="105" t="s">
        <v>1318</v>
      </c>
      <c r="H3" s="185"/>
    </row>
    <row r="4" spans="1:8">
      <c r="A4" s="112"/>
      <c r="B4" s="183"/>
      <c r="C4" s="184" t="s">
        <v>157</v>
      </c>
      <c r="D4" s="192" t="s">
        <v>1345</v>
      </c>
      <c r="E4" s="199" t="s">
        <v>1345</v>
      </c>
      <c r="F4" s="184" t="s">
        <v>1319</v>
      </c>
      <c r="G4" s="105" t="s">
        <v>1338</v>
      </c>
      <c r="H4" s="185"/>
    </row>
    <row r="5" spans="1:8">
      <c r="A5" s="112"/>
      <c r="B5" s="186"/>
      <c r="C5" s="186" t="s">
        <v>155</v>
      </c>
      <c r="D5" s="198" t="s">
        <v>1348</v>
      </c>
      <c r="E5" s="193" t="s">
        <v>1345</v>
      </c>
      <c r="F5" s="186" t="s">
        <v>1325</v>
      </c>
      <c r="G5" s="186" t="s">
        <v>1339</v>
      </c>
      <c r="H5" s="186" t="s">
        <v>1320</v>
      </c>
    </row>
    <row r="6" spans="1:8">
      <c r="A6" s="112"/>
      <c r="B6" s="1" t="s">
        <v>150</v>
      </c>
      <c r="C6" s="100" t="s">
        <v>154</v>
      </c>
      <c r="D6" s="189" t="s">
        <v>1347</v>
      </c>
      <c r="E6" s="195" t="s">
        <v>1347</v>
      </c>
      <c r="F6" s="100" t="s">
        <v>1321</v>
      </c>
      <c r="G6" s="100" t="s">
        <v>1324</v>
      </c>
      <c r="H6" s="100" t="s">
        <v>1352</v>
      </c>
    </row>
    <row r="7" spans="1:8">
      <c r="A7" s="112"/>
      <c r="C7" s="100" t="s">
        <v>1322</v>
      </c>
      <c r="D7" s="189" t="s">
        <v>1347</v>
      </c>
      <c r="E7" s="195" t="s">
        <v>1345</v>
      </c>
      <c r="F7" s="100" t="s">
        <v>1323</v>
      </c>
      <c r="G7" s="35"/>
      <c r="H7" s="35"/>
    </row>
    <row r="8" spans="1:8">
      <c r="A8" s="112"/>
      <c r="C8" s="35" t="s">
        <v>3018</v>
      </c>
      <c r="D8" s="199" t="s">
        <v>1345</v>
      </c>
      <c r="E8" s="194" t="s">
        <v>1348</v>
      </c>
      <c r="F8" s="143" t="s">
        <v>1417</v>
      </c>
      <c r="G8" s="35" t="s">
        <v>3019</v>
      </c>
      <c r="H8" s="35"/>
    </row>
    <row r="9" spans="1:8">
      <c r="A9" s="112"/>
      <c r="C9" s="100" t="s">
        <v>155</v>
      </c>
      <c r="D9" s="190" t="s">
        <v>1348</v>
      </c>
      <c r="E9" s="194" t="s">
        <v>1345</v>
      </c>
      <c r="F9" s="100" t="s">
        <v>1336</v>
      </c>
      <c r="G9" s="105" t="s">
        <v>1337</v>
      </c>
      <c r="H9" s="100" t="s">
        <v>1341</v>
      </c>
    </row>
    <row r="10" spans="1:8">
      <c r="A10" s="112"/>
      <c r="C10" s="100" t="s">
        <v>156</v>
      </c>
      <c r="D10" s="195" t="s">
        <v>1347</v>
      </c>
      <c r="E10" s="195" t="s">
        <v>1345</v>
      </c>
      <c r="F10" s="1" t="s">
        <v>1321</v>
      </c>
      <c r="H10" s="1" t="s">
        <v>1327</v>
      </c>
    </row>
    <row r="11" spans="1:8">
      <c r="A11" s="112"/>
      <c r="B11" s="21"/>
      <c r="C11" s="186" t="s">
        <v>157</v>
      </c>
      <c r="D11" s="196" t="s">
        <v>1347</v>
      </c>
      <c r="E11" s="196" t="s">
        <v>1345</v>
      </c>
      <c r="F11" s="21" t="s">
        <v>1321</v>
      </c>
      <c r="G11" s="21" t="s">
        <v>1326</v>
      </c>
      <c r="H11" s="21"/>
    </row>
    <row r="12" spans="1:8">
      <c r="A12" s="112"/>
      <c r="B12" s="1" t="s">
        <v>151</v>
      </c>
      <c r="C12" s="100" t="s">
        <v>1340</v>
      </c>
      <c r="D12" s="190" t="s">
        <v>1348</v>
      </c>
      <c r="E12" s="194" t="s">
        <v>1348</v>
      </c>
      <c r="F12" s="100" t="s">
        <v>1336</v>
      </c>
      <c r="G12" s="105" t="s">
        <v>1337</v>
      </c>
      <c r="H12" s="96"/>
    </row>
    <row r="13" spans="1:8">
      <c r="A13" s="112"/>
      <c r="C13" s="100" t="s">
        <v>155</v>
      </c>
      <c r="D13" s="190" t="s">
        <v>1348</v>
      </c>
      <c r="E13" s="194" t="s">
        <v>1345</v>
      </c>
      <c r="F13" s="100" t="s">
        <v>1325</v>
      </c>
      <c r="G13" s="1" t="s">
        <v>1339</v>
      </c>
      <c r="H13" s="1" t="s">
        <v>1341</v>
      </c>
    </row>
    <row r="14" spans="1:8">
      <c r="A14" s="112"/>
      <c r="B14" s="21"/>
      <c r="C14" s="186" t="s">
        <v>1157</v>
      </c>
      <c r="D14" s="196" t="s">
        <v>1347</v>
      </c>
      <c r="E14" s="196" t="s">
        <v>1345</v>
      </c>
      <c r="F14" s="186" t="s">
        <v>3016</v>
      </c>
      <c r="G14" s="21" t="s">
        <v>3017</v>
      </c>
      <c r="H14" s="21"/>
    </row>
    <row r="15" spans="1:8" ht="28.8">
      <c r="A15" s="112"/>
      <c r="B15" s="183" t="s">
        <v>152</v>
      </c>
      <c r="C15" s="184" t="s">
        <v>154</v>
      </c>
      <c r="D15" s="189" t="s">
        <v>1347</v>
      </c>
      <c r="E15" s="189" t="s">
        <v>1347</v>
      </c>
      <c r="F15" s="184" t="s">
        <v>1328</v>
      </c>
      <c r="G15" s="184" t="s">
        <v>1329</v>
      </c>
      <c r="H15" s="185" t="s">
        <v>1353</v>
      </c>
    </row>
    <row r="16" spans="1:8">
      <c r="A16" s="113"/>
      <c r="B16" s="21"/>
      <c r="C16" s="186" t="s">
        <v>155</v>
      </c>
      <c r="D16" s="196" t="s">
        <v>1347</v>
      </c>
      <c r="E16" s="196" t="s">
        <v>1347</v>
      </c>
      <c r="F16" s="186" t="s">
        <v>1331</v>
      </c>
      <c r="G16" s="186" t="s">
        <v>1330</v>
      </c>
      <c r="H16" s="21" t="s">
        <v>1333</v>
      </c>
    </row>
    <row r="17" spans="1:8">
      <c r="A17" s="323" t="s">
        <v>153</v>
      </c>
      <c r="B17" s="1" t="s">
        <v>62</v>
      </c>
      <c r="C17" s="100" t="s">
        <v>154</v>
      </c>
      <c r="D17" s="195" t="s">
        <v>1347</v>
      </c>
      <c r="E17" s="195" t="s">
        <v>1347</v>
      </c>
      <c r="F17" s="100" t="s">
        <v>1342</v>
      </c>
      <c r="G17" s="35"/>
      <c r="H17" s="35"/>
    </row>
    <row r="18" spans="1:8">
      <c r="A18" s="324"/>
      <c r="C18" s="100" t="s">
        <v>1343</v>
      </c>
      <c r="D18" s="195" t="s">
        <v>1347</v>
      </c>
      <c r="E18" s="195" t="s">
        <v>1345</v>
      </c>
      <c r="F18" s="100" t="s">
        <v>171</v>
      </c>
    </row>
    <row r="19" spans="1:8">
      <c r="A19" s="324"/>
      <c r="B19" s="21"/>
      <c r="C19" s="186" t="s">
        <v>156</v>
      </c>
      <c r="D19" s="193" t="s">
        <v>1345</v>
      </c>
      <c r="E19" s="193" t="s">
        <v>1345</v>
      </c>
      <c r="F19" s="186" t="s">
        <v>411</v>
      </c>
      <c r="G19" s="186"/>
      <c r="H19" s="186"/>
    </row>
    <row r="20" spans="1:8">
      <c r="A20" s="324"/>
      <c r="B20" s="1" t="s">
        <v>160</v>
      </c>
      <c r="C20" s="100" t="s">
        <v>161</v>
      </c>
      <c r="D20" s="194" t="s">
        <v>1345</v>
      </c>
      <c r="E20" s="194" t="s">
        <v>1345</v>
      </c>
      <c r="F20" s="100" t="s">
        <v>411</v>
      </c>
      <c r="G20" s="100"/>
      <c r="H20" s="100"/>
    </row>
    <row r="21" spans="1:8">
      <c r="A21" s="324"/>
      <c r="C21" s="100" t="s">
        <v>162</v>
      </c>
      <c r="D21" s="194" t="s">
        <v>1345</v>
      </c>
      <c r="E21" s="190" t="s">
        <v>1347</v>
      </c>
      <c r="F21" s="100" t="s">
        <v>172</v>
      </c>
      <c r="G21" s="100"/>
      <c r="H21" s="100" t="s">
        <v>1344</v>
      </c>
    </row>
    <row r="22" spans="1:8">
      <c r="A22" s="324"/>
      <c r="B22" s="21"/>
      <c r="C22" s="186" t="s">
        <v>163</v>
      </c>
      <c r="D22" s="193" t="s">
        <v>1345</v>
      </c>
      <c r="E22" s="197" t="s">
        <v>1347</v>
      </c>
      <c r="F22" s="186" t="s">
        <v>173</v>
      </c>
      <c r="G22" s="186"/>
      <c r="H22" s="186"/>
    </row>
    <row r="23" spans="1:8">
      <c r="A23" s="325"/>
      <c r="B23" s="21" t="s">
        <v>164</v>
      </c>
      <c r="C23" s="186" t="s">
        <v>161</v>
      </c>
      <c r="D23" s="193" t="s">
        <v>1345</v>
      </c>
      <c r="E23" s="193" t="s">
        <v>1345</v>
      </c>
      <c r="F23" s="186" t="s">
        <v>411</v>
      </c>
      <c r="G23" s="186"/>
      <c r="H23" s="187"/>
    </row>
    <row r="25" spans="1:8">
      <c r="D25" s="102" t="s">
        <v>1349</v>
      </c>
    </row>
    <row r="26" spans="1:8">
      <c r="D26" s="102" t="s">
        <v>1350</v>
      </c>
    </row>
    <row r="27" spans="1:8">
      <c r="D27" s="102" t="s">
        <v>1351</v>
      </c>
    </row>
  </sheetData>
  <mergeCells count="1">
    <mergeCell ref="A17:A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AA57-1E63-4771-8AC1-D1A3C82F9930}">
  <sheetPr>
    <tabColor theme="1"/>
  </sheetPr>
  <dimension ref="A1:AB462"/>
  <sheetViews>
    <sheetView topLeftCell="A28" workbookViewId="0">
      <selection activeCell="H15" sqref="H15"/>
    </sheetView>
  </sheetViews>
  <sheetFormatPr defaultColWidth="9.109375" defaultRowHeight="14.4"/>
  <cols>
    <col min="1" max="1" width="15.21875" style="1" bestFit="1" customWidth="1"/>
    <col min="2" max="2" width="18.33203125" style="1" bestFit="1" customWidth="1"/>
    <col min="3" max="3" width="18.77734375" style="1" bestFit="1" customWidth="1"/>
    <col min="4" max="4" width="2.44140625" style="1" customWidth="1"/>
    <col min="5" max="5" width="9.77734375" style="1" bestFit="1" customWidth="1"/>
    <col min="6" max="6" width="8.88671875" style="1" bestFit="1" customWidth="1"/>
    <col min="7" max="7" width="4.44140625" style="1" customWidth="1"/>
    <col min="8" max="8" width="15.77734375" style="22" bestFit="1" customWidth="1"/>
    <col min="9" max="9" width="19" style="54" bestFit="1" customWidth="1"/>
    <col min="10" max="10" width="16.77734375" style="1" bestFit="1" customWidth="1"/>
    <col min="11" max="11" width="10.33203125" style="1" bestFit="1" customWidth="1"/>
    <col min="12" max="12" width="4.44140625" style="1" customWidth="1"/>
    <col min="13" max="13" width="8.44140625" style="1" customWidth="1"/>
    <col min="14" max="14" width="13.6640625" style="1" customWidth="1"/>
    <col min="15" max="15" width="11.5546875" style="1" customWidth="1"/>
    <col min="16" max="16" width="9.109375" style="1"/>
    <col min="17" max="17" width="15.6640625" style="1" bestFit="1" customWidth="1"/>
    <col min="18" max="16384" width="9.109375" style="1"/>
  </cols>
  <sheetData>
    <row r="1" spans="1:28">
      <c r="A1" s="326" t="s">
        <v>2952</v>
      </c>
      <c r="B1" s="326"/>
      <c r="C1" s="326"/>
      <c r="H1" s="326" t="s">
        <v>2953</v>
      </c>
      <c r="I1" s="326"/>
      <c r="J1" s="326"/>
      <c r="K1" s="326"/>
      <c r="M1" s="45" t="s">
        <v>2862</v>
      </c>
      <c r="N1" s="45"/>
      <c r="O1" s="45"/>
      <c r="P1" s="45"/>
      <c r="Q1" s="45"/>
      <c r="R1" s="45"/>
      <c r="S1" s="45"/>
      <c r="T1" s="45"/>
      <c r="U1" s="45"/>
      <c r="V1" s="45"/>
    </row>
    <row r="2" spans="1:28">
      <c r="A2" s="100" t="s">
        <v>403</v>
      </c>
      <c r="B2" s="100" t="s">
        <v>404</v>
      </c>
      <c r="C2" s="35" t="s">
        <v>405</v>
      </c>
      <c r="E2" s="231" t="s">
        <v>1369</v>
      </c>
      <c r="F2" s="231"/>
      <c r="H2" s="100" t="s">
        <v>2859</v>
      </c>
      <c r="I2" s="35" t="s">
        <v>2876</v>
      </c>
      <c r="J2" s="100" t="s">
        <v>404</v>
      </c>
      <c r="K2" s="245" t="s">
        <v>403</v>
      </c>
      <c r="M2" s="14" t="s">
        <v>71</v>
      </c>
      <c r="N2" s="233" t="s">
        <v>2860</v>
      </c>
      <c r="O2" s="14"/>
      <c r="P2" s="14"/>
      <c r="Q2" s="14" t="s">
        <v>2861</v>
      </c>
      <c r="R2" s="14"/>
      <c r="S2" s="14"/>
      <c r="T2" s="14"/>
      <c r="U2" s="14"/>
      <c r="V2" s="14"/>
      <c r="AA2" s="35"/>
      <c r="AB2" s="35"/>
    </row>
    <row r="3" spans="1:28">
      <c r="A3" s="10" t="s">
        <v>28</v>
      </c>
      <c r="B3" s="22" t="s">
        <v>125</v>
      </c>
      <c r="C3" s="54" t="s">
        <v>20</v>
      </c>
      <c r="E3" s="232">
        <v>176494</v>
      </c>
      <c r="F3" s="232">
        <f>SUM(E3:E4)</f>
        <v>592097</v>
      </c>
      <c r="H3" s="22" t="s">
        <v>1588</v>
      </c>
      <c r="I3" s="54" t="s">
        <v>23</v>
      </c>
      <c r="J3" s="22" t="str">
        <f>IF(Municipality[[#This Row],[Region 1990]]=$M$13,$O$13,IF(Municipality[[#This Row],[Region 1990]]=$M$14,$O$14,Municipality[[#This Row],[Region 1990]]))</f>
        <v>Etelä-Pohjanmaa</v>
      </c>
      <c r="K3" s="234" t="str">
        <f>_xlfn.XLOOKUP(Municipality[[#This Row],[Administrative]],Region[Administrative (FI)],Region[Model],"")</f>
        <v>West</v>
      </c>
      <c r="M3" s="14" t="s">
        <v>2866</v>
      </c>
      <c r="N3" s="14" t="s">
        <v>2864</v>
      </c>
      <c r="O3" s="14"/>
      <c r="P3" s="14"/>
      <c r="Q3" s="14"/>
      <c r="R3" s="14"/>
      <c r="S3" s="14"/>
      <c r="T3" s="14"/>
      <c r="U3" s="14"/>
      <c r="V3" s="14"/>
      <c r="AA3" s="35"/>
      <c r="AB3" s="35"/>
    </row>
    <row r="4" spans="1:28">
      <c r="A4" s="9" t="s">
        <v>28</v>
      </c>
      <c r="B4" s="22" t="s">
        <v>124</v>
      </c>
      <c r="C4" s="54" t="s">
        <v>18</v>
      </c>
      <c r="E4" s="232">
        <v>415603</v>
      </c>
      <c r="F4" s="232"/>
      <c r="H4" s="22" t="s">
        <v>1483</v>
      </c>
      <c r="I4" s="54" t="s">
        <v>23</v>
      </c>
      <c r="J4" s="22" t="str">
        <f>IF(Municipality[[#This Row],[Region 1990]]=$M$13,$O$13,IF(Municipality[[#This Row],[Region 1990]]=$M$14,$O$14,Municipality[[#This Row],[Region 1990]]))</f>
        <v>Etelä-Pohjanmaa</v>
      </c>
      <c r="K4" s="234" t="str">
        <f>_xlfn.XLOOKUP(Municipality[[#This Row],[Administrative]],Region[Administrative (FI)],Region[Model],"")</f>
        <v>West</v>
      </c>
      <c r="M4" s="127" t="s">
        <v>396</v>
      </c>
      <c r="N4" s="101" t="s">
        <v>2869</v>
      </c>
      <c r="O4" s="101"/>
      <c r="P4" s="101"/>
      <c r="Q4" s="101"/>
      <c r="R4" s="101"/>
      <c r="S4" s="101"/>
      <c r="T4" s="101"/>
      <c r="U4" s="101"/>
      <c r="V4" s="101"/>
      <c r="AA4" s="35"/>
      <c r="AB4" s="35"/>
    </row>
    <row r="5" spans="1:28">
      <c r="A5" s="10" t="s">
        <v>29</v>
      </c>
      <c r="B5" s="22" t="s">
        <v>123</v>
      </c>
      <c r="C5" s="54" t="s">
        <v>17</v>
      </c>
      <c r="E5" s="232">
        <v>67915</v>
      </c>
      <c r="F5" s="232">
        <f>SUM(E5:E8)</f>
        <v>649999</v>
      </c>
      <c r="H5" s="22" t="s">
        <v>2489</v>
      </c>
      <c r="I5" s="54" t="s">
        <v>4</v>
      </c>
      <c r="J5" s="22" t="str">
        <f>IF(Municipality[[#This Row],[Region 1990]]=$M$13,$O$13,IF(Municipality[[#This Row],[Region 1990]]=$M$14,$O$14,Municipality[[#This Row],[Region 1990]]))</f>
        <v>Varsinais-Suomi</v>
      </c>
      <c r="K5" s="234" t="str">
        <f>_xlfn.XLOOKUP(Municipality[[#This Row],[Administrative]],Region[Administrative (FI)],Region[Model],"")</f>
        <v>South West</v>
      </c>
      <c r="M5" s="14"/>
      <c r="N5" s="101" t="s">
        <v>1357</v>
      </c>
      <c r="O5" s="101" t="s">
        <v>2867</v>
      </c>
      <c r="P5" s="101"/>
      <c r="Q5" s="101"/>
      <c r="R5" s="101"/>
      <c r="S5" s="101"/>
      <c r="T5" s="101"/>
      <c r="U5" s="101"/>
      <c r="V5" s="101"/>
      <c r="AA5" s="35"/>
      <c r="AB5" s="35"/>
    </row>
    <row r="6" spans="1:28">
      <c r="A6" s="9" t="s">
        <v>29</v>
      </c>
      <c r="B6" s="22" t="s">
        <v>121</v>
      </c>
      <c r="C6" s="54" t="s">
        <v>16</v>
      </c>
      <c r="E6" s="232">
        <v>176041</v>
      </c>
      <c r="F6" s="232"/>
      <c r="H6" s="22" t="s">
        <v>1518</v>
      </c>
      <c r="I6" s="54" t="s">
        <v>18</v>
      </c>
      <c r="J6" s="22" t="str">
        <f>IF(Municipality[[#This Row],[Region 1990]]=$M$13,$O$13,IF(Municipality[[#This Row],[Region 1990]]=$M$14,$O$14,Municipality[[#This Row],[Region 1990]]))</f>
        <v>Pohjois-Pohjanmaa</v>
      </c>
      <c r="K6" s="234" t="str">
        <f>_xlfn.XLOOKUP(Municipality[[#This Row],[Administrative]],Region[Administrative (FI)],Region[Model],"")</f>
        <v>North</v>
      </c>
      <c r="M6" s="14"/>
      <c r="N6" s="101"/>
      <c r="O6" s="101" t="s">
        <v>2865</v>
      </c>
      <c r="P6" s="101"/>
      <c r="Q6" s="101"/>
      <c r="R6" s="101"/>
      <c r="S6" s="101"/>
      <c r="T6" s="101"/>
      <c r="U6" s="101"/>
      <c r="V6" s="101"/>
      <c r="AA6" s="35"/>
      <c r="AB6" s="35"/>
    </row>
    <row r="7" spans="1:28">
      <c r="A7" s="9" t="s">
        <v>29</v>
      </c>
      <c r="B7" s="22" t="s">
        <v>120</v>
      </c>
      <c r="C7" s="54" t="s">
        <v>23</v>
      </c>
      <c r="E7" s="232">
        <v>191762</v>
      </c>
      <c r="F7" s="232"/>
      <c r="H7" s="22" t="s">
        <v>2490</v>
      </c>
      <c r="I7" s="54" t="s">
        <v>23</v>
      </c>
      <c r="J7" s="22" t="str">
        <f>IF(Municipality[[#This Row],[Region 1990]]=$M$13,$O$13,IF(Municipality[[#This Row],[Region 1990]]=$M$14,$O$14,Municipality[[#This Row],[Region 1990]]))</f>
        <v>Etelä-Pohjanmaa</v>
      </c>
      <c r="K7" s="234" t="str">
        <f>_xlfn.XLOOKUP(Municipality[[#This Row],[Administrative]],Region[Administrative (FI)],Region[Model],"")</f>
        <v>West</v>
      </c>
      <c r="M7" s="14"/>
      <c r="N7" s="101" t="s">
        <v>2863</v>
      </c>
      <c r="O7" s="101" t="s">
        <v>2868</v>
      </c>
      <c r="P7" s="101"/>
      <c r="Q7" s="101"/>
      <c r="R7" s="101"/>
      <c r="S7" s="101"/>
      <c r="T7" s="101"/>
      <c r="U7" s="101"/>
      <c r="V7" s="101"/>
      <c r="AA7" s="35"/>
      <c r="AB7" s="35"/>
    </row>
    <row r="8" spans="1:28">
      <c r="A8" s="9" t="s">
        <v>29</v>
      </c>
      <c r="B8" s="22" t="s">
        <v>5</v>
      </c>
      <c r="C8" s="54" t="s">
        <v>5</v>
      </c>
      <c r="E8" s="232">
        <v>214281</v>
      </c>
      <c r="F8" s="232"/>
      <c r="H8" s="22" t="s">
        <v>184</v>
      </c>
      <c r="I8" s="54" t="s">
        <v>9</v>
      </c>
      <c r="J8" s="22" t="str">
        <f>IF(Municipality[[#This Row],[Region 1990]]=$M$13,$O$13,IF(Municipality[[#This Row],[Region 1990]]=$M$14,$O$14,Municipality[[#This Row],[Region 1990]]))</f>
        <v>Kymenlaakso</v>
      </c>
      <c r="K8" s="234" t="str">
        <f>_xlfn.XLOOKUP(Municipality[[#This Row],[Administrative]],Region[Administrative (FI)],Region[Model],"")</f>
        <v>South East</v>
      </c>
      <c r="M8" s="127" t="s">
        <v>2871</v>
      </c>
      <c r="N8" s="101"/>
      <c r="O8" s="101"/>
      <c r="P8" s="101"/>
      <c r="Q8" s="101"/>
      <c r="R8" s="101"/>
      <c r="S8" s="101"/>
      <c r="T8" s="101"/>
      <c r="U8" s="101"/>
      <c r="V8" s="101"/>
      <c r="AA8" s="35"/>
      <c r="AB8" s="35"/>
    </row>
    <row r="9" spans="1:28">
      <c r="A9" s="10" t="s">
        <v>31</v>
      </c>
      <c r="B9" s="22" t="s">
        <v>7</v>
      </c>
      <c r="C9" s="54" t="s">
        <v>7</v>
      </c>
      <c r="E9" s="232">
        <v>527478</v>
      </c>
      <c r="F9" s="232">
        <f>SUM(E9:E10)</f>
        <v>800161</v>
      </c>
      <c r="H9" s="22" t="s">
        <v>2491</v>
      </c>
      <c r="I9" s="54" t="s">
        <v>11</v>
      </c>
      <c r="J9" s="22" t="str">
        <f>IF(Municipality[[#This Row],[Region 1990]]=$M$13,$O$13,IF(Municipality[[#This Row],[Region 1990]]=$M$14,$O$14,Municipality[[#This Row],[Region 1990]]))</f>
        <v>Etelä-Savo</v>
      </c>
      <c r="K9" s="234" t="str">
        <f>_xlfn.XLOOKUP(Municipality[[#This Row],[Administrative]],Region[Administrative (FI)],Region[Model],"")</f>
        <v>East</v>
      </c>
      <c r="M9" s="101"/>
      <c r="N9" s="101" t="s">
        <v>2870</v>
      </c>
      <c r="O9" s="101" t="s">
        <v>2931</v>
      </c>
      <c r="P9" s="101"/>
      <c r="Q9" s="101"/>
      <c r="R9" s="101"/>
      <c r="S9" s="101"/>
      <c r="T9" s="101"/>
      <c r="U9" s="101"/>
      <c r="V9" s="101"/>
    </row>
    <row r="10" spans="1:28">
      <c r="A10" s="9" t="s">
        <v>31</v>
      </c>
      <c r="B10" s="22" t="s">
        <v>119</v>
      </c>
      <c r="C10" s="54" t="s">
        <v>14</v>
      </c>
      <c r="E10" s="232">
        <v>272683</v>
      </c>
      <c r="F10" s="232"/>
      <c r="H10" s="22" t="s">
        <v>2003</v>
      </c>
      <c r="I10" s="54" t="s">
        <v>3</v>
      </c>
      <c r="J10" s="22" t="str">
        <f>IF(Municipality[[#This Row],[Region 1990]]=$M$13,$O$13,IF(Municipality[[#This Row],[Region 1990]]=$M$14,$O$14,Municipality[[#This Row],[Region 1990]]))</f>
        <v>Uusimaa</v>
      </c>
      <c r="K10" s="234" t="str">
        <f>_xlfn.XLOOKUP(Municipality[[#This Row],[Administrative]],Region[Administrative (FI)],Region[Model],"")</f>
        <v>Uusimaa</v>
      </c>
      <c r="M10" s="101"/>
      <c r="N10" s="101" t="s">
        <v>2872</v>
      </c>
      <c r="O10" s="101" t="s">
        <v>2875</v>
      </c>
      <c r="P10" s="101"/>
      <c r="Q10" s="101"/>
      <c r="R10" s="101"/>
      <c r="S10" s="101"/>
      <c r="T10" s="101"/>
      <c r="U10" s="101"/>
      <c r="V10" s="101"/>
    </row>
    <row r="11" spans="1:28">
      <c r="A11" s="10" t="s">
        <v>32</v>
      </c>
      <c r="B11" s="22" t="s">
        <v>19</v>
      </c>
      <c r="C11" s="54" t="s">
        <v>19</v>
      </c>
      <c r="E11" s="232">
        <v>71255</v>
      </c>
      <c r="F11" s="232">
        <f>SUM(E11:E14)</f>
        <v>614587</v>
      </c>
      <c r="H11" s="22" t="s">
        <v>2492</v>
      </c>
      <c r="I11" s="54" t="s">
        <v>8</v>
      </c>
      <c r="J11" s="22" t="str">
        <f>IF(Municipality[[#This Row],[Region 1990]]=$M$13,$O$13,IF(Municipality[[#This Row],[Region 1990]]=$M$14,$O$14,Municipality[[#This Row],[Region 1990]]))</f>
        <v>Päijät-Häme</v>
      </c>
      <c r="K11" s="234" t="str">
        <f>_xlfn.XLOOKUP(Municipality[[#This Row],[Administrative]],Region[Administrative (FI)],Region[Model],"")</f>
        <v>South East</v>
      </c>
    </row>
    <row r="12" spans="1:28">
      <c r="A12" s="9" t="s">
        <v>32</v>
      </c>
      <c r="B12" s="22" t="s">
        <v>165</v>
      </c>
      <c r="C12" s="54" t="s">
        <v>12</v>
      </c>
      <c r="E12" s="232">
        <v>248363</v>
      </c>
      <c r="F12" s="232"/>
      <c r="H12" s="22" t="s">
        <v>2493</v>
      </c>
      <c r="I12" s="54" t="s">
        <v>3</v>
      </c>
      <c r="J12" s="22" t="str">
        <f>IF(Municipality[[#This Row],[Region 1990]]=$M$13,$O$13,IF(Municipality[[#This Row],[Region 1990]]=$M$14,$O$14,Municipality[[#This Row],[Region 1990]]))</f>
        <v>Uusimaa</v>
      </c>
      <c r="K12" s="234" t="str">
        <f>_xlfn.XLOOKUP(Municipality[[#This Row],[Administrative]],Region[Administrative (FI)],Region[Model],"")</f>
        <v>Uusimaa</v>
      </c>
      <c r="M12" s="14" t="s">
        <v>2873</v>
      </c>
      <c r="N12" s="14"/>
      <c r="O12" s="14" t="s">
        <v>2874</v>
      </c>
      <c r="P12" s="14"/>
    </row>
    <row r="13" spans="1:28">
      <c r="A13" s="9" t="s">
        <v>32</v>
      </c>
      <c r="B13" s="22" t="s">
        <v>166</v>
      </c>
      <c r="C13" s="54" t="s">
        <v>11</v>
      </c>
      <c r="E13" s="232">
        <v>131688</v>
      </c>
      <c r="F13" s="232"/>
      <c r="H13" s="22" t="s">
        <v>2494</v>
      </c>
      <c r="I13" s="54" t="s">
        <v>4</v>
      </c>
      <c r="J13" s="22" t="str">
        <f>IF(Municipality[[#This Row],[Region 1990]]=$M$13,$O$13,IF(Municipality[[#This Row],[Region 1990]]=$M$14,$O$14,Municipality[[#This Row],[Region 1990]]))</f>
        <v>Varsinais-Suomi</v>
      </c>
      <c r="K13" s="234" t="str">
        <f>_xlfn.XLOOKUP(Municipality[[#This Row],[Administrative]],Region[Administrative (FI)],Region[Model],"")</f>
        <v>South West</v>
      </c>
      <c r="M13" s="1" t="s">
        <v>2514</v>
      </c>
      <c r="O13" s="1" t="s">
        <v>6</v>
      </c>
    </row>
    <row r="14" spans="1:28">
      <c r="A14" s="9" t="s">
        <v>32</v>
      </c>
      <c r="B14" s="22" t="s">
        <v>122</v>
      </c>
      <c r="C14" s="54" t="s">
        <v>13</v>
      </c>
      <c r="E14" s="232">
        <v>163281</v>
      </c>
      <c r="F14" s="232"/>
      <c r="H14" s="22" t="s">
        <v>2495</v>
      </c>
      <c r="I14" s="54" t="s">
        <v>7</v>
      </c>
      <c r="J14" s="22" t="str">
        <f>IF(Municipality[[#This Row],[Region 1990]]=$M$13,$O$13,IF(Municipality[[#This Row],[Region 1990]]=$M$14,$O$14,Municipality[[#This Row],[Region 1990]]))</f>
        <v>Pirkanmaa</v>
      </c>
      <c r="K14" s="234" t="str">
        <f>_xlfn.XLOOKUP(Municipality[[#This Row],[Administrative]],Region[Administrative (FI)],Region[Model],"")</f>
        <v>Center</v>
      </c>
      <c r="M14" s="1" t="s">
        <v>2547</v>
      </c>
      <c r="O14" s="1" t="s">
        <v>16</v>
      </c>
    </row>
    <row r="15" spans="1:28">
      <c r="A15" s="10" t="s">
        <v>33</v>
      </c>
      <c r="B15" s="22" t="s">
        <v>126</v>
      </c>
      <c r="C15" s="54" t="s">
        <v>22</v>
      </c>
      <c r="E15" s="232">
        <v>30344</v>
      </c>
      <c r="F15" s="232">
        <f>SUM(E15:E17)</f>
        <v>684034</v>
      </c>
      <c r="H15" s="22" t="s">
        <v>2496</v>
      </c>
      <c r="I15" s="54" t="s">
        <v>4</v>
      </c>
      <c r="J15" s="22" t="str">
        <f>IF(Municipality[[#This Row],[Region 1990]]=$M$13,$O$13,IF(Municipality[[#This Row],[Region 1990]]=$M$14,$O$14,Municipality[[#This Row],[Region 1990]]))</f>
        <v>Varsinais-Suomi</v>
      </c>
      <c r="K15" s="234" t="str">
        <f>_xlfn.XLOOKUP(Municipality[[#This Row],[Administrative]],Region[Administrative (FI)],Region[Model],"")</f>
        <v>South West</v>
      </c>
      <c r="Q15" s="229"/>
    </row>
    <row r="16" spans="1:28">
      <c r="A16" s="9" t="s">
        <v>33</v>
      </c>
      <c r="B16" s="22" t="s">
        <v>167</v>
      </c>
      <c r="C16" s="54" t="s">
        <v>4</v>
      </c>
      <c r="E16" s="232">
        <v>483477</v>
      </c>
      <c r="F16" s="232"/>
      <c r="H16" s="22" t="s">
        <v>936</v>
      </c>
      <c r="I16" s="54" t="s">
        <v>5</v>
      </c>
      <c r="J16" s="22" t="str">
        <f>IF(Municipality[[#This Row],[Region 1990]]=$M$13,$O$13,IF(Municipality[[#This Row],[Region 1990]]=$M$14,$O$14,Municipality[[#This Row],[Region 1990]]))</f>
        <v>Satakunta</v>
      </c>
      <c r="K16" s="234" t="str">
        <f>_xlfn.XLOOKUP(Municipality[[#This Row],[Administrative]],Region[Administrative (FI)],Region[Model],"")</f>
        <v>West</v>
      </c>
      <c r="M16" t="s">
        <v>1366</v>
      </c>
      <c r="N16" t="s">
        <v>1216</v>
      </c>
      <c r="O16" t="s">
        <v>1368</v>
      </c>
      <c r="P16" t="s">
        <v>1367</v>
      </c>
      <c r="Q16" t="s">
        <v>1217</v>
      </c>
      <c r="R16" t="s">
        <v>1218</v>
      </c>
      <c r="S16" t="s">
        <v>1219</v>
      </c>
    </row>
    <row r="17" spans="1:23">
      <c r="A17" s="9" t="s">
        <v>33</v>
      </c>
      <c r="B17" s="22" t="s">
        <v>6</v>
      </c>
      <c r="C17" s="54" t="s">
        <v>6</v>
      </c>
      <c r="E17" s="232">
        <v>170213</v>
      </c>
      <c r="F17" s="232"/>
      <c r="H17" s="22" t="s">
        <v>2497</v>
      </c>
      <c r="I17" s="54" t="s">
        <v>3</v>
      </c>
      <c r="J17" s="22" t="str">
        <f>IF(Municipality[[#This Row],[Region 1990]]=$M$13,$O$13,IF(Municipality[[#This Row],[Region 1990]]=$M$14,$O$14,Municipality[[#This Row],[Region 1990]]))</f>
        <v>Uusimaa</v>
      </c>
      <c r="K17" s="234" t="str">
        <f>_xlfn.XLOOKUP(Municipality[[#This Row],[Administrative]],Region[Administrative (FI)],Region[Model],"")</f>
        <v>Uusimaa</v>
      </c>
      <c r="Q17" s="229"/>
    </row>
    <row r="18" spans="1:23">
      <c r="A18" s="10" t="s">
        <v>34</v>
      </c>
      <c r="B18" s="22" t="s">
        <v>8</v>
      </c>
      <c r="C18" s="54" t="s">
        <v>8</v>
      </c>
      <c r="E18" s="232">
        <v>205124</v>
      </c>
      <c r="F18" s="232">
        <f>SUM(E18:E20)</f>
        <v>492622</v>
      </c>
      <c r="H18" s="22" t="s">
        <v>984</v>
      </c>
      <c r="I18" s="54" t="s">
        <v>3</v>
      </c>
      <c r="J18" s="22" t="str">
        <f>IF(Municipality[[#This Row],[Region 1990]]=$M$13,$O$13,IF(Municipality[[#This Row],[Region 1990]]=$M$14,$O$14,Municipality[[#This Row],[Region 1990]]))</f>
        <v>Uusimaa</v>
      </c>
      <c r="K18" s="234" t="str">
        <f>_xlfn.XLOOKUP(Municipality[[#This Row],[Administrative]],Region[Administrative (FI)],Region[Model],"")</f>
        <v>Uusimaa</v>
      </c>
      <c r="V18" s="35"/>
      <c r="W18" s="35"/>
    </row>
    <row r="19" spans="1:23">
      <c r="A19" s="9" t="s">
        <v>34</v>
      </c>
      <c r="B19" s="22" t="s">
        <v>9</v>
      </c>
      <c r="C19" s="54" t="s">
        <v>9</v>
      </c>
      <c r="E19" s="232">
        <v>161391</v>
      </c>
      <c r="F19" s="232"/>
      <c r="H19" s="22" t="s">
        <v>2878</v>
      </c>
      <c r="I19" s="54" t="s">
        <v>3</v>
      </c>
      <c r="J19" s="22" t="str">
        <f>IF(Municipality[[#This Row],[Region 1990]]=$M$13,$O$13,IF(Municipality[[#This Row],[Region 1990]]=$M$14,$O$14,Municipality[[#This Row],[Region 1990]]))</f>
        <v>Uusimaa</v>
      </c>
      <c r="K19" s="234" t="str">
        <f>_xlfn.XLOOKUP(Municipality[[#This Row],[Administrative]],Region[Administrative (FI)],Region[Model],"")</f>
        <v>Uusimaa</v>
      </c>
      <c r="V19" s="35"/>
      <c r="W19" s="35"/>
    </row>
    <row r="20" spans="1:23">
      <c r="A20" s="9" t="s">
        <v>34</v>
      </c>
      <c r="B20" s="22" t="s">
        <v>118</v>
      </c>
      <c r="C20" s="54" t="s">
        <v>10</v>
      </c>
      <c r="E20" s="232">
        <v>126107</v>
      </c>
      <c r="F20" s="232"/>
      <c r="H20" s="22" t="s">
        <v>939</v>
      </c>
      <c r="I20" s="54" t="s">
        <v>18</v>
      </c>
      <c r="J20" s="22" t="str">
        <f>IF(Municipality[[#This Row],[Region 1990]]=$M$13,$O$13,IF(Municipality[[#This Row],[Region 1990]]=$M$14,$O$14,Municipality[[#This Row],[Region 1990]]))</f>
        <v>Pohjois-Pohjanmaa</v>
      </c>
      <c r="K20" s="234" t="str">
        <f>_xlfn.XLOOKUP(Municipality[[#This Row],[Administrative]],Region[Administrative (FI)],Region[Model],"")</f>
        <v>North</v>
      </c>
      <c r="V20" s="35"/>
      <c r="W20" s="35"/>
    </row>
    <row r="21" spans="1:23">
      <c r="A21" s="10" t="s">
        <v>3</v>
      </c>
      <c r="B21" s="22" t="s">
        <v>3</v>
      </c>
      <c r="C21" s="230" t="s">
        <v>3</v>
      </c>
      <c r="E21" s="232">
        <v>1714741</v>
      </c>
      <c r="F21" s="232">
        <f>E21</f>
        <v>1714741</v>
      </c>
      <c r="H21" s="22" t="s">
        <v>2498</v>
      </c>
      <c r="I21" s="54" t="s">
        <v>22</v>
      </c>
      <c r="J21" s="22" t="str">
        <f>IF(Municipality[[#This Row],[Region 1990]]=$M$13,$O$13,IF(Municipality[[#This Row],[Region 1990]]=$M$14,$O$14,Municipality[[#This Row],[Region 1990]]))</f>
        <v>Ahvenanmaa</v>
      </c>
      <c r="K21" s="234" t="str">
        <f>_xlfn.XLOOKUP(Municipality[[#This Row],[Administrative]],Region[Administrative (FI)],Region[Model],"")</f>
        <v>South West</v>
      </c>
      <c r="V21" s="35"/>
      <c r="W21" s="35"/>
    </row>
    <row r="22" spans="1:23">
      <c r="H22" s="22" t="s">
        <v>2499</v>
      </c>
      <c r="I22" s="54" t="s">
        <v>23</v>
      </c>
      <c r="J22" s="22" t="str">
        <f>IF(Municipality[[#This Row],[Region 1990]]=$M$13,$O$13,IF(Municipality[[#This Row],[Region 1990]]=$M$14,$O$14,Municipality[[#This Row],[Region 1990]]))</f>
        <v>Etelä-Pohjanmaa</v>
      </c>
      <c r="K22" s="234" t="str">
        <f>_xlfn.XLOOKUP(Municipality[[#This Row],[Administrative]],Region[Administrative (FI)],Region[Model],"")</f>
        <v>West</v>
      </c>
    </row>
    <row r="23" spans="1:23">
      <c r="H23" s="22" t="s">
        <v>2500</v>
      </c>
      <c r="I23" s="54" t="s">
        <v>4</v>
      </c>
      <c r="J23" s="22" t="str">
        <f>IF(Municipality[[#This Row],[Region 1990]]=$M$13,$O$13,IF(Municipality[[#This Row],[Region 1990]]=$M$14,$O$14,Municipality[[#This Row],[Region 1990]]))</f>
        <v>Varsinais-Suomi</v>
      </c>
      <c r="K23" s="234" t="str">
        <f>_xlfn.XLOOKUP(Municipality[[#This Row],[Administrative]],Region[Administrative (FI)],Region[Model],"")</f>
        <v>South West</v>
      </c>
      <c r="V23" s="35"/>
      <c r="W23" s="35"/>
    </row>
    <row r="24" spans="1:23">
      <c r="H24" s="22" t="s">
        <v>2501</v>
      </c>
      <c r="I24" s="54" t="s">
        <v>22</v>
      </c>
      <c r="J24" s="22" t="str">
        <f>IF(Municipality[[#This Row],[Region 1990]]=$M$13,$O$13,IF(Municipality[[#This Row],[Region 1990]]=$M$14,$O$14,Municipality[[#This Row],[Region 1990]]))</f>
        <v>Ahvenanmaa</v>
      </c>
      <c r="K24" s="234" t="str">
        <f>_xlfn.XLOOKUP(Municipality[[#This Row],[Administrative]],Region[Administrative (FI)],Region[Model],"")</f>
        <v>South West</v>
      </c>
    </row>
    <row r="25" spans="1:23">
      <c r="H25" s="22" t="s">
        <v>2502</v>
      </c>
      <c r="I25" s="54" t="s">
        <v>3</v>
      </c>
      <c r="J25" s="22" t="str">
        <f>IF(Municipality[[#This Row],[Region 1990]]=$M$13,$O$13,IF(Municipality[[#This Row],[Region 1990]]=$M$14,$O$14,Municipality[[#This Row],[Region 1990]]))</f>
        <v>Uusimaa</v>
      </c>
      <c r="K25" s="234" t="str">
        <f>_xlfn.XLOOKUP(Municipality[[#This Row],[Administrative]],Region[Administrative (FI)],Region[Model],"")</f>
        <v>Uusimaa</v>
      </c>
    </row>
    <row r="26" spans="1:23">
      <c r="H26" s="22" t="s">
        <v>2503</v>
      </c>
      <c r="I26" s="54" t="s">
        <v>9</v>
      </c>
      <c r="J26" s="22" t="str">
        <f>IF(Municipality[[#This Row],[Region 1990]]=$M$13,$O$13,IF(Municipality[[#This Row],[Region 1990]]=$M$14,$O$14,Municipality[[#This Row],[Region 1990]]))</f>
        <v>Kymenlaakso</v>
      </c>
      <c r="K26" s="234" t="str">
        <f>_xlfn.XLOOKUP(Municipality[[#This Row],[Administrative]],Region[Administrative (FI)],Region[Model],"")</f>
        <v>South East</v>
      </c>
    </row>
    <row r="27" spans="1:23">
      <c r="H27" s="22" t="s">
        <v>1546</v>
      </c>
      <c r="I27" s="54" t="s">
        <v>20</v>
      </c>
      <c r="J27" s="22" t="str">
        <f>IF(Municipality[[#This Row],[Region 1990]]=$M$13,$O$13,IF(Municipality[[#This Row],[Region 1990]]=$M$14,$O$14,Municipality[[#This Row],[Region 1990]]))</f>
        <v>Lappi</v>
      </c>
      <c r="K27" s="234" t="str">
        <f>_xlfn.XLOOKUP(Municipality[[#This Row],[Administrative]],Region[Administrative (FI)],Region[Model],"")</f>
        <v>North</v>
      </c>
    </row>
    <row r="28" spans="1:23">
      <c r="H28" s="22" t="s">
        <v>2504</v>
      </c>
      <c r="I28" s="54" t="s">
        <v>13</v>
      </c>
      <c r="J28" s="22" t="str">
        <f>IF(Municipality[[#This Row],[Region 1990]]=$M$13,$O$13,IF(Municipality[[#This Row],[Region 1990]]=$M$14,$O$14,Municipality[[#This Row],[Region 1990]]))</f>
        <v>Pohjois-Karjala</v>
      </c>
      <c r="K28" s="234" t="str">
        <f>_xlfn.XLOOKUP(Municipality[[#This Row],[Administrative]],Region[Administrative (FI)],Region[Model],"")</f>
        <v>East</v>
      </c>
    </row>
    <row r="29" spans="1:23">
      <c r="H29" s="22" t="s">
        <v>2505</v>
      </c>
      <c r="I29" s="54" t="s">
        <v>11</v>
      </c>
      <c r="J29" s="22" t="str">
        <f>IF(Municipality[[#This Row],[Region 1990]]=$M$13,$O$13,IF(Municipality[[#This Row],[Region 1990]]=$M$14,$O$14,Municipality[[#This Row],[Region 1990]]))</f>
        <v>Etelä-Savo</v>
      </c>
      <c r="K29" s="234" t="str">
        <f>_xlfn.XLOOKUP(Municipality[[#This Row],[Administrative]],Region[Administrative (FI)],Region[Model],"")</f>
        <v>East</v>
      </c>
    </row>
    <row r="30" spans="1:23">
      <c r="H30" s="22" t="s">
        <v>2506</v>
      </c>
      <c r="I30" s="54" t="s">
        <v>20</v>
      </c>
      <c r="J30" s="22" t="str">
        <f>IF(Municipality[[#This Row],[Region 1990]]=$M$13,$O$13,IF(Municipality[[#This Row],[Region 1990]]=$M$14,$O$14,Municipality[[#This Row],[Region 1990]]))</f>
        <v>Lappi</v>
      </c>
      <c r="K30" s="234" t="str">
        <f>_xlfn.XLOOKUP(Municipality[[#This Row],[Administrative]],Region[Administrative (FI)],Region[Model],"")</f>
        <v>North</v>
      </c>
    </row>
    <row r="31" spans="1:23">
      <c r="H31" s="22" t="s">
        <v>2507</v>
      </c>
      <c r="I31" s="54" t="s">
        <v>3</v>
      </c>
      <c r="J31" s="22" t="str">
        <f>IF(Municipality[[#This Row],[Region 1990]]=$M$13,$O$13,IF(Municipality[[#This Row],[Region 1990]]=$M$14,$O$14,Municipality[[#This Row],[Region 1990]]))</f>
        <v>Uusimaa</v>
      </c>
      <c r="K31" s="234" t="str">
        <f>_xlfn.XLOOKUP(Municipality[[#This Row],[Administrative]],Region[Administrative (FI)],Region[Model],"")</f>
        <v>Uusimaa</v>
      </c>
    </row>
    <row r="32" spans="1:23">
      <c r="H32" s="22" t="s">
        <v>2508</v>
      </c>
      <c r="I32" s="54" t="s">
        <v>23</v>
      </c>
      <c r="J32" s="22" t="str">
        <f>IF(Municipality[[#This Row],[Region 1990]]=$M$13,$O$13,IF(Municipality[[#This Row],[Region 1990]]=$M$14,$O$14,Municipality[[#This Row],[Region 1990]]))</f>
        <v>Etelä-Pohjanmaa</v>
      </c>
      <c r="K32" s="234" t="str">
        <f>_xlfn.XLOOKUP(Municipality[[#This Row],[Administrative]],Region[Administrative (FI)],Region[Model],"")</f>
        <v>West</v>
      </c>
    </row>
    <row r="33" spans="8:11">
      <c r="H33" s="22" t="s">
        <v>2509</v>
      </c>
      <c r="I33" s="54" t="s">
        <v>5</v>
      </c>
      <c r="J33" s="22" t="str">
        <f>IF(Municipality[[#This Row],[Region 1990]]=$M$13,$O$13,IF(Municipality[[#This Row],[Region 1990]]=$M$14,$O$14,Municipality[[#This Row],[Region 1990]]))</f>
        <v>Satakunta</v>
      </c>
      <c r="K33" s="234" t="str">
        <f>_xlfn.XLOOKUP(Municipality[[#This Row],[Administrative]],Region[Administrative (FI)],Region[Model],"")</f>
        <v>West</v>
      </c>
    </row>
    <row r="34" spans="8:11">
      <c r="H34" s="22" t="s">
        <v>2510</v>
      </c>
      <c r="I34" s="54" t="s">
        <v>5</v>
      </c>
      <c r="J34" s="22" t="str">
        <f>IF(Municipality[[#This Row],[Region 1990]]=$M$13,$O$13,IF(Municipality[[#This Row],[Region 1990]]=$M$14,$O$14,Municipality[[#This Row],[Region 1990]]))</f>
        <v>Satakunta</v>
      </c>
      <c r="K34" s="234" t="str">
        <f>_xlfn.XLOOKUP(Municipality[[#This Row],[Administrative]],Region[Administrative (FI)],Region[Model],"")</f>
        <v>West</v>
      </c>
    </row>
    <row r="35" spans="8:11">
      <c r="H35" s="22" t="s">
        <v>2511</v>
      </c>
      <c r="I35" s="54" t="s">
        <v>23</v>
      </c>
      <c r="J35" s="22" t="str">
        <f>IF(Municipality[[#This Row],[Region 1990]]=$M$13,$O$13,IF(Municipality[[#This Row],[Region 1990]]=$M$14,$O$14,Municipality[[#This Row],[Region 1990]]))</f>
        <v>Etelä-Pohjanmaa</v>
      </c>
      <c r="K35" s="234" t="str">
        <f>_xlfn.XLOOKUP(Municipality[[#This Row],[Administrative]],Region[Administrative (FI)],Region[Model],"")</f>
        <v>West</v>
      </c>
    </row>
    <row r="36" spans="8:11">
      <c r="H36" s="22" t="s">
        <v>2512</v>
      </c>
      <c r="I36" s="54" t="s">
        <v>4</v>
      </c>
      <c r="J36" s="22" t="str">
        <f>IF(Municipality[[#This Row],[Region 1990]]=$M$13,$O$13,IF(Municipality[[#This Row],[Region 1990]]=$M$14,$O$14,Municipality[[#This Row],[Region 1990]]))</f>
        <v>Varsinais-Suomi</v>
      </c>
      <c r="K36" s="234" t="str">
        <f>_xlfn.XLOOKUP(Municipality[[#This Row],[Administrative]],Region[Administrative (FI)],Region[Model],"")</f>
        <v>South West</v>
      </c>
    </row>
    <row r="37" spans="8:11">
      <c r="H37" s="22" t="s">
        <v>2513</v>
      </c>
      <c r="I37" s="54" t="s">
        <v>22</v>
      </c>
      <c r="J37" s="22" t="str">
        <f>IF(Municipality[[#This Row],[Region 1990]]=$M$13,$O$13,IF(Municipality[[#This Row],[Region 1990]]=$M$14,$O$14,Municipality[[#This Row],[Region 1990]]))</f>
        <v>Ahvenanmaa</v>
      </c>
      <c r="K37" s="234" t="str">
        <f>_xlfn.XLOOKUP(Municipality[[#This Row],[Administrative]],Region[Administrative (FI)],Region[Model],"")</f>
        <v>South West</v>
      </c>
    </row>
    <row r="38" spans="8:11">
      <c r="H38" s="22" t="s">
        <v>983</v>
      </c>
      <c r="I38" s="54" t="s">
        <v>2514</v>
      </c>
      <c r="J38" s="22" t="str">
        <f>IF(Municipality[[#This Row],[Region 1990]]=$M$13,$O$13,IF(Municipality[[#This Row],[Region 1990]]=$M$14,$O$14,Municipality[[#This Row],[Region 1990]]))</f>
        <v>Kanta-Häme</v>
      </c>
      <c r="K38" s="234" t="str">
        <f>_xlfn.XLOOKUP(Municipality[[#This Row],[Administrative]],Region[Administrative (FI)],Region[Model],"")</f>
        <v>South West</v>
      </c>
    </row>
    <row r="39" spans="8:11">
      <c r="H39" s="22" t="s">
        <v>968</v>
      </c>
      <c r="I39" s="54" t="s">
        <v>9</v>
      </c>
      <c r="J39" s="22" t="str">
        <f>IF(Municipality[[#This Row],[Region 1990]]=$M$13,$O$13,IF(Municipality[[#This Row],[Region 1990]]=$M$14,$O$14,Municipality[[#This Row],[Region 1990]]))</f>
        <v>Kymenlaakso</v>
      </c>
      <c r="K39" s="234" t="str">
        <f>_xlfn.XLOOKUP(Municipality[[#This Row],[Administrative]],Region[Administrative (FI)],Region[Model],"")</f>
        <v>South East</v>
      </c>
    </row>
    <row r="40" spans="8:11">
      <c r="H40" s="22" t="s">
        <v>2515</v>
      </c>
      <c r="I40" s="54" t="s">
        <v>22</v>
      </c>
      <c r="J40" s="22" t="str">
        <f>IF(Municipality[[#This Row],[Region 1990]]=$M$13,$O$13,IF(Municipality[[#This Row],[Region 1990]]=$M$14,$O$14,Municipality[[#This Row],[Region 1990]]))</f>
        <v>Ahvenanmaa</v>
      </c>
      <c r="K40" s="234" t="str">
        <f>_xlfn.XLOOKUP(Municipality[[#This Row],[Administrative]],Region[Administrative (FI)],Region[Model],"")</f>
        <v>South West</v>
      </c>
    </row>
    <row r="41" spans="8:11">
      <c r="H41" s="22" t="s">
        <v>2516</v>
      </c>
      <c r="I41" s="54" t="s">
        <v>22</v>
      </c>
      <c r="J41" s="22" t="str">
        <f>IF(Municipality[[#This Row],[Region 1990]]=$M$13,$O$13,IF(Municipality[[#This Row],[Region 1990]]=$M$14,$O$14,Municipality[[#This Row],[Region 1990]]))</f>
        <v>Ahvenanmaa</v>
      </c>
      <c r="K41" s="234" t="str">
        <f>_xlfn.XLOOKUP(Municipality[[#This Row],[Administrative]],Region[Administrative (FI)],Region[Model],"")</f>
        <v>South West</v>
      </c>
    </row>
    <row r="42" spans="8:11">
      <c r="H42" s="22" t="s">
        <v>2517</v>
      </c>
      <c r="I42" s="54" t="s">
        <v>3</v>
      </c>
      <c r="J42" s="22" t="str">
        <f>IF(Municipality[[#This Row],[Region 1990]]=$M$13,$O$13,IF(Municipality[[#This Row],[Region 1990]]=$M$14,$O$14,Municipality[[#This Row],[Region 1990]]))</f>
        <v>Uusimaa</v>
      </c>
      <c r="K42" s="234" t="str">
        <f>_xlfn.XLOOKUP(Municipality[[#This Row],[Administrative]],Region[Administrative (FI)],Region[Model],"")</f>
        <v>Uusimaa</v>
      </c>
    </row>
    <row r="43" spans="8:11">
      <c r="H43" s="22" t="s">
        <v>2518</v>
      </c>
      <c r="I43" s="54" t="s">
        <v>4</v>
      </c>
      <c r="J43" s="22" t="str">
        <f>IF(Municipality[[#This Row],[Region 1990]]=$M$13,$O$13,IF(Municipality[[#This Row],[Region 1990]]=$M$14,$O$14,Municipality[[#This Row],[Region 1990]]))</f>
        <v>Varsinais-Suomi</v>
      </c>
      <c r="K43" s="234" t="str">
        <f>_xlfn.XLOOKUP(Municipality[[#This Row],[Administrative]],Region[Administrative (FI)],Region[Model],"")</f>
        <v>South West</v>
      </c>
    </row>
    <row r="44" spans="8:11">
      <c r="H44" s="22" t="s">
        <v>2519</v>
      </c>
      <c r="I44" s="54" t="s">
        <v>18</v>
      </c>
      <c r="J44" s="22" t="str">
        <f>IF(Municipality[[#This Row],[Region 1990]]=$M$13,$O$13,IF(Municipality[[#This Row],[Region 1990]]=$M$14,$O$14,Municipality[[#This Row],[Region 1990]]))</f>
        <v>Pohjois-Pohjanmaa</v>
      </c>
      <c r="K44" s="234" t="str">
        <f>_xlfn.XLOOKUP(Municipality[[#This Row],[Administrative]],Region[Administrative (FI)],Region[Model],"")</f>
        <v>North</v>
      </c>
    </row>
    <row r="45" spans="8:11">
      <c r="H45" s="22" t="s">
        <v>900</v>
      </c>
      <c r="I45" s="54" t="s">
        <v>18</v>
      </c>
      <c r="J45" s="22" t="str">
        <f>IF(Municipality[[#This Row],[Region 1990]]=$M$13,$O$13,IF(Municipality[[#This Row],[Region 1990]]=$M$14,$O$14,Municipality[[#This Row],[Region 1990]]))</f>
        <v>Pohjois-Pohjanmaa</v>
      </c>
      <c r="K45" s="234" t="str">
        <f>_xlfn.XLOOKUP(Municipality[[#This Row],[Administrative]],Region[Administrative (FI)],Region[Model],"")</f>
        <v>North</v>
      </c>
    </row>
    <row r="46" spans="8:11">
      <c r="H46" s="22" t="s">
        <v>2520</v>
      </c>
      <c r="I46" s="54" t="s">
        <v>4</v>
      </c>
      <c r="J46" s="22" t="str">
        <f>IF(Municipality[[#This Row],[Region 1990]]=$M$13,$O$13,IF(Municipality[[#This Row],[Region 1990]]=$M$14,$O$14,Municipality[[#This Row],[Region 1990]]))</f>
        <v>Varsinais-Suomi</v>
      </c>
      <c r="K46" s="234" t="str">
        <f>_xlfn.XLOOKUP(Municipality[[#This Row],[Administrative]],Region[Administrative (FI)],Region[Model],"")</f>
        <v>South West</v>
      </c>
    </row>
    <row r="47" spans="8:11">
      <c r="H47" s="22" t="s">
        <v>2521</v>
      </c>
      <c r="I47" s="54" t="s">
        <v>17</v>
      </c>
      <c r="J47" s="22" t="str">
        <f>IF(Municipality[[#This Row],[Region 1990]]=$M$13,$O$13,IF(Municipality[[#This Row],[Region 1990]]=$M$14,$O$14,Municipality[[#This Row],[Region 1990]]))</f>
        <v>Keski-Pohjanmaa</v>
      </c>
      <c r="K47" s="234" t="str">
        <f>_xlfn.XLOOKUP(Municipality[[#This Row],[Administrative]],Region[Administrative (FI)],Region[Model],"")</f>
        <v>West</v>
      </c>
    </row>
    <row r="48" spans="8:11">
      <c r="H48" s="22" t="s">
        <v>2522</v>
      </c>
      <c r="I48" s="54" t="s">
        <v>22</v>
      </c>
      <c r="J48" s="22" t="str">
        <f>IF(Municipality[[#This Row],[Region 1990]]=$M$13,$O$13,IF(Municipality[[#This Row],[Region 1990]]=$M$14,$O$14,Municipality[[#This Row],[Region 1990]]))</f>
        <v>Ahvenanmaa</v>
      </c>
      <c r="K48" s="234" t="str">
        <f>_xlfn.XLOOKUP(Municipality[[#This Row],[Administrative]],Region[Administrative (FI)],Region[Model],"")</f>
        <v>South West</v>
      </c>
    </row>
    <row r="49" spans="8:11">
      <c r="H49" s="22" t="s">
        <v>2523</v>
      </c>
      <c r="I49" s="54" t="s">
        <v>3</v>
      </c>
      <c r="J49" s="22" t="str">
        <f>IF(Municipality[[#This Row],[Region 1990]]=$M$13,$O$13,IF(Municipality[[#This Row],[Region 1990]]=$M$14,$O$14,Municipality[[#This Row],[Region 1990]]))</f>
        <v>Uusimaa</v>
      </c>
      <c r="K49" s="234" t="str">
        <f>_xlfn.XLOOKUP(Municipality[[#This Row],[Administrative]],Region[Administrative (FI)],Region[Model],"")</f>
        <v>Uusimaa</v>
      </c>
    </row>
    <row r="50" spans="8:11">
      <c r="H50" s="22" t="s">
        <v>2524</v>
      </c>
      <c r="I50" s="54" t="s">
        <v>14</v>
      </c>
      <c r="J50" s="22" t="str">
        <f>IF(Municipality[[#This Row],[Region 1990]]=$M$13,$O$13,IF(Municipality[[#This Row],[Region 1990]]=$M$14,$O$14,Municipality[[#This Row],[Region 1990]]))</f>
        <v>Keski-Suomi</v>
      </c>
      <c r="K50" s="234" t="str">
        <f>_xlfn.XLOOKUP(Municipality[[#This Row],[Administrative]],Region[Administrative (FI)],Region[Model],"")</f>
        <v>Center</v>
      </c>
    </row>
    <row r="51" spans="8:11">
      <c r="H51" s="22" t="s">
        <v>199</v>
      </c>
      <c r="I51" s="54" t="s">
        <v>5</v>
      </c>
      <c r="J51" s="22" t="str">
        <f>IF(Municipality[[#This Row],[Region 1990]]=$M$13,$O$13,IF(Municipality[[#This Row],[Region 1990]]=$M$14,$O$14,Municipality[[#This Row],[Region 1990]]))</f>
        <v>Satakunta</v>
      </c>
      <c r="K51" s="234" t="str">
        <f>_xlfn.XLOOKUP(Municipality[[#This Row],[Administrative]],Region[Administrative (FI)],Region[Model],"")</f>
        <v>West</v>
      </c>
    </row>
    <row r="52" spans="8:11">
      <c r="H52" s="22" t="s">
        <v>2525</v>
      </c>
      <c r="I52" s="54" t="s">
        <v>8</v>
      </c>
      <c r="J52" s="22" t="str">
        <f>IF(Municipality[[#This Row],[Region 1990]]=$M$13,$O$13,IF(Municipality[[#This Row],[Region 1990]]=$M$14,$O$14,Municipality[[#This Row],[Region 1990]]))</f>
        <v>Päijät-Häme</v>
      </c>
      <c r="K52" s="234" t="str">
        <f>_xlfn.XLOOKUP(Municipality[[#This Row],[Administrative]],Region[Administrative (FI)],Region[Model],"")</f>
        <v>South East</v>
      </c>
    </row>
    <row r="53" spans="8:11">
      <c r="H53" s="22" t="s">
        <v>2526</v>
      </c>
      <c r="I53" s="54" t="s">
        <v>2514</v>
      </c>
      <c r="J53" s="22" t="str">
        <f>IF(Municipality[[#This Row],[Region 1990]]=$M$13,$O$13,IF(Municipality[[#This Row],[Region 1990]]=$M$14,$O$14,Municipality[[#This Row],[Region 1990]]))</f>
        <v>Kanta-Häme</v>
      </c>
      <c r="K53" s="234" t="str">
        <f>_xlfn.XLOOKUP(Municipality[[#This Row],[Administrative]],Region[Administrative (FI)],Region[Model],"")</f>
        <v>South West</v>
      </c>
    </row>
    <row r="54" spans="8:11">
      <c r="H54" s="22" t="s">
        <v>2527</v>
      </c>
      <c r="I54" s="54" t="s">
        <v>2514</v>
      </c>
      <c r="J54" s="22" t="str">
        <f>IF(Municipality[[#This Row],[Region 1990]]=$M$13,$O$13,IF(Municipality[[#This Row],[Region 1990]]=$M$14,$O$14,Municipality[[#This Row],[Region 1990]]))</f>
        <v>Kanta-Häme</v>
      </c>
      <c r="K54" s="234" t="str">
        <f>_xlfn.XLOOKUP(Municipality[[#This Row],[Administrative]],Region[Administrative (FI)],Region[Model],"")</f>
        <v>South West</v>
      </c>
    </row>
    <row r="55" spans="8:11">
      <c r="H55" s="22" t="s">
        <v>2528</v>
      </c>
      <c r="I55" s="54" t="s">
        <v>18</v>
      </c>
      <c r="J55" s="22" t="str">
        <f>IF(Municipality[[#This Row],[Region 1990]]=$M$13,$O$13,IF(Municipality[[#This Row],[Region 1990]]=$M$14,$O$14,Municipality[[#This Row],[Region 1990]]))</f>
        <v>Pohjois-Pohjanmaa</v>
      </c>
      <c r="K55" s="234" t="str">
        <f>_xlfn.XLOOKUP(Municipality[[#This Row],[Administrative]],Region[Administrative (FI)],Region[Model],"")</f>
        <v>North</v>
      </c>
    </row>
    <row r="56" spans="8:11">
      <c r="H56" s="22" t="s">
        <v>2529</v>
      </c>
      <c r="I56" s="54" t="s">
        <v>11</v>
      </c>
      <c r="J56" s="22" t="str">
        <f>IF(Municipality[[#This Row],[Region 1990]]=$M$13,$O$13,IF(Municipality[[#This Row],[Region 1990]]=$M$14,$O$14,Municipality[[#This Row],[Region 1990]]))</f>
        <v>Etelä-Savo</v>
      </c>
      <c r="K56" s="234" t="str">
        <f>_xlfn.XLOOKUP(Municipality[[#This Row],[Administrative]],Region[Administrative (FI)],Region[Model],"")</f>
        <v>East</v>
      </c>
    </row>
    <row r="57" spans="8:11">
      <c r="H57" s="22" t="s">
        <v>2530</v>
      </c>
      <c r="I57" s="54" t="s">
        <v>2514</v>
      </c>
      <c r="J57" s="22" t="str">
        <f>IF(Municipality[[#This Row],[Region 1990]]=$M$13,$O$13,IF(Municipality[[#This Row],[Region 1990]]=$M$14,$O$14,Municipality[[#This Row],[Region 1990]]))</f>
        <v>Kanta-Häme</v>
      </c>
      <c r="K57" s="234" t="str">
        <f>_xlfn.XLOOKUP(Municipality[[#This Row],[Administrative]],Region[Administrative (FI)],Region[Model],"")</f>
        <v>South West</v>
      </c>
    </row>
    <row r="58" spans="8:11">
      <c r="H58" s="22" t="s">
        <v>902</v>
      </c>
      <c r="I58" s="54" t="s">
        <v>8</v>
      </c>
      <c r="J58" s="22" t="str">
        <f>IF(Municipality[[#This Row],[Region 1990]]=$M$13,$O$13,IF(Municipality[[#This Row],[Region 1990]]=$M$14,$O$14,Municipality[[#This Row],[Region 1990]]))</f>
        <v>Päijät-Häme</v>
      </c>
      <c r="K58" s="234" t="str">
        <f>_xlfn.XLOOKUP(Municipality[[#This Row],[Administrative]],Region[Administrative (FI)],Region[Model],"")</f>
        <v>South East</v>
      </c>
    </row>
    <row r="59" spans="8:11">
      <c r="H59" s="22" t="s">
        <v>2879</v>
      </c>
      <c r="I59" s="54" t="s">
        <v>8</v>
      </c>
      <c r="J59" s="22" t="str">
        <f>IF(Municipality[[#This Row],[Region 1990]]=$M$13,$O$13,IF(Municipality[[#This Row],[Region 1990]]=$M$14,$O$14,Municipality[[#This Row],[Region 1990]]))</f>
        <v>Päijät-Häme</v>
      </c>
      <c r="K59" s="234" t="str">
        <f>_xlfn.XLOOKUP(Municipality[[#This Row],[Administrative]],Region[Administrative (FI)],Region[Model],"")</f>
        <v>South East</v>
      </c>
    </row>
    <row r="60" spans="8:11">
      <c r="H60" s="22" t="s">
        <v>2531</v>
      </c>
      <c r="I60" s="54" t="s">
        <v>11</v>
      </c>
      <c r="J60" s="22" t="str">
        <f>IF(Municipality[[#This Row],[Region 1990]]=$M$13,$O$13,IF(Municipality[[#This Row],[Region 1990]]=$M$14,$O$14,Municipality[[#This Row],[Region 1990]]))</f>
        <v>Etelä-Savo</v>
      </c>
      <c r="K60" s="234" t="str">
        <f>_xlfn.XLOOKUP(Municipality[[#This Row],[Administrative]],Region[Administrative (FI)],Region[Model],"")</f>
        <v>East</v>
      </c>
    </row>
    <row r="61" spans="8:11">
      <c r="H61" s="22" t="s">
        <v>2532</v>
      </c>
      <c r="I61" s="54" t="s">
        <v>3</v>
      </c>
      <c r="J61" s="22" t="str">
        <f>IF(Municipality[[#This Row],[Region 1990]]=$M$13,$O$13,IF(Municipality[[#This Row],[Region 1990]]=$M$14,$O$14,Municipality[[#This Row],[Region 1990]]))</f>
        <v>Uusimaa</v>
      </c>
      <c r="K61" s="234" t="str">
        <f>_xlfn.XLOOKUP(Municipality[[#This Row],[Administrative]],Region[Administrative (FI)],Region[Model],"")</f>
        <v>Uusimaa</v>
      </c>
    </row>
    <row r="62" spans="8:11">
      <c r="H62" s="22" t="s">
        <v>2533</v>
      </c>
      <c r="I62" s="54" t="s">
        <v>17</v>
      </c>
      <c r="J62" s="22" t="str">
        <f>IF(Municipality[[#This Row],[Region 1990]]=$M$13,$O$13,IF(Municipality[[#This Row],[Region 1990]]=$M$14,$O$14,Municipality[[#This Row],[Region 1990]]))</f>
        <v>Keski-Pohjanmaa</v>
      </c>
      <c r="K62" s="234" t="str">
        <f>_xlfn.XLOOKUP(Municipality[[#This Row],[Administrative]],Region[Administrative (FI)],Region[Model],"")</f>
        <v>West</v>
      </c>
    </row>
    <row r="63" spans="8:11">
      <c r="H63" s="22" t="s">
        <v>433</v>
      </c>
      <c r="I63" s="54" t="s">
        <v>11</v>
      </c>
      <c r="J63" s="22" t="str">
        <f>IF(Municipality[[#This Row],[Region 1990]]=$M$13,$O$13,IF(Municipality[[#This Row],[Region 1990]]=$M$14,$O$14,Municipality[[#This Row],[Region 1990]]))</f>
        <v>Etelä-Savo</v>
      </c>
      <c r="K63" s="234" t="str">
        <f>_xlfn.XLOOKUP(Municipality[[#This Row],[Administrative]],Region[Administrative (FI)],Region[Model],"")</f>
        <v>East</v>
      </c>
    </row>
    <row r="64" spans="8:11">
      <c r="H64" s="22" t="s">
        <v>2534</v>
      </c>
      <c r="I64" s="54" t="s">
        <v>8</v>
      </c>
      <c r="J64" s="22" t="str">
        <f>IF(Municipality[[#This Row],[Region 1990]]=$M$13,$O$13,IF(Municipality[[#This Row],[Region 1990]]=$M$14,$O$14,Municipality[[#This Row],[Region 1990]]))</f>
        <v>Päijät-Häme</v>
      </c>
      <c r="K64" s="234" t="str">
        <f>_xlfn.XLOOKUP(Municipality[[#This Row],[Administrative]],Region[Administrative (FI)],Region[Model],"")</f>
        <v>South East</v>
      </c>
    </row>
    <row r="65" spans="8:11">
      <c r="H65" s="22" t="s">
        <v>2535</v>
      </c>
      <c r="I65" s="54" t="s">
        <v>5</v>
      </c>
      <c r="J65" s="22" t="str">
        <f>IF(Municipality[[#This Row],[Region 1990]]=$M$13,$O$13,IF(Municipality[[#This Row],[Region 1990]]=$M$14,$O$14,Municipality[[#This Row],[Region 1990]]))</f>
        <v>Satakunta</v>
      </c>
      <c r="K65" s="234" t="str">
        <f>_xlfn.XLOOKUP(Municipality[[#This Row],[Administrative]],Region[Administrative (FI)],Region[Model],"")</f>
        <v>West</v>
      </c>
    </row>
    <row r="66" spans="8:11">
      <c r="H66" s="22" t="s">
        <v>2536</v>
      </c>
      <c r="I66" s="54" t="s">
        <v>4</v>
      </c>
      <c r="J66" s="22" t="str">
        <f>IF(Municipality[[#This Row],[Region 1990]]=$M$13,$O$13,IF(Municipality[[#This Row],[Region 1990]]=$M$14,$O$14,Municipality[[#This Row],[Region 1990]]))</f>
        <v>Varsinais-Suomi</v>
      </c>
      <c r="K66" s="234" t="str">
        <f>_xlfn.XLOOKUP(Municipality[[#This Row],[Administrative]],Region[Administrative (FI)],Region[Model],"")</f>
        <v>South West</v>
      </c>
    </row>
    <row r="67" spans="8:11">
      <c r="H67" s="22" t="s">
        <v>1429</v>
      </c>
      <c r="I67" s="54" t="s">
        <v>5</v>
      </c>
      <c r="J67" s="22" t="str">
        <f>IF(Municipality[[#This Row],[Region 1990]]=$M$13,$O$13,IF(Municipality[[#This Row],[Region 1990]]=$M$14,$O$14,Municipality[[#This Row],[Region 1990]]))</f>
        <v>Satakunta</v>
      </c>
      <c r="K67" s="234" t="str">
        <f>_xlfn.XLOOKUP(Municipality[[#This Row],[Administrative]],Region[Administrative (FI)],Region[Model],"")</f>
        <v>West</v>
      </c>
    </row>
    <row r="68" spans="8:11">
      <c r="H68" s="22" t="s">
        <v>2537</v>
      </c>
      <c r="I68" s="54" t="s">
        <v>2514</v>
      </c>
      <c r="J68" s="22" t="str">
        <f>IF(Municipality[[#This Row],[Region 1990]]=$M$13,$O$13,IF(Municipality[[#This Row],[Region 1990]]=$M$14,$O$14,Municipality[[#This Row],[Region 1990]]))</f>
        <v>Kanta-Häme</v>
      </c>
      <c r="K68" s="234" t="str">
        <f>_xlfn.XLOOKUP(Municipality[[#This Row],[Administrative]],Region[Administrative (FI)],Region[Model],"")</f>
        <v>South West</v>
      </c>
    </row>
    <row r="69" spans="8:11">
      <c r="H69" s="22" t="s">
        <v>2538</v>
      </c>
      <c r="I69" s="54" t="s">
        <v>19</v>
      </c>
      <c r="J69" s="22" t="str">
        <f>IF(Municipality[[#This Row],[Region 1990]]=$M$13,$O$13,IF(Municipality[[#This Row],[Region 1990]]=$M$14,$O$14,Municipality[[#This Row],[Region 1990]]))</f>
        <v>Kainuu</v>
      </c>
      <c r="K69" s="234" t="str">
        <f>_xlfn.XLOOKUP(Municipality[[#This Row],[Administrative]],Region[Administrative (FI)],Region[Model],"")</f>
        <v>East</v>
      </c>
    </row>
    <row r="70" spans="8:11">
      <c r="H70" s="22" t="s">
        <v>2539</v>
      </c>
      <c r="I70" s="54" t="s">
        <v>3</v>
      </c>
      <c r="J70" s="22" t="str">
        <f>IF(Municipality[[#This Row],[Region 1990]]=$M$13,$O$13,IF(Municipality[[#This Row],[Region 1990]]=$M$14,$O$14,Municipality[[#This Row],[Region 1990]]))</f>
        <v>Uusimaa</v>
      </c>
      <c r="K70" s="234" t="str">
        <f>_xlfn.XLOOKUP(Municipality[[#This Row],[Administrative]],Region[Administrative (FI)],Region[Model],"")</f>
        <v>Uusimaa</v>
      </c>
    </row>
    <row r="71" spans="8:11">
      <c r="H71" s="22" t="s">
        <v>2540</v>
      </c>
      <c r="I71" s="54" t="s">
        <v>3</v>
      </c>
      <c r="J71" s="22" t="str">
        <f>IF(Municipality[[#This Row],[Region 1990]]=$M$13,$O$13,IF(Municipality[[#This Row],[Region 1990]]=$M$14,$O$14,Municipality[[#This Row],[Region 1990]]))</f>
        <v>Uusimaa</v>
      </c>
      <c r="K71" s="234" t="str">
        <f>_xlfn.XLOOKUP(Municipality[[#This Row],[Administrative]],Region[Administrative (FI)],Region[Model],"")</f>
        <v>Uusimaa</v>
      </c>
    </row>
    <row r="72" spans="8:11">
      <c r="H72" s="22" t="s">
        <v>1040</v>
      </c>
      <c r="I72" s="54" t="s">
        <v>12</v>
      </c>
      <c r="J72" s="22" t="str">
        <f>IF(Municipality[[#This Row],[Region 1990]]=$M$13,$O$13,IF(Municipality[[#This Row],[Region 1990]]=$M$14,$O$14,Municipality[[#This Row],[Region 1990]]))</f>
        <v>Pohjois-Savo</v>
      </c>
      <c r="K72" s="234" t="str">
        <f>_xlfn.XLOOKUP(Municipality[[#This Row],[Administrative]],Region[Administrative (FI)],Region[Model],"")</f>
        <v>East</v>
      </c>
    </row>
    <row r="73" spans="8:11">
      <c r="H73" s="22" t="s">
        <v>2541</v>
      </c>
      <c r="I73" s="54" t="s">
        <v>18</v>
      </c>
      <c r="J73" s="22" t="str">
        <f>IF(Municipality[[#This Row],[Region 1990]]=$M$13,$O$13,IF(Municipality[[#This Row],[Region 1990]]=$M$14,$O$14,Municipality[[#This Row],[Region 1990]]))</f>
        <v>Pohjois-Pohjanmaa</v>
      </c>
      <c r="K73" s="234" t="str">
        <f>_xlfn.XLOOKUP(Municipality[[#This Row],[Administrative]],Region[Administrative (FI)],Region[Model],"")</f>
        <v>North</v>
      </c>
    </row>
    <row r="74" spans="8:11">
      <c r="H74" s="22" t="s">
        <v>2542</v>
      </c>
      <c r="I74" s="54" t="s">
        <v>9</v>
      </c>
      <c r="J74" s="22" t="str">
        <f>IF(Municipality[[#This Row],[Region 1990]]=$M$13,$O$13,IF(Municipality[[#This Row],[Region 1990]]=$M$14,$O$14,Municipality[[#This Row],[Region 1990]]))</f>
        <v>Kymenlaakso</v>
      </c>
      <c r="K74" s="234" t="str">
        <f>_xlfn.XLOOKUP(Municipality[[#This Row],[Administrative]],Region[Administrative (FI)],Region[Model],"")</f>
        <v>South East</v>
      </c>
    </row>
    <row r="75" spans="8:11">
      <c r="H75" s="22" t="s">
        <v>907</v>
      </c>
      <c r="I75" s="54" t="s">
        <v>7</v>
      </c>
      <c r="J75" s="22" t="str">
        <f>IF(Municipality[[#This Row],[Region 1990]]=$M$13,$O$13,IF(Municipality[[#This Row],[Region 1990]]=$M$14,$O$14,Municipality[[#This Row],[Region 1990]]))</f>
        <v>Pirkanmaa</v>
      </c>
      <c r="K75" s="234" t="str">
        <f>_xlfn.XLOOKUP(Municipality[[#This Row],[Administrative]],Region[Administrative (FI)],Region[Model],"")</f>
        <v>Center</v>
      </c>
    </row>
    <row r="76" spans="8:11">
      <c r="H76" s="22" t="s">
        <v>2543</v>
      </c>
      <c r="I76" s="54" t="s">
        <v>23</v>
      </c>
      <c r="J76" s="22" t="str">
        <f>IF(Municipality[[#This Row],[Region 1990]]=$M$13,$O$13,IF(Municipality[[#This Row],[Region 1990]]=$M$14,$O$14,Municipality[[#This Row],[Region 1990]]))</f>
        <v>Etelä-Pohjanmaa</v>
      </c>
      <c r="K76" s="234" t="str">
        <f>_xlfn.XLOOKUP(Municipality[[#This Row],[Administrative]],Region[Administrative (FI)],Region[Model],"")</f>
        <v>West</v>
      </c>
    </row>
    <row r="77" spans="8:11">
      <c r="H77" s="22" t="s">
        <v>974</v>
      </c>
      <c r="I77" s="54" t="s">
        <v>13</v>
      </c>
      <c r="J77" s="22" t="str">
        <f>IF(Municipality[[#This Row],[Region 1990]]=$M$13,$O$13,IF(Municipality[[#This Row],[Region 1990]]=$M$14,$O$14,Municipality[[#This Row],[Region 1990]]))</f>
        <v>Pohjois-Karjala</v>
      </c>
      <c r="K77" s="234" t="str">
        <f>_xlfn.XLOOKUP(Municipality[[#This Row],[Administrative]],Region[Administrative (FI)],Region[Model],"")</f>
        <v>East</v>
      </c>
    </row>
    <row r="78" spans="8:11">
      <c r="H78" s="22" t="s">
        <v>213</v>
      </c>
      <c r="I78" s="54" t="s">
        <v>10</v>
      </c>
      <c r="J78" s="22" t="str">
        <f>IF(Municipality[[#This Row],[Region 1990]]=$M$13,$O$13,IF(Municipality[[#This Row],[Region 1990]]=$M$14,$O$14,Municipality[[#This Row],[Region 1990]]))</f>
        <v>Etelä-Karjala</v>
      </c>
      <c r="K78" s="234" t="str">
        <f>_xlfn.XLOOKUP(Municipality[[#This Row],[Administrative]],Region[Administrative (FI)],Region[Model],"")</f>
        <v>South East</v>
      </c>
    </row>
    <row r="79" spans="8:11">
      <c r="H79" s="22" t="s">
        <v>2544</v>
      </c>
      <c r="I79" s="54" t="s">
        <v>3</v>
      </c>
      <c r="J79" s="22" t="str">
        <f>IF(Municipality[[#This Row],[Region 1990]]=$M$13,$O$13,IF(Municipality[[#This Row],[Region 1990]]=$M$14,$O$14,Municipality[[#This Row],[Region 1990]]))</f>
        <v>Uusimaa</v>
      </c>
      <c r="K79" s="234" t="str">
        <f>_xlfn.XLOOKUP(Municipality[[#This Row],[Administrative]],Region[Administrative (FI)],Region[Model],"")</f>
        <v>Uusimaa</v>
      </c>
    </row>
    <row r="80" spans="8:11">
      <c r="H80" s="22" t="s">
        <v>2545</v>
      </c>
      <c r="I80" s="54" t="s">
        <v>4</v>
      </c>
      <c r="J80" s="22" t="str">
        <f>IF(Municipality[[#This Row],[Region 1990]]=$M$13,$O$13,IF(Municipality[[#This Row],[Region 1990]]=$M$14,$O$14,Municipality[[#This Row],[Region 1990]]))</f>
        <v>Varsinais-Suomi</v>
      </c>
      <c r="K80" s="234" t="str">
        <f>_xlfn.XLOOKUP(Municipality[[#This Row],[Administrative]],Region[Administrative (FI)],Region[Model],"")</f>
        <v>South West</v>
      </c>
    </row>
    <row r="81" spans="8:11">
      <c r="H81" s="22" t="s">
        <v>2546</v>
      </c>
      <c r="I81" s="54" t="s">
        <v>9</v>
      </c>
      <c r="J81" s="22" t="str">
        <f>IF(Municipality[[#This Row],[Region 1990]]=$M$13,$O$13,IF(Municipality[[#This Row],[Region 1990]]=$M$14,$O$14,Municipality[[#This Row],[Region 1990]]))</f>
        <v>Kymenlaakso</v>
      </c>
      <c r="K81" s="234" t="str">
        <f>_xlfn.XLOOKUP(Municipality[[#This Row],[Administrative]],Region[Administrative (FI)],Region[Model],"")</f>
        <v>South East</v>
      </c>
    </row>
    <row r="82" spans="8:11">
      <c r="H82" s="22" t="s">
        <v>994</v>
      </c>
      <c r="I82" s="54" t="s">
        <v>2547</v>
      </c>
      <c r="J82" s="22" t="str">
        <f>IF(Municipality[[#This Row],[Region 1990]]=$M$13,$O$13,IF(Municipality[[#This Row],[Region 1990]]=$M$14,$O$14,Municipality[[#This Row],[Region 1990]]))</f>
        <v>Pohjanmaa</v>
      </c>
      <c r="K82" s="234" t="str">
        <f>_xlfn.XLOOKUP(Municipality[[#This Row],[Administrative]],Region[Administrative (FI)],Region[Model],"")</f>
        <v>West</v>
      </c>
    </row>
    <row r="83" spans="8:11">
      <c r="H83" s="22" t="s">
        <v>2548</v>
      </c>
      <c r="I83" s="54" t="s">
        <v>23</v>
      </c>
      <c r="J83" s="22" t="str">
        <f>IF(Municipality[[#This Row],[Region 1990]]=$M$13,$O$13,IF(Municipality[[#This Row],[Region 1990]]=$M$14,$O$14,Municipality[[#This Row],[Region 1990]]))</f>
        <v>Etelä-Pohjanmaa</v>
      </c>
      <c r="K83" s="234" t="str">
        <f>_xlfn.XLOOKUP(Municipality[[#This Row],[Administrative]],Region[Administrative (FI)],Region[Model],"")</f>
        <v>West</v>
      </c>
    </row>
    <row r="84" spans="8:11">
      <c r="H84" s="22" t="s">
        <v>2549</v>
      </c>
      <c r="I84" s="54" t="s">
        <v>2514</v>
      </c>
      <c r="J84" s="22" t="str">
        <f>IF(Municipality[[#This Row],[Region 1990]]=$M$13,$O$13,IF(Municipality[[#This Row],[Region 1990]]=$M$14,$O$14,Municipality[[#This Row],[Region 1990]]))</f>
        <v>Kanta-Häme</v>
      </c>
      <c r="K84" s="234" t="str">
        <f>_xlfn.XLOOKUP(Municipality[[#This Row],[Administrative]],Region[Administrative (FI)],Region[Model],"")</f>
        <v>South West</v>
      </c>
    </row>
    <row r="85" spans="8:11">
      <c r="H85" s="22" t="s">
        <v>1907</v>
      </c>
      <c r="I85" s="54" t="s">
        <v>2514</v>
      </c>
      <c r="J85" s="22" t="str">
        <f>IF(Municipality[[#This Row],[Region 1990]]=$M$13,$O$13,IF(Municipality[[#This Row],[Region 1990]]=$M$14,$O$14,Municipality[[#This Row],[Region 1990]]))</f>
        <v>Kanta-Häme</v>
      </c>
      <c r="K85" s="234" t="str">
        <f>_xlfn.XLOOKUP(Municipality[[#This Row],[Administrative]],Region[Administrative (FI)],Region[Model],"")</f>
        <v>South West</v>
      </c>
    </row>
    <row r="86" spans="8:11">
      <c r="H86" s="22" t="s">
        <v>1041</v>
      </c>
      <c r="I86" s="54" t="s">
        <v>13</v>
      </c>
      <c r="J86" s="22" t="str">
        <f>IF(Municipality[[#This Row],[Region 1990]]=$M$13,$O$13,IF(Municipality[[#This Row],[Region 1990]]=$M$14,$O$14,Municipality[[#This Row],[Region 1990]]))</f>
        <v>Pohjois-Karjala</v>
      </c>
      <c r="K86" s="234" t="str">
        <f>_xlfn.XLOOKUP(Municipality[[#This Row],[Administrative]],Region[Administrative (FI)],Region[Model],"")</f>
        <v>East</v>
      </c>
    </row>
    <row r="87" spans="8:11">
      <c r="H87" s="22" t="s">
        <v>2550</v>
      </c>
      <c r="I87" s="54" t="s">
        <v>22</v>
      </c>
      <c r="J87" s="22" t="str">
        <f>IF(Municipality[[#This Row],[Region 1990]]=$M$13,$O$13,IF(Municipality[[#This Row],[Region 1990]]=$M$14,$O$14,Municipality[[#This Row],[Region 1990]]))</f>
        <v>Ahvenanmaa</v>
      </c>
      <c r="K87" s="234" t="str">
        <f>_xlfn.XLOOKUP(Municipality[[#This Row],[Administrative]],Region[Administrative (FI)],Region[Model],"")</f>
        <v>South West</v>
      </c>
    </row>
    <row r="88" spans="8:11">
      <c r="H88" s="22" t="s">
        <v>690</v>
      </c>
      <c r="I88" s="54" t="s">
        <v>11</v>
      </c>
      <c r="J88" s="22" t="str">
        <f>IF(Municipality[[#This Row],[Region 1990]]=$M$13,$O$13,IF(Municipality[[#This Row],[Region 1990]]=$M$14,$O$14,Municipality[[#This Row],[Region 1990]]))</f>
        <v>Etelä-Savo</v>
      </c>
      <c r="K88" s="234" t="str">
        <f>_xlfn.XLOOKUP(Municipality[[#This Row],[Administrative]],Region[Administrative (FI)],Region[Model],"")</f>
        <v>East</v>
      </c>
    </row>
    <row r="89" spans="8:11">
      <c r="H89" s="22" t="s">
        <v>2551</v>
      </c>
      <c r="I89" s="54" t="s">
        <v>14</v>
      </c>
      <c r="J89" s="22" t="str">
        <f>IF(Municipality[[#This Row],[Region 1990]]=$M$13,$O$13,IF(Municipality[[#This Row],[Region 1990]]=$M$14,$O$14,Municipality[[#This Row],[Region 1990]]))</f>
        <v>Keski-Suomi</v>
      </c>
      <c r="K89" s="234" t="str">
        <f>_xlfn.XLOOKUP(Municipality[[#This Row],[Administrative]],Region[Administrative (FI)],Region[Model],"")</f>
        <v>Center</v>
      </c>
    </row>
    <row r="90" spans="8:11">
      <c r="H90" s="22" t="s">
        <v>909</v>
      </c>
      <c r="I90" s="54" t="s">
        <v>10</v>
      </c>
      <c r="J90" s="22" t="str">
        <f>IF(Municipality[[#This Row],[Region 1990]]=$M$13,$O$13,IF(Municipality[[#This Row],[Region 1990]]=$M$14,$O$14,Municipality[[#This Row],[Region 1990]]))</f>
        <v>Etelä-Karjala</v>
      </c>
      <c r="K90" s="234" t="str">
        <f>_xlfn.XLOOKUP(Municipality[[#This Row],[Administrative]],Region[Administrative (FI)],Region[Model],"")</f>
        <v>South East</v>
      </c>
    </row>
    <row r="91" spans="8:11">
      <c r="H91" s="22" t="s">
        <v>220</v>
      </c>
      <c r="I91" s="54" t="s">
        <v>12</v>
      </c>
      <c r="J91" s="22" t="str">
        <f>IF(Municipality[[#This Row],[Region 1990]]=$M$13,$O$13,IF(Municipality[[#This Row],[Region 1990]]=$M$14,$O$14,Municipality[[#This Row],[Region 1990]]))</f>
        <v>Pohjois-Savo</v>
      </c>
      <c r="K91" s="234" t="str">
        <f>_xlfn.XLOOKUP(Municipality[[#This Row],[Administrative]],Region[Administrative (FI)],Region[Model],"")</f>
        <v>East</v>
      </c>
    </row>
    <row r="92" spans="8:11">
      <c r="H92" s="22" t="s">
        <v>2552</v>
      </c>
      <c r="I92" s="54" t="s">
        <v>23</v>
      </c>
      <c r="J92" s="22" t="str">
        <f>IF(Municipality[[#This Row],[Region 1990]]=$M$13,$O$13,IF(Municipality[[#This Row],[Region 1990]]=$M$14,$O$14,Municipality[[#This Row],[Region 1990]]))</f>
        <v>Etelä-Pohjanmaa</v>
      </c>
      <c r="K92" s="234" t="str">
        <f>_xlfn.XLOOKUP(Municipality[[#This Row],[Administrative]],Region[Administrative (FI)],Region[Model],"")</f>
        <v>West</v>
      </c>
    </row>
    <row r="93" spans="8:11">
      <c r="H93" s="22" t="s">
        <v>2553</v>
      </c>
      <c r="I93" s="54" t="s">
        <v>13</v>
      </c>
      <c r="J93" s="22" t="str">
        <f>IF(Municipality[[#This Row],[Region 1990]]=$M$13,$O$13,IF(Municipality[[#This Row],[Region 1990]]=$M$14,$O$14,Municipality[[#This Row],[Region 1990]]))</f>
        <v>Pohjois-Karjala</v>
      </c>
      <c r="K93" s="234" t="str">
        <f>_xlfn.XLOOKUP(Municipality[[#This Row],[Administrative]],Region[Administrative (FI)],Region[Model],"")</f>
        <v>East</v>
      </c>
    </row>
    <row r="94" spans="8:11">
      <c r="H94" s="22" t="s">
        <v>2554</v>
      </c>
      <c r="I94" s="54" t="s">
        <v>7</v>
      </c>
      <c r="J94" s="22" t="str">
        <f>IF(Municipality[[#This Row],[Region 1990]]=$M$13,$O$13,IF(Municipality[[#This Row],[Region 1990]]=$M$14,$O$14,Municipality[[#This Row],[Region 1990]]))</f>
        <v>Pirkanmaa</v>
      </c>
      <c r="K94" s="234" t="str">
        <f>_xlfn.XLOOKUP(Municipality[[#This Row],[Administrative]],Region[Administrative (FI)],Region[Model],"")</f>
        <v>Center</v>
      </c>
    </row>
    <row r="95" spans="8:11">
      <c r="H95" s="22" t="s">
        <v>227</v>
      </c>
      <c r="I95" s="54" t="s">
        <v>11</v>
      </c>
      <c r="J95" s="22" t="str">
        <f>IF(Municipality[[#This Row],[Region 1990]]=$M$13,$O$13,IF(Municipality[[#This Row],[Region 1990]]=$M$14,$O$14,Municipality[[#This Row],[Region 1990]]))</f>
        <v>Etelä-Savo</v>
      </c>
      <c r="K95" s="234" t="str">
        <f>_xlfn.XLOOKUP(Municipality[[#This Row],[Administrative]],Region[Administrative (FI)],Region[Model],"")</f>
        <v>East</v>
      </c>
    </row>
    <row r="96" spans="8:11">
      <c r="H96" s="22" t="s">
        <v>2555</v>
      </c>
      <c r="I96" s="54" t="s">
        <v>14</v>
      </c>
      <c r="J96" s="22" t="str">
        <f>IF(Municipality[[#This Row],[Region 1990]]=$M$13,$O$13,IF(Municipality[[#This Row],[Region 1990]]=$M$14,$O$14,Municipality[[#This Row],[Region 1990]]))</f>
        <v>Keski-Suomi</v>
      </c>
      <c r="K96" s="234" t="str">
        <f>_xlfn.XLOOKUP(Municipality[[#This Row],[Administrative]],Region[Administrative (FI)],Region[Model],"")</f>
        <v>Center</v>
      </c>
    </row>
    <row r="97" spans="8:11">
      <c r="H97" s="22" t="s">
        <v>2880</v>
      </c>
      <c r="I97" s="54" t="s">
        <v>14</v>
      </c>
      <c r="J97" s="22" t="str">
        <f>IF(Municipality[[#This Row],[Region 1990]]=$M$13,$O$13,IF(Municipality[[#This Row],[Region 1990]]=$M$14,$O$14,Municipality[[#This Row],[Region 1990]]))</f>
        <v>Keski-Suomi</v>
      </c>
      <c r="K97" s="234" t="str">
        <f>_xlfn.XLOOKUP(Municipality[[#This Row],[Administrative]],Region[Administrative (FI)],Region[Model],"")</f>
        <v>Center</v>
      </c>
    </row>
    <row r="98" spans="8:11">
      <c r="H98" s="22" t="s">
        <v>2556</v>
      </c>
      <c r="I98" s="54" t="s">
        <v>5</v>
      </c>
      <c r="J98" s="22" t="str">
        <f>IF(Municipality[[#This Row],[Region 1990]]=$M$13,$O$13,IF(Municipality[[#This Row],[Region 1990]]=$M$14,$O$14,Municipality[[#This Row],[Region 1990]]))</f>
        <v>Satakunta</v>
      </c>
      <c r="K98" s="234" t="str">
        <f>_xlfn.XLOOKUP(Municipality[[#This Row],[Administrative]],Region[Administrative (FI)],Region[Model],"")</f>
        <v>West</v>
      </c>
    </row>
    <row r="99" spans="8:11">
      <c r="H99" s="22" t="s">
        <v>2557</v>
      </c>
      <c r="I99" s="54" t="s">
        <v>14</v>
      </c>
      <c r="J99" s="22" t="str">
        <f>IF(Municipality[[#This Row],[Region 1990]]=$M$13,$O$13,IF(Municipality[[#This Row],[Region 1990]]=$M$14,$O$14,Municipality[[#This Row],[Region 1990]]))</f>
        <v>Keski-Suomi</v>
      </c>
      <c r="K99" s="234" t="str">
        <f>_xlfn.XLOOKUP(Municipality[[#This Row],[Administrative]],Region[Administrative (FI)],Region[Model],"")</f>
        <v>Center</v>
      </c>
    </row>
    <row r="100" spans="8:11">
      <c r="H100" s="22" t="s">
        <v>2558</v>
      </c>
      <c r="I100" s="54" t="s">
        <v>14</v>
      </c>
      <c r="J100" s="22" t="str">
        <f>IF(Municipality[[#This Row],[Region 1990]]=$M$13,$O$13,IF(Municipality[[#This Row],[Region 1990]]=$M$14,$O$14,Municipality[[#This Row],[Region 1990]]))</f>
        <v>Keski-Suomi</v>
      </c>
      <c r="K100" s="234" t="str">
        <f>_xlfn.XLOOKUP(Municipality[[#This Row],[Administrative]],Region[Administrative (FI)],Region[Model],"")</f>
        <v>Center</v>
      </c>
    </row>
    <row r="101" spans="8:11">
      <c r="H101" s="22" t="s">
        <v>2559</v>
      </c>
      <c r="I101" s="54" t="s">
        <v>11</v>
      </c>
      <c r="J101" s="22" t="str">
        <f>IF(Municipality[[#This Row],[Region 1990]]=$M$13,$O$13,IF(Municipality[[#This Row],[Region 1990]]=$M$14,$O$14,Municipality[[#This Row],[Region 1990]]))</f>
        <v>Etelä-Savo</v>
      </c>
      <c r="K101" s="234" t="str">
        <f>_xlfn.XLOOKUP(Municipality[[#This Row],[Administrative]],Region[Administrative (FI)],Region[Model],"")</f>
        <v>East</v>
      </c>
    </row>
    <row r="102" spans="8:11">
      <c r="H102" s="22" t="s">
        <v>2560</v>
      </c>
      <c r="I102" s="54" t="s">
        <v>12</v>
      </c>
      <c r="J102" s="22" t="str">
        <f>IF(Municipality[[#This Row],[Region 1990]]=$M$13,$O$13,IF(Municipality[[#This Row],[Region 1990]]=$M$14,$O$14,Municipality[[#This Row],[Region 1990]]))</f>
        <v>Pohjois-Savo</v>
      </c>
      <c r="K102" s="234" t="str">
        <f>_xlfn.XLOOKUP(Municipality[[#This Row],[Administrative]],Region[Administrative (FI)],Region[Model],"")</f>
        <v>East</v>
      </c>
    </row>
    <row r="103" spans="8:11">
      <c r="H103" s="22" t="s">
        <v>2561</v>
      </c>
      <c r="I103" s="54" t="s">
        <v>19</v>
      </c>
      <c r="J103" s="22" t="str">
        <f>IF(Municipality[[#This Row],[Region 1990]]=$M$13,$O$13,IF(Municipality[[#This Row],[Region 1990]]=$M$14,$O$14,Municipality[[#This Row],[Region 1990]]))</f>
        <v>Kainuu</v>
      </c>
      <c r="K103" s="234" t="str">
        <f>_xlfn.XLOOKUP(Municipality[[#This Row],[Administrative]],Region[Administrative (FI)],Region[Model],"")</f>
        <v>East</v>
      </c>
    </row>
    <row r="104" spans="8:11">
      <c r="H104" s="22" t="s">
        <v>2562</v>
      </c>
      <c r="I104" s="54" t="s">
        <v>18</v>
      </c>
      <c r="J104" s="22" t="str">
        <f>IF(Municipality[[#This Row],[Region 1990]]=$M$13,$O$13,IF(Municipality[[#This Row],[Region 1990]]=$M$14,$O$14,Municipality[[#This Row],[Region 1990]]))</f>
        <v>Pohjois-Pohjanmaa</v>
      </c>
      <c r="K104" s="234" t="str">
        <f>_xlfn.XLOOKUP(Municipality[[#This Row],[Administrative]],Region[Administrative (FI)],Region[Model],"")</f>
        <v>North</v>
      </c>
    </row>
    <row r="105" spans="8:11">
      <c r="H105" s="22" t="s">
        <v>2563</v>
      </c>
      <c r="I105" s="54" t="s">
        <v>4</v>
      </c>
      <c r="J105" s="22" t="str">
        <f>IF(Municipality[[#This Row],[Region 1990]]=$M$13,$O$13,IF(Municipality[[#This Row],[Region 1990]]=$M$14,$O$14,Municipality[[#This Row],[Region 1990]]))</f>
        <v>Varsinais-Suomi</v>
      </c>
      <c r="K105" s="234" t="str">
        <f>_xlfn.XLOOKUP(Municipality[[#This Row],[Administrative]],Region[Administrative (FI)],Region[Model],"")</f>
        <v>South West</v>
      </c>
    </row>
    <row r="106" spans="8:11">
      <c r="H106" s="22" t="s">
        <v>2564</v>
      </c>
      <c r="I106" s="54" t="s">
        <v>2514</v>
      </c>
      <c r="J106" s="22" t="str">
        <f>IF(Municipality[[#This Row],[Region 1990]]=$M$13,$O$13,IF(Municipality[[#This Row],[Region 1990]]=$M$14,$O$14,Municipality[[#This Row],[Region 1990]]))</f>
        <v>Kanta-Häme</v>
      </c>
      <c r="K106" s="234" t="str">
        <f>_xlfn.XLOOKUP(Municipality[[#This Row],[Administrative]],Region[Administrative (FI)],Region[Model],"")</f>
        <v>South West</v>
      </c>
    </row>
    <row r="107" spans="8:11">
      <c r="H107" s="22" t="s">
        <v>2565</v>
      </c>
      <c r="I107" s="54" t="s">
        <v>7</v>
      </c>
      <c r="J107" s="22" t="str">
        <f>IF(Municipality[[#This Row],[Region 1990]]=$M$13,$O$13,IF(Municipality[[#This Row],[Region 1990]]=$M$14,$O$14,Municipality[[#This Row],[Region 1990]]))</f>
        <v>Pirkanmaa</v>
      </c>
      <c r="K107" s="234" t="str">
        <f>_xlfn.XLOOKUP(Municipality[[#This Row],[Administrative]],Region[Administrative (FI)],Region[Model],"")</f>
        <v>Center</v>
      </c>
    </row>
    <row r="108" spans="8:11">
      <c r="H108" s="22" t="s">
        <v>2566</v>
      </c>
      <c r="I108" s="54" t="s">
        <v>11</v>
      </c>
      <c r="J108" s="22" t="str">
        <f>IF(Municipality[[#This Row],[Region 1990]]=$M$13,$O$13,IF(Municipality[[#This Row],[Region 1990]]=$M$14,$O$14,Municipality[[#This Row],[Region 1990]]))</f>
        <v>Etelä-Savo</v>
      </c>
      <c r="K108" s="234" t="str">
        <f>_xlfn.XLOOKUP(Municipality[[#This Row],[Administrative]],Region[Administrative (FI)],Region[Model],"")</f>
        <v>East</v>
      </c>
    </row>
    <row r="109" spans="8:11">
      <c r="H109" s="22" t="s">
        <v>2567</v>
      </c>
      <c r="I109" s="54" t="s">
        <v>11</v>
      </c>
      <c r="J109" s="22" t="str">
        <f>IF(Municipality[[#This Row],[Region 1990]]=$M$13,$O$13,IF(Municipality[[#This Row],[Region 1990]]=$M$14,$O$14,Municipality[[#This Row],[Region 1990]]))</f>
        <v>Etelä-Savo</v>
      </c>
      <c r="K109" s="234" t="str">
        <f>_xlfn.XLOOKUP(Municipality[[#This Row],[Administrative]],Region[Administrative (FI)],Region[Model],"")</f>
        <v>East</v>
      </c>
    </row>
    <row r="110" spans="8:11">
      <c r="H110" s="22" t="s">
        <v>466</v>
      </c>
      <c r="I110" s="54" t="s">
        <v>5</v>
      </c>
      <c r="J110" s="22" t="str">
        <f>IF(Municipality[[#This Row],[Region 1990]]=$M$13,$O$13,IF(Municipality[[#This Row],[Region 1990]]=$M$14,$O$14,Municipality[[#This Row],[Region 1990]]))</f>
        <v>Satakunta</v>
      </c>
      <c r="K110" s="234" t="str">
        <f>_xlfn.XLOOKUP(Municipality[[#This Row],[Administrative]],Region[Administrative (FI)],Region[Model],"")</f>
        <v>West</v>
      </c>
    </row>
    <row r="111" spans="8:11">
      <c r="H111" s="22" t="s">
        <v>2568</v>
      </c>
      <c r="I111" s="54" t="s">
        <v>14</v>
      </c>
      <c r="J111" s="22" t="str">
        <f>IF(Municipality[[#This Row],[Region 1990]]=$M$13,$O$13,IF(Municipality[[#This Row],[Region 1990]]=$M$14,$O$14,Municipality[[#This Row],[Region 1990]]))</f>
        <v>Keski-Suomi</v>
      </c>
      <c r="K111" s="234" t="str">
        <f>_xlfn.XLOOKUP(Municipality[[#This Row],[Administrative]],Region[Administrative (FI)],Region[Model],"")</f>
        <v>Center</v>
      </c>
    </row>
    <row r="112" spans="8:11">
      <c r="H112" s="22" t="s">
        <v>674</v>
      </c>
      <c r="I112" s="54" t="s">
        <v>17</v>
      </c>
      <c r="J112" s="22" t="str">
        <f>IF(Municipality[[#This Row],[Region 1990]]=$M$13,$O$13,IF(Municipality[[#This Row],[Region 1990]]=$M$14,$O$14,Municipality[[#This Row],[Region 1990]]))</f>
        <v>Keski-Pohjanmaa</v>
      </c>
      <c r="K112" s="234" t="str">
        <f>_xlfn.XLOOKUP(Municipality[[#This Row],[Administrative]],Region[Administrative (FI)],Region[Model],"")</f>
        <v>West</v>
      </c>
    </row>
    <row r="113" spans="8:11">
      <c r="H113" s="22" t="s">
        <v>2569</v>
      </c>
      <c r="I113" s="54" t="s">
        <v>4</v>
      </c>
      <c r="J113" s="22" t="str">
        <f>IF(Municipality[[#This Row],[Region 1990]]=$M$13,$O$13,IF(Municipality[[#This Row],[Region 1990]]=$M$14,$O$14,Municipality[[#This Row],[Region 1990]]))</f>
        <v>Varsinais-Suomi</v>
      </c>
      <c r="K113" s="234" t="str">
        <f>_xlfn.XLOOKUP(Municipality[[#This Row],[Administrative]],Region[Administrative (FI)],Region[Model],"")</f>
        <v>South West</v>
      </c>
    </row>
    <row r="114" spans="8:11">
      <c r="H114" s="22" t="s">
        <v>2570</v>
      </c>
      <c r="I114" s="54" t="s">
        <v>3</v>
      </c>
      <c r="J114" s="22" t="str">
        <f>IF(Municipality[[#This Row],[Region 1990]]=$M$13,$O$13,IF(Municipality[[#This Row],[Region 1990]]=$M$14,$O$14,Municipality[[#This Row],[Region 1990]]))</f>
        <v>Uusimaa</v>
      </c>
      <c r="K114" s="234" t="str">
        <f>_xlfn.XLOOKUP(Municipality[[#This Row],[Administrative]],Region[Administrative (FI)],Region[Model],"")</f>
        <v>Uusimaa</v>
      </c>
    </row>
    <row r="115" spans="8:11">
      <c r="H115" s="22" t="s">
        <v>2571</v>
      </c>
      <c r="I115" s="54" t="s">
        <v>3</v>
      </c>
      <c r="J115" s="22" t="str">
        <f>IF(Municipality[[#This Row],[Region 1990]]=$M$13,$O$13,IF(Municipality[[#This Row],[Region 1990]]=$M$14,$O$14,Municipality[[#This Row],[Region 1990]]))</f>
        <v>Uusimaa</v>
      </c>
      <c r="K115" s="234" t="str">
        <f>_xlfn.XLOOKUP(Municipality[[#This Row],[Administrative]],Region[Administrative (FI)],Region[Model],"")</f>
        <v>Uusimaa</v>
      </c>
    </row>
    <row r="116" spans="8:11">
      <c r="H116" s="22" t="s">
        <v>923</v>
      </c>
      <c r="I116" s="54" t="s">
        <v>17</v>
      </c>
      <c r="J116" s="22" t="str">
        <f>IF(Municipality[[#This Row],[Region 1990]]=$M$13,$O$13,IF(Municipality[[#This Row],[Region 1990]]=$M$14,$O$14,Municipality[[#This Row],[Region 1990]]))</f>
        <v>Keski-Pohjanmaa</v>
      </c>
      <c r="K116" s="234" t="str">
        <f>_xlfn.XLOOKUP(Municipality[[#This Row],[Administrative]],Region[Administrative (FI)],Region[Model],"")</f>
        <v>West</v>
      </c>
    </row>
    <row r="117" spans="8:11">
      <c r="H117" s="22" t="s">
        <v>2572</v>
      </c>
      <c r="I117" s="54" t="s">
        <v>18</v>
      </c>
      <c r="J117" s="22" t="str">
        <f>IF(Municipality[[#This Row],[Region 1990]]=$M$13,$O$13,IF(Municipality[[#This Row],[Region 1990]]=$M$14,$O$14,Municipality[[#This Row],[Region 1990]]))</f>
        <v>Pohjois-Pohjanmaa</v>
      </c>
      <c r="K117" s="234" t="str">
        <f>_xlfn.XLOOKUP(Municipality[[#This Row],[Administrative]],Region[Administrative (FI)],Region[Model],"")</f>
        <v>North</v>
      </c>
    </row>
    <row r="118" spans="8:11">
      <c r="H118" s="22" t="s">
        <v>2573</v>
      </c>
      <c r="I118" s="54" t="s">
        <v>14</v>
      </c>
      <c r="J118" s="22" t="str">
        <f>IF(Municipality[[#This Row],[Region 1990]]=$M$13,$O$13,IF(Municipality[[#This Row],[Region 1990]]=$M$14,$O$14,Municipality[[#This Row],[Region 1990]]))</f>
        <v>Keski-Suomi</v>
      </c>
      <c r="K118" s="234" t="str">
        <f>_xlfn.XLOOKUP(Municipality[[#This Row],[Administrative]],Region[Administrative (FI)],Region[Model],"")</f>
        <v>Center</v>
      </c>
    </row>
    <row r="119" spans="8:11">
      <c r="H119" s="22" t="s">
        <v>2574</v>
      </c>
      <c r="I119" s="54" t="s">
        <v>12</v>
      </c>
      <c r="J119" s="22" t="str">
        <f>IF(Municipality[[#This Row],[Region 1990]]=$M$13,$O$13,IF(Municipality[[#This Row],[Region 1990]]=$M$14,$O$14,Municipality[[#This Row],[Region 1990]]))</f>
        <v>Pohjois-Savo</v>
      </c>
      <c r="K119" s="234" t="str">
        <f>_xlfn.XLOOKUP(Municipality[[#This Row],[Administrative]],Region[Administrative (FI)],Region[Model],"")</f>
        <v>East</v>
      </c>
    </row>
    <row r="120" spans="8:11">
      <c r="H120" s="22" t="s">
        <v>2575</v>
      </c>
      <c r="I120" s="54" t="s">
        <v>5</v>
      </c>
      <c r="J120" s="22" t="str">
        <f>IF(Municipality[[#This Row],[Region 1990]]=$M$13,$O$13,IF(Municipality[[#This Row],[Region 1990]]=$M$14,$O$14,Municipality[[#This Row],[Region 1990]]))</f>
        <v>Satakunta</v>
      </c>
      <c r="K120" s="234" t="str">
        <f>_xlfn.XLOOKUP(Municipality[[#This Row],[Administrative]],Region[Administrative (FI)],Region[Model],"")</f>
        <v>West</v>
      </c>
    </row>
    <row r="121" spans="8:11">
      <c r="H121" s="22" t="s">
        <v>2576</v>
      </c>
      <c r="I121" s="54" t="s">
        <v>2547</v>
      </c>
      <c r="J121" s="22" t="str">
        <f>IF(Municipality[[#This Row],[Region 1990]]=$M$13,$O$13,IF(Municipality[[#This Row],[Region 1990]]=$M$14,$O$14,Municipality[[#This Row],[Region 1990]]))</f>
        <v>Pohjanmaa</v>
      </c>
      <c r="K121" s="234" t="str">
        <f>_xlfn.XLOOKUP(Municipality[[#This Row],[Administrative]],Region[Administrative (FI)],Region[Model],"")</f>
        <v>West</v>
      </c>
    </row>
    <row r="122" spans="8:11">
      <c r="H122" s="22" t="s">
        <v>2577</v>
      </c>
      <c r="I122" s="54" t="s">
        <v>23</v>
      </c>
      <c r="J122" s="22" t="str">
        <f>IF(Municipality[[#This Row],[Region 1990]]=$M$13,$O$13,IF(Municipality[[#This Row],[Region 1990]]=$M$14,$O$14,Municipality[[#This Row],[Region 1990]]))</f>
        <v>Etelä-Pohjanmaa</v>
      </c>
      <c r="K122" s="234" t="str">
        <f>_xlfn.XLOOKUP(Municipality[[#This Row],[Administrative]],Region[Administrative (FI)],Region[Model],"")</f>
        <v>West</v>
      </c>
    </row>
    <row r="123" spans="8:11">
      <c r="H123" s="22" t="s">
        <v>2578</v>
      </c>
      <c r="I123" s="54" t="s">
        <v>23</v>
      </c>
      <c r="J123" s="22" t="str">
        <f>IF(Municipality[[#This Row],[Region 1990]]=$M$13,$O$13,IF(Municipality[[#This Row],[Region 1990]]=$M$14,$O$14,Municipality[[#This Row],[Region 1990]]))</f>
        <v>Etelä-Pohjanmaa</v>
      </c>
      <c r="K123" s="234" t="str">
        <f>_xlfn.XLOOKUP(Municipality[[#This Row],[Administrative]],Region[Administrative (FI)],Region[Model],"")</f>
        <v>West</v>
      </c>
    </row>
    <row r="124" spans="8:11">
      <c r="H124" s="22" t="s">
        <v>2579</v>
      </c>
      <c r="I124" s="54" t="s">
        <v>17</v>
      </c>
      <c r="J124" s="22" t="str">
        <f>IF(Municipality[[#This Row],[Region 1990]]=$M$13,$O$13,IF(Municipality[[#This Row],[Region 1990]]=$M$14,$O$14,Municipality[[#This Row],[Region 1990]]))</f>
        <v>Keski-Pohjanmaa</v>
      </c>
      <c r="K124" s="234" t="str">
        <f>_xlfn.XLOOKUP(Municipality[[#This Row],[Administrative]],Region[Administrative (FI)],Region[Model],"")</f>
        <v>West</v>
      </c>
    </row>
    <row r="125" spans="8:11">
      <c r="H125" s="22" t="s">
        <v>2580</v>
      </c>
      <c r="I125" s="54" t="s">
        <v>12</v>
      </c>
      <c r="J125" s="22" t="str">
        <f>IF(Municipality[[#This Row],[Region 1990]]=$M$13,$O$13,IF(Municipality[[#This Row],[Region 1990]]=$M$14,$O$14,Municipality[[#This Row],[Region 1990]]))</f>
        <v>Pohjois-Savo</v>
      </c>
      <c r="K125" s="234" t="str">
        <f>_xlfn.XLOOKUP(Municipality[[#This Row],[Administrative]],Region[Administrative (FI)],Region[Model],"")</f>
        <v>East</v>
      </c>
    </row>
    <row r="126" spans="8:11">
      <c r="H126" s="22" t="s">
        <v>2581</v>
      </c>
      <c r="I126" s="54" t="s">
        <v>17</v>
      </c>
      <c r="J126" s="22" t="str">
        <f>IF(Municipality[[#This Row],[Region 1990]]=$M$13,$O$13,IF(Municipality[[#This Row],[Region 1990]]=$M$14,$O$14,Municipality[[#This Row],[Region 1990]]))</f>
        <v>Keski-Pohjanmaa</v>
      </c>
      <c r="K126" s="234" t="str">
        <f>_xlfn.XLOOKUP(Municipality[[#This Row],[Administrative]],Region[Administrative (FI)],Region[Model],"")</f>
        <v>West</v>
      </c>
    </row>
    <row r="127" spans="8:11">
      <c r="H127" s="22" t="s">
        <v>918</v>
      </c>
      <c r="I127" s="54" t="s">
        <v>20</v>
      </c>
      <c r="J127" s="22" t="str">
        <f>IF(Municipality[[#This Row],[Region 1990]]=$M$13,$O$13,IF(Municipality[[#This Row],[Region 1990]]=$M$14,$O$14,Municipality[[#This Row],[Region 1990]]))</f>
        <v>Lappi</v>
      </c>
      <c r="K127" s="234" t="str">
        <f>_xlfn.XLOOKUP(Municipality[[#This Row],[Administrative]],Region[Administrative (FI)],Region[Model],"")</f>
        <v>North</v>
      </c>
    </row>
    <row r="128" spans="8:11">
      <c r="H128" s="22" t="s">
        <v>1044</v>
      </c>
      <c r="I128" s="54" t="s">
        <v>20</v>
      </c>
      <c r="J128" s="22" t="str">
        <f>IF(Municipality[[#This Row],[Region 1990]]=$M$13,$O$13,IF(Municipality[[#This Row],[Region 1990]]=$M$14,$O$14,Municipality[[#This Row],[Region 1990]]))</f>
        <v>Lappi</v>
      </c>
      <c r="K128" s="234" t="str">
        <f>_xlfn.XLOOKUP(Municipality[[#This Row],[Administrative]],Region[Administrative (FI)],Region[Model],"")</f>
        <v>North</v>
      </c>
    </row>
    <row r="129" spans="8:11">
      <c r="H129" s="22" t="s">
        <v>2582</v>
      </c>
      <c r="I129" s="54" t="s">
        <v>20</v>
      </c>
      <c r="J129" s="22" t="str">
        <f>IF(Municipality[[#This Row],[Region 1990]]=$M$13,$O$13,IF(Municipality[[#This Row],[Region 1990]]=$M$14,$O$14,Municipality[[#This Row],[Region 1990]]))</f>
        <v>Lappi</v>
      </c>
      <c r="K129" s="234" t="str">
        <f>_xlfn.XLOOKUP(Municipality[[#This Row],[Administrative]],Region[Administrative (FI)],Region[Model],"")</f>
        <v>North</v>
      </c>
    </row>
    <row r="130" spans="8:11">
      <c r="H130" s="22" t="s">
        <v>2583</v>
      </c>
      <c r="I130" s="54" t="s">
        <v>18</v>
      </c>
      <c r="J130" s="22" t="str">
        <f>IF(Municipality[[#This Row],[Region 1990]]=$M$13,$O$13,IF(Municipality[[#This Row],[Region 1990]]=$M$14,$O$14,Municipality[[#This Row],[Region 1990]]))</f>
        <v>Pohjois-Pohjanmaa</v>
      </c>
      <c r="K130" s="234" t="str">
        <f>_xlfn.XLOOKUP(Municipality[[#This Row],[Administrative]],Region[Administrative (FI)],Region[Model],"")</f>
        <v>North</v>
      </c>
    </row>
    <row r="131" spans="8:11">
      <c r="H131" s="22" t="s">
        <v>2293</v>
      </c>
      <c r="I131" s="54" t="s">
        <v>11</v>
      </c>
      <c r="J131" s="22" t="str">
        <f>IF(Municipality[[#This Row],[Region 1990]]=$M$13,$O$13,IF(Municipality[[#This Row],[Region 1990]]=$M$14,$O$14,Municipality[[#This Row],[Region 1990]]))</f>
        <v>Etelä-Savo</v>
      </c>
      <c r="K131" s="234" t="str">
        <f>_xlfn.XLOOKUP(Municipality[[#This Row],[Administrative]],Region[Administrative (FI)],Region[Model],"")</f>
        <v>East</v>
      </c>
    </row>
    <row r="132" spans="8:11">
      <c r="H132" s="22" t="s">
        <v>1045</v>
      </c>
      <c r="I132" s="54" t="s">
        <v>3</v>
      </c>
      <c r="J132" s="22" t="str">
        <f>IF(Municipality[[#This Row],[Region 1990]]=$M$13,$O$13,IF(Municipality[[#This Row],[Region 1990]]=$M$14,$O$14,Municipality[[#This Row],[Region 1990]]))</f>
        <v>Uusimaa</v>
      </c>
      <c r="K132" s="234" t="str">
        <f>_xlfn.XLOOKUP(Municipality[[#This Row],[Administrative]],Region[Administrative (FI)],Region[Model],"")</f>
        <v>Uusimaa</v>
      </c>
    </row>
    <row r="133" spans="8:11">
      <c r="H133" s="22" t="s">
        <v>2584</v>
      </c>
      <c r="I133" s="54" t="s">
        <v>18</v>
      </c>
      <c r="J133" s="22" t="str">
        <f>IF(Municipality[[#This Row],[Region 1990]]=$M$13,$O$13,IF(Municipality[[#This Row],[Region 1990]]=$M$14,$O$14,Municipality[[#This Row],[Region 1990]]))</f>
        <v>Pohjois-Pohjanmaa</v>
      </c>
      <c r="K133" s="234" t="str">
        <f>_xlfn.XLOOKUP(Municipality[[#This Row],[Administrative]],Region[Administrative (FI)],Region[Model],"")</f>
        <v>North</v>
      </c>
    </row>
    <row r="134" spans="8:11">
      <c r="H134" s="22" t="s">
        <v>2585</v>
      </c>
      <c r="I134" s="54" t="s">
        <v>13</v>
      </c>
      <c r="J134" s="22" t="str">
        <f>IF(Municipality[[#This Row],[Region 1990]]=$M$13,$O$13,IF(Municipality[[#This Row],[Region 1990]]=$M$14,$O$14,Municipality[[#This Row],[Region 1990]]))</f>
        <v>Pohjois-Karjala</v>
      </c>
      <c r="K134" s="234" t="str">
        <f>_xlfn.XLOOKUP(Municipality[[#This Row],[Administrative]],Region[Administrative (FI)],Region[Model],"")</f>
        <v>East</v>
      </c>
    </row>
    <row r="135" spans="8:11">
      <c r="H135" s="22" t="s">
        <v>2586</v>
      </c>
      <c r="I135" s="54" t="s">
        <v>14</v>
      </c>
      <c r="J135" s="22" t="str">
        <f>IF(Municipality[[#This Row],[Region 1990]]=$M$13,$O$13,IF(Municipality[[#This Row],[Region 1990]]=$M$14,$O$14,Municipality[[#This Row],[Region 1990]]))</f>
        <v>Keski-Suomi</v>
      </c>
      <c r="K135" s="234" t="str">
        <f>_xlfn.XLOOKUP(Municipality[[#This Row],[Administrative]],Region[Administrative (FI)],Region[Model],"")</f>
        <v>Center</v>
      </c>
    </row>
    <row r="136" spans="8:11">
      <c r="H136" s="22" t="s">
        <v>2587</v>
      </c>
      <c r="I136" s="54" t="s">
        <v>7</v>
      </c>
      <c r="J136" s="22" t="str">
        <f>IF(Municipality[[#This Row],[Region 1990]]=$M$13,$O$13,IF(Municipality[[#This Row],[Region 1990]]=$M$14,$O$14,Municipality[[#This Row],[Region 1990]]))</f>
        <v>Pirkanmaa</v>
      </c>
      <c r="K136" s="234" t="str">
        <f>_xlfn.XLOOKUP(Municipality[[#This Row],[Administrative]],Region[Administrative (FI)],Region[Model],"")</f>
        <v>Center</v>
      </c>
    </row>
    <row r="137" spans="8:11">
      <c r="H137" s="22" t="s">
        <v>2588</v>
      </c>
      <c r="I137" s="54" t="s">
        <v>13</v>
      </c>
      <c r="J137" s="22" t="str">
        <f>IF(Municipality[[#This Row],[Region 1990]]=$M$13,$O$13,IF(Municipality[[#This Row],[Region 1990]]=$M$14,$O$14,Municipality[[#This Row],[Region 1990]]))</f>
        <v>Pohjois-Karjala</v>
      </c>
      <c r="K137" s="234" t="str">
        <f>_xlfn.XLOOKUP(Municipality[[#This Row],[Administrative]],Region[Administrative (FI)],Region[Model],"")</f>
        <v>East</v>
      </c>
    </row>
    <row r="138" spans="8:11">
      <c r="H138" s="22" t="s">
        <v>2589</v>
      </c>
      <c r="I138" s="54" t="s">
        <v>4</v>
      </c>
      <c r="J138" s="22" t="str">
        <f>IF(Municipality[[#This Row],[Region 1990]]=$M$13,$O$13,IF(Municipality[[#This Row],[Region 1990]]=$M$14,$O$14,Municipality[[#This Row],[Region 1990]]))</f>
        <v>Varsinais-Suomi</v>
      </c>
      <c r="K138" s="234" t="str">
        <f>_xlfn.XLOOKUP(Municipality[[#This Row],[Administrative]],Region[Administrative (FI)],Region[Model],"")</f>
        <v>South West</v>
      </c>
    </row>
    <row r="139" spans="8:11">
      <c r="H139" s="22" t="s">
        <v>2590</v>
      </c>
      <c r="I139" s="54" t="s">
        <v>7</v>
      </c>
      <c r="J139" s="22" t="str">
        <f>IF(Municipality[[#This Row],[Region 1990]]=$M$13,$O$13,IF(Municipality[[#This Row],[Region 1990]]=$M$14,$O$14,Municipality[[#This Row],[Region 1990]]))</f>
        <v>Pirkanmaa</v>
      </c>
      <c r="K139" s="234" t="str">
        <f>_xlfn.XLOOKUP(Municipality[[#This Row],[Administrative]],Region[Administrative (FI)],Region[Model],"")</f>
        <v>Center</v>
      </c>
    </row>
    <row r="140" spans="8:11">
      <c r="H140" s="22" t="s">
        <v>2591</v>
      </c>
      <c r="I140" s="54" t="s">
        <v>18</v>
      </c>
      <c r="J140" s="22" t="str">
        <f>IF(Municipality[[#This Row],[Region 1990]]=$M$13,$O$13,IF(Municipality[[#This Row],[Region 1990]]=$M$14,$O$14,Municipality[[#This Row],[Region 1990]]))</f>
        <v>Pohjois-Pohjanmaa</v>
      </c>
      <c r="K140" s="234" t="str">
        <f>_xlfn.XLOOKUP(Municipality[[#This Row],[Administrative]],Region[Administrative (FI)],Region[Model],"")</f>
        <v>North</v>
      </c>
    </row>
    <row r="141" spans="8:11">
      <c r="H141" s="22" t="s">
        <v>2592</v>
      </c>
      <c r="I141" s="54" t="s">
        <v>4</v>
      </c>
      <c r="J141" s="22" t="str">
        <f>IF(Municipality[[#This Row],[Region 1990]]=$M$13,$O$13,IF(Municipality[[#This Row],[Region 1990]]=$M$14,$O$14,Municipality[[#This Row],[Region 1990]]))</f>
        <v>Varsinais-Suomi</v>
      </c>
      <c r="K141" s="234" t="str">
        <f>_xlfn.XLOOKUP(Municipality[[#This Row],[Administrative]],Region[Administrative (FI)],Region[Model],"")</f>
        <v>South West</v>
      </c>
    </row>
    <row r="142" spans="8:11">
      <c r="H142" s="22" t="s">
        <v>2593</v>
      </c>
      <c r="I142" s="54" t="s">
        <v>14</v>
      </c>
      <c r="J142" s="22" t="str">
        <f>IF(Municipality[[#This Row],[Region 1990]]=$M$13,$O$13,IF(Municipality[[#This Row],[Region 1990]]=$M$14,$O$14,Municipality[[#This Row],[Region 1990]]))</f>
        <v>Keski-Suomi</v>
      </c>
      <c r="K142" s="234" t="str">
        <f>_xlfn.XLOOKUP(Municipality[[#This Row],[Administrative]],Region[Administrative (FI)],Region[Model],"")</f>
        <v>Center</v>
      </c>
    </row>
    <row r="143" spans="8:11">
      <c r="H143" s="22" t="s">
        <v>2594</v>
      </c>
      <c r="I143" s="54" t="s">
        <v>4</v>
      </c>
      <c r="J143" s="22" t="str">
        <f>IF(Municipality[[#This Row],[Region 1990]]=$M$13,$O$13,IF(Municipality[[#This Row],[Region 1990]]=$M$14,$O$14,Municipality[[#This Row],[Region 1990]]))</f>
        <v>Varsinais-Suomi</v>
      </c>
      <c r="K143" s="234" t="str">
        <f>_xlfn.XLOOKUP(Municipality[[#This Row],[Administrative]],Region[Administrative (FI)],Region[Model],"")</f>
        <v>South West</v>
      </c>
    </row>
    <row r="144" spans="8:11">
      <c r="H144" s="22" t="s">
        <v>2595</v>
      </c>
      <c r="I144" s="54" t="s">
        <v>13</v>
      </c>
      <c r="J144" s="22" t="str">
        <f>IF(Municipality[[#This Row],[Region 1990]]=$M$13,$O$13,IF(Municipality[[#This Row],[Region 1990]]=$M$14,$O$14,Municipality[[#This Row],[Region 1990]]))</f>
        <v>Pohjois-Karjala</v>
      </c>
      <c r="K144" s="234" t="str">
        <f>_xlfn.XLOOKUP(Municipality[[#This Row],[Administrative]],Region[Administrative (FI)],Region[Model],"")</f>
        <v>East</v>
      </c>
    </row>
    <row r="145" spans="8:11">
      <c r="H145" s="22" t="s">
        <v>2596</v>
      </c>
      <c r="I145" s="54" t="s">
        <v>20</v>
      </c>
      <c r="J145" s="22" t="str">
        <f>IF(Municipality[[#This Row],[Region 1990]]=$M$13,$O$13,IF(Municipality[[#This Row],[Region 1990]]=$M$14,$O$14,Municipality[[#This Row],[Region 1990]]))</f>
        <v>Lappi</v>
      </c>
      <c r="K145" s="234" t="str">
        <f>_xlfn.XLOOKUP(Municipality[[#This Row],[Administrative]],Region[Administrative (FI)],Region[Model],"")</f>
        <v>North</v>
      </c>
    </row>
    <row r="146" spans="8:11">
      <c r="H146" s="22" t="s">
        <v>2597</v>
      </c>
      <c r="I146" s="54" t="s">
        <v>5</v>
      </c>
      <c r="J146" s="22" t="str">
        <f>IF(Municipality[[#This Row],[Region 1990]]=$M$13,$O$13,IF(Municipality[[#This Row],[Region 1990]]=$M$14,$O$14,Municipality[[#This Row],[Region 1990]]))</f>
        <v>Satakunta</v>
      </c>
      <c r="K146" s="234" t="str">
        <f>_xlfn.XLOOKUP(Municipality[[#This Row],[Administrative]],Region[Administrative (FI)],Region[Model],"")</f>
        <v>West</v>
      </c>
    </row>
    <row r="147" spans="8:11">
      <c r="H147" s="22" t="s">
        <v>2598</v>
      </c>
      <c r="I147" s="54" t="s">
        <v>12</v>
      </c>
      <c r="J147" s="22" t="str">
        <f>IF(Municipality[[#This Row],[Region 1990]]=$M$13,$O$13,IF(Municipality[[#This Row],[Region 1990]]=$M$14,$O$14,Municipality[[#This Row],[Region 1990]]))</f>
        <v>Pohjois-Savo</v>
      </c>
      <c r="K147" s="234" t="str">
        <f>_xlfn.XLOOKUP(Municipality[[#This Row],[Administrative]],Region[Administrative (FI)],Region[Model],"")</f>
        <v>East</v>
      </c>
    </row>
    <row r="148" spans="8:11">
      <c r="H148" s="22" t="s">
        <v>2599</v>
      </c>
      <c r="I148" s="54" t="s">
        <v>14</v>
      </c>
      <c r="J148" s="22" t="str">
        <f>IF(Municipality[[#This Row],[Region 1990]]=$M$13,$O$13,IF(Municipality[[#This Row],[Region 1990]]=$M$14,$O$14,Municipality[[#This Row],[Region 1990]]))</f>
        <v>Keski-Suomi</v>
      </c>
      <c r="K148" s="234" t="str">
        <f>_xlfn.XLOOKUP(Municipality[[#This Row],[Administrative]],Region[Administrative (FI)],Region[Model],"")</f>
        <v>Center</v>
      </c>
    </row>
    <row r="149" spans="8:11">
      <c r="H149" s="22" t="s">
        <v>2600</v>
      </c>
      <c r="I149" s="54" t="s">
        <v>5</v>
      </c>
      <c r="J149" s="22" t="str">
        <f>IF(Municipality[[#This Row],[Region 1990]]=$M$13,$O$13,IF(Municipality[[#This Row],[Region 1990]]=$M$14,$O$14,Municipality[[#This Row],[Region 1990]]))</f>
        <v>Satakunta</v>
      </c>
      <c r="K149" s="234" t="str">
        <f>_xlfn.XLOOKUP(Municipality[[#This Row],[Administrative]],Region[Administrative (FI)],Region[Model],"")</f>
        <v>West</v>
      </c>
    </row>
    <row r="150" spans="8:11">
      <c r="H150" s="22" t="s">
        <v>2601</v>
      </c>
      <c r="I150" s="54" t="s">
        <v>5</v>
      </c>
      <c r="J150" s="22" t="str">
        <f>IF(Municipality[[#This Row],[Region 1990]]=$M$13,$O$13,IF(Municipality[[#This Row],[Region 1990]]=$M$14,$O$14,Municipality[[#This Row],[Region 1990]]))</f>
        <v>Satakunta</v>
      </c>
      <c r="K150" s="234" t="str">
        <f>_xlfn.XLOOKUP(Municipality[[#This Row],[Administrative]],Region[Administrative (FI)],Region[Model],"")</f>
        <v>West</v>
      </c>
    </row>
    <row r="151" spans="8:11">
      <c r="H151" s="22" t="s">
        <v>2602</v>
      </c>
      <c r="I151" s="54" t="s">
        <v>20</v>
      </c>
      <c r="J151" s="22" t="str">
        <f>IF(Municipality[[#This Row],[Region 1990]]=$M$13,$O$13,IF(Municipality[[#This Row],[Region 1990]]=$M$14,$O$14,Municipality[[#This Row],[Region 1990]]))</f>
        <v>Lappi</v>
      </c>
      <c r="K151" s="234" t="str">
        <f>_xlfn.XLOOKUP(Municipality[[#This Row],[Administrative]],Region[Administrative (FI)],Region[Model],"")</f>
        <v>North</v>
      </c>
    </row>
    <row r="152" spans="8:11">
      <c r="H152" s="22" t="s">
        <v>2603</v>
      </c>
      <c r="I152" s="54" t="s">
        <v>14</v>
      </c>
      <c r="J152" s="22" t="str">
        <f>IF(Municipality[[#This Row],[Region 1990]]=$M$13,$O$13,IF(Municipality[[#This Row],[Region 1990]]=$M$14,$O$14,Municipality[[#This Row],[Region 1990]]))</f>
        <v>Keski-Suomi</v>
      </c>
      <c r="K152" s="234" t="str">
        <f>_xlfn.XLOOKUP(Municipality[[#This Row],[Administrative]],Region[Administrative (FI)],Region[Model],"")</f>
        <v>Center</v>
      </c>
    </row>
    <row r="153" spans="8:11">
      <c r="H153" s="22" t="s">
        <v>2604</v>
      </c>
      <c r="I153" s="54" t="s">
        <v>14</v>
      </c>
      <c r="J153" s="22" t="str">
        <f>IF(Municipality[[#This Row],[Region 1990]]=$M$13,$O$13,IF(Municipality[[#This Row],[Region 1990]]=$M$14,$O$14,Municipality[[#This Row],[Region 1990]]))</f>
        <v>Keski-Suomi</v>
      </c>
      <c r="K153" s="234" t="str">
        <f>_xlfn.XLOOKUP(Municipality[[#This Row],[Administrative]],Region[Administrative (FI)],Region[Model],"")</f>
        <v>Center</v>
      </c>
    </row>
    <row r="154" spans="8:11">
      <c r="H154" s="22" t="s">
        <v>2605</v>
      </c>
      <c r="I154" s="54" t="s">
        <v>13</v>
      </c>
      <c r="J154" s="22" t="str">
        <f>IF(Municipality[[#This Row],[Region 1990]]=$M$13,$O$13,IF(Municipality[[#This Row],[Region 1990]]=$M$14,$O$14,Municipality[[#This Row],[Region 1990]]))</f>
        <v>Pohjois-Karjala</v>
      </c>
      <c r="K154" s="234" t="str">
        <f>_xlfn.XLOOKUP(Municipality[[#This Row],[Administrative]],Region[Administrative (FI)],Region[Model],"")</f>
        <v>East</v>
      </c>
    </row>
    <row r="155" spans="8:11">
      <c r="H155" s="22" t="s">
        <v>2606</v>
      </c>
      <c r="I155" s="54" t="s">
        <v>14</v>
      </c>
      <c r="J155" s="22" t="str">
        <f>IF(Municipality[[#This Row],[Region 1990]]=$M$13,$O$13,IF(Municipality[[#This Row],[Region 1990]]=$M$14,$O$14,Municipality[[#This Row],[Region 1990]]))</f>
        <v>Keski-Suomi</v>
      </c>
      <c r="K155" s="234" t="str">
        <f>_xlfn.XLOOKUP(Municipality[[#This Row],[Administrative]],Region[Administrative (FI)],Region[Model],"")</f>
        <v>Center</v>
      </c>
    </row>
    <row r="156" spans="8:11">
      <c r="H156" s="22" t="s">
        <v>2607</v>
      </c>
      <c r="I156" s="54" t="s">
        <v>4</v>
      </c>
      <c r="J156" s="22" t="str">
        <f>IF(Municipality[[#This Row],[Region 1990]]=$M$13,$O$13,IF(Municipality[[#This Row],[Region 1990]]=$M$14,$O$14,Municipality[[#This Row],[Region 1990]]))</f>
        <v>Varsinais-Suomi</v>
      </c>
      <c r="K156" s="234" t="str">
        <f>_xlfn.XLOOKUP(Municipality[[#This Row],[Administrative]],Region[Administrative (FI)],Region[Model],"")</f>
        <v>South West</v>
      </c>
    </row>
    <row r="157" spans="8:11">
      <c r="H157" s="22" t="s">
        <v>2608</v>
      </c>
      <c r="I157" s="54" t="s">
        <v>2547</v>
      </c>
      <c r="J157" s="22" t="str">
        <f>IF(Municipality[[#This Row],[Region 1990]]=$M$13,$O$13,IF(Municipality[[#This Row],[Region 1990]]=$M$14,$O$14,Municipality[[#This Row],[Region 1990]]))</f>
        <v>Pohjanmaa</v>
      </c>
      <c r="K157" s="234" t="str">
        <f>_xlfn.XLOOKUP(Municipality[[#This Row],[Administrative]],Region[Administrative (FI)],Region[Model],"")</f>
        <v>West</v>
      </c>
    </row>
    <row r="158" spans="8:11">
      <c r="H158" s="22" t="s">
        <v>2609</v>
      </c>
      <c r="I158" s="54" t="s">
        <v>2547</v>
      </c>
      <c r="J158" s="22" t="str">
        <f>IF(Municipality[[#This Row],[Region 1990]]=$M$13,$O$13,IF(Municipality[[#This Row],[Region 1990]]=$M$14,$O$14,Municipality[[#This Row],[Region 1990]]))</f>
        <v>Pohjanmaa</v>
      </c>
      <c r="K158" s="234" t="str">
        <f>_xlfn.XLOOKUP(Municipality[[#This Row],[Administrative]],Region[Administrative (FI)],Region[Model],"")</f>
        <v>West</v>
      </c>
    </row>
    <row r="159" spans="8:11">
      <c r="H159" s="22" t="s">
        <v>1593</v>
      </c>
      <c r="I159" s="54" t="s">
        <v>23</v>
      </c>
      <c r="J159" s="22" t="str">
        <f>IF(Municipality[[#This Row],[Region 1990]]=$M$13,$O$13,IF(Municipality[[#This Row],[Region 1990]]=$M$14,$O$14,Municipality[[#This Row],[Region 1990]]))</f>
        <v>Etelä-Pohjanmaa</v>
      </c>
      <c r="K159" s="234" t="str">
        <f>_xlfn.XLOOKUP(Municipality[[#This Row],[Administrative]],Region[Administrative (FI)],Region[Model],"")</f>
        <v>West</v>
      </c>
    </row>
    <row r="160" spans="8:11">
      <c r="H160" s="22" t="s">
        <v>2610</v>
      </c>
      <c r="I160" s="54" t="s">
        <v>8</v>
      </c>
      <c r="J160" s="22" t="str">
        <f>IF(Municipality[[#This Row],[Region 1990]]=$M$13,$O$13,IF(Municipality[[#This Row],[Region 1990]]=$M$14,$O$14,Municipality[[#This Row],[Region 1990]]))</f>
        <v>Päijät-Häme</v>
      </c>
      <c r="K160" s="234" t="str">
        <f>_xlfn.XLOOKUP(Municipality[[#This Row],[Administrative]],Region[Administrative (FI)],Region[Model],"")</f>
        <v>South East</v>
      </c>
    </row>
    <row r="161" spans="8:11">
      <c r="H161" s="22" t="s">
        <v>2611</v>
      </c>
      <c r="I161" s="54" t="s">
        <v>4</v>
      </c>
      <c r="J161" s="22" t="str">
        <f>IF(Municipality[[#This Row],[Region 1990]]=$M$13,$O$13,IF(Municipality[[#This Row],[Region 1990]]=$M$14,$O$14,Municipality[[#This Row],[Region 1990]]))</f>
        <v>Varsinais-Suomi</v>
      </c>
      <c r="K161" s="234" t="str">
        <f>_xlfn.XLOOKUP(Municipality[[#This Row],[Administrative]],Region[Administrative (FI)],Region[Model],"")</f>
        <v>South West</v>
      </c>
    </row>
    <row r="162" spans="8:11">
      <c r="H162" s="22" t="s">
        <v>924</v>
      </c>
      <c r="I162" s="54" t="s">
        <v>9</v>
      </c>
      <c r="J162" s="22" t="str">
        <f>IF(Municipality[[#This Row],[Region 1990]]=$M$13,$O$13,IF(Municipality[[#This Row],[Region 1990]]=$M$14,$O$14,Municipality[[#This Row],[Region 1990]]))</f>
        <v>Kymenlaakso</v>
      </c>
      <c r="K162" s="234" t="str">
        <f>_xlfn.XLOOKUP(Municipality[[#This Row],[Administrative]],Region[Administrative (FI)],Region[Model],"")</f>
        <v>South East</v>
      </c>
    </row>
    <row r="163" spans="8:11">
      <c r="H163" s="22" t="s">
        <v>2612</v>
      </c>
      <c r="I163" s="54" t="s">
        <v>9</v>
      </c>
      <c r="J163" s="22" t="str">
        <f>IF(Municipality[[#This Row],[Region 1990]]=$M$13,$O$13,IF(Municipality[[#This Row],[Region 1990]]=$M$14,$O$14,Municipality[[#This Row],[Region 1990]]))</f>
        <v>Kymenlaakso</v>
      </c>
      <c r="K163" s="234" t="str">
        <f>_xlfn.XLOOKUP(Municipality[[#This Row],[Administrative]],Region[Administrative (FI)],Region[Model],"")</f>
        <v>South East</v>
      </c>
    </row>
    <row r="164" spans="8:11">
      <c r="H164" s="22" t="s">
        <v>711</v>
      </c>
      <c r="I164" s="54" t="s">
        <v>2547</v>
      </c>
      <c r="J164" s="22" t="str">
        <f>IF(Municipality[[#This Row],[Region 1990]]=$M$13,$O$13,IF(Municipality[[#This Row],[Region 1990]]=$M$14,$O$14,Municipality[[#This Row],[Region 1990]]))</f>
        <v>Pohjanmaa</v>
      </c>
      <c r="K164" s="234" t="str">
        <f>_xlfn.XLOOKUP(Municipality[[#This Row],[Administrative]],Region[Administrative (FI)],Region[Model],"")</f>
        <v>West</v>
      </c>
    </row>
    <row r="165" spans="8:11">
      <c r="H165" s="22" t="s">
        <v>2613</v>
      </c>
      <c r="I165" s="54" t="s">
        <v>2547</v>
      </c>
      <c r="J165" s="22" t="str">
        <f>IF(Municipality[[#This Row],[Region 1990]]=$M$13,$O$13,IF(Municipality[[#This Row],[Region 1990]]=$M$14,$O$14,Municipality[[#This Row],[Region 1990]]))</f>
        <v>Pohjanmaa</v>
      </c>
      <c r="K165" s="234" t="str">
        <f>_xlfn.XLOOKUP(Municipality[[#This Row],[Administrative]],Region[Administrative (FI)],Region[Model],"")</f>
        <v>West</v>
      </c>
    </row>
    <row r="166" spans="8:11">
      <c r="H166" s="22" t="s">
        <v>2614</v>
      </c>
      <c r="I166" s="54" t="s">
        <v>7</v>
      </c>
      <c r="J166" s="22" t="str">
        <f>IF(Municipality[[#This Row],[Region 1990]]=$M$13,$O$13,IF(Municipality[[#This Row],[Region 1990]]=$M$14,$O$14,Municipality[[#This Row],[Region 1990]]))</f>
        <v>Pirkanmaa</v>
      </c>
      <c r="K166" s="234" t="str">
        <f>_xlfn.XLOOKUP(Municipality[[#This Row],[Administrative]],Region[Administrative (FI)],Region[Model],"")</f>
        <v>Center</v>
      </c>
    </row>
    <row r="167" spans="8:11">
      <c r="H167" s="22" t="s">
        <v>987</v>
      </c>
      <c r="I167" s="54" t="s">
        <v>19</v>
      </c>
      <c r="J167" s="22" t="str">
        <f>IF(Municipality[[#This Row],[Region 1990]]=$M$13,$O$13,IF(Municipality[[#This Row],[Region 1990]]=$M$14,$O$14,Municipality[[#This Row],[Region 1990]]))</f>
        <v>Kainuu</v>
      </c>
      <c r="K167" s="234" t="str">
        <f>_xlfn.XLOOKUP(Municipality[[#This Row],[Administrative]],Region[Administrative (FI)],Region[Model],"")</f>
        <v>East</v>
      </c>
    </row>
    <row r="168" spans="8:11">
      <c r="H168" s="22" t="s">
        <v>2615</v>
      </c>
      <c r="I168" s="54" t="s">
        <v>14</v>
      </c>
      <c r="J168" s="22" t="str">
        <f>IF(Municipality[[#This Row],[Region 1990]]=$M$13,$O$13,IF(Municipality[[#This Row],[Region 1990]]=$M$14,$O$14,Municipality[[#This Row],[Region 1990]]))</f>
        <v>Keski-Suomi</v>
      </c>
      <c r="K168" s="234" t="str">
        <f>_xlfn.XLOOKUP(Municipality[[#This Row],[Administrative]],Region[Administrative (FI)],Region[Model],"")</f>
        <v>Center</v>
      </c>
    </row>
    <row r="169" spans="8:11">
      <c r="H169" s="22" t="s">
        <v>2616</v>
      </c>
      <c r="I169" s="54" t="s">
        <v>18</v>
      </c>
      <c r="J169" s="22" t="str">
        <f>IF(Municipality[[#This Row],[Region 1990]]=$M$13,$O$13,IF(Municipality[[#This Row],[Region 1990]]=$M$14,$O$14,Municipality[[#This Row],[Region 1990]]))</f>
        <v>Pohjois-Pohjanmaa</v>
      </c>
      <c r="K169" s="234" t="str">
        <f>_xlfn.XLOOKUP(Municipality[[#This Row],[Administrative]],Region[Administrative (FI)],Region[Model],"")</f>
        <v>North</v>
      </c>
    </row>
    <row r="170" spans="8:11">
      <c r="H170" s="22" t="s">
        <v>2617</v>
      </c>
      <c r="I170" s="54" t="s">
        <v>5</v>
      </c>
      <c r="J170" s="22" t="str">
        <f>IF(Municipality[[#This Row],[Region 1990]]=$M$13,$O$13,IF(Municipality[[#This Row],[Region 1990]]=$M$14,$O$14,Municipality[[#This Row],[Region 1990]]))</f>
        <v>Satakunta</v>
      </c>
      <c r="K170" s="234" t="str">
        <f>_xlfn.XLOOKUP(Municipality[[#This Row],[Administrative]],Region[Administrative (FI)],Region[Model],"")</f>
        <v>West</v>
      </c>
    </row>
    <row r="171" spans="8:11">
      <c r="H171" s="22" t="s">
        <v>2618</v>
      </c>
      <c r="I171" s="54" t="s">
        <v>22</v>
      </c>
      <c r="J171" s="22" t="str">
        <f>IF(Municipality[[#This Row],[Region 1990]]=$M$13,$O$13,IF(Municipality[[#This Row],[Region 1990]]=$M$14,$O$14,Municipality[[#This Row],[Region 1990]]))</f>
        <v>Ahvenanmaa</v>
      </c>
      <c r="K171" s="234" t="str">
        <f>_xlfn.XLOOKUP(Municipality[[#This Row],[Administrative]],Region[Administrative (FI)],Region[Model],"")</f>
        <v>South West</v>
      </c>
    </row>
    <row r="172" spans="8:11">
      <c r="H172" s="22" t="s">
        <v>2619</v>
      </c>
      <c r="I172" s="54" t="s">
        <v>5</v>
      </c>
      <c r="J172" s="22" t="str">
        <f>IF(Municipality[[#This Row],[Region 1990]]=$M$13,$O$13,IF(Municipality[[#This Row],[Region 1990]]=$M$14,$O$14,Municipality[[#This Row],[Region 1990]]))</f>
        <v>Satakunta</v>
      </c>
      <c r="K172" s="234" t="str">
        <f>_xlfn.XLOOKUP(Municipality[[#This Row],[Administrative]],Region[Administrative (FI)],Region[Model],"")</f>
        <v>West</v>
      </c>
    </row>
    <row r="173" spans="8:11">
      <c r="H173" s="22" t="s">
        <v>2620</v>
      </c>
      <c r="I173" s="54" t="s">
        <v>12</v>
      </c>
      <c r="J173" s="22" t="str">
        <f>IF(Municipality[[#This Row],[Region 1990]]=$M$13,$O$13,IF(Municipality[[#This Row],[Region 1990]]=$M$14,$O$14,Municipality[[#This Row],[Region 1990]]))</f>
        <v>Pohjois-Savo</v>
      </c>
      <c r="K173" s="234" t="str">
        <f>_xlfn.XLOOKUP(Municipality[[#This Row],[Administrative]],Region[Administrative (FI)],Region[Model],"")</f>
        <v>East</v>
      </c>
    </row>
    <row r="174" spans="8:11">
      <c r="H174" s="22" t="s">
        <v>2621</v>
      </c>
      <c r="I174" s="54" t="s">
        <v>7</v>
      </c>
      <c r="J174" s="22" t="str">
        <f>IF(Municipality[[#This Row],[Region 1990]]=$M$13,$O$13,IF(Municipality[[#This Row],[Region 1990]]=$M$14,$O$14,Municipality[[#This Row],[Region 1990]]))</f>
        <v>Pirkanmaa</v>
      </c>
      <c r="K174" s="234" t="str">
        <f>_xlfn.XLOOKUP(Municipality[[#This Row],[Administrative]],Region[Administrative (FI)],Region[Model],"")</f>
        <v>Center</v>
      </c>
    </row>
    <row r="175" spans="8:11">
      <c r="H175" s="22" t="s">
        <v>2622</v>
      </c>
      <c r="I175" s="54" t="s">
        <v>23</v>
      </c>
      <c r="J175" s="22" t="str">
        <f>IF(Municipality[[#This Row],[Region 1990]]=$M$13,$O$13,IF(Municipality[[#This Row],[Region 1990]]=$M$14,$O$14,Municipality[[#This Row],[Region 1990]]))</f>
        <v>Etelä-Pohjanmaa</v>
      </c>
      <c r="K175" s="234" t="str">
        <f>_xlfn.XLOOKUP(Municipality[[#This Row],[Administrative]],Region[Administrative (FI)],Region[Model],"")</f>
        <v>West</v>
      </c>
    </row>
    <row r="176" spans="8:11">
      <c r="H176" s="22" t="s">
        <v>2623</v>
      </c>
      <c r="I176" s="54" t="s">
        <v>23</v>
      </c>
      <c r="J176" s="22" t="str">
        <f>IF(Municipality[[#This Row],[Region 1990]]=$M$13,$O$13,IF(Municipality[[#This Row],[Region 1990]]=$M$14,$O$14,Municipality[[#This Row],[Region 1990]]))</f>
        <v>Etelä-Pohjanmaa</v>
      </c>
      <c r="K176" s="234" t="str">
        <f>_xlfn.XLOOKUP(Municipality[[#This Row],[Administrative]],Region[Administrative (FI)],Region[Model],"")</f>
        <v>West</v>
      </c>
    </row>
    <row r="177" spans="8:11">
      <c r="H177" s="22" t="s">
        <v>2624</v>
      </c>
      <c r="I177" s="54" t="s">
        <v>7</v>
      </c>
      <c r="J177" s="22" t="str">
        <f>IF(Municipality[[#This Row],[Region 1990]]=$M$13,$O$13,IF(Municipality[[#This Row],[Region 1990]]=$M$14,$O$14,Municipality[[#This Row],[Region 1990]]))</f>
        <v>Pirkanmaa</v>
      </c>
      <c r="K177" s="234" t="str">
        <f>_xlfn.XLOOKUP(Municipality[[#This Row],[Administrative]],Region[Administrative (FI)],Region[Model],"")</f>
        <v>Center</v>
      </c>
    </row>
    <row r="178" spans="8:11">
      <c r="H178" s="22" t="s">
        <v>1048</v>
      </c>
      <c r="I178" s="54" t="s">
        <v>18</v>
      </c>
      <c r="J178" s="22" t="str">
        <f>IF(Municipality[[#This Row],[Region 1990]]=$M$13,$O$13,IF(Municipality[[#This Row],[Region 1990]]=$M$14,$O$14,Municipality[[#This Row],[Region 1990]]))</f>
        <v>Pohjois-Pohjanmaa</v>
      </c>
      <c r="K178" s="234" t="str">
        <f>_xlfn.XLOOKUP(Municipality[[#This Row],[Administrative]],Region[Administrative (FI)],Region[Model],"")</f>
        <v>North</v>
      </c>
    </row>
    <row r="179" spans="8:11">
      <c r="H179" s="22" t="s">
        <v>238</v>
      </c>
      <c r="I179" s="54" t="s">
        <v>9</v>
      </c>
      <c r="J179" s="22" t="str">
        <f>IF(Municipality[[#This Row],[Region 1990]]=$M$13,$O$13,IF(Municipality[[#This Row],[Region 1990]]=$M$14,$O$14,Municipality[[#This Row],[Region 1990]]))</f>
        <v>Kymenlaakso</v>
      </c>
      <c r="K179" s="234" t="str">
        <f>_xlfn.XLOOKUP(Municipality[[#This Row],[Administrative]],Region[Administrative (FI)],Region[Model],"")</f>
        <v>South East</v>
      </c>
    </row>
    <row r="180" spans="8:11">
      <c r="H180" s="22" t="s">
        <v>2625</v>
      </c>
      <c r="I180" s="54" t="s">
        <v>4</v>
      </c>
      <c r="J180" s="22" t="str">
        <f>IF(Municipality[[#This Row],[Region 1990]]=$M$13,$O$13,IF(Municipality[[#This Row],[Region 1990]]=$M$14,$O$14,Municipality[[#This Row],[Region 1990]]))</f>
        <v>Varsinais-Suomi</v>
      </c>
      <c r="K180" s="234" t="str">
        <f>_xlfn.XLOOKUP(Municipality[[#This Row],[Administrative]],Region[Administrative (FI)],Region[Model],"")</f>
        <v>South West</v>
      </c>
    </row>
    <row r="181" spans="8:11">
      <c r="H181" s="22" t="s">
        <v>2626</v>
      </c>
      <c r="I181" s="54" t="s">
        <v>7</v>
      </c>
      <c r="J181" s="22" t="str">
        <f>IF(Municipality[[#This Row],[Region 1990]]=$M$13,$O$13,IF(Municipality[[#This Row],[Region 1990]]=$M$14,$O$14,Municipality[[#This Row],[Region 1990]]))</f>
        <v>Pirkanmaa</v>
      </c>
      <c r="K181" s="234" t="str">
        <f>_xlfn.XLOOKUP(Municipality[[#This Row],[Administrative]],Region[Administrative (FI)],Region[Model],"")</f>
        <v>Center</v>
      </c>
    </row>
    <row r="182" spans="8:11">
      <c r="H182" s="22" t="s">
        <v>2627</v>
      </c>
      <c r="I182" s="54" t="s">
        <v>3</v>
      </c>
      <c r="J182" s="22" t="str">
        <f>IF(Municipality[[#This Row],[Region 1990]]=$M$13,$O$13,IF(Municipality[[#This Row],[Region 1990]]=$M$14,$O$14,Municipality[[#This Row],[Region 1990]]))</f>
        <v>Uusimaa</v>
      </c>
      <c r="K182" s="234" t="str">
        <f>_xlfn.XLOOKUP(Municipality[[#This Row],[Administrative]],Region[Administrative (FI)],Region[Model],"")</f>
        <v>Uusimaa</v>
      </c>
    </row>
    <row r="183" spans="8:11">
      <c r="H183" s="22" t="s">
        <v>2628</v>
      </c>
      <c r="I183" s="54" t="s">
        <v>14</v>
      </c>
      <c r="J183" s="22" t="str">
        <f>IF(Municipality[[#This Row],[Region 1990]]=$M$13,$O$13,IF(Municipality[[#This Row],[Region 1990]]=$M$14,$O$14,Municipality[[#This Row],[Region 1990]]))</f>
        <v>Keski-Suomi</v>
      </c>
      <c r="K183" s="234" t="str">
        <f>_xlfn.XLOOKUP(Municipality[[#This Row],[Administrative]],Region[Administrative (FI)],Region[Model],"")</f>
        <v>Center</v>
      </c>
    </row>
    <row r="184" spans="8:11">
      <c r="H184" s="22" t="s">
        <v>2629</v>
      </c>
      <c r="I184" s="54" t="s">
        <v>8</v>
      </c>
      <c r="J184" s="22" t="str">
        <f>IF(Municipality[[#This Row],[Region 1990]]=$M$13,$O$13,IF(Municipality[[#This Row],[Region 1990]]=$M$14,$O$14,Municipality[[#This Row],[Region 1990]]))</f>
        <v>Päijät-Häme</v>
      </c>
      <c r="K184" s="234" t="str">
        <f>_xlfn.XLOOKUP(Municipality[[#This Row],[Administrative]],Region[Administrative (FI)],Region[Model],"")</f>
        <v>South East</v>
      </c>
    </row>
    <row r="185" spans="8:11">
      <c r="H185" s="22" t="s">
        <v>2630</v>
      </c>
      <c r="I185" s="54" t="s">
        <v>18</v>
      </c>
      <c r="J185" s="22" t="str">
        <f>IF(Municipality[[#This Row],[Region 1990]]=$M$13,$O$13,IF(Municipality[[#This Row],[Region 1990]]=$M$14,$O$14,Municipality[[#This Row],[Region 1990]]))</f>
        <v>Pohjois-Pohjanmaa</v>
      </c>
      <c r="K185" s="234" t="str">
        <f>_xlfn.XLOOKUP(Municipality[[#This Row],[Administrative]],Region[Administrative (FI)],Region[Model],"")</f>
        <v>North</v>
      </c>
    </row>
    <row r="186" spans="8:11">
      <c r="H186" s="22" t="s">
        <v>2631</v>
      </c>
      <c r="I186" s="54" t="s">
        <v>22</v>
      </c>
      <c r="J186" s="22" t="str">
        <f>IF(Municipality[[#This Row],[Region 1990]]=$M$13,$O$13,IF(Municipality[[#This Row],[Region 1990]]=$M$14,$O$14,Municipality[[#This Row],[Region 1990]]))</f>
        <v>Ahvenanmaa</v>
      </c>
      <c r="K186" s="234" t="str">
        <f>_xlfn.XLOOKUP(Municipality[[#This Row],[Administrative]],Region[Administrative (FI)],Region[Model],"")</f>
        <v>South West</v>
      </c>
    </row>
    <row r="187" spans="8:11">
      <c r="H187" s="22" t="s">
        <v>2632</v>
      </c>
      <c r="I187" s="54" t="s">
        <v>8</v>
      </c>
      <c r="J187" s="22" t="str">
        <f>IF(Municipality[[#This Row],[Region 1990]]=$M$13,$O$13,IF(Municipality[[#This Row],[Region 1990]]=$M$14,$O$14,Municipality[[#This Row],[Region 1990]]))</f>
        <v>Päijät-Häme</v>
      </c>
      <c r="K187" s="234" t="str">
        <f>_xlfn.XLOOKUP(Municipality[[#This Row],[Administrative]],Region[Administrative (FI)],Region[Model],"")</f>
        <v>South East</v>
      </c>
    </row>
    <row r="188" spans="8:11">
      <c r="H188" s="22" t="s">
        <v>2633</v>
      </c>
      <c r="I188" s="54" t="s">
        <v>23</v>
      </c>
      <c r="J188" s="22" t="str">
        <f>IF(Municipality[[#This Row],[Region 1990]]=$M$13,$O$13,IF(Municipality[[#This Row],[Region 1990]]=$M$14,$O$14,Municipality[[#This Row],[Region 1990]]))</f>
        <v>Etelä-Pohjanmaa</v>
      </c>
      <c r="K188" s="234" t="str">
        <f>_xlfn.XLOOKUP(Municipality[[#This Row],[Administrative]],Region[Administrative (FI)],Region[Model],"")</f>
        <v>West</v>
      </c>
    </row>
    <row r="189" spans="8:11">
      <c r="H189" s="22" t="s">
        <v>2634</v>
      </c>
      <c r="I189" s="54" t="s">
        <v>4</v>
      </c>
      <c r="J189" s="22" t="str">
        <f>IF(Municipality[[#This Row],[Region 1990]]=$M$13,$O$13,IF(Municipality[[#This Row],[Region 1990]]=$M$14,$O$14,Municipality[[#This Row],[Region 1990]]))</f>
        <v>Varsinais-Suomi</v>
      </c>
      <c r="K189" s="234" t="str">
        <f>_xlfn.XLOOKUP(Municipality[[#This Row],[Administrative]],Region[Administrative (FI)],Region[Model],"")</f>
        <v>South West</v>
      </c>
    </row>
    <row r="190" spans="8:11">
      <c r="H190" s="22" t="s">
        <v>2635</v>
      </c>
      <c r="I190" s="54" t="s">
        <v>2514</v>
      </c>
      <c r="J190" s="22" t="str">
        <f>IF(Municipality[[#This Row],[Region 1990]]=$M$13,$O$13,IF(Municipality[[#This Row],[Region 1990]]=$M$14,$O$14,Municipality[[#This Row],[Region 1990]]))</f>
        <v>Kanta-Häme</v>
      </c>
      <c r="K190" s="234" t="str">
        <f>_xlfn.XLOOKUP(Municipality[[#This Row],[Administrative]],Region[Administrative (FI)],Region[Model],"")</f>
        <v>South West</v>
      </c>
    </row>
    <row r="191" spans="8:11">
      <c r="H191" s="22" t="s">
        <v>2636</v>
      </c>
      <c r="I191" s="54" t="s">
        <v>12</v>
      </c>
      <c r="J191" s="22" t="str">
        <f>IF(Municipality[[#This Row],[Region 1990]]=$M$13,$O$13,IF(Municipality[[#This Row],[Region 1990]]=$M$14,$O$14,Municipality[[#This Row],[Region 1990]]))</f>
        <v>Pohjois-Savo</v>
      </c>
      <c r="K191" s="234" t="str">
        <f>_xlfn.XLOOKUP(Municipality[[#This Row],[Administrative]],Region[Administrative (FI)],Region[Model],"")</f>
        <v>East</v>
      </c>
    </row>
    <row r="192" spans="8:11">
      <c r="H192" s="22" t="s">
        <v>2637</v>
      </c>
      <c r="I192" s="54" t="s">
        <v>23</v>
      </c>
      <c r="J192" s="22" t="str">
        <f>IF(Municipality[[#This Row],[Region 1990]]=$M$13,$O$13,IF(Municipality[[#This Row],[Region 1990]]=$M$14,$O$14,Municipality[[#This Row],[Region 1990]]))</f>
        <v>Etelä-Pohjanmaa</v>
      </c>
      <c r="K192" s="234" t="str">
        <f>_xlfn.XLOOKUP(Municipality[[#This Row],[Administrative]],Region[Administrative (FI)],Region[Model],"")</f>
        <v>West</v>
      </c>
    </row>
    <row r="193" spans="8:11">
      <c r="H193" s="22" t="s">
        <v>20</v>
      </c>
      <c r="I193" s="54" t="s">
        <v>5</v>
      </c>
      <c r="J193" s="22" t="str">
        <f>IF(Municipality[[#This Row],[Region 1990]]=$M$13,$O$13,IF(Municipality[[#This Row],[Region 1990]]=$M$14,$O$14,Municipality[[#This Row],[Region 1990]]))</f>
        <v>Satakunta</v>
      </c>
      <c r="K193" s="234" t="str">
        <f>_xlfn.XLOOKUP(Municipality[[#This Row],[Administrative]],Region[Administrative (FI)],Region[Model],"")</f>
        <v>West</v>
      </c>
    </row>
    <row r="194" spans="8:11">
      <c r="H194" s="22" t="s">
        <v>1053</v>
      </c>
      <c r="I194" s="54" t="s">
        <v>23</v>
      </c>
      <c r="J194" s="22" t="str">
        <f>IF(Municipality[[#This Row],[Region 1990]]=$M$13,$O$13,IF(Municipality[[#This Row],[Region 1990]]=$M$14,$O$14,Municipality[[#This Row],[Region 1990]]))</f>
        <v>Etelä-Pohjanmaa</v>
      </c>
      <c r="K194" s="234" t="str">
        <f>_xlfn.XLOOKUP(Municipality[[#This Row],[Administrative]],Region[Administrative (FI)],Region[Model],"")</f>
        <v>West</v>
      </c>
    </row>
    <row r="195" spans="8:11">
      <c r="H195" s="22" t="s">
        <v>2638</v>
      </c>
      <c r="I195" s="54" t="s">
        <v>3</v>
      </c>
      <c r="J195" s="22" t="str">
        <f>IF(Municipality[[#This Row],[Region 1990]]=$M$13,$O$13,IF(Municipality[[#This Row],[Region 1990]]=$M$14,$O$14,Municipality[[#This Row],[Region 1990]]))</f>
        <v>Uusimaa</v>
      </c>
      <c r="K195" s="234" t="str">
        <f>_xlfn.XLOOKUP(Municipality[[#This Row],[Administrative]],Region[Administrative (FI)],Region[Model],"")</f>
        <v>Uusimaa</v>
      </c>
    </row>
    <row r="196" spans="8:11">
      <c r="H196" s="22" t="s">
        <v>2639</v>
      </c>
      <c r="I196" s="54" t="s">
        <v>2547</v>
      </c>
      <c r="J196" s="22" t="str">
        <f>IF(Municipality[[#This Row],[Region 1990]]=$M$13,$O$13,IF(Municipality[[#This Row],[Region 1990]]=$M$14,$O$14,Municipality[[#This Row],[Region 1990]]))</f>
        <v>Pohjanmaa</v>
      </c>
      <c r="K196" s="234" t="str">
        <f>_xlfn.XLOOKUP(Municipality[[#This Row],[Administrative]],Region[Administrative (FI)],Region[Model],"")</f>
        <v>West</v>
      </c>
    </row>
    <row r="197" spans="8:11">
      <c r="H197" s="22" t="s">
        <v>2640</v>
      </c>
      <c r="I197" s="54" t="s">
        <v>14</v>
      </c>
      <c r="J197" s="22" t="str">
        <f>IF(Municipality[[#This Row],[Region 1990]]=$M$13,$O$13,IF(Municipality[[#This Row],[Region 1990]]=$M$14,$O$14,Municipality[[#This Row],[Region 1990]]))</f>
        <v>Keski-Suomi</v>
      </c>
      <c r="K197" s="234" t="str">
        <f>_xlfn.XLOOKUP(Municipality[[#This Row],[Administrative]],Region[Administrative (FI)],Region[Model],"")</f>
        <v>Center</v>
      </c>
    </row>
    <row r="198" spans="8:11">
      <c r="H198" s="22" t="s">
        <v>2641</v>
      </c>
      <c r="I198" s="54" t="s">
        <v>5</v>
      </c>
      <c r="J198" s="22" t="str">
        <f>IF(Municipality[[#This Row],[Region 1990]]=$M$13,$O$13,IF(Municipality[[#This Row],[Region 1990]]=$M$14,$O$14,Municipality[[#This Row],[Region 1990]]))</f>
        <v>Satakunta</v>
      </c>
      <c r="K198" s="234" t="str">
        <f>_xlfn.XLOOKUP(Municipality[[#This Row],[Administrative]],Region[Administrative (FI)],Region[Model],"")</f>
        <v>West</v>
      </c>
    </row>
    <row r="199" spans="8:11">
      <c r="H199" s="22" t="s">
        <v>2642</v>
      </c>
      <c r="I199" s="54" t="s">
        <v>23</v>
      </c>
      <c r="J199" s="22" t="str">
        <f>IF(Municipality[[#This Row],[Region 1990]]=$M$13,$O$13,IF(Municipality[[#This Row],[Region 1990]]=$M$14,$O$14,Municipality[[#This Row],[Region 1990]]))</f>
        <v>Etelä-Pohjanmaa</v>
      </c>
      <c r="K199" s="234" t="str">
        <f>_xlfn.XLOOKUP(Municipality[[#This Row],[Administrative]],Region[Administrative (FI)],Region[Model],"")</f>
        <v>West</v>
      </c>
    </row>
    <row r="200" spans="8:11">
      <c r="H200" s="22" t="s">
        <v>2643</v>
      </c>
      <c r="I200" s="54" t="s">
        <v>14</v>
      </c>
      <c r="J200" s="22" t="str">
        <f>IF(Municipality[[#This Row],[Region 1990]]=$M$13,$O$13,IF(Municipality[[#This Row],[Region 1990]]=$M$14,$O$14,Municipality[[#This Row],[Region 1990]]))</f>
        <v>Keski-Suomi</v>
      </c>
      <c r="K200" s="234" t="str">
        <f>_xlfn.XLOOKUP(Municipality[[#This Row],[Administrative]],Region[Administrative (FI)],Region[Model],"")</f>
        <v>Center</v>
      </c>
    </row>
    <row r="201" spans="8:11">
      <c r="H201" s="22" t="s">
        <v>2644</v>
      </c>
      <c r="I201" s="54" t="s">
        <v>10</v>
      </c>
      <c r="J201" s="22" t="str">
        <f>IF(Municipality[[#This Row],[Region 1990]]=$M$13,$O$13,IF(Municipality[[#This Row],[Region 1990]]=$M$14,$O$14,Municipality[[#This Row],[Region 1990]]))</f>
        <v>Etelä-Karjala</v>
      </c>
      <c r="K201" s="234" t="str">
        <f>_xlfn.XLOOKUP(Municipality[[#This Row],[Administrative]],Region[Administrative (FI)],Region[Model],"")</f>
        <v>South East</v>
      </c>
    </row>
    <row r="202" spans="8:11">
      <c r="H202" s="22" t="s">
        <v>2645</v>
      </c>
      <c r="I202" s="54" t="s">
        <v>22</v>
      </c>
      <c r="J202" s="22" t="str">
        <f>IF(Municipality[[#This Row],[Region 1990]]=$M$13,$O$13,IF(Municipality[[#This Row],[Region 1990]]=$M$14,$O$14,Municipality[[#This Row],[Region 1990]]))</f>
        <v>Ahvenanmaa</v>
      </c>
      <c r="K202" s="234" t="str">
        <f>_xlfn.XLOOKUP(Municipality[[#This Row],[Administrative]],Region[Administrative (FI)],Region[Model],"")</f>
        <v>South West</v>
      </c>
    </row>
    <row r="203" spans="8:11">
      <c r="H203" s="22" t="s">
        <v>2646</v>
      </c>
      <c r="I203" s="54" t="s">
        <v>7</v>
      </c>
      <c r="J203" s="22" t="str">
        <f>IF(Municipality[[#This Row],[Region 1990]]=$M$13,$O$13,IF(Municipality[[#This Row],[Region 1990]]=$M$14,$O$14,Municipality[[#This Row],[Region 1990]]))</f>
        <v>Pirkanmaa</v>
      </c>
      <c r="K203" s="234" t="str">
        <f>_xlfn.XLOOKUP(Municipality[[#This Row],[Administrative]],Region[Administrative (FI)],Region[Model],"")</f>
        <v>Center</v>
      </c>
    </row>
    <row r="204" spans="8:11">
      <c r="H204" s="22" t="s">
        <v>2647</v>
      </c>
      <c r="I204" s="54" t="s">
        <v>4</v>
      </c>
      <c r="J204" s="22" t="str">
        <f>IF(Municipality[[#This Row],[Region 1990]]=$M$13,$O$13,IF(Municipality[[#This Row],[Region 1990]]=$M$14,$O$14,Municipality[[#This Row],[Region 1990]]))</f>
        <v>Varsinais-Suomi</v>
      </c>
      <c r="K204" s="234" t="str">
        <f>_xlfn.XLOOKUP(Municipality[[#This Row],[Administrative]],Region[Administrative (FI)],Region[Model],"")</f>
        <v>South West</v>
      </c>
    </row>
    <row r="205" spans="8:11">
      <c r="H205" s="22" t="s">
        <v>2648</v>
      </c>
      <c r="I205" s="54" t="s">
        <v>12</v>
      </c>
      <c r="J205" s="22" t="str">
        <f>IF(Municipality[[#This Row],[Region 1990]]=$M$13,$O$13,IF(Municipality[[#This Row],[Region 1990]]=$M$14,$O$14,Municipality[[#This Row],[Region 1990]]))</f>
        <v>Pohjois-Savo</v>
      </c>
      <c r="K205" s="234" t="str">
        <f>_xlfn.XLOOKUP(Municipality[[#This Row],[Administrative]],Region[Administrative (FI)],Region[Model],"")</f>
        <v>East</v>
      </c>
    </row>
    <row r="206" spans="8:11">
      <c r="H206" s="22" t="s">
        <v>506</v>
      </c>
      <c r="I206" s="54" t="s">
        <v>17</v>
      </c>
      <c r="J206" s="22" t="str">
        <f>IF(Municipality[[#This Row],[Region 1990]]=$M$13,$O$13,IF(Municipality[[#This Row],[Region 1990]]=$M$14,$O$14,Municipality[[#This Row],[Region 1990]]))</f>
        <v>Keski-Pohjanmaa</v>
      </c>
      <c r="K206" s="234" t="str">
        <f>_xlfn.XLOOKUP(Municipality[[#This Row],[Administrative]],Region[Administrative (FI)],Region[Model],"")</f>
        <v>West</v>
      </c>
    </row>
    <row r="207" spans="8:11">
      <c r="H207" s="22" t="s">
        <v>991</v>
      </c>
      <c r="I207" s="54" t="s">
        <v>13</v>
      </c>
      <c r="J207" s="22" t="str">
        <f>IF(Municipality[[#This Row],[Region 1990]]=$M$13,$O$13,IF(Municipality[[#This Row],[Region 1990]]=$M$14,$O$14,Municipality[[#This Row],[Region 1990]]))</f>
        <v>Pohjois-Karjala</v>
      </c>
      <c r="K207" s="234" t="str">
        <f>_xlfn.XLOOKUP(Municipality[[#This Row],[Administrative]],Region[Administrative (FI)],Region[Model],"")</f>
        <v>East</v>
      </c>
    </row>
    <row r="208" spans="8:11">
      <c r="H208" s="22" t="s">
        <v>2649</v>
      </c>
      <c r="I208" s="54" t="s">
        <v>3</v>
      </c>
      <c r="J208" s="22" t="str">
        <f>IF(Municipality[[#This Row],[Region 1990]]=$M$13,$O$13,IF(Municipality[[#This Row],[Region 1990]]=$M$14,$O$14,Municipality[[#This Row],[Region 1990]]))</f>
        <v>Uusimaa</v>
      </c>
      <c r="K208" s="234" t="str">
        <f>_xlfn.XLOOKUP(Municipality[[#This Row],[Administrative]],Region[Administrative (FI)],Region[Model],"")</f>
        <v>Uusimaa</v>
      </c>
    </row>
    <row r="209" spans="8:11">
      <c r="H209" s="22" t="s">
        <v>2650</v>
      </c>
      <c r="I209" s="54" t="s">
        <v>23</v>
      </c>
      <c r="J209" s="22" t="str">
        <f>IF(Municipality[[#This Row],[Region 1990]]=$M$13,$O$13,IF(Municipality[[#This Row],[Region 1990]]=$M$14,$O$14,Municipality[[#This Row],[Region 1990]]))</f>
        <v>Etelä-Pohjanmaa</v>
      </c>
      <c r="K209" s="234" t="str">
        <f>_xlfn.XLOOKUP(Municipality[[#This Row],[Administrative]],Region[Administrative (FI)],Region[Model],"")</f>
        <v>West</v>
      </c>
    </row>
    <row r="210" spans="8:11">
      <c r="H210" s="22" t="s">
        <v>2651</v>
      </c>
      <c r="I210" s="54" t="s">
        <v>18</v>
      </c>
      <c r="J210" s="22" t="str">
        <f>IF(Municipality[[#This Row],[Region 1990]]=$M$13,$O$13,IF(Municipality[[#This Row],[Region 1990]]=$M$14,$O$14,Municipality[[#This Row],[Region 1990]]))</f>
        <v>Pohjois-Pohjanmaa</v>
      </c>
      <c r="K210" s="234" t="str">
        <f>_xlfn.XLOOKUP(Municipality[[#This Row],[Administrative]],Region[Administrative (FI)],Region[Model],"")</f>
        <v>North</v>
      </c>
    </row>
    <row r="211" spans="8:11">
      <c r="H211" s="22" t="s">
        <v>2652</v>
      </c>
      <c r="I211" s="54" t="s">
        <v>13</v>
      </c>
      <c r="J211" s="22" t="str">
        <f>IF(Municipality[[#This Row],[Region 1990]]=$M$13,$O$13,IF(Municipality[[#This Row],[Region 1990]]=$M$14,$O$14,Municipality[[#This Row],[Region 1990]]))</f>
        <v>Pohjois-Karjala</v>
      </c>
      <c r="K211" s="234" t="str">
        <f>_xlfn.XLOOKUP(Municipality[[#This Row],[Administrative]],Region[Administrative (FI)],Region[Model],"")</f>
        <v>East</v>
      </c>
    </row>
    <row r="212" spans="8:11">
      <c r="H212" s="22" t="s">
        <v>1878</v>
      </c>
      <c r="I212" s="54" t="s">
        <v>17</v>
      </c>
      <c r="J212" s="22" t="str">
        <f>IF(Municipality[[#This Row],[Region 1990]]=$M$13,$O$13,IF(Municipality[[#This Row],[Region 1990]]=$M$14,$O$14,Municipality[[#This Row],[Region 1990]]))</f>
        <v>Keski-Pohjanmaa</v>
      </c>
      <c r="K212" s="234" t="str">
        <f>_xlfn.XLOOKUP(Municipality[[#This Row],[Administrative]],Region[Administrative (FI)],Region[Model],"")</f>
        <v>West</v>
      </c>
    </row>
    <row r="213" spans="8:11">
      <c r="H213" s="22" t="s">
        <v>2653</v>
      </c>
      <c r="I213" s="54" t="s">
        <v>4</v>
      </c>
      <c r="J213" s="22" t="str">
        <f>IF(Municipality[[#This Row],[Region 1990]]=$M$13,$O$13,IF(Municipality[[#This Row],[Region 1990]]=$M$14,$O$14,Municipality[[#This Row],[Region 1990]]))</f>
        <v>Varsinais-Suomi</v>
      </c>
      <c r="K213" s="234" t="str">
        <f>_xlfn.XLOOKUP(Municipality[[#This Row],[Administrative]],Region[Administrative (FI)],Region[Model],"")</f>
        <v>South West</v>
      </c>
    </row>
    <row r="214" spans="8:11">
      <c r="H214" s="22" t="s">
        <v>2654</v>
      </c>
      <c r="I214" s="54" t="s">
        <v>4</v>
      </c>
      <c r="J214" s="22" t="str">
        <f>IF(Municipality[[#This Row],[Region 1990]]=$M$13,$O$13,IF(Municipality[[#This Row],[Region 1990]]=$M$14,$O$14,Municipality[[#This Row],[Region 1990]]))</f>
        <v>Varsinais-Suomi</v>
      </c>
      <c r="K214" s="234" t="str">
        <f>_xlfn.XLOOKUP(Municipality[[#This Row],[Administrative]],Region[Administrative (FI)],Region[Model],"")</f>
        <v>South West</v>
      </c>
    </row>
    <row r="215" spans="8:11">
      <c r="H215" s="22" t="s">
        <v>2655</v>
      </c>
      <c r="I215" s="54" t="s">
        <v>3</v>
      </c>
      <c r="J215" s="22" t="str">
        <f>IF(Municipality[[#This Row],[Region 1990]]=$M$13,$O$13,IF(Municipality[[#This Row],[Region 1990]]=$M$14,$O$14,Municipality[[#This Row],[Region 1990]]))</f>
        <v>Uusimaa</v>
      </c>
      <c r="K215" s="234" t="str">
        <f>_xlfn.XLOOKUP(Municipality[[#This Row],[Administrative]],Region[Administrative (FI)],Region[Model],"")</f>
        <v>Uusimaa</v>
      </c>
    </row>
    <row r="216" spans="8:11">
      <c r="H216" s="22" t="s">
        <v>2656</v>
      </c>
      <c r="I216" s="54" t="s">
        <v>3</v>
      </c>
      <c r="J216" s="22" t="str">
        <f>IF(Municipality[[#This Row],[Region 1990]]=$M$13,$O$13,IF(Municipality[[#This Row],[Region 1990]]=$M$14,$O$14,Municipality[[#This Row],[Region 1990]]))</f>
        <v>Uusimaa</v>
      </c>
      <c r="K216" s="234" t="str">
        <f>_xlfn.XLOOKUP(Municipality[[#This Row],[Administrative]],Region[Administrative (FI)],Region[Model],"")</f>
        <v>Uusimaa</v>
      </c>
    </row>
    <row r="217" spans="8:11">
      <c r="H217" s="22" t="s">
        <v>2657</v>
      </c>
      <c r="I217" s="54" t="s">
        <v>2514</v>
      </c>
      <c r="J217" s="22" t="str">
        <f>IF(Municipality[[#This Row],[Region 1990]]=$M$13,$O$13,IF(Municipality[[#This Row],[Region 1990]]=$M$14,$O$14,Municipality[[#This Row],[Region 1990]]))</f>
        <v>Kanta-Häme</v>
      </c>
      <c r="K217" s="234" t="str">
        <f>_xlfn.XLOOKUP(Municipality[[#This Row],[Administrative]],Region[Administrative (FI)],Region[Model],"")</f>
        <v>South West</v>
      </c>
    </row>
    <row r="218" spans="8:11">
      <c r="H218" s="22" t="s">
        <v>2658</v>
      </c>
      <c r="I218" s="54" t="s">
        <v>3</v>
      </c>
      <c r="J218" s="22" t="str">
        <f>IF(Municipality[[#This Row],[Region 1990]]=$M$13,$O$13,IF(Municipality[[#This Row],[Region 1990]]=$M$14,$O$14,Municipality[[#This Row],[Region 1990]]))</f>
        <v>Uusimaa</v>
      </c>
      <c r="K218" s="234" t="str">
        <f>_xlfn.XLOOKUP(Municipality[[#This Row],[Administrative]],Region[Administrative (FI)],Region[Model],"")</f>
        <v>Uusimaa</v>
      </c>
    </row>
    <row r="219" spans="8:11">
      <c r="H219" s="22" t="s">
        <v>2659</v>
      </c>
      <c r="I219" s="54" t="s">
        <v>14</v>
      </c>
      <c r="J219" s="22" t="str">
        <f>IF(Municipality[[#This Row],[Region 1990]]=$M$13,$O$13,IF(Municipality[[#This Row],[Region 1990]]=$M$14,$O$14,Municipality[[#This Row],[Region 1990]]))</f>
        <v>Keski-Suomi</v>
      </c>
      <c r="K219" s="234" t="str">
        <f>_xlfn.XLOOKUP(Municipality[[#This Row],[Administrative]],Region[Administrative (FI)],Region[Model],"")</f>
        <v>Center</v>
      </c>
    </row>
    <row r="220" spans="8:11">
      <c r="H220" s="22" t="s">
        <v>513</v>
      </c>
      <c r="I220" s="54" t="s">
        <v>18</v>
      </c>
      <c r="J220" s="22" t="str">
        <f>IF(Municipality[[#This Row],[Region 1990]]=$M$13,$O$13,IF(Municipality[[#This Row],[Region 1990]]=$M$14,$O$14,Municipality[[#This Row],[Region 1990]]))</f>
        <v>Pohjois-Pohjanmaa</v>
      </c>
      <c r="K220" s="234" t="str">
        <f>_xlfn.XLOOKUP(Municipality[[#This Row],[Administrative]],Region[Administrative (FI)],Region[Model],"")</f>
        <v>North</v>
      </c>
    </row>
    <row r="221" spans="8:11">
      <c r="H221" s="22" t="s">
        <v>2660</v>
      </c>
      <c r="I221" s="54" t="s">
        <v>22</v>
      </c>
      <c r="J221" s="22" t="str">
        <f>IF(Municipality[[#This Row],[Region 1990]]=$M$13,$O$13,IF(Municipality[[#This Row],[Region 1990]]=$M$14,$O$14,Municipality[[#This Row],[Region 1990]]))</f>
        <v>Ahvenanmaa</v>
      </c>
      <c r="K221" s="234" t="str">
        <f>_xlfn.XLOOKUP(Municipality[[#This Row],[Administrative]],Region[Administrative (FI)],Region[Model],"")</f>
        <v>South West</v>
      </c>
    </row>
    <row r="222" spans="8:11">
      <c r="H222" s="22" t="s">
        <v>2661</v>
      </c>
      <c r="I222" s="54" t="s">
        <v>4</v>
      </c>
      <c r="J222" s="22" t="str">
        <f>IF(Municipality[[#This Row],[Region 1990]]=$M$13,$O$13,IF(Municipality[[#This Row],[Region 1990]]=$M$14,$O$14,Municipality[[#This Row],[Region 1990]]))</f>
        <v>Varsinais-Suomi</v>
      </c>
      <c r="K222" s="234" t="str">
        <f>_xlfn.XLOOKUP(Municipality[[#This Row],[Administrative]],Region[Administrative (FI)],Region[Model],"")</f>
        <v>South West</v>
      </c>
    </row>
    <row r="223" spans="8:11">
      <c r="H223" s="22" t="s">
        <v>2662</v>
      </c>
      <c r="I223" s="54" t="s">
        <v>7</v>
      </c>
      <c r="J223" s="22" t="str">
        <f>IF(Municipality[[#This Row],[Region 1990]]=$M$13,$O$13,IF(Municipality[[#This Row],[Region 1990]]=$M$14,$O$14,Municipality[[#This Row],[Region 1990]]))</f>
        <v>Pirkanmaa</v>
      </c>
      <c r="K223" s="234" t="str">
        <f>_xlfn.XLOOKUP(Municipality[[#This Row],[Administrative]],Region[Administrative (FI)],Region[Model],"")</f>
        <v>Center</v>
      </c>
    </row>
    <row r="224" spans="8:11">
      <c r="H224" s="22" t="s">
        <v>2663</v>
      </c>
      <c r="I224" s="54" t="s">
        <v>10</v>
      </c>
      <c r="J224" s="22" t="str">
        <f>IF(Municipality[[#This Row],[Region 1990]]=$M$13,$O$13,IF(Municipality[[#This Row],[Region 1990]]=$M$14,$O$14,Municipality[[#This Row],[Region 1990]]))</f>
        <v>Etelä-Karjala</v>
      </c>
      <c r="K224" s="234" t="str">
        <f>_xlfn.XLOOKUP(Municipality[[#This Row],[Administrative]],Region[Administrative (FI)],Region[Model],"")</f>
        <v>South East</v>
      </c>
    </row>
    <row r="225" spans="8:11">
      <c r="H225" s="22" t="s">
        <v>2664</v>
      </c>
      <c r="I225" s="54" t="s">
        <v>5</v>
      </c>
      <c r="J225" s="22" t="str">
        <f>IF(Municipality[[#This Row],[Region 1990]]=$M$13,$O$13,IF(Municipality[[#This Row],[Region 1990]]=$M$14,$O$14,Municipality[[#This Row],[Region 1990]]))</f>
        <v>Satakunta</v>
      </c>
      <c r="K225" s="234" t="str">
        <f>_xlfn.XLOOKUP(Municipality[[#This Row],[Administrative]],Region[Administrative (FI)],Region[Model],"")</f>
        <v>West</v>
      </c>
    </row>
    <row r="226" spans="8:11">
      <c r="H226" s="22" t="s">
        <v>2665</v>
      </c>
      <c r="I226" s="54" t="s">
        <v>7</v>
      </c>
      <c r="J226" s="22" t="str">
        <f>IF(Municipality[[#This Row],[Region 1990]]=$M$13,$O$13,IF(Municipality[[#This Row],[Region 1990]]=$M$14,$O$14,Municipality[[#This Row],[Region 1990]]))</f>
        <v>Pirkanmaa</v>
      </c>
      <c r="K226" s="234" t="str">
        <f>_xlfn.XLOOKUP(Municipality[[#This Row],[Administrative]],Region[Administrative (FI)],Region[Model],"")</f>
        <v>Center</v>
      </c>
    </row>
    <row r="227" spans="8:11">
      <c r="H227" s="22" t="s">
        <v>2666</v>
      </c>
      <c r="I227" s="54" t="s">
        <v>12</v>
      </c>
      <c r="J227" s="22" t="str">
        <f>IF(Municipality[[#This Row],[Region 1990]]=$M$13,$O$13,IF(Municipality[[#This Row],[Region 1990]]=$M$14,$O$14,Municipality[[#This Row],[Region 1990]]))</f>
        <v>Pohjois-Savo</v>
      </c>
      <c r="K227" s="234" t="str">
        <f>_xlfn.XLOOKUP(Municipality[[#This Row],[Administrative]],Region[Administrative (FI)],Region[Model],"")</f>
        <v>East</v>
      </c>
    </row>
    <row r="228" spans="8:11">
      <c r="H228" s="22" t="s">
        <v>2667</v>
      </c>
      <c r="I228" s="54" t="s">
        <v>2547</v>
      </c>
      <c r="J228" s="22" t="str">
        <f>IF(Municipality[[#This Row],[Region 1990]]=$M$13,$O$13,IF(Municipality[[#This Row],[Region 1990]]=$M$14,$O$14,Municipality[[#This Row],[Region 1990]]))</f>
        <v>Pohjanmaa</v>
      </c>
      <c r="K228" s="234" t="str">
        <f>_xlfn.XLOOKUP(Municipality[[#This Row],[Administrative]],Region[Administrative (FI)],Region[Model],"")</f>
        <v>West</v>
      </c>
    </row>
    <row r="229" spans="8:11">
      <c r="H229" s="22" t="s">
        <v>2668</v>
      </c>
      <c r="I229" s="54" t="s">
        <v>22</v>
      </c>
      <c r="J229" s="22" t="str">
        <f>IF(Municipality[[#This Row],[Region 1990]]=$M$13,$O$13,IF(Municipality[[#This Row],[Region 1990]]=$M$14,$O$14,Municipality[[#This Row],[Region 1990]]))</f>
        <v>Ahvenanmaa</v>
      </c>
      <c r="K229" s="234" t="str">
        <f>_xlfn.XLOOKUP(Municipality[[#This Row],[Administrative]],Region[Administrative (FI)],Region[Model],"")</f>
        <v>South West</v>
      </c>
    </row>
    <row r="230" spans="8:11">
      <c r="H230" s="22" t="s">
        <v>2669</v>
      </c>
      <c r="I230" s="54" t="s">
        <v>4</v>
      </c>
      <c r="J230" s="22" t="str">
        <f>IF(Municipality[[#This Row],[Region 1990]]=$M$13,$O$13,IF(Municipality[[#This Row],[Region 1990]]=$M$14,$O$14,Municipality[[#This Row],[Region 1990]]))</f>
        <v>Varsinais-Suomi</v>
      </c>
      <c r="K230" s="234" t="str">
        <f>_xlfn.XLOOKUP(Municipality[[#This Row],[Administrative]],Region[Administrative (FI)],Region[Model],"")</f>
        <v>South West</v>
      </c>
    </row>
    <row r="231" spans="8:11">
      <c r="H231" s="22" t="s">
        <v>2670</v>
      </c>
      <c r="I231" s="54" t="s">
        <v>4</v>
      </c>
      <c r="J231" s="22" t="str">
        <f>IF(Municipality[[#This Row],[Region 1990]]=$M$13,$O$13,IF(Municipality[[#This Row],[Region 1990]]=$M$14,$O$14,Municipality[[#This Row],[Region 1990]]))</f>
        <v>Varsinais-Suomi</v>
      </c>
      <c r="K231" s="234" t="str">
        <f>_xlfn.XLOOKUP(Municipality[[#This Row],[Administrative]],Region[Administrative (FI)],Region[Model],"")</f>
        <v>South West</v>
      </c>
    </row>
    <row r="232" spans="8:11">
      <c r="H232" s="22" t="s">
        <v>2671</v>
      </c>
      <c r="I232" s="54" t="s">
        <v>2547</v>
      </c>
      <c r="J232" s="22" t="str">
        <f>IF(Municipality[[#This Row],[Region 1990]]=$M$13,$O$13,IF(Municipality[[#This Row],[Region 1990]]=$M$14,$O$14,Municipality[[#This Row],[Region 1990]]))</f>
        <v>Pohjanmaa</v>
      </c>
      <c r="K232" s="234" t="str">
        <f>_xlfn.XLOOKUP(Municipality[[#This Row],[Administrative]],Region[Administrative (FI)],Region[Model],"")</f>
        <v>West</v>
      </c>
    </row>
    <row r="233" spans="8:11">
      <c r="H233" s="22" t="s">
        <v>2672</v>
      </c>
      <c r="I233" s="54" t="s">
        <v>4</v>
      </c>
      <c r="J233" s="22" t="str">
        <f>IF(Municipality[[#This Row],[Region 1990]]=$M$13,$O$13,IF(Municipality[[#This Row],[Region 1990]]=$M$14,$O$14,Municipality[[#This Row],[Region 1990]]))</f>
        <v>Varsinais-Suomi</v>
      </c>
      <c r="K233" s="234" t="str">
        <f>_xlfn.XLOOKUP(Municipality[[#This Row],[Administrative]],Region[Administrative (FI)],Region[Model],"")</f>
        <v>South West</v>
      </c>
    </row>
    <row r="234" spans="8:11">
      <c r="H234" s="22" t="s">
        <v>2673</v>
      </c>
      <c r="I234" s="54" t="s">
        <v>18</v>
      </c>
      <c r="J234" s="22" t="str">
        <f>IF(Municipality[[#This Row],[Region 1990]]=$M$13,$O$13,IF(Municipality[[#This Row],[Region 1990]]=$M$14,$O$14,Municipality[[#This Row],[Region 1990]]))</f>
        <v>Pohjois-Pohjanmaa</v>
      </c>
      <c r="K234" s="234" t="str">
        <f>_xlfn.XLOOKUP(Municipality[[#This Row],[Administrative]],Region[Administrative (FI)],Region[Model],"")</f>
        <v>North</v>
      </c>
    </row>
    <row r="235" spans="8:11">
      <c r="H235" s="22" t="s">
        <v>2674</v>
      </c>
      <c r="I235" s="54" t="s">
        <v>4</v>
      </c>
      <c r="J235" s="22" t="str">
        <f>IF(Municipality[[#This Row],[Region 1990]]=$M$13,$O$13,IF(Municipality[[#This Row],[Region 1990]]=$M$14,$O$14,Municipality[[#This Row],[Region 1990]]))</f>
        <v>Varsinais-Suomi</v>
      </c>
      <c r="K235" s="234" t="str">
        <f>_xlfn.XLOOKUP(Municipality[[#This Row],[Administrative]],Region[Administrative (FI)],Region[Model],"")</f>
        <v>South West</v>
      </c>
    </row>
    <row r="236" spans="8:11">
      <c r="H236" s="22" t="s">
        <v>2675</v>
      </c>
      <c r="I236" s="54" t="s">
        <v>9</v>
      </c>
      <c r="J236" s="22" t="str">
        <f>IF(Municipality[[#This Row],[Region 1990]]=$M$13,$O$13,IF(Municipality[[#This Row],[Region 1990]]=$M$14,$O$14,Municipality[[#This Row],[Region 1990]]))</f>
        <v>Kymenlaakso</v>
      </c>
      <c r="K236" s="234" t="str">
        <f>_xlfn.XLOOKUP(Municipality[[#This Row],[Administrative]],Region[Administrative (FI)],Region[Model],"")</f>
        <v>South East</v>
      </c>
    </row>
    <row r="237" spans="8:11">
      <c r="H237" s="22" t="s">
        <v>2676</v>
      </c>
      <c r="I237" s="54" t="s">
        <v>4</v>
      </c>
      <c r="J237" s="22" t="str">
        <f>IF(Municipality[[#This Row],[Region 1990]]=$M$13,$O$13,IF(Municipality[[#This Row],[Region 1990]]=$M$14,$O$14,Municipality[[#This Row],[Region 1990]]))</f>
        <v>Varsinais-Suomi</v>
      </c>
      <c r="K237" s="234" t="str">
        <f>_xlfn.XLOOKUP(Municipality[[#This Row],[Administrative]],Region[Administrative (FI)],Region[Model],"")</f>
        <v>South West</v>
      </c>
    </row>
    <row r="238" spans="8:11">
      <c r="H238" s="22" t="s">
        <v>2677</v>
      </c>
      <c r="I238" s="54" t="s">
        <v>7</v>
      </c>
      <c r="J238" s="22" t="str">
        <f>IF(Municipality[[#This Row],[Region 1990]]=$M$13,$O$13,IF(Municipality[[#This Row],[Region 1990]]=$M$14,$O$14,Municipality[[#This Row],[Region 1990]]))</f>
        <v>Pirkanmaa</v>
      </c>
      <c r="K238" s="234" t="str">
        <f>_xlfn.XLOOKUP(Municipality[[#This Row],[Administrative]],Region[Administrative (FI)],Region[Model],"")</f>
        <v>Center</v>
      </c>
    </row>
    <row r="239" spans="8:11">
      <c r="H239" s="22" t="s">
        <v>2678</v>
      </c>
      <c r="I239" s="54" t="s">
        <v>18</v>
      </c>
      <c r="J239" s="22" t="str">
        <f>IF(Municipality[[#This Row],[Region 1990]]=$M$13,$O$13,IF(Municipality[[#This Row],[Region 1990]]=$M$14,$O$14,Municipality[[#This Row],[Region 1990]]))</f>
        <v>Pohjois-Pohjanmaa</v>
      </c>
      <c r="K239" s="234" t="str">
        <f>_xlfn.XLOOKUP(Municipality[[#This Row],[Administrative]],Region[Administrative (FI)],Region[Model],"")</f>
        <v>North</v>
      </c>
    </row>
    <row r="240" spans="8:11">
      <c r="H240" s="22" t="s">
        <v>2679</v>
      </c>
      <c r="I240" s="54" t="s">
        <v>14</v>
      </c>
      <c r="J240" s="22" t="str">
        <f>IF(Municipality[[#This Row],[Region 1990]]=$M$13,$O$13,IF(Municipality[[#This Row],[Region 1990]]=$M$14,$O$14,Municipality[[#This Row],[Region 1990]]))</f>
        <v>Keski-Suomi</v>
      </c>
      <c r="K240" s="234" t="str">
        <f>_xlfn.XLOOKUP(Municipality[[#This Row],[Administrative]],Region[Administrative (FI)],Region[Model],"")</f>
        <v>Center</v>
      </c>
    </row>
    <row r="241" spans="8:11">
      <c r="H241" s="22" t="s">
        <v>2680</v>
      </c>
      <c r="I241" s="54" t="s">
        <v>20</v>
      </c>
      <c r="J241" s="22" t="str">
        <f>IF(Municipality[[#This Row],[Region 1990]]=$M$13,$O$13,IF(Municipality[[#This Row],[Region 1990]]=$M$14,$O$14,Municipality[[#This Row],[Region 1990]]))</f>
        <v>Lappi</v>
      </c>
      <c r="K241" s="234" t="str">
        <f>_xlfn.XLOOKUP(Municipality[[#This Row],[Administrative]],Region[Administrative (FI)],Region[Model],"")</f>
        <v>North</v>
      </c>
    </row>
    <row r="242" spans="8:11">
      <c r="H242" s="22" t="s">
        <v>2681</v>
      </c>
      <c r="I242" s="54" t="s">
        <v>14</v>
      </c>
      <c r="J242" s="22" t="str">
        <f>IF(Municipality[[#This Row],[Region 1990]]=$M$13,$O$13,IF(Municipality[[#This Row],[Region 1990]]=$M$14,$O$14,Municipality[[#This Row],[Region 1990]]))</f>
        <v>Keski-Suomi</v>
      </c>
      <c r="K242" s="234" t="str">
        <f>_xlfn.XLOOKUP(Municipality[[#This Row],[Administrative]],Region[Administrative (FI)],Region[Model],"")</f>
        <v>Center</v>
      </c>
    </row>
    <row r="243" spans="8:11">
      <c r="H243" s="22" t="s">
        <v>2682</v>
      </c>
      <c r="I243" s="54" t="s">
        <v>4</v>
      </c>
      <c r="J243" s="22" t="str">
        <f>IF(Municipality[[#This Row],[Region 1990]]=$M$13,$O$13,IF(Municipality[[#This Row],[Region 1990]]=$M$14,$O$14,Municipality[[#This Row],[Region 1990]]))</f>
        <v>Varsinais-Suomi</v>
      </c>
      <c r="K243" s="234" t="str">
        <f>_xlfn.XLOOKUP(Municipality[[#This Row],[Administrative]],Region[Administrative (FI)],Region[Model],"")</f>
        <v>South West</v>
      </c>
    </row>
    <row r="244" spans="8:11">
      <c r="H244" s="22" t="s">
        <v>2683</v>
      </c>
      <c r="I244" s="54" t="s">
        <v>4</v>
      </c>
      <c r="J244" s="22" t="str">
        <f>IF(Municipality[[#This Row],[Region 1990]]=$M$13,$O$13,IF(Municipality[[#This Row],[Region 1990]]=$M$14,$O$14,Municipality[[#This Row],[Region 1990]]))</f>
        <v>Varsinais-Suomi</v>
      </c>
      <c r="K244" s="234" t="str">
        <f>_xlfn.XLOOKUP(Municipality[[#This Row],[Administrative]],Region[Administrative (FI)],Region[Model],"")</f>
        <v>South West</v>
      </c>
    </row>
    <row r="245" spans="8:11">
      <c r="H245" s="22" t="s">
        <v>2684</v>
      </c>
      <c r="I245" s="54" t="s">
        <v>3</v>
      </c>
      <c r="J245" s="22" t="str">
        <f>IF(Municipality[[#This Row],[Region 1990]]=$M$13,$O$13,IF(Municipality[[#This Row],[Region 1990]]=$M$14,$O$14,Municipality[[#This Row],[Region 1990]]))</f>
        <v>Uusimaa</v>
      </c>
      <c r="K245" s="234" t="str">
        <f>_xlfn.XLOOKUP(Municipality[[#This Row],[Administrative]],Region[Administrative (FI)],Region[Model],"")</f>
        <v>Uusimaa</v>
      </c>
    </row>
    <row r="246" spans="8:11">
      <c r="H246" s="22" t="s">
        <v>2353</v>
      </c>
      <c r="I246" s="54" t="s">
        <v>7</v>
      </c>
      <c r="J246" s="22" t="str">
        <f>IF(Municipality[[#This Row],[Region 1990]]=$M$13,$O$13,IF(Municipality[[#This Row],[Region 1990]]=$M$14,$O$14,Municipality[[#This Row],[Region 1990]]))</f>
        <v>Pirkanmaa</v>
      </c>
      <c r="K246" s="234" t="str">
        <f>_xlfn.XLOOKUP(Municipality[[#This Row],[Administrative]],Region[Administrative (FI)],Region[Model],"")</f>
        <v>Center</v>
      </c>
    </row>
    <row r="247" spans="8:11">
      <c r="H247" s="22" t="s">
        <v>2685</v>
      </c>
      <c r="I247" s="54" t="s">
        <v>11</v>
      </c>
      <c r="J247" s="22" t="str">
        <f>IF(Municipality[[#This Row],[Region 1990]]=$M$13,$O$13,IF(Municipality[[#This Row],[Region 1990]]=$M$14,$O$14,Municipality[[#This Row],[Region 1990]]))</f>
        <v>Etelä-Savo</v>
      </c>
      <c r="K247" s="234" t="str">
        <f>_xlfn.XLOOKUP(Municipality[[#This Row],[Administrative]],Region[Administrative (FI)],Region[Model],"")</f>
        <v>East</v>
      </c>
    </row>
    <row r="248" spans="8:11">
      <c r="H248" s="22" t="s">
        <v>2686</v>
      </c>
      <c r="I248" s="54" t="s">
        <v>3</v>
      </c>
      <c r="J248" s="22" t="str">
        <f>IF(Municipality[[#This Row],[Region 1990]]=$M$13,$O$13,IF(Municipality[[#This Row],[Region 1990]]=$M$14,$O$14,Municipality[[#This Row],[Region 1990]]))</f>
        <v>Uusimaa</v>
      </c>
      <c r="K248" s="234" t="str">
        <f>_xlfn.XLOOKUP(Municipality[[#This Row],[Administrative]],Region[Administrative (FI)],Region[Model],"")</f>
        <v>Uusimaa</v>
      </c>
    </row>
    <row r="249" spans="8:11">
      <c r="H249" s="22" t="s">
        <v>2687</v>
      </c>
      <c r="I249" s="54" t="s">
        <v>4</v>
      </c>
      <c r="J249" s="22" t="str">
        <f>IF(Municipality[[#This Row],[Region 1990]]=$M$13,$O$13,IF(Municipality[[#This Row],[Region 1990]]=$M$14,$O$14,Municipality[[#This Row],[Region 1990]]))</f>
        <v>Varsinais-Suomi</v>
      </c>
      <c r="K249" s="234" t="str">
        <f>_xlfn.XLOOKUP(Municipality[[#This Row],[Administrative]],Region[Administrative (FI)],Region[Model],"")</f>
        <v>South West</v>
      </c>
    </row>
    <row r="250" spans="8:11">
      <c r="H250" s="22" t="s">
        <v>2688</v>
      </c>
      <c r="I250" s="54" t="s">
        <v>5</v>
      </c>
      <c r="J250" s="22" t="str">
        <f>IF(Municipality[[#This Row],[Region 1990]]=$M$13,$O$13,IF(Municipality[[#This Row],[Region 1990]]=$M$14,$O$14,Municipality[[#This Row],[Region 1990]]))</f>
        <v>Satakunta</v>
      </c>
      <c r="K250" s="234" t="str">
        <f>_xlfn.XLOOKUP(Municipality[[#This Row],[Administrative]],Region[Administrative (FI)],Region[Model],"")</f>
        <v>West</v>
      </c>
    </row>
    <row r="251" spans="8:11">
      <c r="H251" s="22" t="s">
        <v>2689</v>
      </c>
      <c r="I251" s="54" t="s">
        <v>8</v>
      </c>
      <c r="J251" s="22" t="str">
        <f>IF(Municipality[[#This Row],[Region 1990]]=$M$13,$O$13,IF(Municipality[[#This Row],[Region 1990]]=$M$14,$O$14,Municipality[[#This Row],[Region 1990]]))</f>
        <v>Päijät-Häme</v>
      </c>
      <c r="K251" s="234" t="str">
        <f>_xlfn.XLOOKUP(Municipality[[#This Row],[Administrative]],Region[Administrative (FI)],Region[Model],"")</f>
        <v>South East</v>
      </c>
    </row>
    <row r="252" spans="8:11">
      <c r="H252" s="22" t="s">
        <v>2690</v>
      </c>
      <c r="I252" s="54" t="s">
        <v>12</v>
      </c>
      <c r="J252" s="22" t="str">
        <f>IF(Municipality[[#This Row],[Region 1990]]=$M$13,$O$13,IF(Municipality[[#This Row],[Region 1990]]=$M$14,$O$14,Municipality[[#This Row],[Region 1990]]))</f>
        <v>Pohjois-Savo</v>
      </c>
      <c r="K252" s="234" t="str">
        <f>_xlfn.XLOOKUP(Municipality[[#This Row],[Administrative]],Region[Administrative (FI)],Region[Model],"")</f>
        <v>East</v>
      </c>
    </row>
    <row r="253" spans="8:11">
      <c r="H253" s="22" t="s">
        <v>1062</v>
      </c>
      <c r="I253" s="54" t="s">
        <v>18</v>
      </c>
      <c r="J253" s="22" t="str">
        <f>IF(Municipality[[#This Row],[Region 1990]]=$M$13,$O$13,IF(Municipality[[#This Row],[Region 1990]]=$M$14,$O$14,Municipality[[#This Row],[Region 1990]]))</f>
        <v>Pohjois-Pohjanmaa</v>
      </c>
      <c r="K253" s="234" t="str">
        <f>_xlfn.XLOOKUP(Municipality[[#This Row],[Administrative]],Region[Administrative (FI)],Region[Model],"")</f>
        <v>North</v>
      </c>
    </row>
    <row r="254" spans="8:11">
      <c r="H254" s="22" t="s">
        <v>2691</v>
      </c>
      <c r="I254" s="54" t="s">
        <v>7</v>
      </c>
      <c r="J254" s="22" t="str">
        <f>IF(Municipality[[#This Row],[Region 1990]]=$M$13,$O$13,IF(Municipality[[#This Row],[Region 1990]]=$M$14,$O$14,Municipality[[#This Row],[Region 1990]]))</f>
        <v>Pirkanmaa</v>
      </c>
      <c r="K254" s="234" t="str">
        <f>_xlfn.XLOOKUP(Municipality[[#This Row],[Administrative]],Region[Administrative (FI)],Region[Model],"")</f>
        <v>Center</v>
      </c>
    </row>
    <row r="255" spans="8:11">
      <c r="H255" s="22" t="s">
        <v>2051</v>
      </c>
      <c r="I255" s="54" t="s">
        <v>5</v>
      </c>
      <c r="J255" s="22" t="str">
        <f>IF(Municipality[[#This Row],[Region 1990]]=$M$13,$O$13,IF(Municipality[[#This Row],[Region 1990]]=$M$14,$O$14,Municipality[[#This Row],[Region 1990]]))</f>
        <v>Satakunta</v>
      </c>
      <c r="K255" s="234" t="str">
        <f>_xlfn.XLOOKUP(Municipality[[#This Row],[Administrative]],Region[Administrative (FI)],Region[Model],"")</f>
        <v>West</v>
      </c>
    </row>
    <row r="256" spans="8:11">
      <c r="H256" s="22" t="s">
        <v>2692</v>
      </c>
      <c r="I256" s="54" t="s">
        <v>4</v>
      </c>
      <c r="J256" s="22" t="str">
        <f>IF(Municipality[[#This Row],[Region 1990]]=$M$13,$O$13,IF(Municipality[[#This Row],[Region 1990]]=$M$14,$O$14,Municipality[[#This Row],[Region 1990]]))</f>
        <v>Varsinais-Suomi</v>
      </c>
      <c r="K256" s="234" t="str">
        <f>_xlfn.XLOOKUP(Municipality[[#This Row],[Administrative]],Region[Administrative (FI)],Region[Model],"")</f>
        <v>South West</v>
      </c>
    </row>
    <row r="257" spans="8:11">
      <c r="H257" s="22" t="s">
        <v>2693</v>
      </c>
      <c r="I257" s="54" t="s">
        <v>3</v>
      </c>
      <c r="J257" s="22" t="str">
        <f>IF(Municipality[[#This Row],[Region 1990]]=$M$13,$O$13,IF(Municipality[[#This Row],[Region 1990]]=$M$14,$O$14,Municipality[[#This Row],[Region 1990]]))</f>
        <v>Uusimaa</v>
      </c>
      <c r="K257" s="234" t="str">
        <f>_xlfn.XLOOKUP(Municipality[[#This Row],[Administrative]],Region[Administrative (FI)],Region[Model],"")</f>
        <v>Uusimaa</v>
      </c>
    </row>
    <row r="258" spans="8:11">
      <c r="H258" s="22" t="s">
        <v>2694</v>
      </c>
      <c r="I258" s="54" t="s">
        <v>13</v>
      </c>
      <c r="J258" s="22" t="str">
        <f>IF(Municipality[[#This Row],[Region 1990]]=$M$13,$O$13,IF(Municipality[[#This Row],[Region 1990]]=$M$14,$O$14,Municipality[[#This Row],[Region 1990]]))</f>
        <v>Pohjois-Karjala</v>
      </c>
      <c r="K258" s="234" t="str">
        <f>_xlfn.XLOOKUP(Municipality[[#This Row],[Administrative]],Region[Administrative (FI)],Region[Model],"")</f>
        <v>East</v>
      </c>
    </row>
    <row r="259" spans="8:11">
      <c r="H259" s="22" t="s">
        <v>2695</v>
      </c>
      <c r="I259" s="54" t="s">
        <v>3</v>
      </c>
      <c r="J259" s="22" t="str">
        <f>IF(Municipality[[#This Row],[Region 1990]]=$M$13,$O$13,IF(Municipality[[#This Row],[Region 1990]]=$M$14,$O$14,Municipality[[#This Row],[Region 1990]]))</f>
        <v>Uusimaa</v>
      </c>
      <c r="K259" s="234" t="str">
        <f>_xlfn.XLOOKUP(Municipality[[#This Row],[Administrative]],Region[Administrative (FI)],Region[Model],"")</f>
        <v>Uusimaa</v>
      </c>
    </row>
    <row r="260" spans="8:11">
      <c r="H260" s="22" t="s">
        <v>2696</v>
      </c>
      <c r="I260" s="54" t="s">
        <v>23</v>
      </c>
      <c r="J260" s="22" t="str">
        <f>IF(Municipality[[#This Row],[Region 1990]]=$M$13,$O$13,IF(Municipality[[#This Row],[Region 1990]]=$M$14,$O$14,Municipality[[#This Row],[Region 1990]]))</f>
        <v>Etelä-Pohjanmaa</v>
      </c>
      <c r="K260" s="234" t="str">
        <f>_xlfn.XLOOKUP(Municipality[[#This Row],[Administrative]],Region[Administrative (FI)],Region[Model],"")</f>
        <v>West</v>
      </c>
    </row>
    <row r="261" spans="8:11">
      <c r="H261" s="22" t="s">
        <v>2697</v>
      </c>
      <c r="I261" s="54" t="s">
        <v>2547</v>
      </c>
      <c r="J261" s="22" t="str">
        <f>IF(Municipality[[#This Row],[Region 1990]]=$M$13,$O$13,IF(Municipality[[#This Row],[Region 1990]]=$M$14,$O$14,Municipality[[#This Row],[Region 1990]]))</f>
        <v>Pohjanmaa</v>
      </c>
      <c r="K261" s="234" t="str">
        <f>_xlfn.XLOOKUP(Municipality[[#This Row],[Administrative]],Region[Administrative (FI)],Region[Model],"")</f>
        <v>West</v>
      </c>
    </row>
    <row r="262" spans="8:11">
      <c r="H262" s="22" t="s">
        <v>1072</v>
      </c>
      <c r="I262" s="54" t="s">
        <v>11</v>
      </c>
      <c r="J262" s="22" t="str">
        <f>IF(Municipality[[#This Row],[Region 1990]]=$M$13,$O$13,IF(Municipality[[#This Row],[Region 1990]]=$M$14,$O$14,Municipality[[#This Row],[Region 1990]]))</f>
        <v>Etelä-Savo</v>
      </c>
      <c r="K262" s="234" t="str">
        <f>_xlfn.XLOOKUP(Municipality[[#This Row],[Administrative]],Region[Administrative (FI)],Region[Model],"")</f>
        <v>East</v>
      </c>
    </row>
    <row r="263" spans="8:11">
      <c r="H263" s="22" t="s">
        <v>955</v>
      </c>
      <c r="I263" s="54" t="s">
        <v>4</v>
      </c>
      <c r="J263" s="22" t="str">
        <f>IF(Municipality[[#This Row],[Region 1990]]=$M$13,$O$13,IF(Municipality[[#This Row],[Region 1990]]=$M$14,$O$14,Municipality[[#This Row],[Region 1990]]))</f>
        <v>Varsinais-Suomi</v>
      </c>
      <c r="K263" s="234" t="str">
        <f>_xlfn.XLOOKUP(Municipality[[#This Row],[Administrative]],Region[Administrative (FI)],Region[Model],"")</f>
        <v>South West</v>
      </c>
    </row>
    <row r="264" spans="8:11">
      <c r="H264" s="22" t="s">
        <v>1058</v>
      </c>
      <c r="I264" s="54" t="s">
        <v>4</v>
      </c>
      <c r="J264" s="22" t="str">
        <f>IF(Municipality[[#This Row],[Region 1990]]=$M$13,$O$13,IF(Municipality[[#This Row],[Region 1990]]=$M$14,$O$14,Municipality[[#This Row],[Region 1990]]))</f>
        <v>Varsinais-Suomi</v>
      </c>
      <c r="K264" s="234" t="str">
        <f>_xlfn.XLOOKUP(Municipality[[#This Row],[Administrative]],Region[Administrative (FI)],Region[Model],"")</f>
        <v>South West</v>
      </c>
    </row>
    <row r="265" spans="8:11">
      <c r="H265" s="22" t="s">
        <v>2698</v>
      </c>
      <c r="I265" s="54" t="s">
        <v>2547</v>
      </c>
      <c r="J265" s="22" t="str">
        <f>IF(Municipality[[#This Row],[Region 1990]]=$M$13,$O$13,IF(Municipality[[#This Row],[Region 1990]]=$M$14,$O$14,Municipality[[#This Row],[Region 1990]]))</f>
        <v>Pohjanmaa</v>
      </c>
      <c r="K265" s="234" t="str">
        <f>_xlfn.XLOOKUP(Municipality[[#This Row],[Administrative]],Region[Administrative (FI)],Region[Model],"")</f>
        <v>West</v>
      </c>
    </row>
    <row r="266" spans="8:11">
      <c r="H266" s="22" t="s">
        <v>2699</v>
      </c>
      <c r="I266" s="54" t="s">
        <v>2547</v>
      </c>
      <c r="J266" s="22" t="str">
        <f>IF(Municipality[[#This Row],[Region 1990]]=$M$13,$O$13,IF(Municipality[[#This Row],[Region 1990]]=$M$14,$O$14,Municipality[[#This Row],[Region 1990]]))</f>
        <v>Pohjanmaa</v>
      </c>
      <c r="K266" s="234" t="str">
        <f>_xlfn.XLOOKUP(Municipality[[#This Row],[Administrative]],Region[Administrative (FI)],Region[Model],"")</f>
        <v>West</v>
      </c>
    </row>
    <row r="267" spans="8:11">
      <c r="H267" s="22" t="s">
        <v>2700</v>
      </c>
      <c r="I267" s="54" t="s">
        <v>3</v>
      </c>
      <c r="J267" s="22" t="str">
        <f>IF(Municipality[[#This Row],[Region 1990]]=$M$13,$O$13,IF(Municipality[[#This Row],[Region 1990]]=$M$14,$O$14,Municipality[[#This Row],[Region 1990]]))</f>
        <v>Uusimaa</v>
      </c>
      <c r="K267" s="234" t="str">
        <f>_xlfn.XLOOKUP(Municipality[[#This Row],[Administrative]],Region[Administrative (FI)],Region[Model],"")</f>
        <v>Uusimaa</v>
      </c>
    </row>
    <row r="268" spans="8:11">
      <c r="H268" s="22" t="s">
        <v>2701</v>
      </c>
      <c r="I268" s="54" t="s">
        <v>4</v>
      </c>
      <c r="J268" s="22" t="str">
        <f>IF(Municipality[[#This Row],[Region 1990]]=$M$13,$O$13,IF(Municipality[[#This Row],[Region 1990]]=$M$14,$O$14,Municipality[[#This Row],[Region 1990]]))</f>
        <v>Varsinais-Suomi</v>
      </c>
      <c r="K268" s="234" t="str">
        <f>_xlfn.XLOOKUP(Municipality[[#This Row],[Administrative]],Region[Administrative (FI)],Region[Model],"")</f>
        <v>South West</v>
      </c>
    </row>
    <row r="269" spans="8:11">
      <c r="H269" s="22" t="s">
        <v>2702</v>
      </c>
      <c r="I269" s="54" t="s">
        <v>7</v>
      </c>
      <c r="J269" s="22" t="str">
        <f>IF(Municipality[[#This Row],[Region 1990]]=$M$13,$O$13,IF(Municipality[[#This Row],[Region 1990]]=$M$14,$O$14,Municipality[[#This Row],[Region 1990]]))</f>
        <v>Pirkanmaa</v>
      </c>
      <c r="K269" s="234" t="str">
        <f>_xlfn.XLOOKUP(Municipality[[#This Row],[Administrative]],Region[Administrative (FI)],Region[Model],"")</f>
        <v>Center</v>
      </c>
    </row>
    <row r="270" spans="8:11">
      <c r="H270" s="22" t="s">
        <v>2703</v>
      </c>
      <c r="I270" s="54" t="s">
        <v>18</v>
      </c>
      <c r="J270" s="22" t="str">
        <f>IF(Municipality[[#This Row],[Region 1990]]=$M$13,$O$13,IF(Municipality[[#This Row],[Region 1990]]=$M$14,$O$14,Municipality[[#This Row],[Region 1990]]))</f>
        <v>Pohjois-Pohjanmaa</v>
      </c>
      <c r="K270" s="234" t="str">
        <f>_xlfn.XLOOKUP(Municipality[[#This Row],[Administrative]],Region[Administrative (FI)],Region[Model],"")</f>
        <v>North</v>
      </c>
    </row>
    <row r="271" spans="8:11">
      <c r="H271" s="22" t="s">
        <v>2704</v>
      </c>
      <c r="I271" s="54" t="s">
        <v>18</v>
      </c>
      <c r="J271" s="22" t="str">
        <f>IF(Municipality[[#This Row],[Region 1990]]=$M$13,$O$13,IF(Municipality[[#This Row],[Region 1990]]=$M$14,$O$14,Municipality[[#This Row],[Region 1990]]))</f>
        <v>Pohjois-Pohjanmaa</v>
      </c>
      <c r="K271" s="234" t="str">
        <f>_xlfn.XLOOKUP(Municipality[[#This Row],[Administrative]],Region[Administrative (FI)],Region[Model],"")</f>
        <v>North</v>
      </c>
    </row>
    <row r="272" spans="8:11">
      <c r="H272" s="22" t="s">
        <v>2705</v>
      </c>
      <c r="I272" s="54" t="s">
        <v>13</v>
      </c>
      <c r="J272" s="22" t="str">
        <f>IF(Municipality[[#This Row],[Region 1990]]=$M$13,$O$13,IF(Municipality[[#This Row],[Region 1990]]=$M$14,$O$14,Municipality[[#This Row],[Region 1990]]))</f>
        <v>Pohjois-Karjala</v>
      </c>
      <c r="K272" s="234" t="str">
        <f>_xlfn.XLOOKUP(Municipality[[#This Row],[Administrative]],Region[Administrative (FI)],Region[Model],"")</f>
        <v>East</v>
      </c>
    </row>
    <row r="273" spans="8:11">
      <c r="H273" s="22" t="s">
        <v>2706</v>
      </c>
      <c r="I273" s="54" t="s">
        <v>8</v>
      </c>
      <c r="J273" s="22" t="str">
        <f>IF(Municipality[[#This Row],[Region 1990]]=$M$13,$O$13,IF(Municipality[[#This Row],[Region 1990]]=$M$14,$O$14,Municipality[[#This Row],[Region 1990]]))</f>
        <v>Päijät-Häme</v>
      </c>
      <c r="K273" s="234" t="str">
        <f>_xlfn.XLOOKUP(Municipality[[#This Row],[Administrative]],Region[Administrative (FI)],Region[Model],"")</f>
        <v>South East</v>
      </c>
    </row>
    <row r="274" spans="8:11">
      <c r="H274" s="22" t="s">
        <v>2707</v>
      </c>
      <c r="I274" s="54" t="s">
        <v>19</v>
      </c>
      <c r="J274" s="22" t="str">
        <f>IF(Municipality[[#This Row],[Region 1990]]=$M$13,$O$13,IF(Municipality[[#This Row],[Region 1990]]=$M$14,$O$14,Municipality[[#This Row],[Region 1990]]))</f>
        <v>Kainuu</v>
      </c>
      <c r="K274" s="234" t="str">
        <f>_xlfn.XLOOKUP(Municipality[[#This Row],[Administrative]],Region[Administrative (FI)],Region[Model],"")</f>
        <v>East</v>
      </c>
    </row>
    <row r="275" spans="8:11">
      <c r="H275" s="22" t="s">
        <v>2708</v>
      </c>
      <c r="I275" s="54" t="s">
        <v>4</v>
      </c>
      <c r="J275" s="22" t="str">
        <f>IF(Municipality[[#This Row],[Region 1990]]=$M$13,$O$13,IF(Municipality[[#This Row],[Region 1990]]=$M$14,$O$14,Municipality[[#This Row],[Region 1990]]))</f>
        <v>Varsinais-Suomi</v>
      </c>
      <c r="K275" s="234" t="str">
        <f>_xlfn.XLOOKUP(Municipality[[#This Row],[Administrative]],Region[Administrative (FI)],Region[Model],"")</f>
        <v>South West</v>
      </c>
    </row>
    <row r="276" spans="8:11">
      <c r="H276" s="22" t="s">
        <v>2709</v>
      </c>
      <c r="I276" s="54" t="s">
        <v>10</v>
      </c>
      <c r="J276" s="22" t="str">
        <f>IF(Municipality[[#This Row],[Region 1990]]=$M$13,$O$13,IF(Municipality[[#This Row],[Region 1990]]=$M$14,$O$14,Municipality[[#This Row],[Region 1990]]))</f>
        <v>Etelä-Karjala</v>
      </c>
      <c r="K276" s="234" t="str">
        <f>_xlfn.XLOOKUP(Municipality[[#This Row],[Administrative]],Region[Administrative (FI)],Region[Model],"")</f>
        <v>South East</v>
      </c>
    </row>
    <row r="277" spans="8:11">
      <c r="H277" s="22" t="s">
        <v>2710</v>
      </c>
      <c r="I277" s="54" t="s">
        <v>7</v>
      </c>
      <c r="J277" s="22" t="str">
        <f>IF(Municipality[[#This Row],[Region 1990]]=$M$13,$O$13,IF(Municipality[[#This Row],[Region 1990]]=$M$14,$O$14,Municipality[[#This Row],[Region 1990]]))</f>
        <v>Pirkanmaa</v>
      </c>
      <c r="K277" s="234" t="str">
        <f>_xlfn.XLOOKUP(Municipality[[#This Row],[Administrative]],Region[Administrative (FI)],Region[Model],"")</f>
        <v>Center</v>
      </c>
    </row>
    <row r="278" spans="8:11">
      <c r="H278" s="22" t="s">
        <v>2711</v>
      </c>
      <c r="I278" s="54" t="s">
        <v>18</v>
      </c>
      <c r="J278" s="22" t="str">
        <f>IF(Municipality[[#This Row],[Region 1990]]=$M$13,$O$13,IF(Municipality[[#This Row],[Region 1990]]=$M$14,$O$14,Municipality[[#This Row],[Region 1990]]))</f>
        <v>Pohjois-Pohjanmaa</v>
      </c>
      <c r="K278" s="234" t="str">
        <f>_xlfn.XLOOKUP(Municipality[[#This Row],[Administrative]],Region[Administrative (FI)],Region[Model],"")</f>
        <v>North</v>
      </c>
    </row>
    <row r="279" spans="8:11">
      <c r="H279" s="22" t="s">
        <v>2712</v>
      </c>
      <c r="I279" s="54" t="s">
        <v>2547</v>
      </c>
      <c r="J279" s="22" t="str">
        <f>IF(Municipality[[#This Row],[Region 1990]]=$M$13,$O$13,IF(Municipality[[#This Row],[Region 1990]]=$M$14,$O$14,Municipality[[#This Row],[Region 1990]]))</f>
        <v>Pohjanmaa</v>
      </c>
      <c r="K279" s="234" t="str">
        <f>_xlfn.XLOOKUP(Municipality[[#This Row],[Administrative]],Region[Administrative (FI)],Region[Model],"")</f>
        <v>West</v>
      </c>
    </row>
    <row r="280" spans="8:11">
      <c r="H280" s="22" t="s">
        <v>2713</v>
      </c>
      <c r="I280" s="54" t="s">
        <v>20</v>
      </c>
      <c r="J280" s="22" t="str">
        <f>IF(Municipality[[#This Row],[Region 1990]]=$M$13,$O$13,IF(Municipality[[#This Row],[Region 1990]]=$M$14,$O$14,Municipality[[#This Row],[Region 1990]]))</f>
        <v>Lappi</v>
      </c>
      <c r="K280" s="234" t="str">
        <f>_xlfn.XLOOKUP(Municipality[[#This Row],[Administrative]],Region[Administrative (FI)],Region[Model],"")</f>
        <v>North</v>
      </c>
    </row>
    <row r="281" spans="8:11">
      <c r="H281" s="22" t="s">
        <v>2714</v>
      </c>
      <c r="I281" s="54" t="s">
        <v>20</v>
      </c>
      <c r="J281" s="22" t="str">
        <f>IF(Municipality[[#This Row],[Region 1990]]=$M$13,$O$13,IF(Municipality[[#This Row],[Region 1990]]=$M$14,$O$14,Municipality[[#This Row],[Region 1990]]))</f>
        <v>Lappi</v>
      </c>
      <c r="K281" s="234" t="str">
        <f>_xlfn.XLOOKUP(Municipality[[#This Row],[Administrative]],Region[Administrative (FI)],Region[Model],"")</f>
        <v>North</v>
      </c>
    </row>
    <row r="282" spans="8:11">
      <c r="H282" s="22" t="s">
        <v>2715</v>
      </c>
      <c r="I282" s="54" t="s">
        <v>4</v>
      </c>
      <c r="J282" s="22" t="str">
        <f>IF(Municipality[[#This Row],[Region 1990]]=$M$13,$O$13,IF(Municipality[[#This Row],[Region 1990]]=$M$14,$O$14,Municipality[[#This Row],[Region 1990]]))</f>
        <v>Varsinais-Suomi</v>
      </c>
      <c r="K282" s="234" t="str">
        <f>_xlfn.XLOOKUP(Municipality[[#This Row],[Administrative]],Region[Administrative (FI)],Region[Model],"")</f>
        <v>South West</v>
      </c>
    </row>
    <row r="283" spans="8:11">
      <c r="H283" s="22" t="s">
        <v>2716</v>
      </c>
      <c r="I283" s="54" t="s">
        <v>17</v>
      </c>
      <c r="J283" s="22" t="str">
        <f>IF(Municipality[[#This Row],[Region 1990]]=$M$13,$O$13,IF(Municipality[[#This Row],[Region 1990]]=$M$14,$O$14,Municipality[[#This Row],[Region 1990]]))</f>
        <v>Keski-Pohjanmaa</v>
      </c>
      <c r="K283" s="234" t="str">
        <f>_xlfn.XLOOKUP(Municipality[[#This Row],[Administrative]],Region[Administrative (FI)],Region[Model],"")</f>
        <v>West</v>
      </c>
    </row>
    <row r="284" spans="8:11">
      <c r="H284" s="22" t="s">
        <v>2717</v>
      </c>
      <c r="I284" s="54" t="s">
        <v>3</v>
      </c>
      <c r="J284" s="22" t="str">
        <f>IF(Municipality[[#This Row],[Region 1990]]=$M$13,$O$13,IF(Municipality[[#This Row],[Region 1990]]=$M$14,$O$14,Municipality[[#This Row],[Region 1990]]))</f>
        <v>Uusimaa</v>
      </c>
      <c r="K284" s="234" t="str">
        <f>_xlfn.XLOOKUP(Municipality[[#This Row],[Administrative]],Region[Administrative (FI)],Region[Model],"")</f>
        <v>Uusimaa</v>
      </c>
    </row>
    <row r="285" spans="8:11">
      <c r="H285" s="22" t="s">
        <v>2718</v>
      </c>
      <c r="I285" s="54" t="s">
        <v>4</v>
      </c>
      <c r="J285" s="22" t="str">
        <f>IF(Municipality[[#This Row],[Region 1990]]=$M$13,$O$13,IF(Municipality[[#This Row],[Region 1990]]=$M$14,$O$14,Municipality[[#This Row],[Region 1990]]))</f>
        <v>Varsinais-Suomi</v>
      </c>
      <c r="K285" s="234" t="str">
        <f>_xlfn.XLOOKUP(Municipality[[#This Row],[Administrative]],Region[Administrative (FI)],Region[Model],"")</f>
        <v>South West</v>
      </c>
    </row>
    <row r="286" spans="8:11">
      <c r="H286" s="22" t="s">
        <v>2719</v>
      </c>
      <c r="I286" s="54" t="s">
        <v>11</v>
      </c>
      <c r="J286" s="22" t="str">
        <f>IF(Municipality[[#This Row],[Region 1990]]=$M$13,$O$13,IF(Municipality[[#This Row],[Region 1990]]=$M$14,$O$14,Municipality[[#This Row],[Region 1990]]))</f>
        <v>Etelä-Savo</v>
      </c>
      <c r="K286" s="234" t="str">
        <f>_xlfn.XLOOKUP(Municipality[[#This Row],[Administrative]],Region[Administrative (FI)],Region[Model],"")</f>
        <v>East</v>
      </c>
    </row>
    <row r="287" spans="8:11">
      <c r="H287" s="22" t="s">
        <v>2720</v>
      </c>
      <c r="I287" s="54" t="s">
        <v>23</v>
      </c>
      <c r="J287" s="22" t="str">
        <f>IF(Municipality[[#This Row],[Region 1990]]=$M$13,$O$13,IF(Municipality[[#This Row],[Region 1990]]=$M$14,$O$14,Municipality[[#This Row],[Region 1990]]))</f>
        <v>Etelä-Pohjanmaa</v>
      </c>
      <c r="K287" s="234" t="str">
        <f>_xlfn.XLOOKUP(Municipality[[#This Row],[Administrative]],Region[Administrative (FI)],Region[Model],"")</f>
        <v>West</v>
      </c>
    </row>
    <row r="288" spans="8:11">
      <c r="H288" s="22" t="s">
        <v>2721</v>
      </c>
      <c r="I288" s="54" t="s">
        <v>14</v>
      </c>
      <c r="J288" s="22" t="str">
        <f>IF(Municipality[[#This Row],[Region 1990]]=$M$13,$O$13,IF(Municipality[[#This Row],[Region 1990]]=$M$14,$O$14,Municipality[[#This Row],[Region 1990]]))</f>
        <v>Keski-Suomi</v>
      </c>
      <c r="K288" s="234" t="str">
        <f>_xlfn.XLOOKUP(Municipality[[#This Row],[Administrative]],Region[Administrative (FI)],Region[Model],"")</f>
        <v>Center</v>
      </c>
    </row>
    <row r="289" spans="8:11">
      <c r="H289" s="22" t="s">
        <v>1063</v>
      </c>
      <c r="I289" s="54" t="s">
        <v>11</v>
      </c>
      <c r="J289" s="22" t="str">
        <f>IF(Municipality[[#This Row],[Region 1990]]=$M$13,$O$13,IF(Municipality[[#This Row],[Region 1990]]=$M$14,$O$14,Municipality[[#This Row],[Region 1990]]))</f>
        <v>Etelä-Savo</v>
      </c>
      <c r="K289" s="234" t="str">
        <f>_xlfn.XLOOKUP(Municipality[[#This Row],[Administrative]],Region[Administrative (FI)],Region[Model],"")</f>
        <v>East</v>
      </c>
    </row>
    <row r="290" spans="8:11">
      <c r="H290" s="22" t="s">
        <v>2881</v>
      </c>
      <c r="I290" s="54" t="s">
        <v>11</v>
      </c>
      <c r="J290" s="22" t="str">
        <f>IF(Municipality[[#This Row],[Region 1990]]=$M$13,$O$13,IF(Municipality[[#This Row],[Region 1990]]=$M$14,$O$14,Municipality[[#This Row],[Region 1990]]))</f>
        <v>Etelä-Savo</v>
      </c>
      <c r="K290" s="234" t="str">
        <f>_xlfn.XLOOKUP(Municipality[[#This Row],[Administrative]],Region[Administrative (FI)],Region[Model],"")</f>
        <v>East</v>
      </c>
    </row>
    <row r="291" spans="8:11">
      <c r="H291" s="22" t="s">
        <v>2722</v>
      </c>
      <c r="I291" s="54" t="s">
        <v>12</v>
      </c>
      <c r="J291" s="22" t="str">
        <f>IF(Municipality[[#This Row],[Region 1990]]=$M$13,$O$13,IF(Municipality[[#This Row],[Region 1990]]=$M$14,$O$14,Municipality[[#This Row],[Region 1990]]))</f>
        <v>Pohjois-Savo</v>
      </c>
      <c r="K291" s="234" t="str">
        <f>_xlfn.XLOOKUP(Municipality[[#This Row],[Administrative]],Region[Administrative (FI)],Region[Model],"")</f>
        <v>East</v>
      </c>
    </row>
    <row r="292" spans="8:11">
      <c r="H292" s="22" t="s">
        <v>573</v>
      </c>
      <c r="I292" s="54" t="s">
        <v>14</v>
      </c>
      <c r="J292" s="22" t="str">
        <f>IF(Municipality[[#This Row],[Region 1990]]=$M$13,$O$13,IF(Municipality[[#This Row],[Region 1990]]=$M$14,$O$14,Municipality[[#This Row],[Region 1990]]))</f>
        <v>Keski-Suomi</v>
      </c>
      <c r="K292" s="234" t="str">
        <f>_xlfn.XLOOKUP(Municipality[[#This Row],[Administrative]],Region[Administrative (FI)],Region[Model],"")</f>
        <v>Center</v>
      </c>
    </row>
    <row r="293" spans="8:11">
      <c r="H293" s="22" t="s">
        <v>2723</v>
      </c>
      <c r="I293" s="54" t="s">
        <v>18</v>
      </c>
      <c r="J293" s="22" t="str">
        <f>IF(Municipality[[#This Row],[Region 1990]]=$M$13,$O$13,IF(Municipality[[#This Row],[Region 1990]]=$M$14,$O$14,Municipality[[#This Row],[Region 1990]]))</f>
        <v>Pohjois-Pohjanmaa</v>
      </c>
      <c r="K293" s="234" t="str">
        <f>_xlfn.XLOOKUP(Municipality[[#This Row],[Administrative]],Region[Administrative (FI)],Region[Model],"")</f>
        <v>North</v>
      </c>
    </row>
    <row r="294" spans="8:11">
      <c r="H294" s="22" t="s">
        <v>2724</v>
      </c>
      <c r="I294" s="54" t="s">
        <v>4</v>
      </c>
      <c r="J294" s="22" t="str">
        <f>IF(Municipality[[#This Row],[Region 1990]]=$M$13,$O$13,IF(Municipality[[#This Row],[Region 1990]]=$M$14,$O$14,Municipality[[#This Row],[Region 1990]]))</f>
        <v>Varsinais-Suomi</v>
      </c>
      <c r="K294" s="234" t="str">
        <f>_xlfn.XLOOKUP(Municipality[[#This Row],[Administrative]],Region[Administrative (FI)],Region[Model],"")</f>
        <v>South West</v>
      </c>
    </row>
    <row r="295" spans="8:11">
      <c r="H295" s="22" t="s">
        <v>2725</v>
      </c>
      <c r="I295" s="54" t="s">
        <v>3</v>
      </c>
      <c r="J295" s="22" t="str">
        <f>IF(Municipality[[#This Row],[Region 1990]]=$M$13,$O$13,IF(Municipality[[#This Row],[Region 1990]]=$M$14,$O$14,Municipality[[#This Row],[Region 1990]]))</f>
        <v>Uusimaa</v>
      </c>
      <c r="K295" s="234" t="str">
        <f>_xlfn.XLOOKUP(Municipality[[#This Row],[Administrative]],Region[Administrative (FI)],Region[Model],"")</f>
        <v>Uusimaa</v>
      </c>
    </row>
    <row r="296" spans="8:11">
      <c r="H296" s="22" t="s">
        <v>2726</v>
      </c>
      <c r="I296" s="54" t="s">
        <v>13</v>
      </c>
      <c r="J296" s="22" t="str">
        <f>IF(Municipality[[#This Row],[Region 1990]]=$M$13,$O$13,IF(Municipality[[#This Row],[Region 1990]]=$M$14,$O$14,Municipality[[#This Row],[Region 1990]]))</f>
        <v>Pohjois-Karjala</v>
      </c>
      <c r="K296" s="234" t="str">
        <f>_xlfn.XLOOKUP(Municipality[[#This Row],[Administrative]],Region[Administrative (FI)],Region[Model],"")</f>
        <v>East</v>
      </c>
    </row>
    <row r="297" spans="8:11">
      <c r="H297" s="22" t="s">
        <v>2727</v>
      </c>
      <c r="I297" s="54" t="s">
        <v>20</v>
      </c>
      <c r="J297" s="22" t="str">
        <f>IF(Municipality[[#This Row],[Region 1990]]=$M$13,$O$13,IF(Municipality[[#This Row],[Region 1990]]=$M$14,$O$14,Municipality[[#This Row],[Region 1990]]))</f>
        <v>Lappi</v>
      </c>
      <c r="K297" s="234" t="str">
        <f>_xlfn.XLOOKUP(Municipality[[#This Row],[Administrative]],Region[Administrative (FI)],Region[Model],"")</f>
        <v>North</v>
      </c>
    </row>
    <row r="298" spans="8:11">
      <c r="H298" s="22" t="s">
        <v>2728</v>
      </c>
      <c r="I298" s="54" t="s">
        <v>18</v>
      </c>
      <c r="J298" s="22" t="str">
        <f>IF(Municipality[[#This Row],[Region 1990]]=$M$13,$O$13,IF(Municipality[[#This Row],[Region 1990]]=$M$14,$O$14,Municipality[[#This Row],[Region 1990]]))</f>
        <v>Pohjois-Pohjanmaa</v>
      </c>
      <c r="K298" s="234" t="str">
        <f>_xlfn.XLOOKUP(Municipality[[#This Row],[Administrative]],Region[Administrative (FI)],Region[Model],"")</f>
        <v>North</v>
      </c>
    </row>
    <row r="299" spans="8:11">
      <c r="H299" s="22" t="s">
        <v>2729</v>
      </c>
      <c r="I299" s="54" t="s">
        <v>3</v>
      </c>
      <c r="J299" s="22" t="str">
        <f>IF(Municipality[[#This Row],[Region 1990]]=$M$13,$O$13,IF(Municipality[[#This Row],[Region 1990]]=$M$14,$O$14,Municipality[[#This Row],[Region 1990]]))</f>
        <v>Uusimaa</v>
      </c>
      <c r="K299" s="234" t="str">
        <f>_xlfn.XLOOKUP(Municipality[[#This Row],[Administrative]],Region[Administrative (FI)],Region[Model],"")</f>
        <v>Uusimaa</v>
      </c>
    </row>
    <row r="300" spans="8:11">
      <c r="H300" s="22" t="s">
        <v>2730</v>
      </c>
      <c r="I300" s="54" t="s">
        <v>18</v>
      </c>
      <c r="J300" s="22" t="str">
        <f>IF(Municipality[[#This Row],[Region 1990]]=$M$13,$O$13,IF(Municipality[[#This Row],[Region 1990]]=$M$14,$O$14,Municipality[[#This Row],[Region 1990]]))</f>
        <v>Pohjois-Pohjanmaa</v>
      </c>
      <c r="K300" s="234" t="str">
        <f>_xlfn.XLOOKUP(Municipality[[#This Row],[Administrative]],Region[Administrative (FI)],Region[Model],"")</f>
        <v>North</v>
      </c>
    </row>
    <row r="301" spans="8:11">
      <c r="H301" s="22" t="s">
        <v>2731</v>
      </c>
      <c r="I301" s="54" t="s">
        <v>11</v>
      </c>
      <c r="J301" s="22" t="str">
        <f>IF(Municipality[[#This Row],[Region 1990]]=$M$13,$O$13,IF(Municipality[[#This Row],[Region 1990]]=$M$14,$O$14,Municipality[[#This Row],[Region 1990]]))</f>
        <v>Etelä-Savo</v>
      </c>
      <c r="K301" s="234" t="str">
        <f>_xlfn.XLOOKUP(Municipality[[#This Row],[Administrative]],Region[Administrative (FI)],Region[Model],"")</f>
        <v>East</v>
      </c>
    </row>
    <row r="302" spans="8:11">
      <c r="H302" s="22" t="s">
        <v>2732</v>
      </c>
      <c r="I302" s="54" t="s">
        <v>5</v>
      </c>
      <c r="J302" s="22" t="str">
        <f>IF(Municipality[[#This Row],[Region 1990]]=$M$13,$O$13,IF(Municipality[[#This Row],[Region 1990]]=$M$14,$O$14,Municipality[[#This Row],[Region 1990]]))</f>
        <v>Satakunta</v>
      </c>
      <c r="K302" s="234" t="str">
        <f>_xlfn.XLOOKUP(Municipality[[#This Row],[Administrative]],Region[Administrative (FI)],Region[Model],"")</f>
        <v>West</v>
      </c>
    </row>
    <row r="303" spans="8:11">
      <c r="H303" s="22" t="s">
        <v>2733</v>
      </c>
      <c r="I303" s="54" t="s">
        <v>19</v>
      </c>
      <c r="J303" s="22" t="str">
        <f>IF(Municipality[[#This Row],[Region 1990]]=$M$13,$O$13,IF(Municipality[[#This Row],[Region 1990]]=$M$14,$O$14,Municipality[[#This Row],[Region 1990]]))</f>
        <v>Kainuu</v>
      </c>
      <c r="K303" s="234" t="str">
        <f>_xlfn.XLOOKUP(Municipality[[#This Row],[Administrative]],Region[Administrative (FI)],Region[Model],"")</f>
        <v>East</v>
      </c>
    </row>
    <row r="304" spans="8:11">
      <c r="H304" s="22" t="s">
        <v>2734</v>
      </c>
      <c r="I304" s="54" t="s">
        <v>11</v>
      </c>
      <c r="J304" s="22" t="str">
        <f>IF(Municipality[[#This Row],[Region 1990]]=$M$13,$O$13,IF(Municipality[[#This Row],[Region 1990]]=$M$14,$O$14,Municipality[[#This Row],[Region 1990]]))</f>
        <v>Etelä-Savo</v>
      </c>
      <c r="K304" s="234" t="str">
        <f>_xlfn.XLOOKUP(Municipality[[#This Row],[Administrative]],Region[Administrative (FI)],Region[Model],"")</f>
        <v>East</v>
      </c>
    </row>
    <row r="305" spans="8:11">
      <c r="H305" s="22" t="s">
        <v>590</v>
      </c>
      <c r="I305" s="54" t="s">
        <v>18</v>
      </c>
      <c r="J305" s="22" t="str">
        <f>IF(Municipality[[#This Row],[Region 1990]]=$M$13,$O$13,IF(Municipality[[#This Row],[Region 1990]]=$M$14,$O$14,Municipality[[#This Row],[Region 1990]]))</f>
        <v>Pohjois-Pohjanmaa</v>
      </c>
      <c r="K305" s="234" t="str">
        <f>_xlfn.XLOOKUP(Municipality[[#This Row],[Administrative]],Region[Administrative (FI)],Region[Model],"")</f>
        <v>North</v>
      </c>
    </row>
    <row r="306" spans="8:11">
      <c r="H306" s="22" t="s">
        <v>2735</v>
      </c>
      <c r="I306" s="54" t="s">
        <v>18</v>
      </c>
      <c r="J306" s="22" t="str">
        <f>IF(Municipality[[#This Row],[Region 1990]]=$M$13,$O$13,IF(Municipality[[#This Row],[Region 1990]]=$M$14,$O$14,Municipality[[#This Row],[Region 1990]]))</f>
        <v>Pohjois-Pohjanmaa</v>
      </c>
      <c r="K306" s="234" t="str">
        <f>_xlfn.XLOOKUP(Municipality[[#This Row],[Administrative]],Region[Administrative (FI)],Region[Model],"")</f>
        <v>North</v>
      </c>
    </row>
    <row r="307" spans="8:11">
      <c r="H307" s="22" t="s">
        <v>2736</v>
      </c>
      <c r="I307" s="54" t="s">
        <v>4</v>
      </c>
      <c r="J307" s="22" t="str">
        <f>IF(Municipality[[#This Row],[Region 1990]]=$M$13,$O$13,IF(Municipality[[#This Row],[Region 1990]]=$M$14,$O$14,Municipality[[#This Row],[Region 1990]]))</f>
        <v>Varsinais-Suomi</v>
      </c>
      <c r="K307" s="234" t="str">
        <f>_xlfn.XLOOKUP(Municipality[[#This Row],[Administrative]],Region[Administrative (FI)],Region[Model],"")</f>
        <v>South West</v>
      </c>
    </row>
    <row r="308" spans="8:11">
      <c r="H308" s="22" t="s">
        <v>2737</v>
      </c>
      <c r="I308" s="54" t="s">
        <v>18</v>
      </c>
      <c r="J308" s="22" t="str">
        <f>IF(Municipality[[#This Row],[Region 1990]]=$M$13,$O$13,IF(Municipality[[#This Row],[Region 1990]]=$M$14,$O$14,Municipality[[#This Row],[Region 1990]]))</f>
        <v>Pohjois-Pohjanmaa</v>
      </c>
      <c r="K308" s="234" t="str">
        <f>_xlfn.XLOOKUP(Municipality[[#This Row],[Administrative]],Region[Administrative (FI)],Region[Model],"")</f>
        <v>North</v>
      </c>
    </row>
    <row r="309" spans="8:11">
      <c r="H309" s="22" t="s">
        <v>2738</v>
      </c>
      <c r="I309" s="54" t="s">
        <v>13</v>
      </c>
      <c r="J309" s="22" t="str">
        <f>IF(Municipality[[#This Row],[Region 1990]]=$M$13,$O$13,IF(Municipality[[#This Row],[Region 1990]]=$M$14,$O$14,Municipality[[#This Row],[Region 1990]]))</f>
        <v>Pohjois-Karjala</v>
      </c>
      <c r="K309" s="234" t="str">
        <f>_xlfn.XLOOKUP(Municipality[[#This Row],[Administrative]],Region[Administrative (FI)],Region[Model],"")</f>
        <v>East</v>
      </c>
    </row>
    <row r="310" spans="8:11">
      <c r="H310" s="22" t="s">
        <v>2739</v>
      </c>
      <c r="I310" s="54" t="s">
        <v>14</v>
      </c>
      <c r="J310" s="22" t="str">
        <f>IF(Municipality[[#This Row],[Region 1990]]=$M$13,$O$13,IF(Municipality[[#This Row],[Region 1990]]=$M$14,$O$14,Municipality[[#This Row],[Region 1990]]))</f>
        <v>Keski-Suomi</v>
      </c>
      <c r="K310" s="234" t="str">
        <f>_xlfn.XLOOKUP(Municipality[[#This Row],[Administrative]],Region[Administrative (FI)],Region[Model],"")</f>
        <v>Center</v>
      </c>
    </row>
    <row r="311" spans="8:11">
      <c r="H311" s="22" t="s">
        <v>2740</v>
      </c>
      <c r="I311" s="54" t="s">
        <v>9</v>
      </c>
      <c r="J311" s="22" t="str">
        <f>IF(Municipality[[#This Row],[Region 1990]]=$M$13,$O$13,IF(Municipality[[#This Row],[Region 1990]]=$M$14,$O$14,Municipality[[#This Row],[Region 1990]]))</f>
        <v>Kymenlaakso</v>
      </c>
      <c r="K311" s="234" t="str">
        <f>_xlfn.XLOOKUP(Municipality[[#This Row],[Administrative]],Region[Administrative (FI)],Region[Model],"")</f>
        <v>South East</v>
      </c>
    </row>
    <row r="312" spans="8:11">
      <c r="H312" s="22" t="s">
        <v>2741</v>
      </c>
      <c r="I312" s="54" t="s">
        <v>5</v>
      </c>
      <c r="J312" s="22" t="str">
        <f>IF(Municipality[[#This Row],[Region 1990]]=$M$13,$O$13,IF(Municipality[[#This Row],[Region 1990]]=$M$14,$O$14,Municipality[[#This Row],[Region 1990]]))</f>
        <v>Satakunta</v>
      </c>
      <c r="K312" s="234" t="str">
        <f>_xlfn.XLOOKUP(Municipality[[#This Row],[Administrative]],Region[Administrative (FI)],Region[Model],"")</f>
        <v>West</v>
      </c>
    </row>
    <row r="313" spans="8:11">
      <c r="H313" s="22" t="s">
        <v>2742</v>
      </c>
      <c r="I313" s="54" t="s">
        <v>7</v>
      </c>
      <c r="J313" s="22" t="str">
        <f>IF(Municipality[[#This Row],[Region 1990]]=$M$13,$O$13,IF(Municipality[[#This Row],[Region 1990]]=$M$14,$O$14,Municipality[[#This Row],[Region 1990]]))</f>
        <v>Pirkanmaa</v>
      </c>
      <c r="K313" s="234" t="str">
        <f>_xlfn.XLOOKUP(Municipality[[#This Row],[Administrative]],Region[Administrative (FI)],Region[Model],"")</f>
        <v>Center</v>
      </c>
    </row>
    <row r="314" spans="8:11">
      <c r="H314" s="22" t="s">
        <v>2743</v>
      </c>
      <c r="I314" s="54" t="s">
        <v>4</v>
      </c>
      <c r="J314" s="22" t="str">
        <f>IF(Municipality[[#This Row],[Region 1990]]=$M$13,$O$13,IF(Municipality[[#This Row],[Region 1990]]=$M$14,$O$14,Municipality[[#This Row],[Region 1990]]))</f>
        <v>Varsinais-Suomi</v>
      </c>
      <c r="K314" s="234" t="str">
        <f>_xlfn.XLOOKUP(Municipality[[#This Row],[Administrative]],Region[Administrative (FI)],Region[Model],"")</f>
        <v>South West</v>
      </c>
    </row>
    <row r="315" spans="8:11">
      <c r="H315" s="22" t="s">
        <v>2744</v>
      </c>
      <c r="I315" s="54" t="s">
        <v>11</v>
      </c>
      <c r="J315" s="22" t="str">
        <f>IF(Municipality[[#This Row],[Region 1990]]=$M$13,$O$13,IF(Municipality[[#This Row],[Region 1990]]=$M$14,$O$14,Municipality[[#This Row],[Region 1990]]))</f>
        <v>Etelä-Savo</v>
      </c>
      <c r="K315" s="234" t="str">
        <f>_xlfn.XLOOKUP(Municipality[[#This Row],[Administrative]],Region[Administrative (FI)],Region[Model],"")</f>
        <v>East</v>
      </c>
    </row>
    <row r="316" spans="8:11">
      <c r="H316" s="22" t="s">
        <v>2745</v>
      </c>
      <c r="I316" s="54" t="s">
        <v>18</v>
      </c>
      <c r="J316" s="22" t="str">
        <f>IF(Municipality[[#This Row],[Region 1990]]=$M$13,$O$13,IF(Municipality[[#This Row],[Region 1990]]=$M$14,$O$14,Municipality[[#This Row],[Region 1990]]))</f>
        <v>Pohjois-Pohjanmaa</v>
      </c>
      <c r="K316" s="234" t="str">
        <f>_xlfn.XLOOKUP(Municipality[[#This Row],[Administrative]],Region[Administrative (FI)],Region[Model],"")</f>
        <v>North</v>
      </c>
    </row>
    <row r="317" spans="8:11">
      <c r="H317" s="22" t="s">
        <v>2746</v>
      </c>
      <c r="I317" s="54" t="s">
        <v>20</v>
      </c>
      <c r="J317" s="22" t="str">
        <f>IF(Municipality[[#This Row],[Region 1990]]=$M$13,$O$13,IF(Municipality[[#This Row],[Region 1990]]=$M$14,$O$14,Municipality[[#This Row],[Region 1990]]))</f>
        <v>Lappi</v>
      </c>
      <c r="K317" s="234" t="str">
        <f>_xlfn.XLOOKUP(Municipality[[#This Row],[Administrative]],Region[Administrative (FI)],Region[Model],"")</f>
        <v>North</v>
      </c>
    </row>
    <row r="318" spans="8:11">
      <c r="H318" s="22" t="s">
        <v>941</v>
      </c>
      <c r="I318" s="54" t="s">
        <v>5</v>
      </c>
      <c r="J318" s="22" t="str">
        <f>IF(Municipality[[#This Row],[Region 1990]]=$M$13,$O$13,IF(Municipality[[#This Row],[Region 1990]]=$M$14,$O$14,Municipality[[#This Row],[Region 1990]]))</f>
        <v>Satakunta</v>
      </c>
      <c r="K318" s="234" t="str">
        <f>_xlfn.XLOOKUP(Municipality[[#This Row],[Administrative]],Region[Administrative (FI)],Region[Model],"")</f>
        <v>West</v>
      </c>
    </row>
    <row r="319" spans="8:11">
      <c r="H319" s="22" t="s">
        <v>2882</v>
      </c>
      <c r="I319" s="54" t="s">
        <v>5</v>
      </c>
      <c r="J319" s="22" t="str">
        <f>IF(Municipality[[#This Row],[Region 1990]]=$M$13,$O$13,IF(Municipality[[#This Row],[Region 1990]]=$M$14,$O$14,Municipality[[#This Row],[Region 1990]]))</f>
        <v>Satakunta</v>
      </c>
      <c r="K319" s="234" t="str">
        <f>_xlfn.XLOOKUP(Municipality[[#This Row],[Administrative]],Region[Administrative (FI)],Region[Model],"")</f>
        <v>West</v>
      </c>
    </row>
    <row r="320" spans="8:11">
      <c r="H320" s="22" t="s">
        <v>2747</v>
      </c>
      <c r="I320" s="54" t="s">
        <v>12</v>
      </c>
      <c r="J320" s="22" t="str">
        <f>IF(Municipality[[#This Row],[Region 1990]]=$M$13,$O$13,IF(Municipality[[#This Row],[Region 1990]]=$M$14,$O$14,Municipality[[#This Row],[Region 1990]]))</f>
        <v>Pohjois-Savo</v>
      </c>
      <c r="K320" s="234" t="str">
        <f>_xlfn.XLOOKUP(Municipality[[#This Row],[Administrative]],Region[Administrative (FI)],Region[Model],"")</f>
        <v>East</v>
      </c>
    </row>
    <row r="321" spans="8:11">
      <c r="H321" s="22" t="s">
        <v>2748</v>
      </c>
      <c r="I321" s="54" t="s">
        <v>12</v>
      </c>
      <c r="J321" s="22" t="str">
        <f>IF(Municipality[[#This Row],[Region 1990]]=$M$13,$O$13,IF(Municipality[[#This Row],[Region 1990]]=$M$14,$O$14,Municipality[[#This Row],[Region 1990]]))</f>
        <v>Pohjois-Savo</v>
      </c>
      <c r="K321" s="234" t="str">
        <f>_xlfn.XLOOKUP(Municipality[[#This Row],[Administrative]],Region[Administrative (FI)],Region[Model],"")</f>
        <v>East</v>
      </c>
    </row>
    <row r="322" spans="8:11">
      <c r="H322" s="22" t="s">
        <v>2749</v>
      </c>
      <c r="I322" s="54" t="s">
        <v>10</v>
      </c>
      <c r="J322" s="22" t="str">
        <f>IF(Municipality[[#This Row],[Region 1990]]=$M$13,$O$13,IF(Municipality[[#This Row],[Region 1990]]=$M$14,$O$14,Municipality[[#This Row],[Region 1990]]))</f>
        <v>Etelä-Karjala</v>
      </c>
      <c r="K322" s="234" t="str">
        <f>_xlfn.XLOOKUP(Municipality[[#This Row],[Administrative]],Region[Administrative (FI)],Region[Model],"")</f>
        <v>South East</v>
      </c>
    </row>
    <row r="323" spans="8:11">
      <c r="H323" s="22" t="s">
        <v>2750</v>
      </c>
      <c r="I323" s="54" t="s">
        <v>18</v>
      </c>
      <c r="J323" s="22" t="str">
        <f>IF(Municipality[[#This Row],[Region 1990]]=$M$13,$O$13,IF(Municipality[[#This Row],[Region 1990]]=$M$14,$O$14,Municipality[[#This Row],[Region 1990]]))</f>
        <v>Pohjois-Pohjanmaa</v>
      </c>
      <c r="K323" s="234" t="str">
        <f>_xlfn.XLOOKUP(Municipality[[#This Row],[Administrative]],Region[Administrative (FI)],Region[Model],"")</f>
        <v>North</v>
      </c>
    </row>
    <row r="324" spans="8:11">
      <c r="H324" s="22" t="s">
        <v>998</v>
      </c>
      <c r="I324" s="54" t="s">
        <v>2514</v>
      </c>
      <c r="J324" s="22" t="str">
        <f>IF(Municipality[[#This Row],[Region 1990]]=$M$13,$O$13,IF(Municipality[[#This Row],[Region 1990]]=$M$14,$O$14,Municipality[[#This Row],[Region 1990]]))</f>
        <v>Kanta-Häme</v>
      </c>
      <c r="K324" s="234" t="str">
        <f>_xlfn.XLOOKUP(Municipality[[#This Row],[Administrative]],Region[Administrative (FI)],Region[Model],"")</f>
        <v>South West</v>
      </c>
    </row>
    <row r="325" spans="8:11">
      <c r="H325" s="22" t="s">
        <v>940</v>
      </c>
      <c r="I325" s="54" t="s">
        <v>4</v>
      </c>
      <c r="J325" s="22" t="str">
        <f>IF(Municipality[[#This Row],[Region 1990]]=$M$13,$O$13,IF(Municipality[[#This Row],[Region 1990]]=$M$14,$O$14,Municipality[[#This Row],[Region 1990]]))</f>
        <v>Varsinais-Suomi</v>
      </c>
      <c r="K325" s="234" t="str">
        <f>_xlfn.XLOOKUP(Municipality[[#This Row],[Administrative]],Region[Administrative (FI)],Region[Model],"")</f>
        <v>South West</v>
      </c>
    </row>
    <row r="326" spans="8:11">
      <c r="H326" s="22" t="s">
        <v>2751</v>
      </c>
      <c r="I326" s="54" t="s">
        <v>2514</v>
      </c>
      <c r="J326" s="22" t="str">
        <f>IF(Municipality[[#This Row],[Region 1990]]=$M$13,$O$13,IF(Municipality[[#This Row],[Region 1990]]=$M$14,$O$14,Municipality[[#This Row],[Region 1990]]))</f>
        <v>Kanta-Häme</v>
      </c>
      <c r="K326" s="234" t="str">
        <f>_xlfn.XLOOKUP(Municipality[[#This Row],[Administrative]],Region[Administrative (FI)],Region[Model],"")</f>
        <v>South West</v>
      </c>
    </row>
    <row r="327" spans="8:11">
      <c r="H327" s="22" t="s">
        <v>2752</v>
      </c>
      <c r="I327" s="54" t="s">
        <v>4</v>
      </c>
      <c r="J327" s="22" t="str">
        <f>IF(Municipality[[#This Row],[Region 1990]]=$M$13,$O$13,IF(Municipality[[#This Row],[Region 1990]]=$M$14,$O$14,Municipality[[#This Row],[Region 1990]]))</f>
        <v>Varsinais-Suomi</v>
      </c>
      <c r="K327" s="234" t="str">
        <f>_xlfn.XLOOKUP(Municipality[[#This Row],[Administrative]],Region[Administrative (FI)],Region[Model],"")</f>
        <v>South West</v>
      </c>
    </row>
    <row r="328" spans="8:11">
      <c r="H328" s="22" t="s">
        <v>943</v>
      </c>
      <c r="I328" s="54" t="s">
        <v>11</v>
      </c>
      <c r="J328" s="22" t="str">
        <f>IF(Municipality[[#This Row],[Region 1990]]=$M$13,$O$13,IF(Municipality[[#This Row],[Region 1990]]=$M$14,$O$14,Municipality[[#This Row],[Region 1990]]))</f>
        <v>Etelä-Savo</v>
      </c>
      <c r="K328" s="234" t="str">
        <f>_xlfn.XLOOKUP(Municipality[[#This Row],[Administrative]],Region[Administrative (FI)],Region[Model],"")</f>
        <v>East</v>
      </c>
    </row>
    <row r="329" spans="8:11">
      <c r="H329" s="22" t="s">
        <v>2753</v>
      </c>
      <c r="I329" s="54" t="s">
        <v>19</v>
      </c>
      <c r="J329" s="22" t="str">
        <f>IF(Municipality[[#This Row],[Region 1990]]=$M$13,$O$13,IF(Municipality[[#This Row],[Region 1990]]=$M$14,$O$14,Municipality[[#This Row],[Region 1990]]))</f>
        <v>Kainuu</v>
      </c>
      <c r="K329" s="234" t="str">
        <f>_xlfn.XLOOKUP(Municipality[[#This Row],[Administrative]],Region[Administrative (FI)],Region[Model],"")</f>
        <v>East</v>
      </c>
    </row>
    <row r="330" spans="8:11">
      <c r="H330" s="22" t="s">
        <v>2754</v>
      </c>
      <c r="I330" s="54" t="s">
        <v>20</v>
      </c>
      <c r="J330" s="22" t="str">
        <f>IF(Municipality[[#This Row],[Region 1990]]=$M$13,$O$13,IF(Municipality[[#This Row],[Region 1990]]=$M$14,$O$14,Municipality[[#This Row],[Region 1990]]))</f>
        <v>Lappi</v>
      </c>
      <c r="K330" s="234" t="str">
        <f>_xlfn.XLOOKUP(Municipality[[#This Row],[Administrative]],Region[Administrative (FI)],Region[Model],"")</f>
        <v>North</v>
      </c>
    </row>
    <row r="331" spans="8:11">
      <c r="H331" s="22" t="s">
        <v>2883</v>
      </c>
      <c r="I331" s="54" t="s">
        <v>20</v>
      </c>
      <c r="J331" s="22" t="str">
        <f>IF(Municipality[[#This Row],[Region 1990]]=$M$13,$O$13,IF(Municipality[[#This Row],[Region 1990]]=$M$14,$O$14,Municipality[[#This Row],[Region 1990]]))</f>
        <v>Lappi</v>
      </c>
      <c r="K331" s="234" t="str">
        <f>_xlfn.XLOOKUP(Municipality[[#This Row],[Administrative]],Region[Administrative (FI)],Region[Model],"")</f>
        <v>North</v>
      </c>
    </row>
    <row r="332" spans="8:11">
      <c r="H332" s="22" t="s">
        <v>2755</v>
      </c>
      <c r="I332" s="54" t="s">
        <v>10</v>
      </c>
      <c r="J332" s="22" t="str">
        <f>IF(Municipality[[#This Row],[Region 1990]]=$M$13,$O$13,IF(Municipality[[#This Row],[Region 1990]]=$M$14,$O$14,Municipality[[#This Row],[Region 1990]]))</f>
        <v>Etelä-Karjala</v>
      </c>
      <c r="K332" s="234" t="str">
        <f>_xlfn.XLOOKUP(Municipality[[#This Row],[Administrative]],Region[Administrative (FI)],Region[Model],"")</f>
        <v>South East</v>
      </c>
    </row>
    <row r="333" spans="8:11">
      <c r="H333" s="22" t="s">
        <v>2756</v>
      </c>
      <c r="I333" s="54" t="s">
        <v>7</v>
      </c>
      <c r="J333" s="22" t="str">
        <f>IF(Municipality[[#This Row],[Region 1990]]=$M$13,$O$13,IF(Municipality[[#This Row],[Region 1990]]=$M$14,$O$14,Municipality[[#This Row],[Region 1990]]))</f>
        <v>Pirkanmaa</v>
      </c>
      <c r="K333" s="234" t="str">
        <f>_xlfn.XLOOKUP(Municipality[[#This Row],[Administrative]],Region[Administrative (FI)],Region[Model],"")</f>
        <v>Center</v>
      </c>
    </row>
    <row r="334" spans="8:11">
      <c r="H334" s="22" t="s">
        <v>2757</v>
      </c>
      <c r="I334" s="54" t="s">
        <v>4</v>
      </c>
      <c r="J334" s="22" t="str">
        <f>IF(Municipality[[#This Row],[Region 1990]]=$M$13,$O$13,IF(Municipality[[#This Row],[Region 1990]]=$M$14,$O$14,Municipality[[#This Row],[Region 1990]]))</f>
        <v>Varsinais-Suomi</v>
      </c>
      <c r="K334" s="234" t="str">
        <f>_xlfn.XLOOKUP(Municipality[[#This Row],[Administrative]],Region[Administrative (FI)],Region[Model],"")</f>
        <v>South West</v>
      </c>
    </row>
    <row r="335" spans="8:11">
      <c r="H335" s="22" t="s">
        <v>2758</v>
      </c>
      <c r="I335" s="54" t="s">
        <v>18</v>
      </c>
      <c r="J335" s="22" t="str">
        <f>IF(Municipality[[#This Row],[Region 1990]]=$M$13,$O$13,IF(Municipality[[#This Row],[Region 1990]]=$M$14,$O$14,Municipality[[#This Row],[Region 1990]]))</f>
        <v>Pohjois-Pohjanmaa</v>
      </c>
      <c r="K335" s="234" t="str">
        <f>_xlfn.XLOOKUP(Municipality[[#This Row],[Administrative]],Region[Administrative (FI)],Region[Model],"")</f>
        <v>North</v>
      </c>
    </row>
    <row r="336" spans="8:11">
      <c r="H336" s="22" t="s">
        <v>2759</v>
      </c>
      <c r="I336" s="54" t="s">
        <v>13</v>
      </c>
      <c r="J336" s="22" t="str">
        <f>IF(Municipality[[#This Row],[Region 1990]]=$M$13,$O$13,IF(Municipality[[#This Row],[Region 1990]]=$M$14,$O$14,Municipality[[#This Row],[Region 1990]]))</f>
        <v>Pohjois-Karjala</v>
      </c>
      <c r="K336" s="234" t="str">
        <f>_xlfn.XLOOKUP(Municipality[[#This Row],[Administrative]],Region[Administrative (FI)],Region[Model],"")</f>
        <v>East</v>
      </c>
    </row>
    <row r="337" spans="8:11">
      <c r="H337" s="22" t="s">
        <v>2760</v>
      </c>
      <c r="I337" s="54" t="s">
        <v>4</v>
      </c>
      <c r="J337" s="22" t="str">
        <f>IF(Municipality[[#This Row],[Region 1990]]=$M$13,$O$13,IF(Municipality[[#This Row],[Region 1990]]=$M$14,$O$14,Municipality[[#This Row],[Region 1990]]))</f>
        <v>Varsinais-Suomi</v>
      </c>
      <c r="K337" s="234" t="str">
        <f>_xlfn.XLOOKUP(Municipality[[#This Row],[Administrative]],Region[Administrative (FI)],Region[Model],"")</f>
        <v>South West</v>
      </c>
    </row>
    <row r="338" spans="8:11">
      <c r="H338" s="22" t="s">
        <v>2761</v>
      </c>
      <c r="I338" s="54" t="s">
        <v>11</v>
      </c>
      <c r="J338" s="22" t="str">
        <f>IF(Municipality[[#This Row],[Region 1990]]=$M$13,$O$13,IF(Municipality[[#This Row],[Region 1990]]=$M$14,$O$14,Municipality[[#This Row],[Region 1990]]))</f>
        <v>Etelä-Savo</v>
      </c>
      <c r="K338" s="234" t="str">
        <f>_xlfn.XLOOKUP(Municipality[[#This Row],[Administrative]],Region[Administrative (FI)],Region[Model],"")</f>
        <v>East</v>
      </c>
    </row>
    <row r="339" spans="8:11">
      <c r="H339" s="22" t="s">
        <v>2884</v>
      </c>
      <c r="I339" s="54" t="s">
        <v>11</v>
      </c>
      <c r="J339" s="22" t="str">
        <f>IF(Municipality[[#This Row],[Region 1990]]=$M$13,$O$13,IF(Municipality[[#This Row],[Region 1990]]=$M$14,$O$14,Municipality[[#This Row],[Region 1990]]))</f>
        <v>Etelä-Savo</v>
      </c>
      <c r="K339" s="234" t="str">
        <f>_xlfn.XLOOKUP(Municipality[[#This Row],[Administrative]],Region[Administrative (FI)],Region[Model],"")</f>
        <v>East</v>
      </c>
    </row>
    <row r="340" spans="8:11">
      <c r="H340" s="22" t="s">
        <v>1968</v>
      </c>
      <c r="I340" s="54" t="s">
        <v>10</v>
      </c>
      <c r="J340" s="22" t="str">
        <f>IF(Municipality[[#This Row],[Region 1990]]=$M$13,$O$13,IF(Municipality[[#This Row],[Region 1990]]=$M$14,$O$14,Municipality[[#This Row],[Region 1990]]))</f>
        <v>Etelä-Karjala</v>
      </c>
      <c r="K340" s="234" t="str">
        <f>_xlfn.XLOOKUP(Municipality[[#This Row],[Administrative]],Region[Administrative (FI)],Region[Model],"")</f>
        <v>South East</v>
      </c>
    </row>
    <row r="341" spans="8:11">
      <c r="H341" s="22" t="s">
        <v>1680</v>
      </c>
      <c r="I341" s="54" t="s">
        <v>14</v>
      </c>
      <c r="J341" s="22" t="str">
        <f>IF(Municipality[[#This Row],[Region 1990]]=$M$13,$O$13,IF(Municipality[[#This Row],[Region 1990]]=$M$14,$O$14,Municipality[[#This Row],[Region 1990]]))</f>
        <v>Keski-Suomi</v>
      </c>
      <c r="K341" s="234" t="str">
        <f>_xlfn.XLOOKUP(Municipality[[#This Row],[Administrative]],Region[Administrative (FI)],Region[Model],"")</f>
        <v>Center</v>
      </c>
    </row>
    <row r="342" spans="8:11">
      <c r="H342" s="22" t="s">
        <v>2762</v>
      </c>
      <c r="I342" s="54" t="s">
        <v>4</v>
      </c>
      <c r="J342" s="22" t="str">
        <f>IF(Municipality[[#This Row],[Region 1990]]=$M$13,$O$13,IF(Municipality[[#This Row],[Region 1990]]=$M$14,$O$14,Municipality[[#This Row],[Region 1990]]))</f>
        <v>Varsinais-Suomi</v>
      </c>
      <c r="K342" s="234" t="str">
        <f>_xlfn.XLOOKUP(Municipality[[#This Row],[Administrative]],Region[Administrative (FI)],Region[Model],"")</f>
        <v>South West</v>
      </c>
    </row>
    <row r="343" spans="8:11">
      <c r="H343" s="22" t="s">
        <v>2763</v>
      </c>
      <c r="I343" s="54" t="s">
        <v>7</v>
      </c>
      <c r="J343" s="22" t="str">
        <f>IF(Municipality[[#This Row],[Region 1990]]=$M$13,$O$13,IF(Municipality[[#This Row],[Region 1990]]=$M$14,$O$14,Municipality[[#This Row],[Region 1990]]))</f>
        <v>Pirkanmaa</v>
      </c>
      <c r="K343" s="234" t="str">
        <f>_xlfn.XLOOKUP(Municipality[[#This Row],[Administrative]],Region[Administrative (FI)],Region[Model],"")</f>
        <v>Center</v>
      </c>
    </row>
    <row r="344" spans="8:11">
      <c r="H344" s="22" t="s">
        <v>2764</v>
      </c>
      <c r="I344" s="54" t="s">
        <v>20</v>
      </c>
      <c r="J344" s="22" t="str">
        <f>IF(Municipality[[#This Row],[Region 1990]]=$M$13,$O$13,IF(Municipality[[#This Row],[Region 1990]]=$M$14,$O$14,Municipality[[#This Row],[Region 1990]]))</f>
        <v>Lappi</v>
      </c>
      <c r="K344" s="234" t="str">
        <f>_xlfn.XLOOKUP(Municipality[[#This Row],[Administrative]],Region[Administrative (FI)],Region[Model],"")</f>
        <v>North</v>
      </c>
    </row>
    <row r="345" spans="8:11">
      <c r="H345" s="22" t="s">
        <v>1070</v>
      </c>
      <c r="I345" s="54" t="s">
        <v>4</v>
      </c>
      <c r="J345" s="22" t="str">
        <f>IF(Municipality[[#This Row],[Region 1990]]=$M$13,$O$13,IF(Municipality[[#This Row],[Region 1990]]=$M$14,$O$14,Municipality[[#This Row],[Region 1990]]))</f>
        <v>Varsinais-Suomi</v>
      </c>
      <c r="K345" s="234" t="str">
        <f>_xlfn.XLOOKUP(Municipality[[#This Row],[Administrative]],Region[Administrative (FI)],Region[Model],"")</f>
        <v>South West</v>
      </c>
    </row>
    <row r="346" spans="8:11">
      <c r="H346" s="22" t="s">
        <v>2765</v>
      </c>
      <c r="I346" s="54" t="s">
        <v>22</v>
      </c>
      <c r="J346" s="22" t="str">
        <f>IF(Municipality[[#This Row],[Region 1990]]=$M$13,$O$13,IF(Municipality[[#This Row],[Region 1990]]=$M$14,$O$14,Municipality[[#This Row],[Region 1990]]))</f>
        <v>Ahvenanmaa</v>
      </c>
      <c r="K346" s="234" t="str">
        <f>_xlfn.XLOOKUP(Municipality[[#This Row],[Administrative]],Region[Administrative (FI)],Region[Model],"")</f>
        <v>South West</v>
      </c>
    </row>
    <row r="347" spans="8:11">
      <c r="H347" s="22" t="s">
        <v>2766</v>
      </c>
      <c r="I347" s="54" t="s">
        <v>3</v>
      </c>
      <c r="J347" s="22" t="str">
        <f>IF(Municipality[[#This Row],[Region 1990]]=$M$13,$O$13,IF(Municipality[[#This Row],[Region 1990]]=$M$14,$O$14,Municipality[[#This Row],[Region 1990]]))</f>
        <v>Uusimaa</v>
      </c>
      <c r="K347" s="234" t="str">
        <f>_xlfn.XLOOKUP(Municipality[[#This Row],[Administrative]],Region[Administrative (FI)],Region[Model],"")</f>
        <v>Uusimaa</v>
      </c>
    </row>
    <row r="348" spans="8:11">
      <c r="H348" s="22" t="s">
        <v>2767</v>
      </c>
      <c r="I348" s="54" t="s">
        <v>5</v>
      </c>
      <c r="J348" s="22" t="str">
        <f>IF(Municipality[[#This Row],[Region 1990]]=$M$13,$O$13,IF(Municipality[[#This Row],[Region 1990]]=$M$14,$O$14,Municipality[[#This Row],[Region 1990]]))</f>
        <v>Satakunta</v>
      </c>
      <c r="K348" s="234" t="str">
        <f>_xlfn.XLOOKUP(Municipality[[#This Row],[Administrative]],Region[Administrative (FI)],Region[Model],"")</f>
        <v>West</v>
      </c>
    </row>
    <row r="349" spans="8:11">
      <c r="H349" s="22" t="s">
        <v>2768</v>
      </c>
      <c r="I349" s="54" t="s">
        <v>10</v>
      </c>
      <c r="J349" s="22" t="str">
        <f>IF(Municipality[[#This Row],[Region 1990]]=$M$13,$O$13,IF(Municipality[[#This Row],[Region 1990]]=$M$14,$O$14,Municipality[[#This Row],[Region 1990]]))</f>
        <v>Etelä-Karjala</v>
      </c>
      <c r="K349" s="234" t="str">
        <f>_xlfn.XLOOKUP(Municipality[[#This Row],[Administrative]],Region[Administrative (FI)],Region[Model],"")</f>
        <v>South East</v>
      </c>
    </row>
    <row r="350" spans="8:11">
      <c r="H350" s="22" t="s">
        <v>2289</v>
      </c>
      <c r="I350" s="54" t="s">
        <v>11</v>
      </c>
      <c r="J350" s="22" t="str">
        <f>IF(Municipality[[#This Row],[Region 1990]]=$M$13,$O$13,IF(Municipality[[#This Row],[Region 1990]]=$M$14,$O$14,Municipality[[#This Row],[Region 1990]]))</f>
        <v>Etelä-Savo</v>
      </c>
      <c r="K350" s="234" t="str">
        <f>_xlfn.XLOOKUP(Municipality[[#This Row],[Administrative]],Region[Administrative (FI)],Region[Model],"")</f>
        <v>East</v>
      </c>
    </row>
    <row r="351" spans="8:11">
      <c r="H351" s="22" t="s">
        <v>1497</v>
      </c>
      <c r="I351" s="54" t="s">
        <v>20</v>
      </c>
      <c r="J351" s="22" t="str">
        <f>IF(Municipality[[#This Row],[Region 1990]]=$M$13,$O$13,IF(Municipality[[#This Row],[Region 1990]]=$M$14,$O$14,Municipality[[#This Row],[Region 1990]]))</f>
        <v>Lappi</v>
      </c>
      <c r="K351" s="234" t="str">
        <f>_xlfn.XLOOKUP(Municipality[[#This Row],[Administrative]],Region[Administrative (FI)],Region[Model],"")</f>
        <v>North</v>
      </c>
    </row>
    <row r="352" spans="8:11">
      <c r="H352" s="22" t="s">
        <v>806</v>
      </c>
      <c r="I352" s="54" t="s">
        <v>23</v>
      </c>
      <c r="J352" s="22" t="str">
        <f>IF(Municipality[[#This Row],[Region 1990]]=$M$13,$O$13,IF(Municipality[[#This Row],[Region 1990]]=$M$14,$O$14,Municipality[[#This Row],[Region 1990]]))</f>
        <v>Etelä-Pohjanmaa</v>
      </c>
      <c r="K352" s="234" t="str">
        <f>_xlfn.XLOOKUP(Municipality[[#This Row],[Administrative]],Region[Administrative (FI)],Region[Model],"")</f>
        <v>West</v>
      </c>
    </row>
    <row r="353" spans="8:11">
      <c r="H353" s="22" t="s">
        <v>2769</v>
      </c>
      <c r="I353" s="54" t="s">
        <v>3</v>
      </c>
      <c r="J353" s="22" t="str">
        <f>IF(Municipality[[#This Row],[Region 1990]]=$M$13,$O$13,IF(Municipality[[#This Row],[Region 1990]]=$M$14,$O$14,Municipality[[#This Row],[Region 1990]]))</f>
        <v>Uusimaa</v>
      </c>
      <c r="K353" s="234" t="str">
        <f>_xlfn.XLOOKUP(Municipality[[#This Row],[Administrative]],Region[Administrative (FI)],Region[Model],"")</f>
        <v>Uusimaa</v>
      </c>
    </row>
    <row r="354" spans="8:11">
      <c r="H354" s="22" t="s">
        <v>2770</v>
      </c>
      <c r="I354" s="54" t="s">
        <v>18</v>
      </c>
      <c r="J354" s="22" t="str">
        <f>IF(Municipality[[#This Row],[Region 1990]]=$M$13,$O$13,IF(Municipality[[#This Row],[Region 1990]]=$M$14,$O$14,Municipality[[#This Row],[Region 1990]]))</f>
        <v>Pohjois-Pohjanmaa</v>
      </c>
      <c r="K354" s="234" t="str">
        <f>_xlfn.XLOOKUP(Municipality[[#This Row],[Administrative]],Region[Administrative (FI)],Region[Model],"")</f>
        <v>North</v>
      </c>
    </row>
    <row r="355" spans="8:11">
      <c r="H355" s="22" t="s">
        <v>2771</v>
      </c>
      <c r="I355" s="54" t="s">
        <v>5</v>
      </c>
      <c r="J355" s="22" t="str">
        <f>IF(Municipality[[#This Row],[Region 1990]]=$M$13,$O$13,IF(Municipality[[#This Row],[Region 1990]]=$M$14,$O$14,Municipality[[#This Row],[Region 1990]]))</f>
        <v>Satakunta</v>
      </c>
      <c r="K355" s="234" t="str">
        <f>_xlfn.XLOOKUP(Municipality[[#This Row],[Administrative]],Region[Administrative (FI)],Region[Model],"")</f>
        <v>West</v>
      </c>
    </row>
    <row r="356" spans="8:11">
      <c r="H356" s="22" t="s">
        <v>2772</v>
      </c>
      <c r="I356" s="54" t="s">
        <v>18</v>
      </c>
      <c r="J356" s="22" t="str">
        <f>IF(Municipality[[#This Row],[Region 1990]]=$M$13,$O$13,IF(Municipality[[#This Row],[Region 1990]]=$M$14,$O$14,Municipality[[#This Row],[Region 1990]]))</f>
        <v>Pohjois-Pohjanmaa</v>
      </c>
      <c r="K356" s="234" t="str">
        <f>_xlfn.XLOOKUP(Municipality[[#This Row],[Administrative]],Region[Administrative (FI)],Region[Model],"")</f>
        <v>North</v>
      </c>
    </row>
    <row r="357" spans="8:11">
      <c r="H357" s="22" t="s">
        <v>999</v>
      </c>
      <c r="I357" s="54" t="s">
        <v>12</v>
      </c>
      <c r="J357" s="22" t="str">
        <f>IF(Municipality[[#This Row],[Region 1990]]=$M$13,$O$13,IF(Municipality[[#This Row],[Region 1990]]=$M$14,$O$14,Municipality[[#This Row],[Region 1990]]))</f>
        <v>Pohjois-Savo</v>
      </c>
      <c r="K357" s="234" t="str">
        <f>_xlfn.XLOOKUP(Municipality[[#This Row],[Administrative]],Region[Administrative (FI)],Region[Model],"")</f>
        <v>East</v>
      </c>
    </row>
    <row r="358" spans="8:11">
      <c r="H358" s="22" t="s">
        <v>2773</v>
      </c>
      <c r="I358" s="54" t="s">
        <v>20</v>
      </c>
      <c r="J358" s="22" t="str">
        <f>IF(Municipality[[#This Row],[Region 1990]]=$M$13,$O$13,IF(Municipality[[#This Row],[Region 1990]]=$M$14,$O$14,Municipality[[#This Row],[Region 1990]]))</f>
        <v>Lappi</v>
      </c>
      <c r="K358" s="234" t="str">
        <f>_xlfn.XLOOKUP(Municipality[[#This Row],[Administrative]],Region[Administrative (FI)],Region[Model],"")</f>
        <v>North</v>
      </c>
    </row>
    <row r="359" spans="8:11">
      <c r="H359" s="22" t="s">
        <v>2774</v>
      </c>
      <c r="I359" s="54" t="s">
        <v>3</v>
      </c>
      <c r="J359" s="22" t="str">
        <f>IF(Municipality[[#This Row],[Region 1990]]=$M$13,$O$13,IF(Municipality[[#This Row],[Region 1990]]=$M$14,$O$14,Municipality[[#This Row],[Region 1990]]))</f>
        <v>Uusimaa</v>
      </c>
      <c r="K359" s="234" t="str">
        <f>_xlfn.XLOOKUP(Municipality[[#This Row],[Administrative]],Region[Administrative (FI)],Region[Model],"")</f>
        <v>Uusimaa</v>
      </c>
    </row>
    <row r="360" spans="8:11">
      <c r="H360" s="22" t="s">
        <v>2775</v>
      </c>
      <c r="I360" s="54" t="s">
        <v>20</v>
      </c>
      <c r="J360" s="22" t="str">
        <f>IF(Municipality[[#This Row],[Region 1990]]=$M$13,$O$13,IF(Municipality[[#This Row],[Region 1990]]=$M$14,$O$14,Municipality[[#This Row],[Region 1990]]))</f>
        <v>Lappi</v>
      </c>
      <c r="K360" s="234" t="str">
        <f>_xlfn.XLOOKUP(Municipality[[#This Row],[Administrative]],Region[Administrative (FI)],Region[Model],"")</f>
        <v>North</v>
      </c>
    </row>
    <row r="361" spans="8:11">
      <c r="H361" s="22" t="s">
        <v>2776</v>
      </c>
      <c r="I361" s="54" t="s">
        <v>23</v>
      </c>
      <c r="J361" s="22" t="str">
        <f>IF(Municipality[[#This Row],[Region 1990]]=$M$13,$O$13,IF(Municipality[[#This Row],[Region 1990]]=$M$14,$O$14,Municipality[[#This Row],[Region 1990]]))</f>
        <v>Etelä-Pohjanmaa</v>
      </c>
      <c r="K361" s="234" t="str">
        <f>_xlfn.XLOOKUP(Municipality[[#This Row],[Administrative]],Region[Administrative (FI)],Region[Model],"")</f>
        <v>West</v>
      </c>
    </row>
    <row r="362" spans="8:11">
      <c r="H362" s="22" t="s">
        <v>2777</v>
      </c>
      <c r="I362" s="54" t="s">
        <v>4</v>
      </c>
      <c r="J362" s="22" t="str">
        <f>IF(Municipality[[#This Row],[Region 1990]]=$M$13,$O$13,IF(Municipality[[#This Row],[Region 1990]]=$M$14,$O$14,Municipality[[#This Row],[Region 1990]]))</f>
        <v>Varsinais-Suomi</v>
      </c>
      <c r="K362" s="234" t="str">
        <f>_xlfn.XLOOKUP(Municipality[[#This Row],[Administrative]],Region[Administrative (FI)],Region[Model],"")</f>
        <v>South West</v>
      </c>
    </row>
    <row r="363" spans="8:11">
      <c r="H363" s="22" t="s">
        <v>2778</v>
      </c>
      <c r="I363" s="54" t="s">
        <v>12</v>
      </c>
      <c r="J363" s="22" t="str">
        <f>IF(Municipality[[#This Row],[Region 1990]]=$M$13,$O$13,IF(Municipality[[#This Row],[Region 1990]]=$M$14,$O$14,Municipality[[#This Row],[Region 1990]]))</f>
        <v>Pohjois-Savo</v>
      </c>
      <c r="K363" s="234" t="str">
        <f>_xlfn.XLOOKUP(Municipality[[#This Row],[Administrative]],Region[Administrative (FI)],Region[Model],"")</f>
        <v>East</v>
      </c>
    </row>
    <row r="364" spans="8:11">
      <c r="H364" s="22" t="s">
        <v>946</v>
      </c>
      <c r="I364" s="54" t="s">
        <v>19</v>
      </c>
      <c r="J364" s="22" t="str">
        <f>IF(Municipality[[#This Row],[Region 1990]]=$M$13,$O$13,IF(Municipality[[#This Row],[Region 1990]]=$M$14,$O$14,Municipality[[#This Row],[Region 1990]]))</f>
        <v>Kainuu</v>
      </c>
      <c r="K364" s="234" t="str">
        <f>_xlfn.XLOOKUP(Municipality[[#This Row],[Administrative]],Region[Administrative (FI)],Region[Model],"")</f>
        <v>East</v>
      </c>
    </row>
    <row r="365" spans="8:11">
      <c r="H365" s="22" t="s">
        <v>2779</v>
      </c>
      <c r="I365" s="54" t="s">
        <v>22</v>
      </c>
      <c r="J365" s="22" t="str">
        <f>IF(Municipality[[#This Row],[Region 1990]]=$M$13,$O$13,IF(Municipality[[#This Row],[Region 1990]]=$M$14,$O$14,Municipality[[#This Row],[Region 1990]]))</f>
        <v>Ahvenanmaa</v>
      </c>
      <c r="K365" s="234" t="str">
        <f>_xlfn.XLOOKUP(Municipality[[#This Row],[Administrative]],Region[Administrative (FI)],Region[Model],"")</f>
        <v>South West</v>
      </c>
    </row>
    <row r="366" spans="8:11">
      <c r="H366" s="22" t="s">
        <v>2780</v>
      </c>
      <c r="I366" s="54" t="s">
        <v>23</v>
      </c>
      <c r="J366" s="22" t="str">
        <f>IF(Municipality[[#This Row],[Region 1990]]=$M$13,$O$13,IF(Municipality[[#This Row],[Region 1990]]=$M$14,$O$14,Municipality[[#This Row],[Region 1990]]))</f>
        <v>Etelä-Pohjanmaa</v>
      </c>
      <c r="K366" s="234" t="str">
        <f>_xlfn.XLOOKUP(Municipality[[#This Row],[Administrative]],Region[Administrative (FI)],Region[Model],"")</f>
        <v>West</v>
      </c>
    </row>
    <row r="367" spans="8:11">
      <c r="H367" s="22" t="s">
        <v>2781</v>
      </c>
      <c r="I367" s="54" t="s">
        <v>23</v>
      </c>
      <c r="J367" s="22" t="str">
        <f>IF(Municipality[[#This Row],[Region 1990]]=$M$13,$O$13,IF(Municipality[[#This Row],[Region 1990]]=$M$14,$O$14,Municipality[[#This Row],[Region 1990]]))</f>
        <v>Etelä-Pohjanmaa</v>
      </c>
      <c r="K367" s="234" t="str">
        <f>_xlfn.XLOOKUP(Municipality[[#This Row],[Administrative]],Region[Administrative (FI)],Region[Model],"")</f>
        <v>West</v>
      </c>
    </row>
    <row r="368" spans="8:11">
      <c r="H368" s="22" t="s">
        <v>2782</v>
      </c>
      <c r="I368" s="54" t="s">
        <v>3</v>
      </c>
      <c r="J368" s="22" t="str">
        <f>IF(Municipality[[#This Row],[Region 1990]]=$M$13,$O$13,IF(Municipality[[#This Row],[Region 1990]]=$M$14,$O$14,Municipality[[#This Row],[Region 1990]]))</f>
        <v>Uusimaa</v>
      </c>
      <c r="K368" s="234" t="str">
        <f>_xlfn.XLOOKUP(Municipality[[#This Row],[Administrative]],Region[Administrative (FI)],Region[Model],"")</f>
        <v>Uusimaa</v>
      </c>
    </row>
    <row r="369" spans="8:11">
      <c r="H369" s="22" t="s">
        <v>2783</v>
      </c>
      <c r="I369" s="54" t="s">
        <v>11</v>
      </c>
      <c r="J369" s="22" t="str">
        <f>IF(Municipality[[#This Row],[Region 1990]]=$M$13,$O$13,IF(Municipality[[#This Row],[Region 1990]]=$M$14,$O$14,Municipality[[#This Row],[Region 1990]]))</f>
        <v>Etelä-Savo</v>
      </c>
      <c r="K369" s="234" t="str">
        <f>_xlfn.XLOOKUP(Municipality[[#This Row],[Administrative]],Region[Administrative (FI)],Region[Model],"")</f>
        <v>East</v>
      </c>
    </row>
    <row r="370" spans="8:11">
      <c r="H370" s="22" t="s">
        <v>2266</v>
      </c>
      <c r="I370" s="54" t="s">
        <v>14</v>
      </c>
      <c r="J370" s="22" t="str">
        <f>IF(Municipality[[#This Row],[Region 1990]]=$M$13,$O$13,IF(Municipality[[#This Row],[Region 1990]]=$M$14,$O$14,Municipality[[#This Row],[Region 1990]]))</f>
        <v>Keski-Suomi</v>
      </c>
      <c r="K370" s="234" t="str">
        <f>_xlfn.XLOOKUP(Municipality[[#This Row],[Administrative]],Region[Administrative (FI)],Region[Model],"")</f>
        <v>Center</v>
      </c>
    </row>
    <row r="371" spans="8:11">
      <c r="H371" s="22" t="s">
        <v>2784</v>
      </c>
      <c r="I371" s="54" t="s">
        <v>22</v>
      </c>
      <c r="J371" s="22" t="str">
        <f>IF(Municipality[[#This Row],[Region 1990]]=$M$13,$O$13,IF(Municipality[[#This Row],[Region 1990]]=$M$14,$O$14,Municipality[[#This Row],[Region 1990]]))</f>
        <v>Ahvenanmaa</v>
      </c>
      <c r="K371" s="234" t="str">
        <f>_xlfn.XLOOKUP(Municipality[[#This Row],[Administrative]],Region[Administrative (FI)],Region[Model],"")</f>
        <v>South West</v>
      </c>
    </row>
    <row r="372" spans="8:11">
      <c r="H372" s="22" t="s">
        <v>2785</v>
      </c>
      <c r="I372" s="54" t="s">
        <v>7</v>
      </c>
      <c r="J372" s="22" t="str">
        <f>IF(Municipality[[#This Row],[Region 1990]]=$M$13,$O$13,IF(Municipality[[#This Row],[Region 1990]]=$M$14,$O$14,Municipality[[#This Row],[Region 1990]]))</f>
        <v>Pirkanmaa</v>
      </c>
      <c r="K372" s="234" t="str">
        <f>_xlfn.XLOOKUP(Municipality[[#This Row],[Administrative]],Region[Administrative (FI)],Region[Model],"")</f>
        <v>Center</v>
      </c>
    </row>
    <row r="373" spans="8:11">
      <c r="H373" s="22" t="s">
        <v>2786</v>
      </c>
      <c r="I373" s="54" t="s">
        <v>14</v>
      </c>
      <c r="J373" s="22" t="str">
        <f>IF(Municipality[[#This Row],[Region 1990]]=$M$13,$O$13,IF(Municipality[[#This Row],[Region 1990]]=$M$14,$O$14,Municipality[[#This Row],[Region 1990]]))</f>
        <v>Keski-Suomi</v>
      </c>
      <c r="K373" s="234" t="str">
        <f>_xlfn.XLOOKUP(Municipality[[#This Row],[Administrative]],Region[Administrative (FI)],Region[Model],"")</f>
        <v>Center</v>
      </c>
    </row>
    <row r="374" spans="8:11">
      <c r="H374" s="22" t="s">
        <v>2787</v>
      </c>
      <c r="I374" s="54" t="s">
        <v>10</v>
      </c>
      <c r="J374" s="22" t="str">
        <f>IF(Municipality[[#This Row],[Region 1990]]=$M$13,$O$13,IF(Municipality[[#This Row],[Region 1990]]=$M$14,$O$14,Municipality[[#This Row],[Region 1990]]))</f>
        <v>Etelä-Karjala</v>
      </c>
      <c r="K374" s="234" t="str">
        <f>_xlfn.XLOOKUP(Municipality[[#This Row],[Administrative]],Region[Administrative (FI)],Region[Model],"")</f>
        <v>South East</v>
      </c>
    </row>
    <row r="375" spans="8:11">
      <c r="H375" s="22" t="s">
        <v>2788</v>
      </c>
      <c r="I375" s="54" t="s">
        <v>4</v>
      </c>
      <c r="J375" s="22" t="str">
        <f>IF(Municipality[[#This Row],[Region 1990]]=$M$13,$O$13,IF(Municipality[[#This Row],[Region 1990]]=$M$14,$O$14,Municipality[[#This Row],[Region 1990]]))</f>
        <v>Varsinais-Suomi</v>
      </c>
      <c r="K375" s="234" t="str">
        <f>_xlfn.XLOOKUP(Municipality[[#This Row],[Administrative]],Region[Administrative (FI)],Region[Model],"")</f>
        <v>South West</v>
      </c>
    </row>
    <row r="376" spans="8:11">
      <c r="H376" s="22" t="s">
        <v>2789</v>
      </c>
      <c r="I376" s="54" t="s">
        <v>19</v>
      </c>
      <c r="J376" s="22" t="str">
        <f>IF(Municipality[[#This Row],[Region 1990]]=$M$13,$O$13,IF(Municipality[[#This Row],[Region 1990]]=$M$14,$O$14,Municipality[[#This Row],[Region 1990]]))</f>
        <v>Kainuu</v>
      </c>
      <c r="K376" s="234" t="str">
        <f>_xlfn.XLOOKUP(Municipality[[#This Row],[Administrative]],Region[Administrative (FI)],Region[Model],"")</f>
        <v>East</v>
      </c>
    </row>
    <row r="377" spans="8:11">
      <c r="H377" s="22" t="s">
        <v>2790</v>
      </c>
      <c r="I377" s="54" t="s">
        <v>12</v>
      </c>
      <c r="J377" s="22" t="str">
        <f>IF(Municipality[[#This Row],[Region 1990]]=$M$13,$O$13,IF(Municipality[[#This Row],[Region 1990]]=$M$14,$O$14,Municipality[[#This Row],[Region 1990]]))</f>
        <v>Pohjois-Savo</v>
      </c>
      <c r="K377" s="234" t="str">
        <f>_xlfn.XLOOKUP(Municipality[[#This Row],[Administrative]],Region[Administrative (FI)],Region[Model],"")</f>
        <v>East</v>
      </c>
    </row>
    <row r="378" spans="8:11">
      <c r="H378" s="22" t="s">
        <v>2791</v>
      </c>
      <c r="I378" s="54" t="s">
        <v>8</v>
      </c>
      <c r="J378" s="22" t="str">
        <f>IF(Municipality[[#This Row],[Region 1990]]=$M$13,$O$13,IF(Municipality[[#This Row],[Region 1990]]=$M$14,$O$14,Municipality[[#This Row],[Region 1990]]))</f>
        <v>Päijät-Häme</v>
      </c>
      <c r="K378" s="234" t="str">
        <f>_xlfn.XLOOKUP(Municipality[[#This Row],[Administrative]],Region[Administrative (FI)],Region[Model],"")</f>
        <v>South East</v>
      </c>
    </row>
    <row r="379" spans="8:11">
      <c r="H379" s="22" t="s">
        <v>947</v>
      </c>
      <c r="I379" s="54" t="s">
        <v>5</v>
      </c>
      <c r="J379" s="22" t="str">
        <f>IF(Municipality[[#This Row],[Region 1990]]=$M$13,$O$13,IF(Municipality[[#This Row],[Region 1990]]=$M$14,$O$14,Municipality[[#This Row],[Region 1990]]))</f>
        <v>Satakunta</v>
      </c>
      <c r="K379" s="234" t="str">
        <f>_xlfn.XLOOKUP(Municipality[[#This Row],[Administrative]],Region[Administrative (FI)],Region[Model],"")</f>
        <v>West</v>
      </c>
    </row>
    <row r="380" spans="8:11">
      <c r="H380" s="22" t="s">
        <v>2792</v>
      </c>
      <c r="I380" s="54" t="s">
        <v>14</v>
      </c>
      <c r="J380" s="22" t="str">
        <f>IF(Municipality[[#This Row],[Region 1990]]=$M$13,$O$13,IF(Municipality[[#This Row],[Region 1990]]=$M$14,$O$14,Municipality[[#This Row],[Region 1990]]))</f>
        <v>Keski-Suomi</v>
      </c>
      <c r="K380" s="234" t="str">
        <f>_xlfn.XLOOKUP(Municipality[[#This Row],[Administrative]],Region[Administrative (FI)],Region[Model],"")</f>
        <v>Center</v>
      </c>
    </row>
    <row r="381" spans="8:11">
      <c r="H381" s="22" t="s">
        <v>2793</v>
      </c>
      <c r="I381" s="54" t="s">
        <v>10</v>
      </c>
      <c r="J381" s="22" t="str">
        <f>IF(Municipality[[#This Row],[Region 1990]]=$M$13,$O$13,IF(Municipality[[#This Row],[Region 1990]]=$M$14,$O$14,Municipality[[#This Row],[Region 1990]]))</f>
        <v>Etelä-Karjala</v>
      </c>
      <c r="K381" s="234" t="str">
        <f>_xlfn.XLOOKUP(Municipality[[#This Row],[Administrative]],Region[Administrative (FI)],Region[Model],"")</f>
        <v>South East</v>
      </c>
    </row>
    <row r="382" spans="8:11">
      <c r="H382" s="22" t="s">
        <v>355</v>
      </c>
      <c r="I382" s="54" t="s">
        <v>18</v>
      </c>
      <c r="J382" s="22" t="str">
        <f>IF(Municipality[[#This Row],[Region 1990]]=$M$13,$O$13,IF(Municipality[[#This Row],[Region 1990]]=$M$14,$O$14,Municipality[[#This Row],[Region 1990]]))</f>
        <v>Pohjois-Pohjanmaa</v>
      </c>
      <c r="K382" s="234" t="str">
        <f>_xlfn.XLOOKUP(Municipality[[#This Row],[Administrative]],Region[Administrative (FI)],Region[Model],"")</f>
        <v>North</v>
      </c>
    </row>
    <row r="383" spans="8:11">
      <c r="H383" s="22" t="s">
        <v>2794</v>
      </c>
      <c r="I383" s="54" t="s">
        <v>2514</v>
      </c>
      <c r="J383" s="22" t="str">
        <f>IF(Municipality[[#This Row],[Region 1990]]=$M$13,$O$13,IF(Municipality[[#This Row],[Region 1990]]=$M$14,$O$14,Municipality[[#This Row],[Region 1990]]))</f>
        <v>Kanta-Häme</v>
      </c>
      <c r="K383" s="234" t="str">
        <f>_xlfn.XLOOKUP(Municipality[[#This Row],[Administrative]],Region[Administrative (FI)],Region[Model],"")</f>
        <v>South West</v>
      </c>
    </row>
    <row r="384" spans="8:11">
      <c r="H384" s="22" t="s">
        <v>2795</v>
      </c>
      <c r="I384" s="54" t="s">
        <v>7</v>
      </c>
      <c r="J384" s="22" t="str">
        <f>IF(Municipality[[#This Row],[Region 1990]]=$M$13,$O$13,IF(Municipality[[#This Row],[Region 1990]]=$M$14,$O$14,Municipality[[#This Row],[Region 1990]]))</f>
        <v>Pirkanmaa</v>
      </c>
      <c r="K384" s="234" t="str">
        <f>_xlfn.XLOOKUP(Municipality[[#This Row],[Administrative]],Region[Administrative (FI)],Region[Model],"")</f>
        <v>Center</v>
      </c>
    </row>
    <row r="385" spans="8:11">
      <c r="H385" s="22" t="s">
        <v>2796</v>
      </c>
      <c r="I385" s="54" t="s">
        <v>4</v>
      </c>
      <c r="J385" s="22" t="str">
        <f>IF(Municipality[[#This Row],[Region 1990]]=$M$13,$O$13,IF(Municipality[[#This Row],[Region 1990]]=$M$14,$O$14,Municipality[[#This Row],[Region 1990]]))</f>
        <v>Varsinais-Suomi</v>
      </c>
      <c r="K385" s="234" t="str">
        <f>_xlfn.XLOOKUP(Municipality[[#This Row],[Administrative]],Region[Administrative (FI)],Region[Model],"")</f>
        <v>South West</v>
      </c>
    </row>
    <row r="386" spans="8:11">
      <c r="H386" s="22" t="s">
        <v>1039</v>
      </c>
      <c r="I386" s="54" t="s">
        <v>2514</v>
      </c>
      <c r="J386" s="22" t="str">
        <f>IF(Municipality[[#This Row],[Region 1990]]=$M$13,$O$13,IF(Municipality[[#This Row],[Region 1990]]=$M$14,$O$14,Municipality[[#This Row],[Region 1990]]))</f>
        <v>Kanta-Häme</v>
      </c>
      <c r="K386" s="234" t="str">
        <f>_xlfn.XLOOKUP(Municipality[[#This Row],[Administrative]],Region[Administrative (FI)],Region[Model],"")</f>
        <v>South West</v>
      </c>
    </row>
    <row r="387" spans="8:11">
      <c r="H387" s="22" t="s">
        <v>2797</v>
      </c>
      <c r="I387" s="54" t="s">
        <v>7</v>
      </c>
      <c r="J387" s="22" t="str">
        <f>IF(Municipality[[#This Row],[Region 1990]]=$M$13,$O$13,IF(Municipality[[#This Row],[Region 1990]]=$M$14,$O$14,Municipality[[#This Row],[Region 1990]]))</f>
        <v>Pirkanmaa</v>
      </c>
      <c r="K387" s="234" t="str">
        <f>_xlfn.XLOOKUP(Municipality[[#This Row],[Administrative]],Region[Administrative (FI)],Region[Model],"")</f>
        <v>Center</v>
      </c>
    </row>
    <row r="388" spans="8:11">
      <c r="H388" s="22" t="s">
        <v>2798</v>
      </c>
      <c r="I388" s="54" t="s">
        <v>18</v>
      </c>
      <c r="J388" s="22" t="str">
        <f>IF(Municipality[[#This Row],[Region 1990]]=$M$13,$O$13,IF(Municipality[[#This Row],[Region 1990]]=$M$14,$O$14,Municipality[[#This Row],[Region 1990]]))</f>
        <v>Pohjois-Pohjanmaa</v>
      </c>
      <c r="K388" s="234" t="str">
        <f>_xlfn.XLOOKUP(Municipality[[#This Row],[Administrative]],Region[Administrative (FI)],Region[Model],"")</f>
        <v>North</v>
      </c>
    </row>
    <row r="389" spans="8:11">
      <c r="H389" s="22" t="s">
        <v>2799</v>
      </c>
      <c r="I389" s="54" t="s">
        <v>3</v>
      </c>
      <c r="J389" s="22" t="str">
        <f>IF(Municipality[[#This Row],[Region 1990]]=$M$13,$O$13,IF(Municipality[[#This Row],[Region 1990]]=$M$14,$O$14,Municipality[[#This Row],[Region 1990]]))</f>
        <v>Uusimaa</v>
      </c>
      <c r="K389" s="234" t="str">
        <f>_xlfn.XLOOKUP(Municipality[[#This Row],[Administrative]],Region[Administrative (FI)],Region[Model],"")</f>
        <v>Uusimaa</v>
      </c>
    </row>
    <row r="390" spans="8:11">
      <c r="H390" s="22" t="s">
        <v>2800</v>
      </c>
      <c r="I390" s="54" t="s">
        <v>12</v>
      </c>
      <c r="J390" s="22" t="str">
        <f>IF(Municipality[[#This Row],[Region 1990]]=$M$13,$O$13,IF(Municipality[[#This Row],[Region 1990]]=$M$14,$O$14,Municipality[[#This Row],[Region 1990]]))</f>
        <v>Pohjois-Savo</v>
      </c>
      <c r="K390" s="234" t="str">
        <f>_xlfn.XLOOKUP(Municipality[[#This Row],[Administrative]],Region[Administrative (FI)],Region[Model],"")</f>
        <v>East</v>
      </c>
    </row>
    <row r="391" spans="8:11">
      <c r="H391" s="22" t="s">
        <v>2801</v>
      </c>
      <c r="I391" s="54" t="s">
        <v>20</v>
      </c>
      <c r="J391" s="22" t="str">
        <f>IF(Municipality[[#This Row],[Region 1990]]=$M$13,$O$13,IF(Municipality[[#This Row],[Region 1990]]=$M$14,$O$14,Municipality[[#This Row],[Region 1990]]))</f>
        <v>Lappi</v>
      </c>
      <c r="K391" s="234" t="str">
        <f>_xlfn.XLOOKUP(Municipality[[#This Row],[Administrative]],Region[Administrative (FI)],Region[Model],"")</f>
        <v>North</v>
      </c>
    </row>
    <row r="392" spans="8:11">
      <c r="H392" s="22" t="s">
        <v>2802</v>
      </c>
      <c r="I392" s="54" t="s">
        <v>13</v>
      </c>
      <c r="J392" s="22" t="str">
        <f>IF(Municipality[[#This Row],[Region 1990]]=$M$13,$O$13,IF(Municipality[[#This Row],[Region 1990]]=$M$14,$O$14,Municipality[[#This Row],[Region 1990]]))</f>
        <v>Pohjois-Karjala</v>
      </c>
      <c r="K392" s="234" t="str">
        <f>_xlfn.XLOOKUP(Municipality[[#This Row],[Administrative]],Region[Administrative (FI)],Region[Model],"")</f>
        <v>East</v>
      </c>
    </row>
    <row r="393" spans="8:11">
      <c r="H393" s="22" t="s">
        <v>1077</v>
      </c>
      <c r="I393" s="54" t="s">
        <v>17</v>
      </c>
      <c r="J393" s="22" t="str">
        <f>IF(Municipality[[#This Row],[Region 1990]]=$M$13,$O$13,IF(Municipality[[#This Row],[Region 1990]]=$M$14,$O$14,Municipality[[#This Row],[Region 1990]]))</f>
        <v>Keski-Pohjanmaa</v>
      </c>
      <c r="K393" s="234" t="str">
        <f>_xlfn.XLOOKUP(Municipality[[#This Row],[Administrative]],Region[Administrative (FI)],Region[Model],"")</f>
        <v>West</v>
      </c>
    </row>
    <row r="394" spans="8:11">
      <c r="H394" s="22" t="s">
        <v>2803</v>
      </c>
      <c r="I394" s="54" t="s">
        <v>7</v>
      </c>
      <c r="J394" s="22" t="str">
        <f>IF(Municipality[[#This Row],[Region 1990]]=$M$13,$O$13,IF(Municipality[[#This Row],[Region 1990]]=$M$14,$O$14,Municipality[[#This Row],[Region 1990]]))</f>
        <v>Pirkanmaa</v>
      </c>
      <c r="K394" s="234" t="str">
        <f>_xlfn.XLOOKUP(Municipality[[#This Row],[Administrative]],Region[Administrative (FI)],Region[Model],"")</f>
        <v>Center</v>
      </c>
    </row>
    <row r="395" spans="8:11">
      <c r="H395" s="22" t="s">
        <v>2804</v>
      </c>
      <c r="I395" s="54" t="s">
        <v>14</v>
      </c>
      <c r="J395" s="22" t="str">
        <f>IF(Municipality[[#This Row],[Region 1990]]=$M$13,$O$13,IF(Municipality[[#This Row],[Region 1990]]=$M$14,$O$14,Municipality[[#This Row],[Region 1990]]))</f>
        <v>Keski-Suomi</v>
      </c>
      <c r="K395" s="234" t="str">
        <f>_xlfn.XLOOKUP(Municipality[[#This Row],[Administrative]],Region[Administrative (FI)],Region[Model],"")</f>
        <v>Center</v>
      </c>
    </row>
    <row r="396" spans="8:11">
      <c r="H396" s="22" t="s">
        <v>953</v>
      </c>
      <c r="I396" s="54" t="s">
        <v>20</v>
      </c>
      <c r="J396" s="22" t="str">
        <f>IF(Municipality[[#This Row],[Region 1990]]=$M$13,$O$13,IF(Municipality[[#This Row],[Region 1990]]=$M$14,$O$14,Municipality[[#This Row],[Region 1990]]))</f>
        <v>Lappi</v>
      </c>
      <c r="K396" s="234" t="str">
        <f>_xlfn.XLOOKUP(Municipality[[#This Row],[Administrative]],Region[Administrative (FI)],Region[Model],"")</f>
        <v>North</v>
      </c>
    </row>
    <row r="397" spans="8:11">
      <c r="H397" s="22" t="s">
        <v>1042</v>
      </c>
      <c r="I397" s="54" t="s">
        <v>3</v>
      </c>
      <c r="J397" s="22" t="str">
        <f>IF(Municipality[[#This Row],[Region 1990]]=$M$13,$O$13,IF(Municipality[[#This Row],[Region 1990]]=$M$14,$O$14,Municipality[[#This Row],[Region 1990]]))</f>
        <v>Uusimaa</v>
      </c>
      <c r="K397" s="234" t="str">
        <f>_xlfn.XLOOKUP(Municipality[[#This Row],[Administrative]],Region[Administrative (FI)],Region[Model],"")</f>
        <v>Uusimaa</v>
      </c>
    </row>
    <row r="398" spans="8:11">
      <c r="H398" s="22" t="s">
        <v>2805</v>
      </c>
      <c r="I398" s="54" t="s">
        <v>3</v>
      </c>
      <c r="J398" s="22" t="str">
        <f>IF(Municipality[[#This Row],[Region 1990]]=$M$13,$O$13,IF(Municipality[[#This Row],[Region 1990]]=$M$14,$O$14,Municipality[[#This Row],[Region 1990]]))</f>
        <v>Uusimaa</v>
      </c>
      <c r="K398" s="234" t="str">
        <f>_xlfn.XLOOKUP(Municipality[[#This Row],[Administrative]],Region[Administrative (FI)],Region[Model],"")</f>
        <v>Uusimaa</v>
      </c>
    </row>
    <row r="399" spans="8:11">
      <c r="H399" s="22" t="s">
        <v>2806</v>
      </c>
      <c r="I399" s="54" t="s">
        <v>2514</v>
      </c>
      <c r="J399" s="22" t="str">
        <f>IF(Municipality[[#This Row],[Region 1990]]=$M$13,$O$13,IF(Municipality[[#This Row],[Region 1990]]=$M$14,$O$14,Municipality[[#This Row],[Region 1990]]))</f>
        <v>Kanta-Häme</v>
      </c>
      <c r="K399" s="234" t="str">
        <f>_xlfn.XLOOKUP(Municipality[[#This Row],[Administrative]],Region[Administrative (FI)],Region[Model],"")</f>
        <v>South West</v>
      </c>
    </row>
    <row r="400" spans="8:11">
      <c r="H400" s="22" t="s">
        <v>2807</v>
      </c>
      <c r="I400" s="54" t="s">
        <v>13</v>
      </c>
      <c r="J400" s="22" t="str">
        <f>IF(Municipality[[#This Row],[Region 1990]]=$M$13,$O$13,IF(Municipality[[#This Row],[Region 1990]]=$M$14,$O$14,Municipality[[#This Row],[Region 1990]]))</f>
        <v>Pohjois-Karjala</v>
      </c>
      <c r="K400" s="234" t="str">
        <f>_xlfn.XLOOKUP(Municipality[[#This Row],[Administrative]],Region[Administrative (FI)],Region[Model],"")</f>
        <v>East</v>
      </c>
    </row>
    <row r="401" spans="8:11">
      <c r="H401" s="22" t="s">
        <v>2808</v>
      </c>
      <c r="I401" s="54" t="s">
        <v>12</v>
      </c>
      <c r="J401" s="22" t="str">
        <f>IF(Municipality[[#This Row],[Region 1990]]=$M$13,$O$13,IF(Municipality[[#This Row],[Region 1990]]=$M$14,$O$14,Municipality[[#This Row],[Region 1990]]))</f>
        <v>Pohjois-Savo</v>
      </c>
      <c r="K401" s="234" t="str">
        <f>_xlfn.XLOOKUP(Municipality[[#This Row],[Administrative]],Region[Administrative (FI)],Region[Model],"")</f>
        <v>East</v>
      </c>
    </row>
    <row r="402" spans="8:11">
      <c r="H402" s="22" t="s">
        <v>2809</v>
      </c>
      <c r="I402" s="54" t="s">
        <v>18</v>
      </c>
      <c r="J402" s="22" t="str">
        <f>IF(Municipality[[#This Row],[Region 1990]]=$M$13,$O$13,IF(Municipality[[#This Row],[Region 1990]]=$M$14,$O$14,Municipality[[#This Row],[Region 1990]]))</f>
        <v>Pohjois-Pohjanmaa</v>
      </c>
      <c r="K402" s="234" t="str">
        <f>_xlfn.XLOOKUP(Municipality[[#This Row],[Administrative]],Region[Administrative (FI)],Region[Model],"")</f>
        <v>North</v>
      </c>
    </row>
    <row r="403" spans="8:11">
      <c r="H403" s="22" t="s">
        <v>2810</v>
      </c>
      <c r="I403" s="54" t="s">
        <v>4</v>
      </c>
      <c r="J403" s="22" t="str">
        <f>IF(Municipality[[#This Row],[Region 1990]]=$M$13,$O$13,IF(Municipality[[#This Row],[Region 1990]]=$M$14,$O$14,Municipality[[#This Row],[Region 1990]]))</f>
        <v>Varsinais-Suomi</v>
      </c>
      <c r="K403" s="234" t="str">
        <f>_xlfn.XLOOKUP(Municipality[[#This Row],[Administrative]],Region[Administrative (FI)],Region[Model],"")</f>
        <v>South West</v>
      </c>
    </row>
    <row r="404" spans="8:11">
      <c r="H404" s="22" t="s">
        <v>2811</v>
      </c>
      <c r="I404" s="54" t="s">
        <v>23</v>
      </c>
      <c r="J404" s="22" t="str">
        <f>IF(Municipality[[#This Row],[Region 1990]]=$M$13,$O$13,IF(Municipality[[#This Row],[Region 1990]]=$M$14,$O$14,Municipality[[#This Row],[Region 1990]]))</f>
        <v>Etelä-Pohjanmaa</v>
      </c>
      <c r="K404" s="234" t="str">
        <f>_xlfn.XLOOKUP(Municipality[[#This Row],[Administrative]],Region[Administrative (FI)],Region[Model],"")</f>
        <v>West</v>
      </c>
    </row>
    <row r="405" spans="8:11">
      <c r="H405" s="22" t="s">
        <v>933</v>
      </c>
      <c r="I405" s="54" t="s">
        <v>18</v>
      </c>
      <c r="J405" s="22" t="str">
        <f>IF(Municipality[[#This Row],[Region 1990]]=$M$13,$O$13,IF(Municipality[[#This Row],[Region 1990]]=$M$14,$O$14,Municipality[[#This Row],[Region 1990]]))</f>
        <v>Pohjois-Pohjanmaa</v>
      </c>
      <c r="K405" s="234" t="str">
        <f>_xlfn.XLOOKUP(Municipality[[#This Row],[Administrative]],Region[Administrative (FI)],Region[Model],"")</f>
        <v>North</v>
      </c>
    </row>
    <row r="406" spans="8:11">
      <c r="H406" s="22" t="s">
        <v>2812</v>
      </c>
      <c r="I406" s="54" t="s">
        <v>17</v>
      </c>
      <c r="J406" s="22" t="str">
        <f>IF(Municipality[[#This Row],[Region 1990]]=$M$13,$O$13,IF(Municipality[[#This Row],[Region 1990]]=$M$14,$O$14,Municipality[[#This Row],[Region 1990]]))</f>
        <v>Keski-Pohjanmaa</v>
      </c>
      <c r="K406" s="234" t="str">
        <f>_xlfn.XLOOKUP(Municipality[[#This Row],[Administrative]],Region[Administrative (FI)],Region[Model],"")</f>
        <v>West</v>
      </c>
    </row>
    <row r="407" spans="8:11">
      <c r="H407" s="22" t="s">
        <v>2813</v>
      </c>
      <c r="I407" s="54" t="s">
        <v>5</v>
      </c>
      <c r="J407" s="22" t="str">
        <f>IF(Municipality[[#This Row],[Region 1990]]=$M$13,$O$13,IF(Municipality[[#This Row],[Region 1990]]=$M$14,$O$14,Municipality[[#This Row],[Region 1990]]))</f>
        <v>Satakunta</v>
      </c>
      <c r="K407" s="234" t="str">
        <f>_xlfn.XLOOKUP(Municipality[[#This Row],[Administrative]],Region[Administrative (FI)],Region[Model],"")</f>
        <v>West</v>
      </c>
    </row>
    <row r="408" spans="8:11">
      <c r="H408" s="22" t="s">
        <v>2814</v>
      </c>
      <c r="I408" s="54" t="s">
        <v>7</v>
      </c>
      <c r="J408" s="22" t="str">
        <f>IF(Municipality[[#This Row],[Region 1990]]=$M$13,$O$13,IF(Municipality[[#This Row],[Region 1990]]=$M$14,$O$14,Municipality[[#This Row],[Region 1990]]))</f>
        <v>Pirkanmaa</v>
      </c>
      <c r="K408" s="234" t="str">
        <f>_xlfn.XLOOKUP(Municipality[[#This Row],[Administrative]],Region[Administrative (FI)],Region[Model],"")</f>
        <v>Center</v>
      </c>
    </row>
    <row r="409" spans="8:11">
      <c r="H409" s="22" t="s">
        <v>2815</v>
      </c>
      <c r="I409" s="54" t="s">
        <v>18</v>
      </c>
      <c r="J409" s="22" t="str">
        <f>IF(Municipality[[#This Row],[Region 1990]]=$M$13,$O$13,IF(Municipality[[#This Row],[Region 1990]]=$M$14,$O$14,Municipality[[#This Row],[Region 1990]]))</f>
        <v>Pohjois-Pohjanmaa</v>
      </c>
      <c r="K409" s="234" t="str">
        <f>_xlfn.XLOOKUP(Municipality[[#This Row],[Administrative]],Region[Administrative (FI)],Region[Model],"")</f>
        <v>North</v>
      </c>
    </row>
    <row r="410" spans="8:11">
      <c r="H410" s="22" t="s">
        <v>2816</v>
      </c>
      <c r="I410" s="54" t="s">
        <v>20</v>
      </c>
      <c r="J410" s="22" t="str">
        <f>IF(Municipality[[#This Row],[Region 1990]]=$M$13,$O$13,IF(Municipality[[#This Row],[Region 1990]]=$M$14,$O$14,Municipality[[#This Row],[Region 1990]]))</f>
        <v>Lappi</v>
      </c>
      <c r="K410" s="234" t="str">
        <f>_xlfn.XLOOKUP(Municipality[[#This Row],[Administrative]],Region[Administrative (FI)],Region[Model],"")</f>
        <v>North</v>
      </c>
    </row>
    <row r="411" spans="8:11">
      <c r="H411" s="22" t="s">
        <v>2817</v>
      </c>
      <c r="I411" s="54" t="s">
        <v>10</v>
      </c>
      <c r="J411" s="22" t="str">
        <f>IF(Municipality[[#This Row],[Region 1990]]=$M$13,$O$13,IF(Municipality[[#This Row],[Region 1990]]=$M$14,$O$14,Municipality[[#This Row],[Region 1990]]))</f>
        <v>Etelä-Karjala</v>
      </c>
      <c r="K411" s="234" t="str">
        <f>_xlfn.XLOOKUP(Municipality[[#This Row],[Administrative]],Region[Administrative (FI)],Region[Model],"")</f>
        <v>South East</v>
      </c>
    </row>
    <row r="412" spans="8:11">
      <c r="H412" s="22" t="s">
        <v>2818</v>
      </c>
      <c r="I412" s="54" t="s">
        <v>14</v>
      </c>
      <c r="J412" s="22" t="str">
        <f>IF(Municipality[[#This Row],[Region 1990]]=$M$13,$O$13,IF(Municipality[[#This Row],[Region 1990]]=$M$14,$O$14,Municipality[[#This Row],[Region 1990]]))</f>
        <v>Keski-Suomi</v>
      </c>
      <c r="K412" s="234" t="str">
        <f>_xlfn.XLOOKUP(Municipality[[#This Row],[Administrative]],Region[Administrative (FI)],Region[Model],"")</f>
        <v>Center</v>
      </c>
    </row>
    <row r="413" spans="8:11">
      <c r="H413" s="22" t="s">
        <v>2819</v>
      </c>
      <c r="I413" s="54" t="s">
        <v>19</v>
      </c>
      <c r="J413" s="22" t="str">
        <f>IF(Municipality[[#This Row],[Region 1990]]=$M$13,$O$13,IF(Municipality[[#This Row],[Region 1990]]=$M$14,$O$14,Municipality[[#This Row],[Region 1990]]))</f>
        <v>Kainuu</v>
      </c>
      <c r="K413" s="234" t="str">
        <f>_xlfn.XLOOKUP(Municipality[[#This Row],[Administrative]],Region[Administrative (FI)],Region[Model],"")</f>
        <v>East</v>
      </c>
    </row>
    <row r="414" spans="8:11">
      <c r="H414" s="22" t="s">
        <v>2820</v>
      </c>
      <c r="I414" s="54" t="s">
        <v>4</v>
      </c>
      <c r="J414" s="22" t="str">
        <f>IF(Municipality[[#This Row],[Region 1990]]=$M$13,$O$13,IF(Municipality[[#This Row],[Region 1990]]=$M$14,$O$14,Municipality[[#This Row],[Region 1990]]))</f>
        <v>Varsinais-Suomi</v>
      </c>
      <c r="K414" s="234" t="str">
        <f>_xlfn.XLOOKUP(Municipality[[#This Row],[Administrative]],Region[Administrative (FI)],Region[Model],"")</f>
        <v>South West</v>
      </c>
    </row>
    <row r="415" spans="8:11">
      <c r="H415" s="22" t="s">
        <v>2821</v>
      </c>
      <c r="I415" s="54" t="s">
        <v>7</v>
      </c>
      <c r="J415" s="22" t="str">
        <f>IF(Municipality[[#This Row],[Region 1990]]=$M$13,$O$13,IF(Municipality[[#This Row],[Region 1990]]=$M$14,$O$14,Municipality[[#This Row],[Region 1990]]))</f>
        <v>Pirkanmaa</v>
      </c>
      <c r="K415" s="234" t="str">
        <f>_xlfn.XLOOKUP(Municipality[[#This Row],[Administrative]],Region[Administrative (FI)],Region[Model],"")</f>
        <v>Center</v>
      </c>
    </row>
    <row r="416" spans="8:11">
      <c r="H416" s="22" t="s">
        <v>770</v>
      </c>
      <c r="I416" s="54" t="s">
        <v>9</v>
      </c>
      <c r="J416" s="22" t="str">
        <f>IF(Municipality[[#This Row],[Region 1990]]=$M$13,$O$13,IF(Municipality[[#This Row],[Region 1990]]=$M$14,$O$14,Municipality[[#This Row],[Region 1990]]))</f>
        <v>Kymenlaakso</v>
      </c>
      <c r="K416" s="234" t="str">
        <f>_xlfn.XLOOKUP(Municipality[[#This Row],[Administrative]],Region[Administrative (FI)],Region[Model],"")</f>
        <v>South East</v>
      </c>
    </row>
    <row r="417" spans="8:11">
      <c r="H417" s="22" t="s">
        <v>1977</v>
      </c>
      <c r="I417" s="54" t="s">
        <v>13</v>
      </c>
      <c r="J417" s="22" t="str">
        <f>IF(Municipality[[#This Row],[Region 1990]]=$M$13,$O$13,IF(Municipality[[#This Row],[Region 1990]]=$M$14,$O$14,Municipality[[#This Row],[Region 1990]]))</f>
        <v>Pohjois-Karjala</v>
      </c>
      <c r="K417" s="234" t="str">
        <f>_xlfn.XLOOKUP(Municipality[[#This Row],[Administrative]],Region[Administrative (FI)],Region[Model],"")</f>
        <v>East</v>
      </c>
    </row>
    <row r="418" spans="8:11">
      <c r="H418" s="22" t="s">
        <v>1468</v>
      </c>
      <c r="I418" s="54" t="s">
        <v>7</v>
      </c>
      <c r="J418" s="22" t="str">
        <f>IF(Municipality[[#This Row],[Region 1990]]=$M$13,$O$13,IF(Municipality[[#This Row],[Region 1990]]=$M$14,$O$14,Municipality[[#This Row],[Region 1990]]))</f>
        <v>Pirkanmaa</v>
      </c>
      <c r="K418" s="234" t="str">
        <f>_xlfn.XLOOKUP(Municipality[[#This Row],[Administrative]],Region[Administrative (FI)],Region[Model],"")</f>
        <v>Center</v>
      </c>
    </row>
    <row r="419" spans="8:11">
      <c r="H419" s="22" t="s">
        <v>2822</v>
      </c>
      <c r="I419" s="54" t="s">
        <v>5</v>
      </c>
      <c r="J419" s="22" t="str">
        <f>IF(Municipality[[#This Row],[Region 1990]]=$M$13,$O$13,IF(Municipality[[#This Row],[Region 1990]]=$M$14,$O$14,Municipality[[#This Row],[Region 1990]]))</f>
        <v>Satakunta</v>
      </c>
      <c r="K419" s="234" t="str">
        <f>_xlfn.XLOOKUP(Municipality[[#This Row],[Administrative]],Region[Administrative (FI)],Region[Model],"")</f>
        <v>West</v>
      </c>
    </row>
    <row r="420" spans="8:11">
      <c r="H420" s="22" t="s">
        <v>2823</v>
      </c>
      <c r="I420" s="54" t="s">
        <v>3</v>
      </c>
      <c r="J420" s="22" t="str">
        <f>IF(Municipality[[#This Row],[Region 1990]]=$M$13,$O$13,IF(Municipality[[#This Row],[Region 1990]]=$M$14,$O$14,Municipality[[#This Row],[Region 1990]]))</f>
        <v>Uusimaa</v>
      </c>
      <c r="K420" s="234" t="str">
        <f>_xlfn.XLOOKUP(Municipality[[#This Row],[Administrative]],Region[Administrative (FI)],Region[Model],"")</f>
        <v>Uusimaa</v>
      </c>
    </row>
    <row r="421" spans="8:11">
      <c r="H421" s="22" t="s">
        <v>1007</v>
      </c>
      <c r="I421" s="54" t="s">
        <v>12</v>
      </c>
      <c r="J421" s="22" t="str">
        <f>IF(Municipality[[#This Row],[Region 1990]]=$M$13,$O$13,IF(Municipality[[#This Row],[Region 1990]]=$M$14,$O$14,Municipality[[#This Row],[Region 1990]]))</f>
        <v>Pohjois-Savo</v>
      </c>
      <c r="K421" s="234" t="str">
        <f>_xlfn.XLOOKUP(Municipality[[#This Row],[Administrative]],Region[Administrative (FI)],Region[Model],"")</f>
        <v>East</v>
      </c>
    </row>
    <row r="422" spans="8:11">
      <c r="H422" s="22" t="s">
        <v>2824</v>
      </c>
      <c r="I422" s="54" t="s">
        <v>12</v>
      </c>
      <c r="J422" s="22" t="str">
        <f>IF(Municipality[[#This Row],[Region 1990]]=$M$13,$O$13,IF(Municipality[[#This Row],[Region 1990]]=$M$14,$O$14,Municipality[[#This Row],[Region 1990]]))</f>
        <v>Pohjois-Savo</v>
      </c>
      <c r="K422" s="234" t="str">
        <f>_xlfn.XLOOKUP(Municipality[[#This Row],[Administrative]],Region[Administrative (FI)],Region[Model],"")</f>
        <v>East</v>
      </c>
    </row>
    <row r="423" spans="8:11">
      <c r="H423" s="22" t="s">
        <v>2825</v>
      </c>
      <c r="I423" s="54" t="s">
        <v>2547</v>
      </c>
      <c r="J423" s="22" t="str">
        <f>IF(Municipality[[#This Row],[Region 1990]]=$M$13,$O$13,IF(Municipality[[#This Row],[Region 1990]]=$M$14,$O$14,Municipality[[#This Row],[Region 1990]]))</f>
        <v>Pohjanmaa</v>
      </c>
      <c r="K423" s="234" t="str">
        <f>_xlfn.XLOOKUP(Municipality[[#This Row],[Administrative]],Region[Administrative (FI)],Region[Model],"")</f>
        <v>West</v>
      </c>
    </row>
    <row r="424" spans="8:11">
      <c r="H424" s="22" t="s">
        <v>2826</v>
      </c>
      <c r="I424" s="54" t="s">
        <v>9</v>
      </c>
      <c r="J424" s="22" t="str">
        <f>IF(Municipality[[#This Row],[Region 1990]]=$M$13,$O$13,IF(Municipality[[#This Row],[Region 1990]]=$M$14,$O$14,Municipality[[#This Row],[Region 1990]]))</f>
        <v>Kymenlaakso</v>
      </c>
      <c r="K424" s="234" t="str">
        <f>_xlfn.XLOOKUP(Municipality[[#This Row],[Administrative]],Region[Administrative (FI)],Region[Model],"")</f>
        <v>South East</v>
      </c>
    </row>
    <row r="425" spans="8:11">
      <c r="H425" s="22" t="s">
        <v>957</v>
      </c>
      <c r="I425" s="54" t="s">
        <v>4</v>
      </c>
      <c r="J425" s="22" t="str">
        <f>IF(Municipality[[#This Row],[Region 1990]]=$M$13,$O$13,IF(Municipality[[#This Row],[Region 1990]]=$M$14,$O$14,Municipality[[#This Row],[Region 1990]]))</f>
        <v>Varsinais-Suomi</v>
      </c>
      <c r="K425" s="234" t="str">
        <f>_xlfn.XLOOKUP(Municipality[[#This Row],[Administrative]],Region[Administrative (FI)],Region[Model],"")</f>
        <v>South West</v>
      </c>
    </row>
    <row r="426" spans="8:11">
      <c r="H426" s="22" t="s">
        <v>2827</v>
      </c>
      <c r="I426" s="54" t="s">
        <v>12</v>
      </c>
      <c r="J426" s="22" t="str">
        <f>IF(Municipality[[#This Row],[Region 1990]]=$M$13,$O$13,IF(Municipality[[#This Row],[Region 1990]]=$M$14,$O$14,Municipality[[#This Row],[Region 1990]]))</f>
        <v>Pohjois-Savo</v>
      </c>
      <c r="K426" s="234" t="str">
        <f>_xlfn.XLOOKUP(Municipality[[#This Row],[Administrative]],Region[Administrative (FI)],Region[Model],"")</f>
        <v>East</v>
      </c>
    </row>
    <row r="427" spans="8:11">
      <c r="H427" s="22" t="s">
        <v>2828</v>
      </c>
      <c r="I427" s="54" t="s">
        <v>4</v>
      </c>
      <c r="J427" s="22" t="str">
        <f>IF(Municipality[[#This Row],[Region 1990]]=$M$13,$O$13,IF(Municipality[[#This Row],[Region 1990]]=$M$14,$O$14,Municipality[[#This Row],[Region 1990]]))</f>
        <v>Varsinais-Suomi</v>
      </c>
      <c r="K427" s="234" t="str">
        <f>_xlfn.XLOOKUP(Municipality[[#This Row],[Administrative]],Region[Administrative (FI)],Region[Model],"")</f>
        <v>South West</v>
      </c>
    </row>
    <row r="428" spans="8:11">
      <c r="H428" s="22" t="s">
        <v>2829</v>
      </c>
      <c r="I428" s="54" t="s">
        <v>12</v>
      </c>
      <c r="J428" s="22" t="str">
        <f>IF(Municipality[[#This Row],[Region 1990]]=$M$13,$O$13,IF(Municipality[[#This Row],[Region 1990]]=$M$14,$O$14,Municipality[[#This Row],[Region 1990]]))</f>
        <v>Pohjois-Savo</v>
      </c>
      <c r="K428" s="234" t="str">
        <f>_xlfn.XLOOKUP(Municipality[[#This Row],[Administrative]],Region[Administrative (FI)],Region[Model],"")</f>
        <v>East</v>
      </c>
    </row>
    <row r="429" spans="8:11">
      <c r="H429" s="22" t="s">
        <v>2830</v>
      </c>
      <c r="I429" s="54" t="s">
        <v>7</v>
      </c>
      <c r="J429" s="22" t="str">
        <f>IF(Municipality[[#This Row],[Region 1990]]=$M$13,$O$13,IF(Municipality[[#This Row],[Region 1990]]=$M$14,$O$14,Municipality[[#This Row],[Region 1990]]))</f>
        <v>Pirkanmaa</v>
      </c>
      <c r="K429" s="234" t="str">
        <f>_xlfn.XLOOKUP(Municipality[[#This Row],[Administrative]],Region[Administrative (FI)],Region[Model],"")</f>
        <v>Center</v>
      </c>
    </row>
    <row r="430" spans="8:11">
      <c r="H430" s="22" t="s">
        <v>2831</v>
      </c>
      <c r="I430" s="54" t="s">
        <v>17</v>
      </c>
      <c r="J430" s="22" t="str">
        <f>IF(Municipality[[#This Row],[Region 1990]]=$M$13,$O$13,IF(Municipality[[#This Row],[Region 1990]]=$M$14,$O$14,Municipality[[#This Row],[Region 1990]]))</f>
        <v>Keski-Pohjanmaa</v>
      </c>
      <c r="K430" s="234" t="str">
        <f>_xlfn.XLOOKUP(Municipality[[#This Row],[Administrative]],Region[Administrative (FI)],Region[Model],"")</f>
        <v>West</v>
      </c>
    </row>
    <row r="431" spans="8:11">
      <c r="H431" s="22" t="s">
        <v>2832</v>
      </c>
      <c r="I431" s="54" t="s">
        <v>3</v>
      </c>
      <c r="J431" s="22" t="str">
        <f>IF(Municipality[[#This Row],[Region 1990]]=$M$13,$O$13,IF(Municipality[[#This Row],[Region 1990]]=$M$14,$O$14,Municipality[[#This Row],[Region 1990]]))</f>
        <v>Uusimaa</v>
      </c>
      <c r="K431" s="234" t="str">
        <f>_xlfn.XLOOKUP(Municipality[[#This Row],[Administrative]],Region[Administrative (FI)],Region[Model],"")</f>
        <v>Uusimaa</v>
      </c>
    </row>
    <row r="432" spans="8:11">
      <c r="H432" s="22" t="s">
        <v>2833</v>
      </c>
      <c r="I432" s="54" t="s">
        <v>12</v>
      </c>
      <c r="J432" s="22" t="str">
        <f>IF(Municipality[[#This Row],[Region 1990]]=$M$13,$O$13,IF(Municipality[[#This Row],[Region 1990]]=$M$14,$O$14,Municipality[[#This Row],[Region 1990]]))</f>
        <v>Pohjois-Savo</v>
      </c>
      <c r="K432" s="234" t="str">
        <f>_xlfn.XLOOKUP(Municipality[[#This Row],[Administrative]],Region[Administrative (FI)],Region[Model],"")</f>
        <v>East</v>
      </c>
    </row>
    <row r="433" spans="8:11">
      <c r="H433" s="22" t="s">
        <v>2834</v>
      </c>
      <c r="I433" s="54" t="s">
        <v>18</v>
      </c>
      <c r="J433" s="22" t="str">
        <f>IF(Municipality[[#This Row],[Region 1990]]=$M$13,$O$13,IF(Municipality[[#This Row],[Region 1990]]=$M$14,$O$14,Municipality[[#This Row],[Region 1990]]))</f>
        <v>Pohjois-Pohjanmaa</v>
      </c>
      <c r="K433" s="234" t="str">
        <f>_xlfn.XLOOKUP(Municipality[[#This Row],[Administrative]],Region[Administrative (FI)],Region[Model],"")</f>
        <v>North</v>
      </c>
    </row>
    <row r="434" spans="8:11">
      <c r="H434" s="22" t="s">
        <v>2835</v>
      </c>
      <c r="I434" s="54" t="s">
        <v>7</v>
      </c>
      <c r="J434" s="22" t="str">
        <f>IF(Municipality[[#This Row],[Region 1990]]=$M$13,$O$13,IF(Municipality[[#This Row],[Region 1990]]=$M$14,$O$14,Municipality[[#This Row],[Region 1990]]))</f>
        <v>Pirkanmaa</v>
      </c>
      <c r="K434" s="234" t="str">
        <f>_xlfn.XLOOKUP(Municipality[[#This Row],[Administrative]],Region[Administrative (FI)],Region[Model],"")</f>
        <v>Center</v>
      </c>
    </row>
    <row r="435" spans="8:11">
      <c r="H435" s="22" t="s">
        <v>2836</v>
      </c>
      <c r="I435" s="54" t="s">
        <v>14</v>
      </c>
      <c r="J435" s="22" t="str">
        <f>IF(Municipality[[#This Row],[Region 1990]]=$M$13,$O$13,IF(Municipality[[#This Row],[Region 1990]]=$M$14,$O$14,Municipality[[#This Row],[Region 1990]]))</f>
        <v>Keski-Suomi</v>
      </c>
      <c r="K435" s="234" t="str">
        <f>_xlfn.XLOOKUP(Municipality[[#This Row],[Administrative]],Region[Administrative (FI)],Region[Model],"")</f>
        <v>Center</v>
      </c>
    </row>
    <row r="436" spans="8:11">
      <c r="H436" s="22" t="s">
        <v>2837</v>
      </c>
      <c r="I436" s="54" t="s">
        <v>7</v>
      </c>
      <c r="J436" s="22" t="str">
        <f>IF(Municipality[[#This Row],[Region 1990]]=$M$13,$O$13,IF(Municipality[[#This Row],[Region 1990]]=$M$14,$O$14,Municipality[[#This Row],[Region 1990]]))</f>
        <v>Pirkanmaa</v>
      </c>
      <c r="K436" s="234" t="str">
        <f>_xlfn.XLOOKUP(Municipality[[#This Row],[Administrative]],Region[Administrative (FI)],Region[Model],"")</f>
        <v>Center</v>
      </c>
    </row>
    <row r="437" spans="8:11">
      <c r="H437" s="22" t="s">
        <v>980</v>
      </c>
      <c r="I437" s="54" t="s">
        <v>10</v>
      </c>
      <c r="J437" s="22" t="str">
        <f>IF(Municipality[[#This Row],[Region 1990]]=$M$13,$O$13,IF(Municipality[[#This Row],[Region 1990]]=$M$14,$O$14,Municipality[[#This Row],[Region 1990]]))</f>
        <v>Etelä-Karjala</v>
      </c>
      <c r="K437" s="234" t="str">
        <f>_xlfn.XLOOKUP(Municipality[[#This Row],[Administrative]],Region[Administrative (FI)],Region[Model],"")</f>
        <v>South East</v>
      </c>
    </row>
    <row r="438" spans="8:11">
      <c r="H438" s="22" t="s">
        <v>2838</v>
      </c>
      <c r="I438" s="54" t="s">
        <v>4</v>
      </c>
      <c r="J438" s="22" t="str">
        <f>IF(Municipality[[#This Row],[Region 1990]]=$M$13,$O$13,IF(Municipality[[#This Row],[Region 1990]]=$M$14,$O$14,Municipality[[#This Row],[Region 1990]]))</f>
        <v>Varsinais-Suomi</v>
      </c>
      <c r="K438" s="234" t="str">
        <f>_xlfn.XLOOKUP(Municipality[[#This Row],[Administrative]],Region[Administrative (FI)],Region[Model],"")</f>
        <v>South West</v>
      </c>
    </row>
    <row r="439" spans="8:11">
      <c r="H439" s="22" t="s">
        <v>1010</v>
      </c>
      <c r="I439" s="54" t="s">
        <v>7</v>
      </c>
      <c r="J439" s="22" t="str">
        <f>IF(Municipality[[#This Row],[Region 1990]]=$M$13,$O$13,IF(Municipality[[#This Row],[Region 1990]]=$M$14,$O$14,Municipality[[#This Row],[Region 1990]]))</f>
        <v>Pirkanmaa</v>
      </c>
      <c r="K439" s="234" t="str">
        <f>_xlfn.XLOOKUP(Municipality[[#This Row],[Administrative]],Region[Administrative (FI)],Region[Model],"")</f>
        <v>Center</v>
      </c>
    </row>
    <row r="440" spans="8:11">
      <c r="H440" s="22" t="s">
        <v>2839</v>
      </c>
      <c r="I440" s="54" t="s">
        <v>23</v>
      </c>
      <c r="J440" s="22" t="str">
        <f>IF(Municipality[[#This Row],[Region 1990]]=$M$13,$O$13,IF(Municipality[[#This Row],[Region 1990]]=$M$14,$O$14,Municipality[[#This Row],[Region 1990]]))</f>
        <v>Etelä-Pohjanmaa</v>
      </c>
      <c r="K440" s="234" t="str">
        <f>_xlfn.XLOOKUP(Municipality[[#This Row],[Administrative]],Region[Administrative (FI)],Region[Model],"")</f>
        <v>West</v>
      </c>
    </row>
    <row r="441" spans="8:11">
      <c r="H441" s="22" t="s">
        <v>2840</v>
      </c>
      <c r="I441" s="54" t="s">
        <v>7</v>
      </c>
      <c r="J441" s="22" t="str">
        <f>IF(Municipality[[#This Row],[Region 1990]]=$M$13,$O$13,IF(Municipality[[#This Row],[Region 1990]]=$M$14,$O$14,Municipality[[#This Row],[Region 1990]]))</f>
        <v>Pirkanmaa</v>
      </c>
      <c r="K441" s="234" t="str">
        <f>_xlfn.XLOOKUP(Municipality[[#This Row],[Administrative]],Region[Administrative (FI)],Region[Model],"")</f>
        <v>Center</v>
      </c>
    </row>
    <row r="442" spans="8:11">
      <c r="H442" s="22" t="s">
        <v>2841</v>
      </c>
      <c r="I442" s="54" t="s">
        <v>9</v>
      </c>
      <c r="J442" s="22" t="str">
        <f>IF(Municipality[[#This Row],[Region 1990]]=$M$13,$O$13,IF(Municipality[[#This Row],[Region 1990]]=$M$14,$O$14,Municipality[[#This Row],[Region 1990]]))</f>
        <v>Kymenlaakso</v>
      </c>
      <c r="K442" s="234" t="str">
        <f>_xlfn.XLOOKUP(Municipality[[#This Row],[Administrative]],Region[Administrative (FI)],Region[Model],"")</f>
        <v>South East</v>
      </c>
    </row>
    <row r="443" spans="8:11">
      <c r="H443" s="22" t="s">
        <v>2842</v>
      </c>
      <c r="I443" s="54" t="s">
        <v>11</v>
      </c>
      <c r="J443" s="22" t="str">
        <f>IF(Municipality[[#This Row],[Region 1990]]=$M$13,$O$13,IF(Municipality[[#This Row],[Region 1990]]=$M$14,$O$14,Municipality[[#This Row],[Region 1990]]))</f>
        <v>Etelä-Savo</v>
      </c>
      <c r="K443" s="234" t="str">
        <f>_xlfn.XLOOKUP(Municipality[[#This Row],[Administrative]],Region[Administrative (FI)],Region[Model],"")</f>
        <v>East</v>
      </c>
    </row>
    <row r="444" spans="8:11">
      <c r="H444" s="22" t="s">
        <v>2843</v>
      </c>
      <c r="I444" s="54" t="s">
        <v>19</v>
      </c>
      <c r="J444" s="22" t="str">
        <f>IF(Municipality[[#This Row],[Region 1990]]=$M$13,$O$13,IF(Municipality[[#This Row],[Region 1990]]=$M$14,$O$14,Municipality[[#This Row],[Region 1990]]))</f>
        <v>Kainuu</v>
      </c>
      <c r="K444" s="234" t="str">
        <f>_xlfn.XLOOKUP(Municipality[[#This Row],[Administrative]],Region[Administrative (FI)],Region[Model],"")</f>
        <v>East</v>
      </c>
    </row>
    <row r="445" spans="8:11">
      <c r="H445" s="22" t="s">
        <v>2844</v>
      </c>
      <c r="I445" s="54" t="s">
        <v>22</v>
      </c>
      <c r="J445" s="22" t="str">
        <f>IF(Municipality[[#This Row],[Region 1990]]=$M$13,$O$13,IF(Municipality[[#This Row],[Region 1990]]=$M$14,$O$14,Municipality[[#This Row],[Region 1990]]))</f>
        <v>Ahvenanmaa</v>
      </c>
      <c r="K445" s="234" t="str">
        <f>_xlfn.XLOOKUP(Municipality[[#This Row],[Administrative]],Region[Administrative (FI)],Region[Model],"")</f>
        <v>South West</v>
      </c>
    </row>
    <row r="446" spans="8:11">
      <c r="H446" s="22" t="s">
        <v>2845</v>
      </c>
      <c r="I446" s="54" t="s">
        <v>13</v>
      </c>
      <c r="J446" s="22" t="str">
        <f>IF(Municipality[[#This Row],[Region 1990]]=$M$13,$O$13,IF(Municipality[[#This Row],[Region 1990]]=$M$14,$O$14,Municipality[[#This Row],[Region 1990]]))</f>
        <v>Pohjois-Karjala</v>
      </c>
      <c r="K446" s="234" t="str">
        <f>_xlfn.XLOOKUP(Municipality[[#This Row],[Administrative]],Region[Administrative (FI)],Region[Model],"")</f>
        <v>East</v>
      </c>
    </row>
    <row r="447" spans="8:11">
      <c r="H447" s="22" t="s">
        <v>2846</v>
      </c>
      <c r="I447" s="54" t="s">
        <v>4</v>
      </c>
      <c r="J447" s="22" t="str">
        <f>IF(Municipality[[#This Row],[Region 1990]]=$M$13,$O$13,IF(Municipality[[#This Row],[Region 1990]]=$M$14,$O$14,Municipality[[#This Row],[Region 1990]]))</f>
        <v>Varsinais-Suomi</v>
      </c>
      <c r="K447" s="234" t="str">
        <f>_xlfn.XLOOKUP(Municipality[[#This Row],[Administrative]],Region[Administrative (FI)],Region[Model],"")</f>
        <v>South West</v>
      </c>
    </row>
    <row r="448" spans="8:11">
      <c r="H448" s="22" t="s">
        <v>2847</v>
      </c>
      <c r="I448" s="54" t="s">
        <v>2547</v>
      </c>
      <c r="J448" s="22" t="str">
        <f>IF(Municipality[[#This Row],[Region 1990]]=$M$13,$O$13,IF(Municipality[[#This Row],[Region 1990]]=$M$14,$O$14,Municipality[[#This Row],[Region 1990]]))</f>
        <v>Pohjanmaa</v>
      </c>
      <c r="K448" s="234" t="str">
        <f>_xlfn.XLOOKUP(Municipality[[#This Row],[Administrative]],Region[Administrative (FI)],Region[Model],"")</f>
        <v>West</v>
      </c>
    </row>
    <row r="449" spans="8:11">
      <c r="H449" s="22" t="s">
        <v>2848</v>
      </c>
      <c r="I449" s="54" t="s">
        <v>18</v>
      </c>
      <c r="J449" s="22" t="str">
        <f>IF(Municipality[[#This Row],[Region 1990]]=$M$13,$O$13,IF(Municipality[[#This Row],[Region 1990]]=$M$14,$O$14,Municipality[[#This Row],[Region 1990]]))</f>
        <v>Pohjois-Pohjanmaa</v>
      </c>
      <c r="K449" s="234" t="str">
        <f>_xlfn.XLOOKUP(Municipality[[#This Row],[Administrative]],Region[Administrative (FI)],Region[Model],"")</f>
        <v>North</v>
      </c>
    </row>
    <row r="450" spans="8:11">
      <c r="H450" s="22" t="s">
        <v>1591</v>
      </c>
      <c r="I450" s="54" t="s">
        <v>23</v>
      </c>
      <c r="J450" s="22" t="str">
        <f>IF(Municipality[[#This Row],[Region 1990]]=$M$13,$O$13,IF(Municipality[[#This Row],[Region 1990]]=$M$14,$O$14,Municipality[[#This Row],[Region 1990]]))</f>
        <v>Etelä-Pohjanmaa</v>
      </c>
      <c r="K450" s="234" t="str">
        <f>_xlfn.XLOOKUP(Municipality[[#This Row],[Administrative]],Region[Administrative (FI)],Region[Model],"")</f>
        <v>West</v>
      </c>
    </row>
    <row r="451" spans="8:11">
      <c r="H451" s="22" t="s">
        <v>2849</v>
      </c>
      <c r="I451" s="54" t="s">
        <v>18</v>
      </c>
      <c r="J451" s="22" t="str">
        <f>IF(Municipality[[#This Row],[Region 1990]]=$M$13,$O$13,IF(Municipality[[#This Row],[Region 1990]]=$M$14,$O$14,Municipality[[#This Row],[Region 1990]]))</f>
        <v>Pohjois-Pohjanmaa</v>
      </c>
      <c r="K451" s="234" t="str">
        <f>_xlfn.XLOOKUP(Municipality[[#This Row],[Administrative]],Region[Administrative (FI)],Region[Model],"")</f>
        <v>North</v>
      </c>
    </row>
    <row r="452" spans="8:11">
      <c r="H452" s="22" t="s">
        <v>2850</v>
      </c>
      <c r="I452" s="54" t="s">
        <v>23</v>
      </c>
      <c r="J452" s="22" t="str">
        <f>IF(Municipality[[#This Row],[Region 1990]]=$M$13,$O$13,IF(Municipality[[#This Row],[Region 1990]]=$M$14,$O$14,Municipality[[#This Row],[Region 1990]]))</f>
        <v>Etelä-Pohjanmaa</v>
      </c>
      <c r="K452" s="234" t="str">
        <f>_xlfn.XLOOKUP(Municipality[[#This Row],[Administrative]],Region[Administrative (FI)],Region[Model],"")</f>
        <v>West</v>
      </c>
    </row>
    <row r="453" spans="8:11">
      <c r="H453" s="22" t="s">
        <v>1088</v>
      </c>
      <c r="I453" s="54" t="s">
        <v>18</v>
      </c>
      <c r="J453" s="22" t="str">
        <f>IF(Municipality[[#This Row],[Region 1990]]=$M$13,$O$13,IF(Municipality[[#This Row],[Region 1990]]=$M$14,$O$14,Municipality[[#This Row],[Region 1990]]))</f>
        <v>Pohjois-Pohjanmaa</v>
      </c>
      <c r="K453" s="234" t="str">
        <f>_xlfn.XLOOKUP(Municipality[[#This Row],[Administrative]],Region[Administrative (FI)],Region[Model],"")</f>
        <v>North</v>
      </c>
    </row>
    <row r="454" spans="8:11">
      <c r="H454" s="22" t="s">
        <v>2851</v>
      </c>
      <c r="I454" s="54" t="s">
        <v>10</v>
      </c>
      <c r="J454" s="22" t="str">
        <f>IF(Municipality[[#This Row],[Region 1990]]=$M$13,$O$13,IF(Municipality[[#This Row],[Region 1990]]=$M$14,$O$14,Municipality[[#This Row],[Region 1990]]))</f>
        <v>Etelä-Karjala</v>
      </c>
      <c r="K454" s="234" t="str">
        <f>_xlfn.XLOOKUP(Municipality[[#This Row],[Administrative]],Region[Administrative (FI)],Region[Model],"")</f>
        <v>South East</v>
      </c>
    </row>
    <row r="455" spans="8:11">
      <c r="H455" s="22" t="s">
        <v>2852</v>
      </c>
      <c r="I455" s="54" t="s">
        <v>4</v>
      </c>
      <c r="J455" s="22" t="str">
        <f>IF(Municipality[[#This Row],[Region 1990]]=$M$13,$O$13,IF(Municipality[[#This Row],[Region 1990]]=$M$14,$O$14,Municipality[[#This Row],[Region 1990]]))</f>
        <v>Varsinais-Suomi</v>
      </c>
      <c r="K455" s="234" t="str">
        <f>_xlfn.XLOOKUP(Municipality[[#This Row],[Administrative]],Region[Administrative (FI)],Region[Model],"")</f>
        <v>South West</v>
      </c>
    </row>
    <row r="456" spans="8:11">
      <c r="H456" s="22" t="s">
        <v>2853</v>
      </c>
      <c r="I456" s="54" t="s">
        <v>7</v>
      </c>
      <c r="J456" s="22" t="str">
        <f>IF(Municipality[[#This Row],[Region 1990]]=$M$13,$O$13,IF(Municipality[[#This Row],[Region 1990]]=$M$14,$O$14,Municipality[[#This Row],[Region 1990]]))</f>
        <v>Pirkanmaa</v>
      </c>
      <c r="K456" s="234" t="str">
        <f>_xlfn.XLOOKUP(Municipality[[#This Row],[Administrative]],Region[Administrative (FI)],Region[Model],"")</f>
        <v>Center</v>
      </c>
    </row>
    <row r="457" spans="8:11">
      <c r="H457" s="22" t="s">
        <v>2854</v>
      </c>
      <c r="I457" s="54" t="s">
        <v>2514</v>
      </c>
      <c r="J457" s="22" t="str">
        <f>IF(Municipality[[#This Row],[Region 1990]]=$M$13,$O$13,IF(Municipality[[#This Row],[Region 1990]]=$M$14,$O$14,Municipality[[#This Row],[Region 1990]]))</f>
        <v>Kanta-Häme</v>
      </c>
      <c r="K457" s="234" t="str">
        <f>_xlfn.XLOOKUP(Municipality[[#This Row],[Administrative]],Region[Administrative (FI)],Region[Model],"")</f>
        <v>South West</v>
      </c>
    </row>
    <row r="458" spans="8:11">
      <c r="H458" s="22" t="s">
        <v>2855</v>
      </c>
      <c r="I458" s="54" t="s">
        <v>4</v>
      </c>
      <c r="J458" s="22" t="str">
        <f>IF(Municipality[[#This Row],[Region 1990]]=$M$13,$O$13,IF(Municipality[[#This Row],[Region 1990]]=$M$14,$O$14,Municipality[[#This Row],[Region 1990]]))</f>
        <v>Varsinais-Suomi</v>
      </c>
      <c r="K458" s="234" t="str">
        <f>_xlfn.XLOOKUP(Municipality[[#This Row],[Administrative]],Region[Administrative (FI)],Region[Model],"")</f>
        <v>South West</v>
      </c>
    </row>
    <row r="459" spans="8:11">
      <c r="H459" s="22" t="s">
        <v>386</v>
      </c>
      <c r="I459" s="54" t="s">
        <v>7</v>
      </c>
      <c r="J459" s="22" t="str">
        <f>IF(Municipality[[#This Row],[Region 1990]]=$M$13,$O$13,IF(Municipality[[#This Row],[Region 1990]]=$M$14,$O$14,Municipality[[#This Row],[Region 1990]]))</f>
        <v>Pirkanmaa</v>
      </c>
      <c r="K459" s="234" t="str">
        <f>_xlfn.XLOOKUP(Municipality[[#This Row],[Administrative]],Region[Administrative (FI)],Region[Model],"")</f>
        <v>Center</v>
      </c>
    </row>
    <row r="460" spans="8:11">
      <c r="H460" s="22" t="s">
        <v>2856</v>
      </c>
      <c r="I460" s="54" t="s">
        <v>14</v>
      </c>
      <c r="J460" s="22" t="str">
        <f>IF(Municipality[[#This Row],[Region 1990]]=$M$13,$O$13,IF(Municipality[[#This Row],[Region 1990]]=$M$14,$O$14,Municipality[[#This Row],[Region 1990]]))</f>
        <v>Keski-Suomi</v>
      </c>
      <c r="K460" s="234" t="str">
        <f>_xlfn.XLOOKUP(Municipality[[#This Row],[Administrative]],Region[Administrative (FI)],Region[Model],"")</f>
        <v>Center</v>
      </c>
    </row>
    <row r="461" spans="8:11">
      <c r="H461" s="22" t="s">
        <v>2857</v>
      </c>
      <c r="I461" s="54" t="s">
        <v>23</v>
      </c>
      <c r="J461" s="22" t="str">
        <f>IF(Municipality[[#This Row],[Region 1990]]=$M$13,$O$13,IF(Municipality[[#This Row],[Region 1990]]=$M$14,$O$14,Municipality[[#This Row],[Region 1990]]))</f>
        <v>Etelä-Pohjanmaa</v>
      </c>
      <c r="K461" s="234" t="str">
        <f>_xlfn.XLOOKUP(Municipality[[#This Row],[Administrative]],Region[Administrative (FI)],Region[Model],"")</f>
        <v>West</v>
      </c>
    </row>
    <row r="462" spans="8:11">
      <c r="H462" s="22" t="s">
        <v>2858</v>
      </c>
      <c r="I462" s="54" t="s">
        <v>20</v>
      </c>
      <c r="J462" s="22" t="str">
        <f>IF(Municipality[[#This Row],[Region 1990]]=$M$13,$O$13,IF(Municipality[[#This Row],[Region 1990]]=$M$14,$O$14,Municipality[[#This Row],[Region 1990]]))</f>
        <v>Lappi</v>
      </c>
      <c r="K462" s="234" t="str">
        <f>_xlfn.XLOOKUP(Municipality[[#This Row],[Administrative]],Region[Administrative (FI)],Region[Model],"")</f>
        <v>North</v>
      </c>
    </row>
  </sheetData>
  <sortState xmlns:xlrd2="http://schemas.microsoft.com/office/spreadsheetml/2017/richdata2" ref="R3:R21">
    <sortCondition ref="R3:R21"/>
  </sortState>
  <mergeCells count="2">
    <mergeCell ref="A1:C1"/>
    <mergeCell ref="H1:K1"/>
  </mergeCells>
  <hyperlinks>
    <hyperlink ref="N2" r:id="rId1" display="https://stat.fi/fi/luokitukset/kunta/kunta_1_19900101" xr:uid="{FE9DD3AE-B9B1-4602-A93C-55DBD4EDDF3A}"/>
  </hyperlinks>
  <pageMargins left="0.7" right="0.7" top="0.75" bottom="0.75" header="0.3" footer="0.3"/>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6600"/>
  </sheetPr>
  <dimension ref="A1:AI104"/>
  <sheetViews>
    <sheetView topLeftCell="A28" workbookViewId="0">
      <selection activeCell="O86" sqref="O86"/>
    </sheetView>
  </sheetViews>
  <sheetFormatPr defaultColWidth="9.109375" defaultRowHeight="14.4"/>
  <cols>
    <col min="1" max="11" width="9.109375" style="2"/>
    <col min="12" max="12" width="9.88671875" style="2" bestFit="1" customWidth="1"/>
    <col min="13" max="16384" width="9.109375" style="2"/>
  </cols>
  <sheetData>
    <row r="1" spans="1:35">
      <c r="A1" s="3" t="s">
        <v>36</v>
      </c>
      <c r="B1" s="4"/>
      <c r="C1" s="4"/>
      <c r="D1" s="4"/>
      <c r="E1" s="4"/>
      <c r="F1" s="4"/>
      <c r="G1" s="4"/>
      <c r="H1" s="4"/>
      <c r="I1" s="4"/>
      <c r="J1" s="4"/>
      <c r="K1" s="4"/>
      <c r="L1" s="4"/>
      <c r="M1" s="4"/>
      <c r="N1" s="4"/>
      <c r="O1" s="4"/>
      <c r="P1" s="4"/>
      <c r="Q1" s="4"/>
      <c r="R1" s="4"/>
      <c r="S1" s="4"/>
      <c r="T1" s="4"/>
      <c r="U1" s="4"/>
      <c r="V1" s="4"/>
      <c r="W1" s="4"/>
    </row>
    <row r="2" spans="1:35">
      <c r="A2" s="12" t="s">
        <v>1177</v>
      </c>
      <c r="B2" s="13" t="s">
        <v>0</v>
      </c>
      <c r="C2" s="13"/>
      <c r="D2" s="12"/>
      <c r="E2" s="12"/>
      <c r="F2" s="12"/>
      <c r="G2" s="12" t="s">
        <v>25</v>
      </c>
      <c r="H2" s="12"/>
      <c r="I2" s="12"/>
      <c r="J2" s="12"/>
      <c r="L2" s="12" t="s">
        <v>1178</v>
      </c>
      <c r="M2" s="12" t="s">
        <v>38</v>
      </c>
      <c r="N2" s="12"/>
      <c r="O2" s="12"/>
      <c r="P2" s="12"/>
      <c r="Q2" s="12"/>
      <c r="R2" s="12"/>
      <c r="T2" s="12"/>
      <c r="U2" s="12" t="s">
        <v>128</v>
      </c>
      <c r="V2" s="12"/>
      <c r="W2" s="12"/>
      <c r="AA2" s="5" t="s">
        <v>1</v>
      </c>
      <c r="AB2" s="5" t="s">
        <v>27</v>
      </c>
      <c r="AC2" s="5" t="s">
        <v>26</v>
      </c>
      <c r="AE2" s="5"/>
      <c r="AF2" s="15" t="s">
        <v>1</v>
      </c>
      <c r="AG2" s="5" t="s">
        <v>27</v>
      </c>
      <c r="AH2" s="5" t="s">
        <v>26</v>
      </c>
    </row>
    <row r="3" spans="1:35">
      <c r="A3" s="25" t="s">
        <v>37</v>
      </c>
      <c r="B3" s="13"/>
      <c r="C3" s="13"/>
      <c r="D3" s="12"/>
      <c r="E3" s="12"/>
      <c r="F3" s="12"/>
      <c r="G3" s="12"/>
      <c r="H3" s="12"/>
      <c r="I3" s="12"/>
      <c r="J3" s="12"/>
      <c r="L3" s="25" t="s">
        <v>47</v>
      </c>
      <c r="M3" s="12"/>
      <c r="N3" s="12"/>
      <c r="O3" s="12"/>
      <c r="P3" s="12"/>
      <c r="Q3" s="12"/>
      <c r="R3" s="12"/>
      <c r="T3" s="12" t="s">
        <v>1181</v>
      </c>
      <c r="U3" s="69" t="s">
        <v>116</v>
      </c>
      <c r="V3" s="12"/>
      <c r="W3" s="12"/>
      <c r="X3" s="200" t="s">
        <v>1137</v>
      </c>
      <c r="Z3" s="1">
        <v>2007</v>
      </c>
      <c r="AA3" s="2">
        <f>C26</f>
        <v>47677</v>
      </c>
      <c r="AB3" s="2">
        <f>D26</f>
        <v>17263</v>
      </c>
      <c r="AC3" s="2">
        <f>E26</f>
        <v>22391</v>
      </c>
      <c r="AE3" s="2" t="s">
        <v>3</v>
      </c>
      <c r="AF3" s="16">
        <v>4073</v>
      </c>
      <c r="AG3" s="10">
        <v>6791</v>
      </c>
      <c r="AH3" s="10">
        <v>5840</v>
      </c>
      <c r="AI3" s="2">
        <f t="shared" ref="AI3:AI21" si="0">W6-V6</f>
        <v>16161</v>
      </c>
    </row>
    <row r="4" spans="1:35">
      <c r="A4" s="14" t="s">
        <v>48</v>
      </c>
      <c r="B4" s="14"/>
      <c r="C4" s="319">
        <v>2007</v>
      </c>
      <c r="D4" s="320"/>
      <c r="E4" s="320"/>
      <c r="F4" s="320"/>
      <c r="G4" s="319">
        <v>2023</v>
      </c>
      <c r="H4" s="320"/>
      <c r="I4" s="320"/>
      <c r="J4" s="320"/>
      <c r="K4" s="17"/>
      <c r="L4" s="27" t="s">
        <v>48</v>
      </c>
      <c r="M4" s="28" t="s">
        <v>45</v>
      </c>
      <c r="N4" s="28" t="s">
        <v>46</v>
      </c>
      <c r="O4" s="1"/>
      <c r="T4" s="12" t="s">
        <v>1182</v>
      </c>
      <c r="U4" s="69" t="s">
        <v>117</v>
      </c>
      <c r="V4" s="12"/>
      <c r="W4" s="12"/>
      <c r="X4" s="200" t="s">
        <v>1137</v>
      </c>
      <c r="Z4" s="1">
        <v>2023</v>
      </c>
      <c r="AA4" s="2">
        <f>G26</f>
        <v>34100</v>
      </c>
      <c r="AB4" s="2">
        <f>H26</f>
        <v>19428</v>
      </c>
      <c r="AC4" s="2">
        <f>I26</f>
        <v>23575</v>
      </c>
      <c r="AE4" s="2" t="s">
        <v>167</v>
      </c>
      <c r="AF4" s="16">
        <v>1041</v>
      </c>
      <c r="AG4" s="10">
        <v>1661</v>
      </c>
      <c r="AH4" s="10">
        <v>2146</v>
      </c>
      <c r="AI4" s="2">
        <f t="shared" si="0"/>
        <v>1887</v>
      </c>
    </row>
    <row r="5" spans="1:35">
      <c r="A5" s="5"/>
      <c r="B5" s="5"/>
      <c r="C5" s="15" t="s">
        <v>1</v>
      </c>
      <c r="D5" s="5" t="s">
        <v>27</v>
      </c>
      <c r="E5" s="5" t="s">
        <v>26</v>
      </c>
      <c r="F5" s="8" t="s">
        <v>2</v>
      </c>
      <c r="G5" s="15" t="s">
        <v>1</v>
      </c>
      <c r="H5" s="5" t="s">
        <v>27</v>
      </c>
      <c r="I5" s="5" t="s">
        <v>26</v>
      </c>
      <c r="J5" s="8" t="s">
        <v>2</v>
      </c>
      <c r="K5" s="17"/>
      <c r="L5" s="26" t="s">
        <v>39</v>
      </c>
      <c r="M5" s="82">
        <v>24142.483306732149</v>
      </c>
      <c r="N5" s="83">
        <v>29821.686839316582</v>
      </c>
      <c r="O5" s="11">
        <f>N5/$N$13</f>
        <v>0.22609787912614943</v>
      </c>
      <c r="P5" s="7"/>
      <c r="T5" s="5"/>
      <c r="U5" s="5"/>
      <c r="V5" s="5" t="s">
        <v>127</v>
      </c>
      <c r="W5" s="5" t="s">
        <v>44</v>
      </c>
      <c r="X5" s="7" t="s">
        <v>141</v>
      </c>
      <c r="Z5" s="1" t="s">
        <v>1354</v>
      </c>
      <c r="AA5" s="2">
        <f>N7</f>
        <v>85806.024454732658</v>
      </c>
      <c r="AB5" s="2">
        <f>N6</f>
        <v>16269.531415944622</v>
      </c>
      <c r="AC5" s="2">
        <f>N5</f>
        <v>29821.686839316582</v>
      </c>
      <c r="AD5" s="39"/>
      <c r="AE5" s="2" t="s">
        <v>5</v>
      </c>
      <c r="AF5" s="16">
        <v>3334</v>
      </c>
      <c r="AG5" s="10">
        <v>707</v>
      </c>
      <c r="AH5" s="10">
        <v>1040</v>
      </c>
      <c r="AI5" s="2">
        <f t="shared" si="0"/>
        <v>6114</v>
      </c>
    </row>
    <row r="6" spans="1:35">
      <c r="A6" s="2" t="s">
        <v>3</v>
      </c>
      <c r="C6" s="16">
        <v>2912</v>
      </c>
      <c r="D6" s="10">
        <v>5497</v>
      </c>
      <c r="E6" s="10">
        <v>4658</v>
      </c>
      <c r="F6" s="6">
        <v>13066</v>
      </c>
      <c r="G6" s="16">
        <v>4073</v>
      </c>
      <c r="H6" s="10">
        <v>6791</v>
      </c>
      <c r="I6" s="10">
        <v>5840</v>
      </c>
      <c r="J6" s="6">
        <v>16704</v>
      </c>
      <c r="K6" s="17"/>
      <c r="L6" s="26" t="s">
        <v>40</v>
      </c>
      <c r="M6" s="82">
        <v>18496.723118567548</v>
      </c>
      <c r="N6" s="83">
        <v>16269.531415944622</v>
      </c>
      <c r="O6" s="11">
        <f>N6/$N$13</f>
        <v>0.12335004949054845</v>
      </c>
      <c r="P6" s="7"/>
      <c r="T6" s="2" t="s">
        <v>3</v>
      </c>
      <c r="V6" s="9">
        <v>4650</v>
      </c>
      <c r="W6" s="9">
        <v>20811</v>
      </c>
      <c r="X6" s="11">
        <f>V6/W6</f>
        <v>0.22343952717312959</v>
      </c>
      <c r="Z6" s="7"/>
      <c r="AA6" s="155">
        <f>AA5/AA4</f>
        <v>2.5163057024848285</v>
      </c>
      <c r="AB6" s="35"/>
      <c r="AE6" s="2" t="s">
        <v>6</v>
      </c>
      <c r="AF6" s="16">
        <v>753</v>
      </c>
      <c r="AG6" s="10">
        <v>578</v>
      </c>
      <c r="AH6" s="10">
        <v>800</v>
      </c>
      <c r="AI6" s="2">
        <f t="shared" si="0"/>
        <v>1033</v>
      </c>
    </row>
    <row r="7" spans="1:35">
      <c r="A7" s="2" t="s">
        <v>4</v>
      </c>
      <c r="C7" s="16">
        <v>1477</v>
      </c>
      <c r="D7" s="10">
        <v>1356</v>
      </c>
      <c r="E7" s="10">
        <v>2018</v>
      </c>
      <c r="F7" s="6">
        <v>4852</v>
      </c>
      <c r="G7" s="16">
        <v>1041</v>
      </c>
      <c r="H7" s="10">
        <v>1661</v>
      </c>
      <c r="I7" s="10">
        <v>2146</v>
      </c>
      <c r="J7" s="6">
        <v>4847</v>
      </c>
      <c r="K7" s="17"/>
      <c r="L7" s="26" t="s">
        <v>1</v>
      </c>
      <c r="M7" s="82">
        <v>41166.333333363888</v>
      </c>
      <c r="N7" s="83">
        <v>85806.024454732658</v>
      </c>
      <c r="O7" s="11">
        <f>N7/$N$13</f>
        <v>0.65055207138330218</v>
      </c>
      <c r="P7" s="7"/>
      <c r="T7" s="2" t="s">
        <v>4</v>
      </c>
      <c r="V7" s="9">
        <v>955</v>
      </c>
      <c r="W7" s="9">
        <v>2842</v>
      </c>
      <c r="X7" s="11">
        <f t="shared" ref="X7:X25" si="1">V7/W7</f>
        <v>0.33603096410978184</v>
      </c>
      <c r="Z7" s="7"/>
      <c r="AA7" s="7"/>
      <c r="AB7" s="35"/>
      <c r="AE7" s="2" t="s">
        <v>7</v>
      </c>
      <c r="AF7" s="16">
        <v>1972</v>
      </c>
      <c r="AG7" s="10">
        <v>1643</v>
      </c>
      <c r="AH7" s="10">
        <v>2188</v>
      </c>
      <c r="AI7" s="2">
        <f t="shared" si="0"/>
        <v>2663</v>
      </c>
    </row>
    <row r="8" spans="1:35">
      <c r="A8" s="2" t="s">
        <v>5</v>
      </c>
      <c r="C8" s="16">
        <v>4946</v>
      </c>
      <c r="D8" s="10">
        <v>574</v>
      </c>
      <c r="E8" s="10">
        <v>995</v>
      </c>
      <c r="F8" s="6">
        <v>6514</v>
      </c>
      <c r="G8" s="16">
        <v>3334</v>
      </c>
      <c r="H8" s="10">
        <v>707</v>
      </c>
      <c r="I8" s="10">
        <v>1040</v>
      </c>
      <c r="J8" s="6">
        <v>5080</v>
      </c>
      <c r="K8" s="17"/>
      <c r="L8" s="31" t="s">
        <v>41</v>
      </c>
      <c r="M8" s="82">
        <v>859.00000001979413</v>
      </c>
      <c r="N8" s="82">
        <v>9937.3888423200478</v>
      </c>
      <c r="O8" s="7"/>
      <c r="P8" s="7"/>
      <c r="T8" s="2" t="s">
        <v>5</v>
      </c>
      <c r="V8" s="9">
        <v>3123</v>
      </c>
      <c r="W8" s="9">
        <v>9237</v>
      </c>
      <c r="X8" s="11">
        <f t="shared" si="1"/>
        <v>0.33809678467034754</v>
      </c>
      <c r="Z8" s="7"/>
      <c r="AA8" s="7"/>
      <c r="AB8" s="35"/>
      <c r="AE8" s="2" t="s">
        <v>8</v>
      </c>
      <c r="AF8" s="16">
        <v>741</v>
      </c>
      <c r="AG8" s="10">
        <v>566</v>
      </c>
      <c r="AH8" s="10">
        <v>848</v>
      </c>
      <c r="AI8" s="2">
        <f t="shared" si="0"/>
        <v>1551</v>
      </c>
    </row>
    <row r="9" spans="1:35">
      <c r="A9" s="2" t="s">
        <v>6</v>
      </c>
      <c r="C9" s="16">
        <v>803</v>
      </c>
      <c r="D9" s="10">
        <v>566</v>
      </c>
      <c r="E9" s="10">
        <v>766</v>
      </c>
      <c r="F9" s="6">
        <v>2136</v>
      </c>
      <c r="G9" s="16">
        <v>753</v>
      </c>
      <c r="H9" s="10">
        <v>578</v>
      </c>
      <c r="I9" s="10">
        <v>800</v>
      </c>
      <c r="J9" s="6">
        <v>2130</v>
      </c>
      <c r="K9" s="17"/>
      <c r="L9" s="31" t="s">
        <v>42</v>
      </c>
      <c r="M9" s="82">
        <v>1474.9999999999998</v>
      </c>
      <c r="N9" s="82">
        <v>1980.3153581245233</v>
      </c>
      <c r="O9" s="7"/>
      <c r="P9" s="7"/>
      <c r="T9" s="2" t="s">
        <v>6</v>
      </c>
      <c r="V9" s="9">
        <v>668</v>
      </c>
      <c r="W9" s="9">
        <v>1701</v>
      </c>
      <c r="X9" s="11">
        <f t="shared" si="1"/>
        <v>0.39271017048794826</v>
      </c>
      <c r="Z9" s="7"/>
      <c r="AA9" s="7"/>
      <c r="AB9" s="35"/>
      <c r="AE9" s="2" t="s">
        <v>9</v>
      </c>
      <c r="AF9" s="16">
        <v>2023</v>
      </c>
      <c r="AG9" s="10">
        <v>945</v>
      </c>
      <c r="AH9" s="10">
        <v>713</v>
      </c>
      <c r="AI9" s="2">
        <f t="shared" si="0"/>
        <v>7929</v>
      </c>
    </row>
    <row r="10" spans="1:35">
      <c r="A10" s="2" t="s">
        <v>7</v>
      </c>
      <c r="C10" s="16">
        <v>3170</v>
      </c>
      <c r="D10" s="10">
        <v>1336</v>
      </c>
      <c r="E10" s="10">
        <v>1854</v>
      </c>
      <c r="F10" s="6">
        <v>6360</v>
      </c>
      <c r="G10" s="16">
        <v>1972</v>
      </c>
      <c r="H10" s="10">
        <v>1643</v>
      </c>
      <c r="I10" s="10">
        <v>2188</v>
      </c>
      <c r="J10" s="6">
        <v>5804</v>
      </c>
      <c r="K10" s="17"/>
      <c r="L10" s="31" t="s">
        <v>43</v>
      </c>
      <c r="M10" s="82">
        <v>0</v>
      </c>
      <c r="N10" s="82">
        <v>0</v>
      </c>
      <c r="O10" s="7"/>
      <c r="P10" s="7"/>
      <c r="T10" s="2" t="s">
        <v>7</v>
      </c>
      <c r="V10" s="9">
        <v>2012</v>
      </c>
      <c r="W10" s="9">
        <v>4675</v>
      </c>
      <c r="X10" s="11">
        <f t="shared" si="1"/>
        <v>0.43037433155080212</v>
      </c>
      <c r="Z10" s="7"/>
      <c r="AA10" s="7"/>
      <c r="AB10" s="35"/>
      <c r="AE10" s="2" t="s">
        <v>118</v>
      </c>
      <c r="AF10" s="16">
        <v>3933</v>
      </c>
      <c r="AG10" s="10">
        <v>417</v>
      </c>
      <c r="AH10" s="10">
        <v>492</v>
      </c>
      <c r="AI10" s="2">
        <f t="shared" si="0"/>
        <v>14579</v>
      </c>
    </row>
    <row r="11" spans="1:35">
      <c r="A11" s="2" t="s">
        <v>8</v>
      </c>
      <c r="C11" s="16">
        <v>873</v>
      </c>
      <c r="D11" s="10">
        <v>607</v>
      </c>
      <c r="E11" s="10">
        <v>851</v>
      </c>
      <c r="F11" s="6">
        <v>2331</v>
      </c>
      <c r="G11" s="16">
        <v>741</v>
      </c>
      <c r="H11" s="10">
        <v>566</v>
      </c>
      <c r="I11" s="10">
        <v>848</v>
      </c>
      <c r="J11" s="6">
        <v>2154</v>
      </c>
      <c r="K11" s="17"/>
      <c r="L11" s="31" t="s">
        <v>44</v>
      </c>
      <c r="M11" s="82">
        <v>2597</v>
      </c>
      <c r="N11" s="82">
        <v>2597</v>
      </c>
      <c r="O11" s="7"/>
      <c r="P11" s="7"/>
      <c r="T11" s="2" t="s">
        <v>8</v>
      </c>
      <c r="V11" s="9">
        <v>706</v>
      </c>
      <c r="W11" s="9">
        <v>2257</v>
      </c>
      <c r="X11" s="11">
        <f t="shared" si="1"/>
        <v>0.3128046078865751</v>
      </c>
      <c r="Z11" s="7"/>
      <c r="AA11" s="7"/>
      <c r="AB11" s="35"/>
      <c r="AE11" s="2" t="s">
        <v>166</v>
      </c>
      <c r="AF11" s="16">
        <v>332</v>
      </c>
      <c r="AG11" s="10">
        <v>429</v>
      </c>
      <c r="AH11" s="10">
        <v>654</v>
      </c>
      <c r="AI11" s="2">
        <f t="shared" si="0"/>
        <v>869</v>
      </c>
    </row>
    <row r="12" spans="1:35">
      <c r="A12" s="2" t="s">
        <v>9</v>
      </c>
      <c r="C12" s="16">
        <v>5234</v>
      </c>
      <c r="D12" s="10">
        <v>671</v>
      </c>
      <c r="E12" s="10">
        <v>790</v>
      </c>
      <c r="F12" s="6">
        <v>6694</v>
      </c>
      <c r="G12" s="16">
        <v>2023</v>
      </c>
      <c r="H12" s="10">
        <v>945</v>
      </c>
      <c r="I12" s="10">
        <v>713</v>
      </c>
      <c r="J12" s="6">
        <v>3681</v>
      </c>
      <c r="K12" s="17"/>
      <c r="L12" s="26" t="s">
        <v>2</v>
      </c>
      <c r="M12" s="6">
        <f>SUM(M5:M11)</f>
        <v>88736.539758683371</v>
      </c>
      <c r="N12" s="6">
        <f>SUM(N5:N11)</f>
        <v>146411.94691043842</v>
      </c>
      <c r="O12" s="9"/>
      <c r="T12" s="2" t="s">
        <v>9</v>
      </c>
      <c r="V12" s="9">
        <v>2214</v>
      </c>
      <c r="W12" s="9">
        <v>10143</v>
      </c>
      <c r="X12" s="11">
        <f t="shared" si="1"/>
        <v>0.21827861579414373</v>
      </c>
      <c r="Z12" s="7"/>
      <c r="AA12" s="7"/>
      <c r="AB12" s="35"/>
      <c r="AE12" s="2" t="s">
        <v>165</v>
      </c>
      <c r="AF12" s="16">
        <v>1569</v>
      </c>
      <c r="AG12" s="10">
        <v>765</v>
      </c>
      <c r="AH12" s="10">
        <v>1015</v>
      </c>
      <c r="AI12" s="2">
        <f t="shared" si="0"/>
        <v>3102</v>
      </c>
    </row>
    <row r="13" spans="1:35">
      <c r="A13" s="2" t="s">
        <v>10</v>
      </c>
      <c r="C13" s="16">
        <v>4967</v>
      </c>
      <c r="D13" s="10">
        <v>435</v>
      </c>
      <c r="E13" s="10">
        <v>551</v>
      </c>
      <c r="F13" s="6">
        <v>5953</v>
      </c>
      <c r="G13" s="16">
        <v>3933</v>
      </c>
      <c r="H13" s="10">
        <v>417</v>
      </c>
      <c r="I13" s="10">
        <v>492</v>
      </c>
      <c r="J13" s="6">
        <v>4842</v>
      </c>
      <c r="K13" s="17"/>
      <c r="L13" s="2" t="s">
        <v>56</v>
      </c>
      <c r="M13" s="6">
        <f>SUM(M5:M7)</f>
        <v>83805.539758663581</v>
      </c>
      <c r="N13" s="6">
        <f>SUM(N5:N7)</f>
        <v>131897.24270999385</v>
      </c>
      <c r="O13" s="78"/>
      <c r="T13" s="2" t="s">
        <v>118</v>
      </c>
      <c r="V13" s="9">
        <v>3580</v>
      </c>
      <c r="W13" s="9">
        <v>18159</v>
      </c>
      <c r="X13" s="11">
        <f t="shared" si="1"/>
        <v>0.19714742001211522</v>
      </c>
      <c r="Z13" s="7"/>
      <c r="AA13" s="7"/>
      <c r="AB13" s="35"/>
      <c r="AE13" s="2" t="s">
        <v>122</v>
      </c>
      <c r="AF13" s="16">
        <v>1254</v>
      </c>
      <c r="AG13" s="10">
        <v>433</v>
      </c>
      <c r="AH13" s="10">
        <v>701</v>
      </c>
      <c r="AI13" s="2">
        <f t="shared" si="0"/>
        <v>3665</v>
      </c>
    </row>
    <row r="14" spans="1:35">
      <c r="A14" s="2" t="s">
        <v>11</v>
      </c>
      <c r="C14" s="16">
        <v>411</v>
      </c>
      <c r="D14" s="10">
        <v>468</v>
      </c>
      <c r="E14" s="10">
        <v>769</v>
      </c>
      <c r="F14" s="6">
        <v>1649</v>
      </c>
      <c r="G14" s="16">
        <v>332</v>
      </c>
      <c r="H14" s="10">
        <v>429</v>
      </c>
      <c r="I14" s="10">
        <v>654</v>
      </c>
      <c r="J14" s="6">
        <v>1415</v>
      </c>
      <c r="K14" s="17"/>
      <c r="T14" s="2" t="s">
        <v>11</v>
      </c>
      <c r="V14" s="9">
        <v>341</v>
      </c>
      <c r="W14" s="9">
        <v>1210</v>
      </c>
      <c r="X14" s="11">
        <f t="shared" si="1"/>
        <v>0.2818181818181818</v>
      </c>
      <c r="Z14" s="7"/>
      <c r="AA14" s="7"/>
      <c r="AB14" s="35"/>
      <c r="AE14" s="2" t="s">
        <v>119</v>
      </c>
      <c r="AF14" s="16">
        <v>2365</v>
      </c>
      <c r="AG14" s="10">
        <v>791</v>
      </c>
      <c r="AH14" s="10">
        <v>1209</v>
      </c>
      <c r="AI14" s="2">
        <f t="shared" si="0"/>
        <v>9119</v>
      </c>
    </row>
    <row r="15" spans="1:35">
      <c r="A15" s="2" t="s">
        <v>12</v>
      </c>
      <c r="C15" s="16">
        <v>2194</v>
      </c>
      <c r="D15" s="10">
        <v>709</v>
      </c>
      <c r="E15" s="10">
        <v>1078</v>
      </c>
      <c r="F15" s="6">
        <v>3981</v>
      </c>
      <c r="G15" s="16">
        <v>1569</v>
      </c>
      <c r="H15" s="10">
        <v>765</v>
      </c>
      <c r="I15" s="10">
        <v>1015</v>
      </c>
      <c r="J15" s="6">
        <v>3349</v>
      </c>
      <c r="K15" s="17"/>
      <c r="L15" s="12" t="s">
        <v>1184</v>
      </c>
      <c r="M15" s="12"/>
      <c r="N15" s="12"/>
      <c r="O15" s="32"/>
      <c r="P15" s="12"/>
      <c r="Q15" s="12"/>
      <c r="R15" s="12"/>
      <c r="T15" s="2" t="s">
        <v>12</v>
      </c>
      <c r="V15" s="9">
        <v>1357</v>
      </c>
      <c r="W15" s="9">
        <v>4459</v>
      </c>
      <c r="X15" s="11">
        <f t="shared" si="1"/>
        <v>0.30432832473648802</v>
      </c>
      <c r="Z15" s="7"/>
      <c r="AA15" s="7"/>
      <c r="AB15" s="35"/>
      <c r="AE15" s="2" t="s">
        <v>120</v>
      </c>
      <c r="AF15" s="16">
        <v>545</v>
      </c>
      <c r="AG15" s="10">
        <v>622</v>
      </c>
      <c r="AH15" s="10">
        <v>925</v>
      </c>
      <c r="AI15" s="2">
        <f t="shared" si="0"/>
        <v>751</v>
      </c>
    </row>
    <row r="16" spans="1:35">
      <c r="A16" s="2" t="s">
        <v>13</v>
      </c>
      <c r="C16" s="16">
        <v>1053</v>
      </c>
      <c r="D16" s="10">
        <v>464</v>
      </c>
      <c r="E16" s="10">
        <v>734</v>
      </c>
      <c r="F16" s="6">
        <v>2251</v>
      </c>
      <c r="G16" s="16">
        <v>1254</v>
      </c>
      <c r="H16" s="10">
        <v>433</v>
      </c>
      <c r="I16" s="10">
        <v>701</v>
      </c>
      <c r="J16" s="6">
        <v>2388</v>
      </c>
      <c r="K16" s="17"/>
      <c r="L16" s="2" t="s">
        <v>51</v>
      </c>
      <c r="M16" s="9">
        <v>132860</v>
      </c>
      <c r="O16" s="9"/>
      <c r="T16" s="2" t="s">
        <v>122</v>
      </c>
      <c r="V16" s="9">
        <v>788</v>
      </c>
      <c r="W16" s="9">
        <v>4453</v>
      </c>
      <c r="X16" s="11">
        <f t="shared" si="1"/>
        <v>0.17695935324500336</v>
      </c>
      <c r="Z16" s="7"/>
      <c r="AA16" s="7"/>
      <c r="AB16" s="35"/>
      <c r="AE16" s="2" t="s">
        <v>121</v>
      </c>
      <c r="AF16" s="16">
        <v>1125</v>
      </c>
      <c r="AG16" s="10">
        <v>619</v>
      </c>
      <c r="AH16" s="10">
        <v>1250</v>
      </c>
      <c r="AI16" s="2">
        <f t="shared" si="0"/>
        <v>5358</v>
      </c>
    </row>
    <row r="17" spans="1:35">
      <c r="A17" s="2" t="s">
        <v>14</v>
      </c>
      <c r="C17" s="16">
        <v>4749</v>
      </c>
      <c r="D17" s="10">
        <v>778</v>
      </c>
      <c r="E17" s="10">
        <v>1252</v>
      </c>
      <c r="F17" s="6">
        <v>6779</v>
      </c>
      <c r="G17" s="16">
        <v>2365</v>
      </c>
      <c r="H17" s="10">
        <v>791</v>
      </c>
      <c r="I17" s="10">
        <v>1209</v>
      </c>
      <c r="J17" s="6">
        <v>4365</v>
      </c>
      <c r="K17" s="17"/>
      <c r="L17" s="2" t="s">
        <v>52</v>
      </c>
      <c r="M17" s="9">
        <v>72580</v>
      </c>
      <c r="O17" s="9"/>
      <c r="T17" s="2" t="s">
        <v>119</v>
      </c>
      <c r="V17" s="9">
        <v>2226</v>
      </c>
      <c r="W17" s="9">
        <v>11345</v>
      </c>
      <c r="X17" s="11">
        <f t="shared" si="1"/>
        <v>0.19620978404583517</v>
      </c>
      <c r="Z17" s="7"/>
      <c r="AA17" s="7"/>
      <c r="AB17" s="35"/>
      <c r="AE17" s="2" t="s">
        <v>123</v>
      </c>
      <c r="AF17" s="16">
        <v>1525</v>
      </c>
      <c r="AG17" s="10">
        <v>176</v>
      </c>
      <c r="AH17" s="10">
        <v>341</v>
      </c>
      <c r="AI17" s="2">
        <f t="shared" si="0"/>
        <v>852</v>
      </c>
    </row>
    <row r="18" spans="1:35">
      <c r="A18" s="2" t="s">
        <v>15</v>
      </c>
      <c r="C18" s="16">
        <v>538</v>
      </c>
      <c r="D18" s="10">
        <v>542</v>
      </c>
      <c r="E18" s="10">
        <v>878</v>
      </c>
      <c r="F18" s="6">
        <v>1957</v>
      </c>
      <c r="G18" s="16">
        <v>545</v>
      </c>
      <c r="H18" s="10">
        <v>622</v>
      </c>
      <c r="I18" s="10">
        <v>925</v>
      </c>
      <c r="J18" s="6">
        <v>2092</v>
      </c>
      <c r="K18" s="17"/>
      <c r="L18" s="7" t="s">
        <v>53</v>
      </c>
      <c r="M18" s="9">
        <v>4920</v>
      </c>
      <c r="O18" s="9"/>
      <c r="T18" s="2" t="s">
        <v>120</v>
      </c>
      <c r="V18" s="9">
        <v>625</v>
      </c>
      <c r="W18" s="9">
        <v>1376</v>
      </c>
      <c r="X18" s="11">
        <f>V18/W18</f>
        <v>0.45421511627906974</v>
      </c>
      <c r="Z18" s="7"/>
      <c r="AA18" s="7"/>
      <c r="AB18" s="35"/>
      <c r="AE18" s="2" t="s">
        <v>124</v>
      </c>
      <c r="AF18" s="16">
        <v>2419</v>
      </c>
      <c r="AG18" s="10">
        <v>1254</v>
      </c>
      <c r="AH18" s="10">
        <v>1784</v>
      </c>
      <c r="AI18" s="2">
        <f t="shared" si="0"/>
        <v>10151</v>
      </c>
    </row>
    <row r="19" spans="1:35">
      <c r="A19" s="2" t="s">
        <v>16</v>
      </c>
      <c r="C19" s="16">
        <v>2043</v>
      </c>
      <c r="D19" s="10">
        <v>462</v>
      </c>
      <c r="E19" s="10">
        <v>968</v>
      </c>
      <c r="F19" s="6">
        <v>3474</v>
      </c>
      <c r="G19" s="16">
        <v>1125</v>
      </c>
      <c r="H19" s="10">
        <v>619</v>
      </c>
      <c r="I19" s="10">
        <v>1250</v>
      </c>
      <c r="J19" s="6">
        <v>2994</v>
      </c>
      <c r="K19" s="17"/>
      <c r="L19" s="7" t="s">
        <v>54</v>
      </c>
      <c r="M19" s="9">
        <v>1050</v>
      </c>
      <c r="O19" s="9"/>
      <c r="T19" s="2" t="s">
        <v>121</v>
      </c>
      <c r="V19" s="9">
        <v>1477</v>
      </c>
      <c r="W19" s="9">
        <v>6835</v>
      </c>
      <c r="X19" s="11">
        <f t="shared" si="1"/>
        <v>0.21609363569861009</v>
      </c>
      <c r="Z19" s="7"/>
      <c r="AA19" s="7"/>
      <c r="AB19" s="35"/>
      <c r="AE19" s="2" t="s">
        <v>19</v>
      </c>
      <c r="AF19" s="16">
        <v>713</v>
      </c>
      <c r="AG19" s="10">
        <v>249</v>
      </c>
      <c r="AH19" s="10">
        <v>310</v>
      </c>
      <c r="AI19" s="2">
        <f t="shared" si="0"/>
        <v>323</v>
      </c>
    </row>
    <row r="20" spans="1:35">
      <c r="A20" s="2" t="s">
        <v>17</v>
      </c>
      <c r="C20" s="16">
        <v>1507</v>
      </c>
      <c r="D20" s="10">
        <v>214</v>
      </c>
      <c r="E20" s="10">
        <v>335</v>
      </c>
      <c r="F20" s="6">
        <v>2057</v>
      </c>
      <c r="G20" s="16">
        <v>1525</v>
      </c>
      <c r="H20" s="10">
        <v>176</v>
      </c>
      <c r="I20" s="10">
        <v>341</v>
      </c>
      <c r="J20" s="6">
        <v>2042</v>
      </c>
      <c r="K20" s="17"/>
      <c r="L20" s="2" t="s">
        <v>2</v>
      </c>
      <c r="M20" s="6">
        <f>SUM(M16:M19)</f>
        <v>211410</v>
      </c>
      <c r="O20" s="9"/>
      <c r="T20" s="2" t="s">
        <v>123</v>
      </c>
      <c r="V20" s="9">
        <v>1497</v>
      </c>
      <c r="W20" s="9">
        <v>2349</v>
      </c>
      <c r="X20" s="11">
        <f>V20/W20</f>
        <v>0.63729246487867175</v>
      </c>
      <c r="Z20" s="7"/>
      <c r="AA20" s="7"/>
      <c r="AB20" s="35"/>
      <c r="AE20" s="2" t="s">
        <v>125</v>
      </c>
      <c r="AF20" s="16">
        <v>4357</v>
      </c>
      <c r="AG20" s="10">
        <v>677</v>
      </c>
      <c r="AH20" s="10">
        <v>1190</v>
      </c>
      <c r="AI20" s="2">
        <f t="shared" si="0"/>
        <v>6899</v>
      </c>
    </row>
    <row r="21" spans="1:35">
      <c r="A21" s="2" t="s">
        <v>18</v>
      </c>
      <c r="C21" s="16">
        <v>3129</v>
      </c>
      <c r="D21" s="10">
        <v>1231</v>
      </c>
      <c r="E21" s="10">
        <v>1774</v>
      </c>
      <c r="F21" s="6">
        <v>6135</v>
      </c>
      <c r="G21" s="16">
        <v>2419</v>
      </c>
      <c r="H21" s="10">
        <v>1254</v>
      </c>
      <c r="I21" s="10">
        <v>1784</v>
      </c>
      <c r="J21" s="6">
        <v>5456</v>
      </c>
      <c r="K21" s="17"/>
      <c r="O21" s="9"/>
      <c r="T21" s="2" t="s">
        <v>124</v>
      </c>
      <c r="V21" s="9">
        <v>1852</v>
      </c>
      <c r="W21" s="9">
        <v>12003</v>
      </c>
      <c r="X21" s="11">
        <f t="shared" si="1"/>
        <v>0.15429475964342249</v>
      </c>
      <c r="Z21" s="7"/>
      <c r="AA21" s="7"/>
      <c r="AB21" s="35"/>
      <c r="AE21" s="2" t="s">
        <v>126</v>
      </c>
      <c r="AF21" s="16">
        <v>26</v>
      </c>
      <c r="AG21" s="10">
        <v>106</v>
      </c>
      <c r="AH21" s="10">
        <v>132</v>
      </c>
      <c r="AI21" s="2">
        <f t="shared" si="0"/>
        <v>41</v>
      </c>
    </row>
    <row r="22" spans="1:35">
      <c r="A22" s="2" t="s">
        <v>19</v>
      </c>
      <c r="C22" s="16">
        <v>1772</v>
      </c>
      <c r="D22" s="10">
        <v>291</v>
      </c>
      <c r="E22" s="10">
        <v>371</v>
      </c>
      <c r="F22" s="6">
        <v>2433</v>
      </c>
      <c r="G22" s="16">
        <v>713</v>
      </c>
      <c r="H22" s="10">
        <v>249</v>
      </c>
      <c r="I22" s="10">
        <v>310</v>
      </c>
      <c r="J22" s="6">
        <v>1272</v>
      </c>
      <c r="K22" s="17"/>
      <c r="O22" s="9"/>
      <c r="T22" s="2" t="s">
        <v>19</v>
      </c>
      <c r="V22" s="9">
        <v>694</v>
      </c>
      <c r="W22" s="9">
        <v>1017</v>
      </c>
      <c r="X22" s="11">
        <f t="shared" si="1"/>
        <v>0.68239921337266474</v>
      </c>
      <c r="Z22" s="7"/>
      <c r="AA22" s="7"/>
      <c r="AB22" s="35"/>
    </row>
    <row r="23" spans="1:35">
      <c r="A23" s="2" t="s">
        <v>20</v>
      </c>
      <c r="C23" s="16">
        <v>4035</v>
      </c>
      <c r="D23" s="10">
        <v>726</v>
      </c>
      <c r="E23" s="10">
        <v>1121</v>
      </c>
      <c r="F23" s="6">
        <v>5882</v>
      </c>
      <c r="G23" s="16">
        <v>4357</v>
      </c>
      <c r="H23" s="10">
        <v>677</v>
      </c>
      <c r="I23" s="10">
        <v>1190</v>
      </c>
      <c r="J23" s="6">
        <v>6223</v>
      </c>
      <c r="K23" s="17"/>
      <c r="O23" s="9"/>
      <c r="T23" s="2" t="s">
        <v>125</v>
      </c>
      <c r="V23" s="9">
        <v>4163</v>
      </c>
      <c r="W23" s="9">
        <v>11062</v>
      </c>
      <c r="X23" s="11">
        <f t="shared" si="1"/>
        <v>0.37633339359971074</v>
      </c>
      <c r="Z23" s="7"/>
      <c r="AA23" s="7"/>
      <c r="AB23" s="35"/>
    </row>
    <row r="24" spans="1:35">
      <c r="A24" s="2" t="s">
        <v>21</v>
      </c>
      <c r="C24" s="16">
        <v>1831</v>
      </c>
      <c r="D24" s="10">
        <v>237</v>
      </c>
      <c r="E24" s="10">
        <v>508</v>
      </c>
      <c r="F24" s="6">
        <v>2576</v>
      </c>
      <c r="G24" s="16"/>
      <c r="H24" s="10"/>
      <c r="I24" s="10"/>
      <c r="J24" s="6"/>
      <c r="K24" s="17"/>
      <c r="O24" s="9"/>
      <c r="T24" s="2" t="s">
        <v>126</v>
      </c>
      <c r="V24" s="9">
        <v>31</v>
      </c>
      <c r="W24" s="9">
        <v>72</v>
      </c>
      <c r="X24" s="11">
        <f t="shared" si="1"/>
        <v>0.43055555555555558</v>
      </c>
      <c r="Z24" s="7"/>
      <c r="AA24" s="7"/>
      <c r="AB24" s="35"/>
    </row>
    <row r="25" spans="1:35">
      <c r="A25" s="2" t="s">
        <v>22</v>
      </c>
      <c r="C25" s="16">
        <v>30</v>
      </c>
      <c r="D25" s="10">
        <v>99</v>
      </c>
      <c r="E25" s="10">
        <v>120</v>
      </c>
      <c r="F25" s="6">
        <v>249</v>
      </c>
      <c r="G25" s="16">
        <v>26</v>
      </c>
      <c r="H25" s="10">
        <v>106</v>
      </c>
      <c r="I25" s="10">
        <v>132</v>
      </c>
      <c r="J25" s="6">
        <v>264</v>
      </c>
      <c r="K25" s="17"/>
      <c r="O25" s="9"/>
      <c r="T25" s="2" t="s">
        <v>2</v>
      </c>
      <c r="V25" s="6">
        <v>32959</v>
      </c>
      <c r="W25" s="6">
        <v>126006</v>
      </c>
      <c r="X25" s="11">
        <f t="shared" si="1"/>
        <v>0.26156690951224543</v>
      </c>
    </row>
    <row r="26" spans="1:35">
      <c r="A26" s="7" t="s">
        <v>2</v>
      </c>
      <c r="C26" s="33">
        <v>47677</v>
      </c>
      <c r="D26" s="6">
        <v>17263</v>
      </c>
      <c r="E26" s="6">
        <v>22391</v>
      </c>
      <c r="F26" s="6">
        <v>87330</v>
      </c>
      <c r="G26" s="33">
        <v>34100</v>
      </c>
      <c r="H26" s="6">
        <v>19428</v>
      </c>
      <c r="I26" s="6">
        <v>23575</v>
      </c>
      <c r="J26" s="6">
        <v>77103</v>
      </c>
      <c r="K26" s="93">
        <f>N7/G26</f>
        <v>2.5163057024848285</v>
      </c>
      <c r="O26" s="6"/>
    </row>
    <row r="27" spans="1:35">
      <c r="C27" s="11">
        <f>C26/$F$26</f>
        <v>0.54594068475896029</v>
      </c>
      <c r="D27" s="11">
        <f>D26/$F$26</f>
        <v>0.19767548379709149</v>
      </c>
      <c r="E27" s="11">
        <f>E26/$F$26</f>
        <v>0.25639528226268177</v>
      </c>
      <c r="G27" s="11">
        <f>G26/$J$26</f>
        <v>0.44226554089983527</v>
      </c>
      <c r="H27" s="11">
        <f>H26/$J$26</f>
        <v>0.25197463133730202</v>
      </c>
      <c r="I27" s="11">
        <f>I26/$J$26</f>
        <v>0.30575982776286265</v>
      </c>
      <c r="K27" s="76"/>
    </row>
    <row r="28" spans="1:35">
      <c r="C28" s="11"/>
      <c r="D28" s="11"/>
      <c r="E28" s="11"/>
      <c r="G28" s="11"/>
      <c r="H28" s="11"/>
      <c r="I28" s="11"/>
    </row>
    <row r="29" spans="1:35">
      <c r="A29" s="3" t="s">
        <v>134</v>
      </c>
      <c r="B29" s="4"/>
      <c r="C29" s="80"/>
      <c r="D29" s="80"/>
      <c r="E29" s="80"/>
      <c r="F29" s="4"/>
      <c r="G29" s="80"/>
      <c r="H29" s="80"/>
      <c r="I29" s="80"/>
      <c r="J29" s="4"/>
      <c r="K29" s="4"/>
      <c r="L29" s="4"/>
      <c r="M29" s="4"/>
      <c r="N29" s="4"/>
      <c r="O29" s="4"/>
      <c r="P29" s="4"/>
      <c r="Q29" s="4"/>
      <c r="R29" s="4"/>
      <c r="S29" s="4"/>
      <c r="T29" s="4"/>
      <c r="U29" s="4"/>
      <c r="V29" s="4"/>
      <c r="W29" s="4"/>
    </row>
    <row r="30" spans="1:35">
      <c r="A30" s="89"/>
      <c r="C30" s="11"/>
      <c r="D30" s="11"/>
      <c r="E30" s="11"/>
      <c r="G30" s="11"/>
      <c r="H30" s="11"/>
      <c r="I30" s="11"/>
    </row>
    <row r="31" spans="1:35">
      <c r="A31" s="12" t="s">
        <v>135</v>
      </c>
      <c r="B31" s="12"/>
      <c r="C31" s="79"/>
      <c r="D31" s="79"/>
      <c r="E31" s="79"/>
      <c r="F31" s="12"/>
      <c r="G31" s="79"/>
      <c r="H31" s="79"/>
      <c r="I31" s="11"/>
      <c r="J31" s="7" t="s">
        <v>168</v>
      </c>
    </row>
    <row r="32" spans="1:35" ht="15" customHeight="1">
      <c r="A32" s="316" t="s">
        <v>129</v>
      </c>
      <c r="B32" s="316"/>
      <c r="C32" s="322" t="s">
        <v>133</v>
      </c>
      <c r="D32" s="322"/>
      <c r="E32" s="321" t="s">
        <v>113</v>
      </c>
      <c r="F32" s="321"/>
      <c r="G32" s="321" t="s">
        <v>114</v>
      </c>
      <c r="H32" s="321"/>
    </row>
    <row r="33" spans="1:18">
      <c r="A33" s="316"/>
      <c r="B33" s="316"/>
      <c r="C33" s="322"/>
      <c r="D33" s="322"/>
      <c r="E33" s="87" t="s">
        <v>111</v>
      </c>
      <c r="F33" s="88" t="s">
        <v>112</v>
      </c>
      <c r="G33" s="88" t="s">
        <v>111</v>
      </c>
      <c r="H33" s="88" t="s">
        <v>112</v>
      </c>
      <c r="K33" s="81"/>
      <c r="L33" s="81"/>
    </row>
    <row r="34" spans="1:18">
      <c r="A34" s="2" t="s">
        <v>130</v>
      </c>
      <c r="C34" s="81" t="s">
        <v>2</v>
      </c>
      <c r="E34" s="6">
        <f>J26-F26</f>
        <v>-10227</v>
      </c>
      <c r="F34" s="6">
        <f>N13-M13</f>
        <v>48091.70295133027</v>
      </c>
      <c r="G34" s="11">
        <f>E34/F26</f>
        <v>-0.11710752318790793</v>
      </c>
      <c r="H34" s="11">
        <f>F34/M13</f>
        <v>0.57384873469964959</v>
      </c>
      <c r="K34" s="81"/>
      <c r="L34" s="81"/>
    </row>
    <row r="35" spans="1:18">
      <c r="A35" s="2" t="s">
        <v>131</v>
      </c>
      <c r="C35" s="81" t="s">
        <v>115</v>
      </c>
      <c r="E35" s="6">
        <f>G26-C26</f>
        <v>-13577</v>
      </c>
      <c r="F35" s="6">
        <f>N7-M7</f>
        <v>44639.691121368771</v>
      </c>
      <c r="G35" s="11">
        <f>(G26/J26)-(C26/F26)</f>
        <v>-0.10367514385912502</v>
      </c>
      <c r="H35" s="11">
        <f>(N7/N13)-(M7/M13)</f>
        <v>0.15933951608073665</v>
      </c>
      <c r="K35" s="81"/>
      <c r="L35" s="81"/>
    </row>
    <row r="36" spans="1:18">
      <c r="A36" s="2" t="s">
        <v>132</v>
      </c>
      <c r="B36" s="81"/>
      <c r="C36" s="81" t="s">
        <v>3</v>
      </c>
      <c r="E36" s="84">
        <f>F6+F24-J6</f>
        <v>-1062</v>
      </c>
      <c r="F36" s="85">
        <f>G84-J6</f>
        <v>9857.4787206036126</v>
      </c>
      <c r="G36" s="11">
        <f>(J6/J26)-((F6+F24)/F26)</f>
        <v>3.7531560091115218E-2</v>
      </c>
      <c r="H36" s="86">
        <f>(G84/G103)-(J6/J26)</f>
        <v>-1.5232546535186298E-2</v>
      </c>
      <c r="J36" s="7" t="s">
        <v>136</v>
      </c>
      <c r="K36" s="81"/>
      <c r="L36" s="81"/>
    </row>
    <row r="37" spans="1:18">
      <c r="B37" s="81"/>
      <c r="C37" s="81"/>
      <c r="E37" s="84"/>
      <c r="G37" s="11"/>
      <c r="K37" s="81"/>
      <c r="L37" s="81"/>
    </row>
    <row r="38" spans="1:18" hidden="1">
      <c r="A38" s="90" t="s">
        <v>137</v>
      </c>
      <c r="B38" s="90"/>
      <c r="C38" s="91"/>
      <c r="D38" s="91"/>
      <c r="E38" s="91"/>
      <c r="F38" s="90"/>
      <c r="G38" s="91"/>
      <c r="H38" s="91"/>
      <c r="I38" s="91"/>
      <c r="J38" s="90"/>
      <c r="K38" s="90"/>
      <c r="L38" s="90"/>
      <c r="M38" s="81"/>
      <c r="N38" s="2" t="s">
        <v>140</v>
      </c>
      <c r="O38" s="81"/>
      <c r="P38" s="81"/>
      <c r="Q38" s="81"/>
      <c r="R38" s="81"/>
    </row>
    <row r="39" spans="1:18" ht="15" hidden="1" customHeight="1">
      <c r="A39" s="317" t="s">
        <v>138</v>
      </c>
      <c r="B39" s="317"/>
      <c r="C39" s="317"/>
      <c r="D39" s="317"/>
      <c r="E39" s="317"/>
      <c r="F39" s="318" t="s">
        <v>139</v>
      </c>
      <c r="G39" s="318"/>
      <c r="H39" s="318"/>
      <c r="I39" s="318"/>
      <c r="J39" s="318"/>
      <c r="K39" s="318"/>
      <c r="L39" s="318"/>
    </row>
    <row r="40" spans="1:18" hidden="1">
      <c r="A40" s="5"/>
      <c r="B40" s="5"/>
      <c r="C40" s="5" t="s">
        <v>1</v>
      </c>
      <c r="D40" s="5" t="s">
        <v>35</v>
      </c>
      <c r="E40" s="5" t="s">
        <v>26</v>
      </c>
      <c r="F40" s="29" t="s">
        <v>50</v>
      </c>
      <c r="G40" s="29"/>
      <c r="H40" s="18" t="s">
        <v>24</v>
      </c>
      <c r="I40" s="29"/>
      <c r="J40" s="20" t="s">
        <v>1</v>
      </c>
      <c r="K40" s="19" t="s">
        <v>27</v>
      </c>
      <c r="L40" s="19" t="s">
        <v>26</v>
      </c>
    </row>
    <row r="41" spans="1:18" hidden="1">
      <c r="A41" s="2" t="s">
        <v>3</v>
      </c>
      <c r="C41" s="10">
        <v>4073</v>
      </c>
      <c r="D41" s="10">
        <v>6791</v>
      </c>
      <c r="E41" s="10">
        <v>5840</v>
      </c>
      <c r="F41" s="2" t="s">
        <v>28</v>
      </c>
      <c r="H41" s="1" t="s">
        <v>20</v>
      </c>
      <c r="J41" s="10">
        <v>4357</v>
      </c>
      <c r="K41" s="10">
        <v>677</v>
      </c>
      <c r="L41" s="10">
        <v>1190</v>
      </c>
    </row>
    <row r="42" spans="1:18" hidden="1">
      <c r="C42" s="10">
        <v>4743</v>
      </c>
      <c r="D42" s="10">
        <v>5734</v>
      </c>
      <c r="E42" s="10">
        <v>5166</v>
      </c>
      <c r="H42" s="1"/>
      <c r="J42" s="22">
        <v>4035</v>
      </c>
      <c r="K42" s="22">
        <v>726</v>
      </c>
      <c r="L42" s="22">
        <v>1121</v>
      </c>
    </row>
    <row r="43" spans="1:18" hidden="1">
      <c r="A43" s="2" t="s">
        <v>20</v>
      </c>
      <c r="C43" s="10">
        <v>4357</v>
      </c>
      <c r="D43" s="10">
        <v>677</v>
      </c>
      <c r="E43" s="10">
        <v>1190</v>
      </c>
      <c r="H43" s="1" t="s">
        <v>18</v>
      </c>
      <c r="J43" s="10">
        <v>2419</v>
      </c>
      <c r="K43" s="10">
        <v>1254</v>
      </c>
      <c r="L43" s="10">
        <v>1784</v>
      </c>
    </row>
    <row r="44" spans="1:18" hidden="1">
      <c r="C44" s="10">
        <v>4035</v>
      </c>
      <c r="D44" s="10">
        <v>726</v>
      </c>
      <c r="E44" s="10">
        <v>1121</v>
      </c>
      <c r="F44" s="30"/>
      <c r="G44" s="30"/>
      <c r="H44" s="21"/>
      <c r="I44" s="30"/>
      <c r="J44" s="23">
        <v>3129</v>
      </c>
      <c r="K44" s="23">
        <v>1231</v>
      </c>
      <c r="L44" s="23">
        <v>1774</v>
      </c>
    </row>
    <row r="45" spans="1:18" hidden="1">
      <c r="A45" s="2" t="s">
        <v>7</v>
      </c>
      <c r="C45" s="10">
        <v>1972</v>
      </c>
      <c r="D45" s="10">
        <v>1643</v>
      </c>
      <c r="E45" s="10">
        <v>2188</v>
      </c>
      <c r="F45" s="2" t="s">
        <v>29</v>
      </c>
      <c r="H45" s="1" t="s">
        <v>17</v>
      </c>
      <c r="J45" s="10">
        <v>1525</v>
      </c>
      <c r="K45" s="10">
        <v>176</v>
      </c>
      <c r="L45" s="10">
        <v>341</v>
      </c>
    </row>
    <row r="46" spans="1:18" hidden="1">
      <c r="C46" s="10">
        <v>3170</v>
      </c>
      <c r="D46" s="10">
        <v>1336</v>
      </c>
      <c r="E46" s="10">
        <v>1854</v>
      </c>
      <c r="H46" s="1"/>
      <c r="J46" s="22">
        <v>1507</v>
      </c>
      <c r="K46" s="22">
        <v>214</v>
      </c>
      <c r="L46" s="22">
        <v>335</v>
      </c>
    </row>
    <row r="47" spans="1:18" hidden="1">
      <c r="A47" s="2" t="s">
        <v>18</v>
      </c>
      <c r="C47" s="10">
        <v>2419</v>
      </c>
      <c r="D47" s="10">
        <v>1254</v>
      </c>
      <c r="E47" s="10">
        <v>1784</v>
      </c>
      <c r="H47" s="1" t="s">
        <v>16</v>
      </c>
      <c r="J47" s="10">
        <v>1125</v>
      </c>
      <c r="K47" s="10">
        <v>619</v>
      </c>
      <c r="L47" s="10">
        <v>1250</v>
      </c>
    </row>
    <row r="48" spans="1:18" hidden="1">
      <c r="C48" s="10">
        <v>3129</v>
      </c>
      <c r="D48" s="10">
        <v>1231</v>
      </c>
      <c r="E48" s="10">
        <v>1774</v>
      </c>
      <c r="H48" s="1"/>
      <c r="J48" s="22">
        <v>2043</v>
      </c>
      <c r="K48" s="22">
        <v>462</v>
      </c>
      <c r="L48" s="22">
        <v>968</v>
      </c>
    </row>
    <row r="49" spans="1:18" hidden="1">
      <c r="A49" s="2" t="s">
        <v>5</v>
      </c>
      <c r="C49" s="10">
        <v>3334</v>
      </c>
      <c r="D49" s="10">
        <v>707</v>
      </c>
      <c r="E49" s="10">
        <v>1040</v>
      </c>
      <c r="H49" s="1" t="s">
        <v>30</v>
      </c>
      <c r="J49" s="10">
        <v>545</v>
      </c>
      <c r="K49" s="10">
        <v>622</v>
      </c>
      <c r="L49" s="10">
        <v>925</v>
      </c>
    </row>
    <row r="50" spans="1:18" hidden="1">
      <c r="C50" s="10">
        <v>4946</v>
      </c>
      <c r="D50" s="10">
        <v>574</v>
      </c>
      <c r="E50" s="10">
        <v>995</v>
      </c>
      <c r="H50" s="1"/>
      <c r="J50" s="22">
        <v>538</v>
      </c>
      <c r="K50" s="22">
        <v>542</v>
      </c>
      <c r="L50" s="22">
        <v>878</v>
      </c>
    </row>
    <row r="51" spans="1:18" hidden="1">
      <c r="A51" s="2" t="s">
        <v>4</v>
      </c>
      <c r="C51" s="10">
        <v>1041</v>
      </c>
      <c r="D51" s="10">
        <v>1661</v>
      </c>
      <c r="E51" s="10">
        <v>2146</v>
      </c>
      <c r="H51" s="1" t="s">
        <v>5</v>
      </c>
      <c r="J51" s="10">
        <v>3334</v>
      </c>
      <c r="K51" s="10">
        <v>707</v>
      </c>
      <c r="L51" s="10">
        <v>1040</v>
      </c>
    </row>
    <row r="52" spans="1:18" hidden="1">
      <c r="C52" s="10">
        <v>1477</v>
      </c>
      <c r="D52" s="10">
        <v>1356</v>
      </c>
      <c r="E52" s="10">
        <v>2018</v>
      </c>
      <c r="F52" s="30"/>
      <c r="G52" s="30"/>
      <c r="H52" s="21"/>
      <c r="I52" s="30"/>
      <c r="J52" s="23">
        <v>4946</v>
      </c>
      <c r="K52" s="23">
        <v>574</v>
      </c>
      <c r="L52" s="23">
        <v>995</v>
      </c>
    </row>
    <row r="53" spans="1:18" hidden="1">
      <c r="A53" s="2" t="s">
        <v>10</v>
      </c>
      <c r="C53" s="10">
        <v>3933</v>
      </c>
      <c r="D53" s="10">
        <v>417</v>
      </c>
      <c r="E53" s="10">
        <v>492</v>
      </c>
      <c r="F53" s="2" t="s">
        <v>31</v>
      </c>
      <c r="H53" s="1" t="s">
        <v>7</v>
      </c>
      <c r="J53" s="10">
        <v>1972</v>
      </c>
      <c r="K53" s="10">
        <v>1643</v>
      </c>
      <c r="L53" s="10">
        <v>2188</v>
      </c>
    </row>
    <row r="54" spans="1:18" hidden="1">
      <c r="C54" s="10">
        <v>4967</v>
      </c>
      <c r="D54" s="10">
        <v>435</v>
      </c>
      <c r="E54" s="10">
        <v>551</v>
      </c>
      <c r="H54" s="1"/>
      <c r="J54" s="22">
        <v>3170</v>
      </c>
      <c r="K54" s="22">
        <v>1336</v>
      </c>
      <c r="L54" s="22">
        <v>1854</v>
      </c>
    </row>
    <row r="55" spans="1:18" hidden="1">
      <c r="A55" s="2" t="s">
        <v>14</v>
      </c>
      <c r="C55" s="10">
        <v>2365</v>
      </c>
      <c r="D55" s="10">
        <v>791</v>
      </c>
      <c r="E55" s="10">
        <v>1209</v>
      </c>
      <c r="H55" s="1" t="s">
        <v>14</v>
      </c>
      <c r="J55" s="10">
        <v>2365</v>
      </c>
      <c r="K55" s="10">
        <v>791</v>
      </c>
      <c r="L55" s="10">
        <v>1209</v>
      </c>
    </row>
    <row r="56" spans="1:18" hidden="1">
      <c r="C56" s="10">
        <v>4749</v>
      </c>
      <c r="D56" s="10">
        <v>778</v>
      </c>
      <c r="E56" s="10">
        <v>1252</v>
      </c>
      <c r="F56" s="30"/>
      <c r="G56" s="30"/>
      <c r="H56" s="21"/>
      <c r="I56" s="30"/>
      <c r="J56" s="23">
        <v>4749</v>
      </c>
      <c r="K56" s="23">
        <v>778</v>
      </c>
      <c r="L56" s="23">
        <v>1252</v>
      </c>
    </row>
    <row r="57" spans="1:18" hidden="1">
      <c r="A57" s="2" t="s">
        <v>9</v>
      </c>
      <c r="C57" s="10">
        <v>2023</v>
      </c>
      <c r="D57" s="10">
        <v>945</v>
      </c>
      <c r="E57" s="10">
        <v>713</v>
      </c>
      <c r="F57" s="2" t="s">
        <v>32</v>
      </c>
      <c r="H57" s="1" t="s">
        <v>19</v>
      </c>
      <c r="J57" s="10">
        <v>713</v>
      </c>
      <c r="K57" s="10">
        <v>249</v>
      </c>
      <c r="L57" s="10">
        <v>310</v>
      </c>
    </row>
    <row r="58" spans="1:18" hidden="1">
      <c r="C58" s="10">
        <v>5234</v>
      </c>
      <c r="D58" s="10">
        <v>671</v>
      </c>
      <c r="E58" s="10">
        <v>790</v>
      </c>
      <c r="H58" s="1"/>
      <c r="J58" s="22">
        <v>1772</v>
      </c>
      <c r="K58" s="22">
        <v>291</v>
      </c>
      <c r="L58" s="22">
        <v>371</v>
      </c>
    </row>
    <row r="59" spans="1:18" hidden="1">
      <c r="A59" s="2" t="s">
        <v>12</v>
      </c>
      <c r="C59" s="10">
        <v>1569</v>
      </c>
      <c r="D59" s="10">
        <v>765</v>
      </c>
      <c r="E59" s="10">
        <v>1015</v>
      </c>
      <c r="H59" s="1" t="s">
        <v>12</v>
      </c>
      <c r="J59" s="10">
        <v>1569</v>
      </c>
      <c r="K59" s="10">
        <v>765</v>
      </c>
      <c r="L59" s="10">
        <v>1015</v>
      </c>
    </row>
    <row r="60" spans="1:18" hidden="1">
      <c r="C60" s="10">
        <v>2194</v>
      </c>
      <c r="D60" s="10">
        <v>709</v>
      </c>
      <c r="E60" s="10">
        <v>1078</v>
      </c>
      <c r="H60" s="1"/>
      <c r="J60" s="22">
        <v>2194</v>
      </c>
      <c r="K60" s="22">
        <v>709</v>
      </c>
      <c r="L60" s="22">
        <v>1078</v>
      </c>
    </row>
    <row r="61" spans="1:18" hidden="1">
      <c r="A61" s="2" t="s">
        <v>16</v>
      </c>
      <c r="C61" s="10">
        <v>1125</v>
      </c>
      <c r="D61" s="10">
        <v>619</v>
      </c>
      <c r="E61" s="10">
        <v>1250</v>
      </c>
      <c r="H61" s="1" t="s">
        <v>11</v>
      </c>
      <c r="J61" s="10">
        <v>332</v>
      </c>
      <c r="K61" s="10">
        <v>429</v>
      </c>
      <c r="L61" s="10">
        <v>654</v>
      </c>
    </row>
    <row r="62" spans="1:18" hidden="1">
      <c r="C62" s="10">
        <v>2043</v>
      </c>
      <c r="D62" s="10">
        <v>462</v>
      </c>
      <c r="E62" s="10">
        <v>968</v>
      </c>
      <c r="H62" s="1"/>
      <c r="J62" s="22">
        <v>411</v>
      </c>
      <c r="K62" s="22">
        <v>468</v>
      </c>
      <c r="L62" s="22">
        <v>769</v>
      </c>
    </row>
    <row r="63" spans="1:18" hidden="1">
      <c r="A63" s="2" t="s">
        <v>13</v>
      </c>
      <c r="C63" s="10">
        <v>1254</v>
      </c>
      <c r="D63" s="10">
        <v>433</v>
      </c>
      <c r="E63" s="10">
        <v>701</v>
      </c>
      <c r="H63" s="1" t="s">
        <v>13</v>
      </c>
      <c r="J63" s="10">
        <v>1254</v>
      </c>
      <c r="K63" s="10">
        <v>433</v>
      </c>
      <c r="L63" s="10">
        <v>701</v>
      </c>
    </row>
    <row r="64" spans="1:18" hidden="1">
      <c r="C64" s="10">
        <v>1053</v>
      </c>
      <c r="D64" s="10">
        <v>464</v>
      </c>
      <c r="E64" s="10">
        <v>734</v>
      </c>
      <c r="F64" s="30"/>
      <c r="G64" s="30"/>
      <c r="H64" s="21"/>
      <c r="I64" s="30"/>
      <c r="J64" s="23">
        <v>1053</v>
      </c>
      <c r="K64" s="23">
        <v>464</v>
      </c>
      <c r="L64" s="23">
        <v>734</v>
      </c>
      <c r="N64" s="14"/>
      <c r="O64" s="5"/>
      <c r="P64" s="77" t="s">
        <v>1</v>
      </c>
      <c r="Q64" s="77" t="s">
        <v>27</v>
      </c>
      <c r="R64" s="77" t="s">
        <v>110</v>
      </c>
    </row>
    <row r="65" spans="1:23" hidden="1">
      <c r="A65" s="2" t="s">
        <v>8</v>
      </c>
      <c r="C65" s="10">
        <v>741</v>
      </c>
      <c r="D65" s="10">
        <v>566</v>
      </c>
      <c r="E65" s="10">
        <v>848</v>
      </c>
      <c r="F65" s="2" t="s">
        <v>33</v>
      </c>
      <c r="H65" s="1" t="s">
        <v>22</v>
      </c>
      <c r="J65" s="10">
        <v>26</v>
      </c>
      <c r="K65" s="10">
        <v>106</v>
      </c>
      <c r="L65" s="10">
        <v>132</v>
      </c>
      <c r="P65" s="24">
        <f t="shared" ref="P65:R66" si="2">J77</f>
        <v>4073</v>
      </c>
      <c r="Q65" s="24">
        <f t="shared" si="2"/>
        <v>6791</v>
      </c>
      <c r="R65" s="24">
        <f t="shared" si="2"/>
        <v>5840</v>
      </c>
    </row>
    <row r="66" spans="1:23" hidden="1">
      <c r="C66" s="10">
        <v>873</v>
      </c>
      <c r="D66" s="10">
        <v>607</v>
      </c>
      <c r="E66" s="10">
        <v>851</v>
      </c>
      <c r="H66" s="1"/>
      <c r="J66" s="22">
        <v>30</v>
      </c>
      <c r="K66" s="22">
        <v>99</v>
      </c>
      <c r="L66" s="22">
        <v>120</v>
      </c>
      <c r="N66" s="1" t="s">
        <v>3</v>
      </c>
      <c r="P66" s="24">
        <f t="shared" si="2"/>
        <v>4743</v>
      </c>
      <c r="Q66" s="24">
        <f t="shared" si="2"/>
        <v>5734</v>
      </c>
      <c r="R66" s="24">
        <f t="shared" si="2"/>
        <v>5166</v>
      </c>
    </row>
    <row r="67" spans="1:23" hidden="1">
      <c r="A67" s="2" t="s">
        <v>6</v>
      </c>
      <c r="C67" s="10">
        <v>753</v>
      </c>
      <c r="D67" s="10">
        <v>578</v>
      </c>
      <c r="E67" s="10">
        <v>800</v>
      </c>
      <c r="H67" s="1" t="s">
        <v>4</v>
      </c>
      <c r="J67" s="10">
        <v>1041</v>
      </c>
      <c r="K67" s="10">
        <v>1661</v>
      </c>
      <c r="L67" s="10">
        <v>2146</v>
      </c>
      <c r="N67" s="1"/>
      <c r="P67" s="24">
        <f t="shared" ref="P67:R68" si="3">J71+J73+J75</f>
        <v>6697</v>
      </c>
      <c r="Q67" s="24">
        <f t="shared" si="3"/>
        <v>1928</v>
      </c>
      <c r="R67" s="24">
        <f t="shared" si="3"/>
        <v>2053</v>
      </c>
    </row>
    <row r="68" spans="1:23" hidden="1">
      <c r="C68" s="10">
        <v>803</v>
      </c>
      <c r="D68" s="10">
        <v>566</v>
      </c>
      <c r="E68" s="10">
        <v>766</v>
      </c>
      <c r="H68" s="1"/>
      <c r="J68" s="22">
        <v>1477</v>
      </c>
      <c r="K68" s="22">
        <v>1356</v>
      </c>
      <c r="L68" s="22">
        <v>2018</v>
      </c>
      <c r="N68" s="1" t="s">
        <v>34</v>
      </c>
      <c r="P68" s="24">
        <f t="shared" si="3"/>
        <v>11074</v>
      </c>
      <c r="Q68" s="24">
        <f t="shared" si="3"/>
        <v>1713</v>
      </c>
      <c r="R68" s="24">
        <f t="shared" si="3"/>
        <v>2192</v>
      </c>
    </row>
    <row r="69" spans="1:23" hidden="1">
      <c r="A69" s="2" t="s">
        <v>23</v>
      </c>
      <c r="C69" s="10">
        <v>545</v>
      </c>
      <c r="D69" s="10">
        <v>622</v>
      </c>
      <c r="E69" s="10">
        <v>925</v>
      </c>
      <c r="H69" s="1" t="s">
        <v>6</v>
      </c>
      <c r="J69" s="10">
        <v>753</v>
      </c>
      <c r="K69" s="10">
        <v>578</v>
      </c>
      <c r="L69" s="10">
        <v>800</v>
      </c>
      <c r="N69" s="1"/>
      <c r="P69" s="24">
        <f t="shared" ref="P69:R70" si="4">J65+J67+J69</f>
        <v>1820</v>
      </c>
      <c r="Q69" s="24">
        <f t="shared" si="4"/>
        <v>2345</v>
      </c>
      <c r="R69" s="24">
        <f t="shared" si="4"/>
        <v>3078</v>
      </c>
    </row>
    <row r="70" spans="1:23" hidden="1">
      <c r="C70" s="10">
        <v>538</v>
      </c>
      <c r="D70" s="10">
        <v>542</v>
      </c>
      <c r="E70" s="10">
        <v>878</v>
      </c>
      <c r="F70" s="30"/>
      <c r="G70" s="30"/>
      <c r="H70" s="21"/>
      <c r="I70" s="30"/>
      <c r="J70" s="23">
        <v>803</v>
      </c>
      <c r="K70" s="23">
        <v>566</v>
      </c>
      <c r="L70" s="23">
        <v>766</v>
      </c>
      <c r="N70" s="1" t="s">
        <v>33</v>
      </c>
      <c r="P70" s="24">
        <f t="shared" si="4"/>
        <v>2310</v>
      </c>
      <c r="Q70" s="24">
        <f t="shared" si="4"/>
        <v>2021</v>
      </c>
      <c r="R70" s="24">
        <f t="shared" si="4"/>
        <v>2904</v>
      </c>
    </row>
    <row r="71" spans="1:23" hidden="1">
      <c r="A71" s="2" t="s">
        <v>17</v>
      </c>
      <c r="C71" s="10">
        <v>1525</v>
      </c>
      <c r="D71" s="10">
        <v>176</v>
      </c>
      <c r="E71" s="10">
        <v>341</v>
      </c>
      <c r="F71" s="2" t="s">
        <v>34</v>
      </c>
      <c r="H71" s="1" t="s">
        <v>8</v>
      </c>
      <c r="J71" s="10">
        <v>741</v>
      </c>
      <c r="K71" s="10">
        <v>566</v>
      </c>
      <c r="L71" s="10">
        <v>848</v>
      </c>
      <c r="N71" s="1"/>
      <c r="P71" s="24">
        <f t="shared" ref="P71:R72" si="5">J57+J59+J61+J63</f>
        <v>3868</v>
      </c>
      <c r="Q71" s="24">
        <f t="shared" si="5"/>
        <v>1876</v>
      </c>
      <c r="R71" s="24">
        <f t="shared" si="5"/>
        <v>2680</v>
      </c>
    </row>
    <row r="72" spans="1:23" hidden="1">
      <c r="C72" s="10">
        <v>1507</v>
      </c>
      <c r="D72" s="10">
        <v>214</v>
      </c>
      <c r="E72" s="10">
        <v>335</v>
      </c>
      <c r="H72" s="1"/>
      <c r="J72" s="22">
        <v>873</v>
      </c>
      <c r="K72" s="22">
        <v>607</v>
      </c>
      <c r="L72" s="22">
        <v>851</v>
      </c>
      <c r="N72" s="1" t="s">
        <v>32</v>
      </c>
      <c r="P72" s="24">
        <f t="shared" si="5"/>
        <v>5430</v>
      </c>
      <c r="Q72" s="24">
        <f t="shared" si="5"/>
        <v>1932</v>
      </c>
      <c r="R72" s="24">
        <f t="shared" si="5"/>
        <v>2952</v>
      </c>
    </row>
    <row r="73" spans="1:23" hidden="1">
      <c r="A73" s="2" t="s">
        <v>11</v>
      </c>
      <c r="C73" s="10">
        <v>332</v>
      </c>
      <c r="D73" s="10">
        <v>429</v>
      </c>
      <c r="E73" s="10">
        <v>654</v>
      </c>
      <c r="H73" s="1" t="s">
        <v>9</v>
      </c>
      <c r="J73" s="10">
        <v>2023</v>
      </c>
      <c r="K73" s="10">
        <v>945</v>
      </c>
      <c r="L73" s="10">
        <v>713</v>
      </c>
      <c r="N73" s="1"/>
      <c r="P73" s="24">
        <f t="shared" ref="P73:R74" si="6">J53+J55</f>
        <v>4337</v>
      </c>
      <c r="Q73" s="24">
        <f t="shared" si="6"/>
        <v>2434</v>
      </c>
      <c r="R73" s="24">
        <f t="shared" si="6"/>
        <v>3397</v>
      </c>
    </row>
    <row r="74" spans="1:23" hidden="1">
      <c r="C74" s="10">
        <v>411</v>
      </c>
      <c r="D74" s="10">
        <v>468</v>
      </c>
      <c r="E74" s="10">
        <v>769</v>
      </c>
      <c r="H74" s="1"/>
      <c r="J74" s="22">
        <v>5234</v>
      </c>
      <c r="K74" s="22">
        <v>671</v>
      </c>
      <c r="L74" s="22">
        <v>790</v>
      </c>
      <c r="N74" s="1" t="s">
        <v>31</v>
      </c>
      <c r="P74" s="24">
        <f t="shared" si="6"/>
        <v>7919</v>
      </c>
      <c r="Q74" s="24">
        <f t="shared" si="6"/>
        <v>2114</v>
      </c>
      <c r="R74" s="24">
        <f t="shared" si="6"/>
        <v>3106</v>
      </c>
    </row>
    <row r="75" spans="1:23" hidden="1">
      <c r="A75" s="2" t="s">
        <v>19</v>
      </c>
      <c r="C75" s="10">
        <v>713</v>
      </c>
      <c r="D75" s="10">
        <v>249</v>
      </c>
      <c r="E75" s="10">
        <v>310</v>
      </c>
      <c r="H75" s="1" t="s">
        <v>10</v>
      </c>
      <c r="J75" s="10">
        <v>3933</v>
      </c>
      <c r="K75" s="10">
        <v>417</v>
      </c>
      <c r="L75" s="10">
        <v>492</v>
      </c>
      <c r="N75" s="1"/>
      <c r="P75" s="24">
        <f t="shared" ref="P75:R76" si="7">J45+J47+J49+J51</f>
        <v>6529</v>
      </c>
      <c r="Q75" s="24">
        <f t="shared" si="7"/>
        <v>2124</v>
      </c>
      <c r="R75" s="24">
        <f t="shared" si="7"/>
        <v>3556</v>
      </c>
    </row>
    <row r="76" spans="1:23" hidden="1">
      <c r="C76" s="10">
        <v>1772</v>
      </c>
      <c r="D76" s="10">
        <v>291</v>
      </c>
      <c r="E76" s="10">
        <v>371</v>
      </c>
      <c r="F76" s="30"/>
      <c r="G76" s="30"/>
      <c r="H76" s="21"/>
      <c r="I76" s="30"/>
      <c r="J76" s="23">
        <v>4967</v>
      </c>
      <c r="K76" s="23">
        <v>435</v>
      </c>
      <c r="L76" s="23">
        <v>551</v>
      </c>
      <c r="N76" s="1" t="s">
        <v>29</v>
      </c>
      <c r="P76" s="24">
        <f t="shared" si="7"/>
        <v>9034</v>
      </c>
      <c r="Q76" s="24">
        <f t="shared" si="7"/>
        <v>1792</v>
      </c>
      <c r="R76" s="24">
        <f t="shared" si="7"/>
        <v>3176</v>
      </c>
    </row>
    <row r="77" spans="1:23" hidden="1">
      <c r="A77" s="2" t="s">
        <v>22</v>
      </c>
      <c r="C77" s="10">
        <v>26</v>
      </c>
      <c r="D77" s="10">
        <v>106</v>
      </c>
      <c r="E77" s="10">
        <v>132</v>
      </c>
      <c r="F77" s="2" t="s">
        <v>3</v>
      </c>
      <c r="H77" s="1" t="s">
        <v>3</v>
      </c>
      <c r="J77" s="10">
        <v>4073</v>
      </c>
      <c r="K77" s="10">
        <v>6791</v>
      </c>
      <c r="L77" s="10">
        <v>5840</v>
      </c>
      <c r="N77" s="1"/>
      <c r="P77" s="24">
        <f t="shared" ref="P77:R78" si="8">J41+J43</f>
        <v>6776</v>
      </c>
      <c r="Q77" s="24">
        <f t="shared" si="8"/>
        <v>1931</v>
      </c>
      <c r="R77" s="24">
        <f t="shared" si="8"/>
        <v>2974</v>
      </c>
    </row>
    <row r="78" spans="1:23" hidden="1">
      <c r="C78" s="10">
        <v>30</v>
      </c>
      <c r="D78" s="10">
        <v>99</v>
      </c>
      <c r="E78" s="10">
        <v>120</v>
      </c>
      <c r="H78" s="1"/>
      <c r="J78" s="22">
        <v>4743</v>
      </c>
      <c r="K78" s="22">
        <v>5734</v>
      </c>
      <c r="L78" s="22">
        <v>5166</v>
      </c>
      <c r="N78" s="1" t="s">
        <v>28</v>
      </c>
      <c r="P78" s="24">
        <f t="shared" si="8"/>
        <v>7164</v>
      </c>
      <c r="Q78" s="24">
        <f t="shared" si="8"/>
        <v>1957</v>
      </c>
      <c r="R78" s="24">
        <f t="shared" si="8"/>
        <v>2895</v>
      </c>
    </row>
    <row r="79" spans="1:23" hidden="1">
      <c r="A79" s="1"/>
      <c r="B79" s="1"/>
      <c r="C79" s="1"/>
      <c r="D79" s="1"/>
      <c r="E79" s="1"/>
    </row>
    <row r="80" spans="1:23">
      <c r="A80" s="3" t="s">
        <v>169</v>
      </c>
      <c r="B80" s="4"/>
      <c r="C80" s="4"/>
      <c r="D80" s="4"/>
      <c r="E80" s="4"/>
      <c r="F80" s="4"/>
      <c r="G80" s="4"/>
      <c r="H80" s="4"/>
      <c r="I80" s="4"/>
      <c r="J80" s="4"/>
      <c r="K80" s="4"/>
      <c r="L80" s="4"/>
      <c r="M80" s="4"/>
      <c r="N80" s="4"/>
      <c r="O80" s="4"/>
      <c r="P80" s="4"/>
      <c r="Q80" s="4"/>
      <c r="R80" s="4"/>
      <c r="S80" s="4"/>
      <c r="T80" s="4"/>
      <c r="U80" s="4"/>
      <c r="V80" s="4"/>
      <c r="W80" s="4"/>
    </row>
    <row r="81" spans="1:23">
      <c r="A81" s="12" t="s">
        <v>143</v>
      </c>
      <c r="B81" s="12"/>
      <c r="C81" s="12" t="s">
        <v>142</v>
      </c>
      <c r="D81" s="12"/>
      <c r="E81" s="12"/>
      <c r="F81" s="12"/>
      <c r="G81" s="12"/>
      <c r="H81" s="12"/>
      <c r="I81" s="12"/>
      <c r="J81" s="12"/>
      <c r="K81" s="12"/>
      <c r="L81" s="12"/>
      <c r="M81" s="12"/>
      <c r="N81" s="12"/>
      <c r="O81" s="12"/>
      <c r="P81" s="12"/>
      <c r="Q81" s="12"/>
      <c r="R81" s="12"/>
      <c r="S81" s="12"/>
      <c r="T81" s="12"/>
      <c r="U81" s="12"/>
      <c r="V81" s="12"/>
      <c r="W81" s="12"/>
    </row>
    <row r="82" spans="1:23">
      <c r="A82" s="12"/>
      <c r="B82" s="12"/>
      <c r="C82" s="12" t="s">
        <v>144</v>
      </c>
      <c r="D82" s="12"/>
      <c r="E82" s="12"/>
      <c r="F82" s="12"/>
      <c r="G82" s="12"/>
      <c r="H82" s="12"/>
      <c r="I82" s="12"/>
      <c r="J82" s="12"/>
      <c r="K82" s="12"/>
      <c r="L82" s="12"/>
      <c r="M82" s="12"/>
      <c r="N82" s="12"/>
      <c r="O82" s="12"/>
      <c r="P82" s="12"/>
      <c r="Q82" s="12"/>
      <c r="R82" s="12"/>
      <c r="S82" s="12"/>
      <c r="T82" s="12"/>
      <c r="U82" s="12"/>
      <c r="V82" s="12"/>
      <c r="W82" s="12"/>
    </row>
    <row r="83" spans="1:23" ht="43.2">
      <c r="A83" s="5" t="s">
        <v>55</v>
      </c>
      <c r="B83" s="5"/>
      <c r="C83" s="92" t="s">
        <v>145</v>
      </c>
      <c r="D83" s="5" t="s">
        <v>1</v>
      </c>
      <c r="E83" s="5" t="s">
        <v>27</v>
      </c>
      <c r="F83" s="5" t="s">
        <v>26</v>
      </c>
      <c r="G83" s="8" t="s">
        <v>2</v>
      </c>
      <c r="H83" s="94" t="s">
        <v>147</v>
      </c>
    </row>
    <row r="84" spans="1:23">
      <c r="A84" s="2" t="s">
        <v>3</v>
      </c>
      <c r="C84" s="24">
        <f t="shared" ref="C84:C102" si="9">W6-G6</f>
        <v>16738</v>
      </c>
      <c r="D84" s="24">
        <f t="shared" ref="D84:D102" si="10">G6+$M$84*C84</f>
        <v>13487.082553662654</v>
      </c>
      <c r="E84" s="24">
        <f t="shared" ref="E84:E101" si="11">H6*$N$6/$H$26</f>
        <v>5686.9666381346478</v>
      </c>
      <c r="F84" s="24">
        <f t="shared" ref="F84:F101" si="12">I6*$N$5/$I$26</f>
        <v>7387.4295288063131</v>
      </c>
      <c r="G84" s="6">
        <f>SUM(D84:F84)</f>
        <v>26561.478720603613</v>
      </c>
      <c r="H84" s="11">
        <f t="shared" ref="H84:H103" si="13">D84/W6</f>
        <v>0.64807469865276313</v>
      </c>
      <c r="J84" s="5" t="s">
        <v>146</v>
      </c>
      <c r="K84" s="5"/>
      <c r="L84" s="5"/>
      <c r="M84" s="95">
        <f>(N7-G26)/C103</f>
        <v>0.56243771977910473</v>
      </c>
    </row>
    <row r="85" spans="1:23">
      <c r="A85" s="2" t="s">
        <v>4</v>
      </c>
      <c r="C85" s="24">
        <f t="shared" si="9"/>
        <v>1801</v>
      </c>
      <c r="D85" s="24">
        <f t="shared" si="10"/>
        <v>2053.9503333221674</v>
      </c>
      <c r="E85" s="24">
        <f t="shared" si="11"/>
        <v>1390.9662179269105</v>
      </c>
      <c r="F85" s="24">
        <f t="shared" si="12"/>
        <v>2714.6273576743747</v>
      </c>
      <c r="G85" s="6">
        <f t="shared" ref="G85:G102" si="14">SUM(D85:F85)</f>
        <v>6159.5439089234533</v>
      </c>
      <c r="H85" s="11">
        <f t="shared" si="13"/>
        <v>0.72271299553911583</v>
      </c>
    </row>
    <row r="86" spans="1:23">
      <c r="A86" s="2" t="s">
        <v>5</v>
      </c>
      <c r="C86" s="24">
        <f t="shared" si="9"/>
        <v>5903</v>
      </c>
      <c r="D86" s="24">
        <f t="shared" si="10"/>
        <v>6654.0698598560557</v>
      </c>
      <c r="E86" s="24">
        <f t="shared" si="11"/>
        <v>592.06087662512084</v>
      </c>
      <c r="F86" s="24">
        <f t="shared" si="12"/>
        <v>1315.5696421161927</v>
      </c>
      <c r="G86" s="6">
        <f t="shared" si="14"/>
        <v>8561.7003785973684</v>
      </c>
      <c r="H86" s="11">
        <f t="shared" si="13"/>
        <v>0.72037131751175232</v>
      </c>
    </row>
    <row r="87" spans="1:23">
      <c r="A87" s="2" t="s">
        <v>6</v>
      </c>
      <c r="C87" s="24">
        <f t="shared" si="9"/>
        <v>948</v>
      </c>
      <c r="D87" s="24">
        <f t="shared" si="10"/>
        <v>1286.1909583505912</v>
      </c>
      <c r="E87" s="24">
        <f t="shared" si="11"/>
        <v>484.03279588305497</v>
      </c>
      <c r="F87" s="24">
        <f t="shared" si="12"/>
        <v>1011.9766477816867</v>
      </c>
      <c r="G87" s="6">
        <f t="shared" si="14"/>
        <v>2782.2004020153327</v>
      </c>
      <c r="H87" s="11">
        <f t="shared" si="13"/>
        <v>0.75613812954179382</v>
      </c>
      <c r="J87" s="14"/>
      <c r="K87" s="5" t="s">
        <v>145</v>
      </c>
      <c r="L87" s="5" t="s">
        <v>1</v>
      </c>
      <c r="M87" s="5" t="s">
        <v>27</v>
      </c>
      <c r="N87" s="5" t="s">
        <v>26</v>
      </c>
      <c r="O87" s="5" t="s">
        <v>3220</v>
      </c>
      <c r="Q87" s="7" t="s">
        <v>3219</v>
      </c>
    </row>
    <row r="88" spans="1:23">
      <c r="A88" s="2" t="s">
        <v>7</v>
      </c>
      <c r="C88" s="24">
        <f t="shared" si="9"/>
        <v>2703</v>
      </c>
      <c r="D88" s="24">
        <f t="shared" si="10"/>
        <v>3492.2691565629202</v>
      </c>
      <c r="E88" s="24">
        <f t="shared" si="11"/>
        <v>1375.8925322419711</v>
      </c>
      <c r="F88" s="24">
        <f t="shared" si="12"/>
        <v>2767.7561316829133</v>
      </c>
      <c r="G88" s="6">
        <f t="shared" si="14"/>
        <v>7635.9178204878044</v>
      </c>
      <c r="H88" s="11">
        <f t="shared" si="13"/>
        <v>0.74700944525410062</v>
      </c>
      <c r="J88" s="1" t="s">
        <v>28</v>
      </c>
      <c r="K88" s="24">
        <f>(C101+C99)*(1-M84)</f>
        <v>7127.4519825181633</v>
      </c>
      <c r="L88" s="24">
        <f>D101+D99</f>
        <v>15937.548017481837</v>
      </c>
      <c r="M88" s="24">
        <f>E101+E99</f>
        <v>1617.0715032010019</v>
      </c>
      <c r="N88" s="24">
        <f>F101+F99</f>
        <v>3762.0231881284208</v>
      </c>
      <c r="O88" s="206">
        <f t="shared" ref="O88:O94" si="15">SUM(L88:N88)</f>
        <v>21316.642708811258</v>
      </c>
      <c r="Q88" s="6">
        <f>O88/8.76</f>
        <v>2433.4067019190934</v>
      </c>
    </row>
    <row r="89" spans="1:23">
      <c r="A89" s="2" t="s">
        <v>8</v>
      </c>
      <c r="C89" s="24">
        <f t="shared" si="9"/>
        <v>1516</v>
      </c>
      <c r="D89" s="24">
        <f t="shared" si="10"/>
        <v>1593.6555831851229</v>
      </c>
      <c r="E89" s="24">
        <f t="shared" si="11"/>
        <v>473.98367209309538</v>
      </c>
      <c r="F89" s="24">
        <f t="shared" si="12"/>
        <v>1072.695246648588</v>
      </c>
      <c r="G89" s="6">
        <f t="shared" si="14"/>
        <v>3140.3345019268063</v>
      </c>
      <c r="H89" s="11">
        <f t="shared" si="13"/>
        <v>0.70609463145109563</v>
      </c>
      <c r="J89" s="1" t="s">
        <v>29</v>
      </c>
      <c r="K89" s="24">
        <f>(C98+C97+C96+C86)*(1-M84)</f>
        <v>5805.5763339708383</v>
      </c>
      <c r="L89" s="24">
        <f>D98+D97+D96+D86</f>
        <v>13991.423666029163</v>
      </c>
      <c r="M89" s="24">
        <f>E98+E97+E96+E86</f>
        <v>1778.6949108228523</v>
      </c>
      <c r="N89" s="24">
        <f>F98+F97+F96+F86</f>
        <v>4498.2361993895975</v>
      </c>
      <c r="O89" s="206">
        <f t="shared" si="15"/>
        <v>20268.354776241613</v>
      </c>
      <c r="Q89" s="6">
        <f t="shared" ref="Q89:Q95" si="16">O89/8.76</f>
        <v>2313.7391297079466</v>
      </c>
    </row>
    <row r="90" spans="1:23">
      <c r="A90" s="2" t="s">
        <v>9</v>
      </c>
      <c r="C90" s="24">
        <f t="shared" si="9"/>
        <v>8120</v>
      </c>
      <c r="D90" s="24">
        <f t="shared" si="10"/>
        <v>6589.9942846063304</v>
      </c>
      <c r="E90" s="24">
        <f t="shared" si="11"/>
        <v>791.36849845931999</v>
      </c>
      <c r="F90" s="24">
        <f t="shared" si="12"/>
        <v>901.92418733542843</v>
      </c>
      <c r="G90" s="6">
        <f t="shared" si="14"/>
        <v>8283.2869704010791</v>
      </c>
      <c r="H90" s="11">
        <f t="shared" si="13"/>
        <v>0.6497085955443489</v>
      </c>
      <c r="J90" s="1" t="s">
        <v>31</v>
      </c>
      <c r="K90" s="24">
        <f>(C88+C95)*(1-M84)</f>
        <v>5112.0401198207192</v>
      </c>
      <c r="L90" s="24">
        <f>D88+D95</f>
        <v>10907.959880179282</v>
      </c>
      <c r="M90" s="24">
        <f>E88+E95</f>
        <v>2038.2972753968093</v>
      </c>
      <c r="N90" s="24">
        <f>F88+F95</f>
        <v>4297.1058406429875</v>
      </c>
      <c r="O90" s="206">
        <f t="shared" si="15"/>
        <v>17243.362996219079</v>
      </c>
      <c r="Q90" s="6">
        <f t="shared" si="16"/>
        <v>1968.4204333583423</v>
      </c>
    </row>
    <row r="91" spans="1:23">
      <c r="A91" s="2" t="s">
        <v>10</v>
      </c>
      <c r="C91" s="24">
        <f t="shared" si="9"/>
        <v>14226</v>
      </c>
      <c r="D91" s="24">
        <f t="shared" si="10"/>
        <v>11934.239001577544</v>
      </c>
      <c r="E91" s="24">
        <f t="shared" si="11"/>
        <v>349.20705170109676</v>
      </c>
      <c r="F91" s="24">
        <f t="shared" si="12"/>
        <v>622.36563838573738</v>
      </c>
      <c r="G91" s="6">
        <f t="shared" si="14"/>
        <v>12905.811691664378</v>
      </c>
      <c r="H91" s="11">
        <f t="shared" si="13"/>
        <v>0.65720794105278613</v>
      </c>
      <c r="J91" s="1" t="s">
        <v>32</v>
      </c>
      <c r="K91" s="24">
        <f>(C100+C93+C92+C94)*(1-M84)</f>
        <v>3181.5153394861295</v>
      </c>
      <c r="L91" s="24">
        <f>D100+D93+D92+D94</f>
        <v>7957.4846605138709</v>
      </c>
      <c r="M91" s="24">
        <f>E100+E93+E92+E94</f>
        <v>1571.0130191636867</v>
      </c>
      <c r="N91" s="24">
        <f>F100+F93+F92+F94</f>
        <v>3390.1217700686507</v>
      </c>
      <c r="O91" s="206">
        <f t="shared" si="15"/>
        <v>12918.619449746207</v>
      </c>
      <c r="Q91" s="6">
        <f t="shared" si="16"/>
        <v>1474.7282476879232</v>
      </c>
    </row>
    <row r="92" spans="1:23">
      <c r="A92" s="2" t="s">
        <v>11</v>
      </c>
      <c r="C92" s="24">
        <f t="shared" si="9"/>
        <v>878</v>
      </c>
      <c r="D92" s="24">
        <f t="shared" si="10"/>
        <v>825.82031796605395</v>
      </c>
      <c r="E92" s="24">
        <f t="shared" si="11"/>
        <v>359.25617549105635</v>
      </c>
      <c r="F92" s="24">
        <f t="shared" si="12"/>
        <v>827.29090956152891</v>
      </c>
      <c r="G92" s="6">
        <f t="shared" si="14"/>
        <v>2012.3674030186392</v>
      </c>
      <c r="H92" s="11">
        <f t="shared" si="13"/>
        <v>0.68249613055045777</v>
      </c>
      <c r="J92" s="1" t="s">
        <v>33</v>
      </c>
      <c r="K92" s="24">
        <f>(C102+C85+C87)*(1-M84)</f>
        <v>1234.3631925031455</v>
      </c>
      <c r="L92" s="24">
        <f>D102+D85+D87</f>
        <v>3380.6368074968541</v>
      </c>
      <c r="M92" s="24">
        <f>E102+E85+E87</f>
        <v>1963.766273954609</v>
      </c>
      <c r="N92" s="24">
        <f>F102+F85+F87</f>
        <v>3893.5801523400396</v>
      </c>
      <c r="O92" s="206">
        <f t="shared" si="15"/>
        <v>9237.9832337915032</v>
      </c>
      <c r="Q92" s="6">
        <f t="shared" si="16"/>
        <v>1054.5642960949206</v>
      </c>
    </row>
    <row r="93" spans="1:23">
      <c r="A93" s="2" t="s">
        <v>12</v>
      </c>
      <c r="C93" s="24">
        <f t="shared" si="9"/>
        <v>2890</v>
      </c>
      <c r="D93" s="24">
        <f t="shared" si="10"/>
        <v>3194.4450101616126</v>
      </c>
      <c r="E93" s="24">
        <f t="shared" si="11"/>
        <v>640.63164160992562</v>
      </c>
      <c r="F93" s="24">
        <f t="shared" si="12"/>
        <v>1283.9453718730151</v>
      </c>
      <c r="G93" s="6">
        <f t="shared" si="14"/>
        <v>5119.022023644553</v>
      </c>
      <c r="H93" s="11">
        <f t="shared" si="13"/>
        <v>0.71640390449912816</v>
      </c>
      <c r="J93" s="1" t="s">
        <v>34</v>
      </c>
      <c r="K93" s="24">
        <f>(C89+C90+C91)*(1-M84)</f>
        <v>10441.111130631003</v>
      </c>
      <c r="L93" s="24">
        <f>D89+D90+D91</f>
        <v>20117.888869368995</v>
      </c>
      <c r="M93" s="24">
        <f>E89+E90+E91</f>
        <v>1614.5592222535122</v>
      </c>
      <c r="N93" s="24">
        <f>F89+F90+F91</f>
        <v>2596.9850723697537</v>
      </c>
      <c r="O93" s="206">
        <f t="shared" si="15"/>
        <v>24329.43316399226</v>
      </c>
      <c r="P93" s="76"/>
      <c r="Q93" s="6">
        <f t="shared" si="16"/>
        <v>2777.3325529671529</v>
      </c>
    </row>
    <row r="94" spans="1:23">
      <c r="A94" s="2" t="s">
        <v>13</v>
      </c>
      <c r="C94" s="24">
        <f t="shared" si="9"/>
        <v>3199</v>
      </c>
      <c r="D94" s="24">
        <f t="shared" si="10"/>
        <v>3053.2382655733563</v>
      </c>
      <c r="E94" s="24">
        <f t="shared" si="11"/>
        <v>362.6058834210429</v>
      </c>
      <c r="F94" s="24">
        <f t="shared" si="12"/>
        <v>886.74453761870302</v>
      </c>
      <c r="G94" s="6">
        <f t="shared" si="14"/>
        <v>4302.5886866131023</v>
      </c>
      <c r="H94" s="11">
        <f t="shared" si="13"/>
        <v>0.68565871672431089</v>
      </c>
      <c r="J94" s="1" t="s">
        <v>3</v>
      </c>
      <c r="K94" s="24">
        <f>C84*(1-M84)</f>
        <v>7323.9174463373447</v>
      </c>
      <c r="L94" s="24">
        <f>D84</f>
        <v>13487.082553662654</v>
      </c>
      <c r="M94" s="24">
        <f>E84</f>
        <v>5686.9666381346478</v>
      </c>
      <c r="N94" s="24">
        <f>F84</f>
        <v>7387.4295288063131</v>
      </c>
      <c r="O94" s="206">
        <f t="shared" si="15"/>
        <v>26561.478720603613</v>
      </c>
      <c r="Q94" s="6">
        <f t="shared" si="16"/>
        <v>3032.1322740415085</v>
      </c>
    </row>
    <row r="95" spans="1:23">
      <c r="A95" s="2" t="s">
        <v>14</v>
      </c>
      <c r="C95" s="24">
        <f t="shared" si="9"/>
        <v>8980</v>
      </c>
      <c r="D95" s="24">
        <f t="shared" si="10"/>
        <v>7415.6907236163606</v>
      </c>
      <c r="E95" s="24">
        <f t="shared" si="11"/>
        <v>662.40474315483823</v>
      </c>
      <c r="F95" s="24">
        <f t="shared" si="12"/>
        <v>1529.3497089600739</v>
      </c>
      <c r="G95" s="6">
        <f t="shared" si="14"/>
        <v>9607.4451757312727</v>
      </c>
      <c r="H95" s="11">
        <f t="shared" si="13"/>
        <v>0.65365277422797363</v>
      </c>
      <c r="K95" s="6">
        <f>SUM(K88:K94)</f>
        <v>40225.975545267342</v>
      </c>
      <c r="L95" s="6">
        <f>SUM(L88:L94)</f>
        <v>85780.024454732658</v>
      </c>
      <c r="M95" s="6">
        <f>SUM(M88:M94)</f>
        <v>16270.368842927121</v>
      </c>
      <c r="N95" s="6">
        <f>SUM(N88:N94)</f>
        <v>29825.481751745763</v>
      </c>
      <c r="O95" s="6">
        <f>SUM(O88:O94)</f>
        <v>131875.87504940553</v>
      </c>
      <c r="Q95" s="6">
        <f t="shared" si="16"/>
        <v>15054.323635776887</v>
      </c>
    </row>
    <row r="96" spans="1:23">
      <c r="A96" s="2" t="s">
        <v>23</v>
      </c>
      <c r="C96" s="24">
        <f t="shared" si="9"/>
        <v>831</v>
      </c>
      <c r="D96" s="24">
        <f t="shared" si="10"/>
        <v>1012.3857451364361</v>
      </c>
      <c r="E96" s="24">
        <f t="shared" si="11"/>
        <v>520.87958311290686</v>
      </c>
      <c r="F96" s="24">
        <f t="shared" si="12"/>
        <v>1170.0979989975754</v>
      </c>
      <c r="G96" s="6">
        <f t="shared" si="14"/>
        <v>2703.3633272469183</v>
      </c>
      <c r="H96" s="11">
        <f t="shared" si="13"/>
        <v>0.73574545431427041</v>
      </c>
    </row>
    <row r="97" spans="1:8">
      <c r="A97" s="2" t="s">
        <v>16</v>
      </c>
      <c r="C97" s="24">
        <f t="shared" si="9"/>
        <v>5710</v>
      </c>
      <c r="D97" s="24">
        <f t="shared" si="10"/>
        <v>4336.519379938688</v>
      </c>
      <c r="E97" s="24">
        <f t="shared" si="11"/>
        <v>518.36730216541696</v>
      </c>
      <c r="F97" s="24">
        <f t="shared" si="12"/>
        <v>1581.2135121588856</v>
      </c>
      <c r="G97" s="6">
        <f t="shared" si="14"/>
        <v>6436.10019426299</v>
      </c>
      <c r="H97" s="11">
        <f t="shared" si="13"/>
        <v>0.63445784636996161</v>
      </c>
    </row>
    <row r="98" spans="1:8">
      <c r="A98" s="2" t="s">
        <v>17</v>
      </c>
      <c r="C98" s="24">
        <f t="shared" si="9"/>
        <v>824</v>
      </c>
      <c r="D98" s="24">
        <f t="shared" si="10"/>
        <v>1988.4486810979822</v>
      </c>
      <c r="E98" s="24">
        <f t="shared" si="11"/>
        <v>147.38714891940774</v>
      </c>
      <c r="F98" s="24">
        <f t="shared" si="12"/>
        <v>431.35504611694398</v>
      </c>
      <c r="G98" s="6">
        <f t="shared" si="14"/>
        <v>2567.1908761343338</v>
      </c>
      <c r="H98" s="11">
        <f t="shared" si="13"/>
        <v>0.84650859135716572</v>
      </c>
    </row>
    <row r="99" spans="1:8">
      <c r="A99" s="2" t="s">
        <v>18</v>
      </c>
      <c r="C99" s="24">
        <f t="shared" si="9"/>
        <v>9584</v>
      </c>
      <c r="D99" s="24">
        <f t="shared" si="10"/>
        <v>7809.40310636294</v>
      </c>
      <c r="E99" s="24">
        <f t="shared" si="11"/>
        <v>1050.1334360507801</v>
      </c>
      <c r="F99" s="24">
        <f t="shared" si="12"/>
        <v>2256.7079245531618</v>
      </c>
      <c r="G99" s="6">
        <f t="shared" si="14"/>
        <v>11116.244466966882</v>
      </c>
      <c r="H99" s="11">
        <f t="shared" si="13"/>
        <v>0.65062093696267098</v>
      </c>
    </row>
    <row r="100" spans="1:8">
      <c r="A100" s="2" t="s">
        <v>19</v>
      </c>
      <c r="C100" s="24">
        <f t="shared" si="9"/>
        <v>304</v>
      </c>
      <c r="D100" s="24">
        <f t="shared" si="10"/>
        <v>883.98106681284787</v>
      </c>
      <c r="E100" s="24">
        <f t="shared" si="11"/>
        <v>208.51931864166207</v>
      </c>
      <c r="F100" s="24">
        <f t="shared" si="12"/>
        <v>392.14095101540363</v>
      </c>
      <c r="G100" s="6">
        <f t="shared" si="14"/>
        <v>1484.6413364699138</v>
      </c>
      <c r="H100" s="11">
        <f t="shared" si="13"/>
        <v>0.86920458880319362</v>
      </c>
    </row>
    <row r="101" spans="1:8">
      <c r="A101" s="2" t="s">
        <v>20</v>
      </c>
      <c r="C101" s="24">
        <f t="shared" si="9"/>
        <v>6705</v>
      </c>
      <c r="D101" s="24">
        <f t="shared" si="10"/>
        <v>8128.1449111188977</v>
      </c>
      <c r="E101" s="24">
        <f t="shared" si="11"/>
        <v>566.93806715022174</v>
      </c>
      <c r="F101" s="24">
        <f t="shared" si="12"/>
        <v>1505.3152635752592</v>
      </c>
      <c r="G101" s="6">
        <f t="shared" si="14"/>
        <v>10200.398241844379</v>
      </c>
      <c r="H101" s="11">
        <f t="shared" si="13"/>
        <v>0.73478077301743783</v>
      </c>
    </row>
    <row r="102" spans="1:8">
      <c r="A102" s="2" t="s">
        <v>22</v>
      </c>
      <c r="C102" s="24">
        <f t="shared" si="9"/>
        <v>72</v>
      </c>
      <c r="D102" s="24">
        <f t="shared" si="10"/>
        <v>40.495515824095541</v>
      </c>
      <c r="E102" s="24">
        <f>H25*$N$6/$H$26</f>
        <v>88.767260144643302</v>
      </c>
      <c r="F102" s="24">
        <f>I25*$N$5/$I$26</f>
        <v>166.97614688397832</v>
      </c>
      <c r="G102" s="6">
        <f t="shared" si="14"/>
        <v>296.23892285271717</v>
      </c>
      <c r="H102" s="11">
        <f t="shared" si="13"/>
        <v>0.56243771977910473</v>
      </c>
    </row>
    <row r="103" spans="1:8">
      <c r="A103" s="7" t="s">
        <v>2</v>
      </c>
      <c r="C103" s="6">
        <f>SUM(C84:C102)</f>
        <v>91932</v>
      </c>
      <c r="D103" s="6">
        <f>SUM(D84:D102)</f>
        <v>85780.024454732658</v>
      </c>
      <c r="E103" s="6">
        <f>SUM(E84:E102)</f>
        <v>16270.368842927122</v>
      </c>
      <c r="F103" s="6">
        <f>SUM(F84:F102)</f>
        <v>29825.481751745763</v>
      </c>
      <c r="G103" s="6">
        <f>SUM(G84:G102)</f>
        <v>131875.87504940553</v>
      </c>
      <c r="H103" s="11">
        <f t="shared" si="13"/>
        <v>0.68076142766798931</v>
      </c>
    </row>
    <row r="104" spans="1:8">
      <c r="C104" s="2">
        <f>C103*(1-M84)</f>
        <v>40225.975545267342</v>
      </c>
    </row>
  </sheetData>
  <mergeCells count="8">
    <mergeCell ref="A32:B33"/>
    <mergeCell ref="A39:E39"/>
    <mergeCell ref="F39:L39"/>
    <mergeCell ref="G4:J4"/>
    <mergeCell ref="C4:F4"/>
    <mergeCell ref="E32:F32"/>
    <mergeCell ref="G32:H32"/>
    <mergeCell ref="C32:D33"/>
  </mergeCells>
  <hyperlinks>
    <hyperlink ref="B2" r:id="rId1" display="https://view.officeapps.live.com/op/view.aspx?src=https%3A%2F%2Fenergia.fi%2Fwp-content%2Fuploads%2F2024%2F12%2FSahkonkulutus-maakunnittain-2007-2023.xlsx&amp;wdOrigin=BROWSELINK" xr:uid="{F486580F-AD54-4E74-B065-6067696B7B52}"/>
    <hyperlink ref="U3" r:id="rId2" display="https://pxdata.stat.fi/PxWeb/pxweb/en/StatFin/StatFin__tene/statfin_tene_pxt_12bw.px/table/tableViewLayout1/" xr:uid="{0BF2BADF-AED2-40D7-B5E4-CF296D62E11C}"/>
    <hyperlink ref="U4" r:id="rId3" display="https://pxdata.stat.fi/PxWeb/pxweb/en/StatFin/StatFin__tene/statfin_tene_pxt_12bu.px/" xr:uid="{70C4025F-0D36-425D-A4BE-68E6EC117225}"/>
  </hyperlinks>
  <pageMargins left="0.7" right="0.7" top="0.75" bottom="0.75" header="0.3" footer="0.3"/>
  <pageSetup paperSize="9" orientation="portrait" verticalDpi="0"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C84D6-B410-4C67-9AFC-3B5BFB58A4CF}">
  <sheetPr>
    <tabColor rgb="FF006600"/>
  </sheetPr>
  <dimension ref="A1:AI52"/>
  <sheetViews>
    <sheetView topLeftCell="H1" workbookViewId="0">
      <selection activeCell="X8" sqref="X8"/>
    </sheetView>
  </sheetViews>
  <sheetFormatPr defaultColWidth="9.109375" defaultRowHeight="14.4"/>
  <cols>
    <col min="1" max="16384" width="9.109375" style="2"/>
  </cols>
  <sheetData>
    <row r="1" spans="1:35">
      <c r="A1" s="3" t="s">
        <v>1208</v>
      </c>
      <c r="B1" s="4"/>
      <c r="C1" s="4"/>
      <c r="D1" s="4"/>
      <c r="E1" s="4"/>
      <c r="F1" s="4"/>
      <c r="G1" s="4"/>
      <c r="H1" s="4"/>
      <c r="I1" s="4"/>
      <c r="J1" s="4"/>
      <c r="K1" s="4"/>
      <c r="L1" s="4"/>
      <c r="M1" s="4"/>
      <c r="N1" s="4"/>
      <c r="O1" s="4"/>
      <c r="U1" s="3" t="s">
        <v>1210</v>
      </c>
      <c r="V1" s="4"/>
      <c r="W1" s="4"/>
      <c r="X1" s="4"/>
      <c r="Y1" s="4"/>
      <c r="Z1" s="4"/>
      <c r="AA1" s="4"/>
      <c r="AB1" s="4"/>
      <c r="AC1" s="4"/>
      <c r="AD1" s="4"/>
      <c r="AE1" s="4"/>
      <c r="AF1" s="4"/>
      <c r="AG1" s="4"/>
      <c r="AH1" s="4"/>
      <c r="AI1" s="4"/>
    </row>
    <row r="2" spans="1:35">
      <c r="A2" s="12" t="s">
        <v>97</v>
      </c>
      <c r="B2" s="67"/>
      <c r="C2" s="67"/>
      <c r="D2" s="12"/>
      <c r="E2" s="12"/>
      <c r="G2" s="12" t="s">
        <v>100</v>
      </c>
      <c r="H2" s="12"/>
      <c r="I2" s="12"/>
      <c r="J2" s="12"/>
      <c r="K2" s="12"/>
      <c r="L2" s="69" t="s">
        <v>88</v>
      </c>
      <c r="M2" s="12"/>
      <c r="N2" s="12"/>
      <c r="O2" s="12"/>
      <c r="U2" s="5"/>
      <c r="V2" s="5" t="s">
        <v>61</v>
      </c>
      <c r="X2" s="7" t="s">
        <v>71</v>
      </c>
      <c r="Y2" s="7" t="s">
        <v>106</v>
      </c>
    </row>
    <row r="3" spans="1:35">
      <c r="A3" s="12" t="s">
        <v>71</v>
      </c>
      <c r="B3" s="72" t="s">
        <v>99</v>
      </c>
      <c r="C3" s="67"/>
      <c r="D3" s="12"/>
      <c r="E3" s="12"/>
      <c r="G3" s="5" t="s">
        <v>48</v>
      </c>
      <c r="H3" s="5"/>
      <c r="I3" s="328" t="s">
        <v>89</v>
      </c>
      <c r="J3" s="318"/>
      <c r="K3" s="329"/>
      <c r="L3" s="328" t="s">
        <v>90</v>
      </c>
      <c r="M3" s="318"/>
      <c r="N3" s="318"/>
      <c r="O3" s="318"/>
      <c r="P3" s="7" t="s">
        <v>105</v>
      </c>
      <c r="U3" s="2" t="s">
        <v>74</v>
      </c>
      <c r="V3" s="42">
        <v>20.740078131868135</v>
      </c>
      <c r="X3" s="2" t="s">
        <v>107</v>
      </c>
      <c r="Y3" s="2" t="s">
        <v>170</v>
      </c>
    </row>
    <row r="4" spans="1:35">
      <c r="A4" s="12"/>
      <c r="B4" s="25" t="s">
        <v>98</v>
      </c>
      <c r="C4" s="67"/>
      <c r="D4" s="12"/>
      <c r="E4" s="12"/>
      <c r="G4" s="5"/>
      <c r="H4" s="5"/>
      <c r="I4" s="330" t="s">
        <v>91</v>
      </c>
      <c r="J4" s="327" t="s">
        <v>92</v>
      </c>
      <c r="K4" s="327" t="s">
        <v>93</v>
      </c>
      <c r="L4" s="330" t="s">
        <v>94</v>
      </c>
      <c r="M4" s="327" t="s">
        <v>95</v>
      </c>
      <c r="N4" s="327" t="s">
        <v>96</v>
      </c>
      <c r="O4" s="327" t="s">
        <v>101</v>
      </c>
      <c r="U4" s="1" t="s">
        <v>28</v>
      </c>
      <c r="V4" s="43">
        <f>$V$3*D_el!K88/D_el!$K$95</f>
        <v>3.6748371915111178</v>
      </c>
      <c r="Y4" s="2" t="s">
        <v>108</v>
      </c>
    </row>
    <row r="5" spans="1:35">
      <c r="A5" s="5" t="s">
        <v>49</v>
      </c>
      <c r="B5" s="14">
        <v>2025</v>
      </c>
      <c r="C5" s="14">
        <v>2035</v>
      </c>
      <c r="G5" s="5"/>
      <c r="H5" s="5"/>
      <c r="I5" s="330"/>
      <c r="J5" s="327"/>
      <c r="K5" s="327"/>
      <c r="L5" s="330"/>
      <c r="M5" s="327"/>
      <c r="N5" s="327"/>
      <c r="O5" s="327"/>
      <c r="U5" s="1" t="s">
        <v>29</v>
      </c>
      <c r="V5" s="43">
        <f>$V$3*D_el!K89/D_el!$K$95</f>
        <v>2.993292397137302</v>
      </c>
    </row>
    <row r="6" spans="1:35" ht="15" customHeight="1">
      <c r="A6" s="2" t="s">
        <v>80</v>
      </c>
      <c r="B6" s="42">
        <v>6.5466201846226735</v>
      </c>
      <c r="C6" s="42">
        <v>6.8940564264295006</v>
      </c>
      <c r="G6" s="5"/>
      <c r="H6" s="5"/>
      <c r="I6" s="330"/>
      <c r="J6" s="327"/>
      <c r="K6" s="327"/>
      <c r="L6" s="330"/>
      <c r="M6" s="327"/>
      <c r="N6" s="327"/>
      <c r="O6" s="327"/>
      <c r="U6" s="1" t="s">
        <v>31</v>
      </c>
      <c r="V6" s="43">
        <f>$V$3*D_el!K90/D_el!$K$95</f>
        <v>2.6357126225320391</v>
      </c>
    </row>
    <row r="7" spans="1:35">
      <c r="A7" s="2" t="s">
        <v>81</v>
      </c>
      <c r="B7" s="42">
        <v>2.2342092575747032</v>
      </c>
      <c r="C7" s="42">
        <v>2.3116653064160797</v>
      </c>
      <c r="G7" s="5"/>
      <c r="H7" s="5"/>
      <c r="I7" s="330"/>
      <c r="J7" s="327"/>
      <c r="K7" s="327"/>
      <c r="L7" s="330"/>
      <c r="M7" s="327"/>
      <c r="N7" s="327"/>
      <c r="O7" s="327"/>
      <c r="U7" s="1" t="s">
        <v>32</v>
      </c>
      <c r="V7" s="43">
        <f>$V$3*D_el!K91/D_el!$K$95</f>
        <v>1.6403549155551191</v>
      </c>
    </row>
    <row r="8" spans="1:35">
      <c r="A8" s="2" t="s">
        <v>82</v>
      </c>
      <c r="B8" s="42">
        <v>1.8913769365150044</v>
      </c>
      <c r="C8" s="42">
        <v>1.9534342636259119</v>
      </c>
      <c r="G8" s="5"/>
      <c r="H8" s="5"/>
      <c r="I8" s="330"/>
      <c r="J8" s="327"/>
      <c r="K8" s="327"/>
      <c r="L8" s="330"/>
      <c r="M8" s="327"/>
      <c r="N8" s="327"/>
      <c r="O8" s="327"/>
      <c r="U8" s="1" t="s">
        <v>33</v>
      </c>
      <c r="V8" s="43">
        <f>$V$3*D_el!K92/D_el!$K$95</f>
        <v>0.63642431808293098</v>
      </c>
      <c r="X8" s="2">
        <f>V8/0.00876</f>
        <v>72.651177863348281</v>
      </c>
    </row>
    <row r="9" spans="1:35">
      <c r="A9" s="2" t="s">
        <v>83</v>
      </c>
      <c r="B9" s="42">
        <v>2.0784622759415696</v>
      </c>
      <c r="C9" s="42">
        <v>2.0619270698705732</v>
      </c>
      <c r="G9" s="5"/>
      <c r="H9" s="5"/>
      <c r="I9" s="330"/>
      <c r="J9" s="327"/>
      <c r="K9" s="327"/>
      <c r="L9" s="330"/>
      <c r="M9" s="327"/>
      <c r="N9" s="327"/>
      <c r="O9" s="327"/>
      <c r="U9" s="1" t="s">
        <v>34</v>
      </c>
      <c r="V9" s="43">
        <f>$V$3*D_el!K93/D_el!$K$95</f>
        <v>5.3833240262654733</v>
      </c>
    </row>
    <row r="10" spans="1:35">
      <c r="A10" s="2" t="s">
        <v>84</v>
      </c>
      <c r="B10" s="42">
        <v>2.1785868062160931</v>
      </c>
      <c r="C10" s="42">
        <v>2.2303641536293948</v>
      </c>
      <c r="G10" s="2" t="s">
        <v>3</v>
      </c>
      <c r="I10" s="73">
        <v>10143.999999999998</v>
      </c>
      <c r="J10" s="9">
        <v>2449.7999999999997</v>
      </c>
      <c r="K10" s="74">
        <v>929.30000000000007</v>
      </c>
      <c r="L10" s="75">
        <v>11908.699999999997</v>
      </c>
      <c r="M10" s="9">
        <v>616.9</v>
      </c>
      <c r="N10" s="10">
        <v>997.49999999999977</v>
      </c>
      <c r="O10" s="24">
        <f>L10+N10</f>
        <v>12906.199999999997</v>
      </c>
      <c r="U10" s="1" t="s">
        <v>3</v>
      </c>
      <c r="V10" s="43">
        <f>$V$3*D_el!K94/D_el!$K$95</f>
        <v>3.7761326607841537</v>
      </c>
    </row>
    <row r="11" spans="1:35">
      <c r="A11" s="2" t="s">
        <v>85</v>
      </c>
      <c r="B11" s="42">
        <v>1.9651785616096522</v>
      </c>
      <c r="C11" s="42">
        <v>1.9174791297331568</v>
      </c>
      <c r="G11" s="2" t="s">
        <v>4</v>
      </c>
      <c r="I11" s="73">
        <v>2073.8000000000002</v>
      </c>
      <c r="J11" s="9">
        <v>757.30000000000018</v>
      </c>
      <c r="K11" s="74">
        <v>2257.1</v>
      </c>
      <c r="L11" s="75">
        <v>2596.3999999999996</v>
      </c>
      <c r="M11" s="9">
        <v>2257.1</v>
      </c>
      <c r="N11" s="10">
        <v>234.70000000000005</v>
      </c>
      <c r="O11" s="24">
        <f t="shared" ref="O11:O29" si="0">L11+N11</f>
        <v>2831.0999999999995</v>
      </c>
    </row>
    <row r="12" spans="1:35">
      <c r="A12" s="2" t="s">
        <v>86</v>
      </c>
      <c r="B12" s="42">
        <v>1.2152905512460432</v>
      </c>
      <c r="C12" s="68">
        <v>1.2125035647713862</v>
      </c>
      <c r="G12" s="2" t="s">
        <v>5</v>
      </c>
      <c r="I12" s="73">
        <v>1229.5999999999999</v>
      </c>
      <c r="J12" s="9">
        <v>96.6</v>
      </c>
      <c r="K12" s="74">
        <v>431.90000000000003</v>
      </c>
      <c r="L12" s="75">
        <v>1165.8</v>
      </c>
      <c r="M12" s="9">
        <v>431.90000000000003</v>
      </c>
      <c r="N12" s="10">
        <v>160.39999999999998</v>
      </c>
      <c r="O12" s="24">
        <f t="shared" si="0"/>
        <v>1326.1999999999998</v>
      </c>
    </row>
    <row r="13" spans="1:35">
      <c r="A13" s="2" t="s">
        <v>87</v>
      </c>
      <c r="B13" s="42">
        <v>20.381214206217507</v>
      </c>
      <c r="C13" s="42">
        <v>20.045262703680852</v>
      </c>
      <c r="G13" s="2" t="s">
        <v>6</v>
      </c>
      <c r="I13" s="73">
        <v>1088.3</v>
      </c>
      <c r="J13" s="9">
        <v>214.29999999999998</v>
      </c>
      <c r="K13" s="74">
        <v>237.89999999999998</v>
      </c>
      <c r="L13" s="75">
        <v>855.90000000000009</v>
      </c>
      <c r="M13" s="9">
        <v>549.80000000000007</v>
      </c>
      <c r="N13" s="10">
        <v>134.80000000000001</v>
      </c>
      <c r="O13" s="24">
        <f t="shared" si="0"/>
        <v>990.7</v>
      </c>
    </row>
    <row r="14" spans="1:35">
      <c r="A14" s="2" t="s">
        <v>74</v>
      </c>
      <c r="B14" s="34">
        <f>SUM(B6:B13)</f>
        <v>38.490938779943249</v>
      </c>
      <c r="C14" s="34">
        <f>SUM(C6:C13)</f>
        <v>38.626692618156852</v>
      </c>
      <c r="G14" s="2" t="s">
        <v>7</v>
      </c>
      <c r="I14" s="73">
        <v>2583.2999999999988</v>
      </c>
      <c r="J14" s="9">
        <v>468.09999999999997</v>
      </c>
      <c r="K14" s="74">
        <v>513.1</v>
      </c>
      <c r="L14" s="75">
        <v>2816.7000000000003</v>
      </c>
      <c r="M14" s="9">
        <v>513.1</v>
      </c>
      <c r="N14" s="10">
        <v>234.69999999999996</v>
      </c>
      <c r="O14" s="24">
        <f t="shared" si="0"/>
        <v>3051.4</v>
      </c>
    </row>
    <row r="15" spans="1:35">
      <c r="G15" s="2" t="s">
        <v>8</v>
      </c>
      <c r="I15" s="73">
        <v>1277.8</v>
      </c>
      <c r="J15" s="9">
        <v>231.1</v>
      </c>
      <c r="K15" s="74">
        <v>134.10000000000002</v>
      </c>
      <c r="L15" s="75">
        <v>1328.9</v>
      </c>
      <c r="M15" s="9">
        <v>128.19999999999999</v>
      </c>
      <c r="N15" s="10">
        <v>185.9</v>
      </c>
      <c r="O15" s="24">
        <f t="shared" si="0"/>
        <v>1514.8000000000002</v>
      </c>
    </row>
    <row r="16" spans="1:35">
      <c r="G16" s="2" t="s">
        <v>9</v>
      </c>
      <c r="I16" s="73">
        <v>820.39999999999986</v>
      </c>
      <c r="J16" s="9">
        <v>112.2</v>
      </c>
      <c r="K16" s="74">
        <v>794.3</v>
      </c>
      <c r="L16" s="75">
        <v>815.6</v>
      </c>
      <c r="M16" s="9">
        <v>794.3</v>
      </c>
      <c r="N16" s="10">
        <v>117.00000000000001</v>
      </c>
      <c r="O16" s="24">
        <f t="shared" si="0"/>
        <v>932.6</v>
      </c>
    </row>
    <row r="17" spans="1:15">
      <c r="G17" s="2" t="s">
        <v>10</v>
      </c>
      <c r="I17" s="73">
        <v>775.5</v>
      </c>
      <c r="J17" s="9">
        <v>34.799999999999997</v>
      </c>
      <c r="K17" s="74">
        <v>610.1</v>
      </c>
      <c r="L17" s="75">
        <v>698.3</v>
      </c>
      <c r="M17" s="9">
        <v>610.09999999999991</v>
      </c>
      <c r="N17" s="10">
        <v>111.99999999999999</v>
      </c>
      <c r="O17" s="24">
        <f t="shared" si="0"/>
        <v>810.3</v>
      </c>
    </row>
    <row r="18" spans="1:15">
      <c r="G18" s="2" t="s">
        <v>11</v>
      </c>
      <c r="I18" s="73">
        <v>840.6</v>
      </c>
      <c r="J18" s="9">
        <v>25.899999999999995</v>
      </c>
      <c r="K18" s="74">
        <v>184</v>
      </c>
      <c r="L18" s="75">
        <v>751.59999999999991</v>
      </c>
      <c r="M18" s="9">
        <v>191.3</v>
      </c>
      <c r="N18" s="10">
        <v>107.59999999999998</v>
      </c>
      <c r="O18" s="24">
        <f t="shared" si="0"/>
        <v>859.19999999999993</v>
      </c>
    </row>
    <row r="19" spans="1:15">
      <c r="G19" s="2" t="s">
        <v>12</v>
      </c>
      <c r="I19" s="73">
        <v>1476.9</v>
      </c>
      <c r="J19" s="9">
        <v>305.20000000000005</v>
      </c>
      <c r="K19" s="74">
        <v>264.70000000000005</v>
      </c>
      <c r="L19" s="75">
        <v>1616.8</v>
      </c>
      <c r="M19" s="9">
        <v>246.8</v>
      </c>
      <c r="N19" s="10">
        <v>183.20000000000002</v>
      </c>
      <c r="O19" s="24">
        <f t="shared" si="0"/>
        <v>1800</v>
      </c>
    </row>
    <row r="20" spans="1:15">
      <c r="G20" s="2" t="s">
        <v>13</v>
      </c>
      <c r="I20" s="73">
        <v>802.1</v>
      </c>
      <c r="J20" s="9">
        <v>185.5</v>
      </c>
      <c r="K20" s="74">
        <v>28.3</v>
      </c>
      <c r="L20" s="75">
        <v>874.69999999999993</v>
      </c>
      <c r="M20" s="9">
        <v>28.3</v>
      </c>
      <c r="N20" s="10">
        <v>112.89999999999999</v>
      </c>
      <c r="O20" s="24">
        <f t="shared" si="0"/>
        <v>987.59999999999991</v>
      </c>
    </row>
    <row r="21" spans="1:15">
      <c r="G21" s="2" t="s">
        <v>14</v>
      </c>
      <c r="I21" s="73">
        <v>1533.5</v>
      </c>
      <c r="J21" s="9">
        <v>113.1</v>
      </c>
      <c r="K21" s="74">
        <v>1578.8</v>
      </c>
      <c r="L21" s="75">
        <v>1530.6000000000004</v>
      </c>
      <c r="M21" s="9">
        <v>1482.5</v>
      </c>
      <c r="N21" s="10">
        <v>212.3</v>
      </c>
      <c r="O21" s="24">
        <f t="shared" si="0"/>
        <v>1742.9000000000003</v>
      </c>
    </row>
    <row r="22" spans="1:15">
      <c r="G22" s="2" t="s">
        <v>23</v>
      </c>
      <c r="I22" s="73">
        <v>961.5</v>
      </c>
      <c r="J22" s="9">
        <v>85.3</v>
      </c>
      <c r="K22" s="74">
        <v>588.1</v>
      </c>
      <c r="L22" s="75">
        <v>912.1</v>
      </c>
      <c r="M22" s="9">
        <v>579.5</v>
      </c>
      <c r="N22" s="10">
        <v>143.29999999999998</v>
      </c>
      <c r="O22" s="24">
        <f t="shared" si="0"/>
        <v>1055.4000000000001</v>
      </c>
    </row>
    <row r="23" spans="1:15">
      <c r="G23" s="2" t="s">
        <v>16</v>
      </c>
      <c r="I23" s="73">
        <v>999.5</v>
      </c>
      <c r="J23" s="9">
        <v>68.600000000000009</v>
      </c>
      <c r="K23" s="74">
        <v>1004.5999999999999</v>
      </c>
      <c r="L23" s="75">
        <v>940.10000000000014</v>
      </c>
      <c r="M23" s="9">
        <v>1004.6</v>
      </c>
      <c r="N23" s="10">
        <v>127.99999999999999</v>
      </c>
      <c r="O23" s="24">
        <f t="shared" si="0"/>
        <v>1068.1000000000001</v>
      </c>
    </row>
    <row r="24" spans="1:15">
      <c r="G24" s="2" t="s">
        <v>17</v>
      </c>
      <c r="I24" s="73">
        <v>321.10000000000002</v>
      </c>
      <c r="J24" s="9">
        <v>113.7</v>
      </c>
      <c r="K24" s="74">
        <v>9</v>
      </c>
      <c r="L24" s="75">
        <v>379.9</v>
      </c>
      <c r="M24" s="9"/>
      <c r="N24" s="10">
        <v>63.9</v>
      </c>
      <c r="O24" s="24">
        <f t="shared" si="0"/>
        <v>443.79999999999995</v>
      </c>
    </row>
    <row r="25" spans="1:15">
      <c r="G25" s="2" t="s">
        <v>18</v>
      </c>
      <c r="I25" s="73">
        <v>2004.1999999999996</v>
      </c>
      <c r="J25" s="9">
        <v>793.69999999999993</v>
      </c>
      <c r="K25" s="74">
        <v>498.8</v>
      </c>
      <c r="L25" s="75">
        <v>2496.2000000000003</v>
      </c>
      <c r="M25" s="9">
        <v>496.29999999999995</v>
      </c>
      <c r="N25" s="10">
        <v>304.19999999999987</v>
      </c>
      <c r="O25" s="24">
        <f t="shared" si="0"/>
        <v>2800.4</v>
      </c>
    </row>
    <row r="26" spans="1:15">
      <c r="G26" s="2" t="s">
        <v>19</v>
      </c>
      <c r="I26" s="73">
        <v>404</v>
      </c>
      <c r="J26" s="9">
        <v>58</v>
      </c>
      <c r="K26" s="74">
        <v>304.79999999999995</v>
      </c>
      <c r="L26" s="75">
        <v>396.4</v>
      </c>
      <c r="M26" s="9">
        <v>304.79999999999995</v>
      </c>
      <c r="N26" s="10">
        <v>65.599999999999994</v>
      </c>
      <c r="O26" s="24">
        <f t="shared" si="0"/>
        <v>462</v>
      </c>
    </row>
    <row r="27" spans="1:15">
      <c r="G27" s="2" t="s">
        <v>20</v>
      </c>
      <c r="I27" s="73">
        <v>1045.8000000000002</v>
      </c>
      <c r="J27" s="9">
        <v>121.80000000000001</v>
      </c>
      <c r="K27" s="74">
        <v>140</v>
      </c>
      <c r="L27" s="75">
        <v>1035.1000000000001</v>
      </c>
      <c r="M27" s="9">
        <v>144.4</v>
      </c>
      <c r="N27" s="10">
        <v>128.1</v>
      </c>
      <c r="O27" s="24">
        <f t="shared" si="0"/>
        <v>1163.2</v>
      </c>
    </row>
    <row r="28" spans="1:15">
      <c r="G28" s="2" t="s">
        <v>22</v>
      </c>
      <c r="I28" s="73">
        <v>108.4</v>
      </c>
      <c r="J28" s="9">
        <v>13.9</v>
      </c>
      <c r="K28" s="74">
        <v>108.1</v>
      </c>
      <c r="L28" s="75">
        <v>107.6</v>
      </c>
      <c r="M28" s="9">
        <v>108.1</v>
      </c>
      <c r="N28" s="10">
        <v>14.7</v>
      </c>
      <c r="O28" s="24">
        <f t="shared" si="0"/>
        <v>122.3</v>
      </c>
    </row>
    <row r="29" spans="1:15">
      <c r="G29" s="2" t="s">
        <v>2</v>
      </c>
      <c r="I29" s="70">
        <v>30490.299999999996</v>
      </c>
      <c r="J29" s="6">
        <v>6248.9</v>
      </c>
      <c r="K29" s="71">
        <v>10617</v>
      </c>
      <c r="L29" s="70">
        <v>33227.399999999994</v>
      </c>
      <c r="M29" s="6">
        <v>10488</v>
      </c>
      <c r="N29" s="6">
        <v>3640.7999999999993</v>
      </c>
      <c r="O29" s="6">
        <f t="shared" si="0"/>
        <v>36868.199999999997</v>
      </c>
    </row>
    <row r="31" spans="1:15">
      <c r="A31" s="3" t="s">
        <v>1209</v>
      </c>
      <c r="B31" s="4"/>
      <c r="C31" s="4"/>
      <c r="D31" s="4"/>
      <c r="E31" s="4"/>
      <c r="F31" s="4"/>
      <c r="G31" s="4"/>
      <c r="H31" s="4"/>
      <c r="I31" s="4"/>
      <c r="J31" s="4"/>
      <c r="K31" s="4"/>
      <c r="L31" s="4"/>
      <c r="M31" s="4"/>
      <c r="N31" s="4"/>
      <c r="O31" s="4"/>
    </row>
    <row r="32" spans="1:15">
      <c r="A32" s="12" t="s">
        <v>102</v>
      </c>
      <c r="B32" s="12"/>
      <c r="C32" s="12"/>
      <c r="E32" s="12" t="s">
        <v>103</v>
      </c>
      <c r="F32" s="12"/>
      <c r="G32" s="12"/>
      <c r="I32" s="12" t="s">
        <v>104</v>
      </c>
      <c r="J32" s="12"/>
      <c r="K32" s="12"/>
      <c r="M32" s="7" t="s">
        <v>28</v>
      </c>
      <c r="N32" s="7"/>
      <c r="O32" s="35" t="s">
        <v>20</v>
      </c>
    </row>
    <row r="33" spans="1:15">
      <c r="A33" s="2" t="s">
        <v>3</v>
      </c>
      <c r="C33" s="43">
        <f>O10*$C$14/$O$29</f>
        <v>13.521783549738146</v>
      </c>
      <c r="E33" s="1" t="s">
        <v>28</v>
      </c>
      <c r="G33" s="43">
        <f>C50+C48</f>
        <v>4.1526507630241376</v>
      </c>
      <c r="I33" s="2" t="s">
        <v>80</v>
      </c>
      <c r="K33" s="42">
        <f t="shared" ref="K33:K39" si="1">C6</f>
        <v>6.8940564264295006</v>
      </c>
      <c r="M33" s="7"/>
      <c r="N33" s="7"/>
      <c r="O33" s="35" t="s">
        <v>18</v>
      </c>
    </row>
    <row r="34" spans="1:15">
      <c r="A34" s="2" t="s">
        <v>4</v>
      </c>
      <c r="C34" s="43">
        <f t="shared" ref="C34:C52" si="2">O11*$C$14/$O$29</f>
        <v>2.9661342151573402</v>
      </c>
      <c r="E34" s="1" t="s">
        <v>29</v>
      </c>
      <c r="G34" s="43">
        <f>C47+C46+C45+C35</f>
        <v>4.0792072221804618</v>
      </c>
      <c r="I34" s="2" t="s">
        <v>81</v>
      </c>
      <c r="K34" s="42">
        <f t="shared" si="1"/>
        <v>2.3116653064160797</v>
      </c>
      <c r="M34" s="7" t="s">
        <v>29</v>
      </c>
      <c r="N34" s="7"/>
      <c r="O34" s="35" t="s">
        <v>17</v>
      </c>
    </row>
    <row r="35" spans="1:15">
      <c r="A35" s="2" t="s">
        <v>5</v>
      </c>
      <c r="C35" s="43">
        <f t="shared" si="2"/>
        <v>1.3894554046630867</v>
      </c>
      <c r="E35" s="1" t="s">
        <v>31</v>
      </c>
      <c r="G35" s="43">
        <f>C37+C44</f>
        <v>5.0229724374726574</v>
      </c>
      <c r="I35" s="2" t="s">
        <v>82</v>
      </c>
      <c r="K35" s="42">
        <f t="shared" si="1"/>
        <v>1.9534342636259119</v>
      </c>
      <c r="M35" s="7"/>
      <c r="N35" s="7"/>
      <c r="O35" s="35" t="s">
        <v>16</v>
      </c>
    </row>
    <row r="36" spans="1:15">
      <c r="A36" s="2" t="s">
        <v>6</v>
      </c>
      <c r="C36" s="43">
        <f t="shared" si="2"/>
        <v>1.037953151409833</v>
      </c>
      <c r="E36" s="1" t="s">
        <v>32</v>
      </c>
      <c r="G36" s="43">
        <f>C49+C42+C41+C43</f>
        <v>4.304776328366529</v>
      </c>
      <c r="I36" s="2" t="s">
        <v>83</v>
      </c>
      <c r="K36" s="42">
        <f t="shared" si="1"/>
        <v>2.0619270698705732</v>
      </c>
      <c r="M36" s="7"/>
      <c r="N36" s="7"/>
      <c r="O36" s="35" t="s">
        <v>30</v>
      </c>
    </row>
    <row r="37" spans="1:15">
      <c r="A37" s="2" t="s">
        <v>7</v>
      </c>
      <c r="C37" s="43">
        <f t="shared" si="2"/>
        <v>3.1969418049984495</v>
      </c>
      <c r="E37" s="1" t="s">
        <v>33</v>
      </c>
      <c r="G37" s="43">
        <f>C51+C34+C36</f>
        <v>4.1322206767694771</v>
      </c>
      <c r="I37" s="2" t="s">
        <v>84</v>
      </c>
      <c r="K37" s="42">
        <f t="shared" si="1"/>
        <v>2.2303641536293948</v>
      </c>
      <c r="M37" s="7"/>
      <c r="N37" s="7"/>
      <c r="O37" s="35" t="s">
        <v>5</v>
      </c>
    </row>
    <row r="38" spans="1:15">
      <c r="A38" s="2" t="s">
        <v>8</v>
      </c>
      <c r="C38" s="43">
        <f t="shared" si="2"/>
        <v>1.5870510081312355</v>
      </c>
      <c r="E38" s="1" t="s">
        <v>34</v>
      </c>
      <c r="G38" s="43">
        <f>C38+C39+C40</f>
        <v>3.4130816406054429</v>
      </c>
      <c r="I38" s="2" t="s">
        <v>85</v>
      </c>
      <c r="K38" s="42">
        <f t="shared" si="1"/>
        <v>1.9174791297331568</v>
      </c>
      <c r="M38" s="7" t="s">
        <v>31</v>
      </c>
      <c r="N38" s="7"/>
      <c r="O38" s="35" t="s">
        <v>7</v>
      </c>
    </row>
    <row r="39" spans="1:15">
      <c r="A39" s="2" t="s">
        <v>9</v>
      </c>
      <c r="C39" s="43">
        <f t="shared" si="2"/>
        <v>0.97708197133825592</v>
      </c>
      <c r="E39" s="1" t="s">
        <v>3</v>
      </c>
      <c r="G39" s="43">
        <f>C33</f>
        <v>13.521783549738146</v>
      </c>
      <c r="I39" s="2" t="s">
        <v>86</v>
      </c>
      <c r="K39" s="42">
        <f t="shared" si="1"/>
        <v>1.2125035647713862</v>
      </c>
      <c r="M39" s="7"/>
      <c r="N39" s="7"/>
      <c r="O39" s="35" t="s">
        <v>14</v>
      </c>
    </row>
    <row r="40" spans="1:15">
      <c r="A40" s="2" t="s">
        <v>10</v>
      </c>
      <c r="C40" s="43">
        <f t="shared" si="2"/>
        <v>0.8489486611359518</v>
      </c>
      <c r="E40" s="7" t="s">
        <v>2</v>
      </c>
      <c r="G40" s="34">
        <f>SUM(G33:G39)</f>
        <v>38.626692618156852</v>
      </c>
      <c r="I40" s="1" t="s">
        <v>28</v>
      </c>
      <c r="K40" s="43">
        <f>G33-K38</f>
        <v>2.2351716332909808</v>
      </c>
      <c r="M40" s="7" t="s">
        <v>32</v>
      </c>
      <c r="N40" s="7"/>
      <c r="O40" s="35" t="s">
        <v>19</v>
      </c>
    </row>
    <row r="41" spans="1:15">
      <c r="A41" s="2" t="s">
        <v>11</v>
      </c>
      <c r="C41" s="43">
        <f t="shared" si="2"/>
        <v>0.90018103128225324</v>
      </c>
      <c r="I41" s="1" t="s">
        <v>29</v>
      </c>
      <c r="K41" s="43">
        <f>G34</f>
        <v>4.0792072221804618</v>
      </c>
      <c r="M41" s="7"/>
      <c r="N41" s="7"/>
      <c r="O41" s="35" t="s">
        <v>12</v>
      </c>
    </row>
    <row r="42" spans="1:15">
      <c r="A42" s="2" t="s">
        <v>12</v>
      </c>
      <c r="C42" s="43">
        <f t="shared" si="2"/>
        <v>1.8858541158147764</v>
      </c>
      <c r="I42" s="1" t="s">
        <v>31</v>
      </c>
      <c r="K42" s="43">
        <f>G35-K39-K37</f>
        <v>1.5801047190718767</v>
      </c>
      <c r="M42" s="7"/>
      <c r="N42" s="7"/>
      <c r="O42" s="35" t="s">
        <v>11</v>
      </c>
    </row>
    <row r="43" spans="1:15">
      <c r="A43" s="2" t="s">
        <v>13</v>
      </c>
      <c r="C43" s="43">
        <f t="shared" si="2"/>
        <v>1.0347052915437072</v>
      </c>
      <c r="I43" s="1" t="s">
        <v>32</v>
      </c>
      <c r="K43" s="43">
        <f>G36</f>
        <v>4.304776328366529</v>
      </c>
      <c r="M43" s="7"/>
      <c r="N43" s="7"/>
      <c r="O43" s="35" t="s">
        <v>13</v>
      </c>
    </row>
    <row r="44" spans="1:15">
      <c r="A44" s="2" t="s">
        <v>14</v>
      </c>
      <c r="C44" s="43">
        <f t="shared" si="2"/>
        <v>1.8260306324742082</v>
      </c>
      <c r="I44" s="1" t="s">
        <v>33</v>
      </c>
      <c r="K44" s="43">
        <f>G37-K36</f>
        <v>2.070293606898904</v>
      </c>
      <c r="M44" s="7" t="s">
        <v>33</v>
      </c>
      <c r="N44" s="7"/>
      <c r="O44" s="35" t="s">
        <v>22</v>
      </c>
    </row>
    <row r="45" spans="1:15">
      <c r="A45" s="2" t="s">
        <v>23</v>
      </c>
      <c r="C45" s="43">
        <f t="shared" si="2"/>
        <v>1.1057391299060639</v>
      </c>
      <c r="I45" s="1" t="s">
        <v>34</v>
      </c>
      <c r="K45" s="43">
        <f>G38</f>
        <v>3.4130816406054429</v>
      </c>
      <c r="M45" s="7"/>
      <c r="N45" s="7"/>
      <c r="O45" s="35" t="s">
        <v>4</v>
      </c>
    </row>
    <row r="46" spans="1:15">
      <c r="A46" s="2" t="s">
        <v>16</v>
      </c>
      <c r="C46" s="43">
        <f t="shared" si="2"/>
        <v>1.1190448783898683</v>
      </c>
      <c r="I46" s="1" t="s">
        <v>3</v>
      </c>
      <c r="K46" s="43">
        <f>G39-SUM(K33:K35)</f>
        <v>2.3626275532666536</v>
      </c>
      <c r="M46" s="7"/>
      <c r="N46" s="7"/>
      <c r="O46" s="35" t="s">
        <v>6</v>
      </c>
    </row>
    <row r="47" spans="1:15">
      <c r="A47" s="2" t="s">
        <v>17</v>
      </c>
      <c r="C47" s="43">
        <f t="shared" si="2"/>
        <v>0.46496780922144321</v>
      </c>
      <c r="I47" s="7" t="s">
        <v>2</v>
      </c>
      <c r="K47" s="34">
        <f>SUM(K33:K46)</f>
        <v>38.626692618156845</v>
      </c>
      <c r="M47" s="7" t="s">
        <v>34</v>
      </c>
      <c r="N47" s="7"/>
      <c r="O47" s="35" t="s">
        <v>8</v>
      </c>
    </row>
    <row r="48" spans="1:15">
      <c r="A48" s="2" t="s">
        <v>18</v>
      </c>
      <c r="C48" s="43">
        <f t="shared" si="2"/>
        <v>2.933969925515389</v>
      </c>
      <c r="M48" s="7"/>
      <c r="N48" s="7"/>
      <c r="O48" s="35" t="s">
        <v>9</v>
      </c>
    </row>
    <row r="49" spans="1:15">
      <c r="A49" s="2" t="s">
        <v>19</v>
      </c>
      <c r="C49" s="43">
        <f t="shared" si="2"/>
        <v>0.48403588972579259</v>
      </c>
      <c r="M49" s="7"/>
      <c r="N49" s="7"/>
      <c r="O49" s="35" t="s">
        <v>10</v>
      </c>
    </row>
    <row r="50" spans="1:15">
      <c r="A50" s="2" t="s">
        <v>20</v>
      </c>
      <c r="C50" s="43">
        <f t="shared" si="2"/>
        <v>1.218680837508749</v>
      </c>
      <c r="M50" s="7" t="s">
        <v>3</v>
      </c>
      <c r="N50" s="7"/>
      <c r="O50" s="35" t="s">
        <v>3</v>
      </c>
    </row>
    <row r="51" spans="1:15">
      <c r="A51" s="2" t="s">
        <v>22</v>
      </c>
      <c r="C51" s="43">
        <f t="shared" si="2"/>
        <v>0.12813331020230398</v>
      </c>
    </row>
    <row r="52" spans="1:15">
      <c r="A52" s="7" t="s">
        <v>2</v>
      </c>
      <c r="B52" s="7"/>
      <c r="C52" s="34">
        <f t="shared" si="2"/>
        <v>38.626692618156852</v>
      </c>
    </row>
  </sheetData>
  <mergeCells count="9">
    <mergeCell ref="J4:J9"/>
    <mergeCell ref="M4:M9"/>
    <mergeCell ref="O4:O9"/>
    <mergeCell ref="L3:O3"/>
    <mergeCell ref="I3:K3"/>
    <mergeCell ref="K4:K9"/>
    <mergeCell ref="I4:I9"/>
    <mergeCell ref="N4:N9"/>
    <mergeCell ref="L4:L9"/>
  </mergeCells>
  <conditionalFormatting sqref="X2:Y2">
    <cfRule type="duplicateValues" dxfId="5" priority="1"/>
  </conditionalFormatting>
  <hyperlinks>
    <hyperlink ref="L2" r:id="rId1" display="https://view.officeapps.live.com/op/view.aspx?src=https%3A%2F%2Fenergia.fi%2Fwp-content%2Fuploads%2F2024%2F05%2FDH_Regional_2023.xlsx&amp;wdOrigin=BROWSELINK" xr:uid="{D4564A1C-330D-463A-A440-67096DC4D3D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9F93-E9FB-4A2D-8B6F-BA653DCC811E}">
  <sheetPr>
    <tabColor rgb="FF009900"/>
  </sheetPr>
  <dimension ref="A1:AK59"/>
  <sheetViews>
    <sheetView topLeftCell="A34" workbookViewId="0">
      <selection activeCell="O49" sqref="O49"/>
    </sheetView>
  </sheetViews>
  <sheetFormatPr defaultColWidth="9.109375" defaultRowHeight="14.4"/>
  <cols>
    <col min="1" max="16384" width="9.109375" style="1"/>
  </cols>
  <sheetData>
    <row r="1" spans="1:37">
      <c r="A1" s="174" t="s">
        <v>1268</v>
      </c>
      <c r="B1" s="173"/>
      <c r="C1" s="173"/>
      <c r="D1" s="173"/>
      <c r="E1" s="173"/>
      <c r="F1" s="173"/>
      <c r="G1" s="173"/>
      <c r="H1" s="173"/>
      <c r="I1" s="173"/>
      <c r="J1" s="173"/>
      <c r="K1" s="173"/>
      <c r="L1" s="173"/>
      <c r="M1" s="173"/>
      <c r="N1" s="173"/>
      <c r="O1" s="173"/>
      <c r="P1" s="173"/>
      <c r="Q1" s="173"/>
      <c r="R1" s="173"/>
      <c r="S1" s="173"/>
      <c r="T1" s="173"/>
      <c r="U1" s="173"/>
      <c r="V1" s="173"/>
      <c r="W1" s="173"/>
      <c r="X1" s="173"/>
      <c r="Y1" s="173"/>
    </row>
    <row r="2" spans="1:37">
      <c r="A2" s="65" t="s">
        <v>1269</v>
      </c>
      <c r="B2" s="36"/>
      <c r="C2" s="36"/>
      <c r="D2" s="36"/>
      <c r="E2" s="36"/>
      <c r="F2" s="36"/>
      <c r="H2" s="65" t="s">
        <v>1270</v>
      </c>
      <c r="I2" s="65"/>
      <c r="J2" s="65"/>
      <c r="K2" s="65"/>
      <c r="L2" s="65"/>
      <c r="M2" s="65"/>
      <c r="N2" s="36"/>
      <c r="O2" s="36"/>
      <c r="P2" s="36"/>
      <c r="Q2" s="36"/>
      <c r="R2" s="36"/>
      <c r="S2" s="36"/>
      <c r="T2" s="36"/>
      <c r="U2" s="36"/>
      <c r="V2" s="36"/>
      <c r="W2" s="36"/>
      <c r="X2" s="36"/>
      <c r="Y2" s="36"/>
      <c r="AJ2" s="35"/>
      <c r="AK2" s="35"/>
    </row>
    <row r="3" spans="1:37">
      <c r="A3" s="45" t="s">
        <v>853</v>
      </c>
      <c r="B3" s="69" t="s">
        <v>1239</v>
      </c>
      <c r="C3" s="45"/>
      <c r="D3" s="45"/>
      <c r="E3" s="45"/>
      <c r="F3" s="45"/>
      <c r="H3" s="45" t="s">
        <v>1248</v>
      </c>
      <c r="I3" s="45"/>
      <c r="K3" s="45" t="s">
        <v>1249</v>
      </c>
      <c r="L3" s="45"/>
      <c r="M3" s="45"/>
      <c r="N3" s="45"/>
      <c r="O3" s="45"/>
      <c r="P3" s="45"/>
      <c r="Q3" s="45"/>
      <c r="R3" s="45"/>
      <c r="T3" s="45" t="s">
        <v>1251</v>
      </c>
      <c r="U3" s="45"/>
      <c r="V3" s="45"/>
      <c r="W3" s="45"/>
      <c r="X3" s="45"/>
      <c r="Y3" s="45"/>
      <c r="AJ3" s="35"/>
      <c r="AK3" s="35"/>
    </row>
    <row r="4" spans="1:37">
      <c r="A4" s="45"/>
      <c r="B4" s="69" t="s">
        <v>1246</v>
      </c>
      <c r="C4" s="45"/>
      <c r="D4" s="45"/>
      <c r="E4" s="45"/>
      <c r="F4" s="45"/>
      <c r="H4" s="45" t="s">
        <v>1215</v>
      </c>
      <c r="I4" s="45"/>
      <c r="K4" s="14" t="s">
        <v>1250</v>
      </c>
      <c r="L4" s="14"/>
      <c r="M4" s="320" t="s">
        <v>1230</v>
      </c>
      <c r="N4" s="320"/>
      <c r="O4" s="320" t="s">
        <v>857</v>
      </c>
      <c r="P4" s="320"/>
      <c r="Q4" s="14" t="s">
        <v>1247</v>
      </c>
      <c r="R4" s="14"/>
      <c r="T4" s="45" t="s">
        <v>1265</v>
      </c>
      <c r="U4" s="45"/>
      <c r="V4" s="69" t="s">
        <v>1266</v>
      </c>
      <c r="W4" s="45"/>
      <c r="X4" s="45"/>
      <c r="Y4" s="45"/>
      <c r="AJ4" s="35"/>
      <c r="AK4" s="35"/>
    </row>
    <row r="5" spans="1:37">
      <c r="A5" s="14"/>
      <c r="B5" s="14"/>
      <c r="C5" s="14" t="s">
        <v>1242</v>
      </c>
      <c r="D5" s="14" t="s">
        <v>1242</v>
      </c>
      <c r="E5" s="14" t="s">
        <v>1243</v>
      </c>
      <c r="F5" s="14"/>
      <c r="H5" s="1" t="s">
        <v>1226</v>
      </c>
      <c r="I5" s="1" t="s">
        <v>1227</v>
      </c>
      <c r="K5" s="1" t="s">
        <v>1272</v>
      </c>
      <c r="L5" s="1" t="s">
        <v>1220</v>
      </c>
      <c r="M5" s="10">
        <v>2000</v>
      </c>
      <c r="N5" s="9">
        <v>2000</v>
      </c>
      <c r="O5" s="206">
        <v>4400</v>
      </c>
      <c r="P5" s="206">
        <v>4500</v>
      </c>
      <c r="Q5" s="6">
        <f t="shared" ref="Q5:R7" si="0">O5-M5</f>
        <v>2400</v>
      </c>
      <c r="R5" s="6">
        <f t="shared" si="0"/>
        <v>2500</v>
      </c>
      <c r="T5" s="45"/>
      <c r="U5" s="45"/>
      <c r="V5" s="98" t="s">
        <v>1267</v>
      </c>
      <c r="W5" s="45"/>
      <c r="X5" s="45"/>
      <c r="Y5" s="45"/>
      <c r="AJ5" s="35"/>
      <c r="AK5" s="35"/>
    </row>
    <row r="6" spans="1:37">
      <c r="A6" s="1" t="s">
        <v>1226</v>
      </c>
      <c r="B6" s="1" t="s">
        <v>1227</v>
      </c>
      <c r="C6" s="1">
        <v>100</v>
      </c>
      <c r="E6" s="1">
        <v>220</v>
      </c>
      <c r="F6" s="35" t="s">
        <v>1240</v>
      </c>
      <c r="H6" s="1" t="s">
        <v>1226</v>
      </c>
      <c r="I6" s="1" t="s">
        <v>1220</v>
      </c>
      <c r="K6" s="1" t="s">
        <v>1383</v>
      </c>
      <c r="L6" s="1" t="s">
        <v>1225</v>
      </c>
      <c r="M6" s="10">
        <v>1200</v>
      </c>
      <c r="N6" s="9">
        <v>1200</v>
      </c>
      <c r="O6" s="206">
        <v>1700</v>
      </c>
      <c r="P6" s="206">
        <v>1700</v>
      </c>
      <c r="Q6" s="6">
        <f t="shared" si="0"/>
        <v>500</v>
      </c>
      <c r="R6" s="6">
        <f t="shared" si="0"/>
        <v>500</v>
      </c>
      <c r="T6" s="14" t="s">
        <v>1252</v>
      </c>
      <c r="U6" s="14" t="s">
        <v>1253</v>
      </c>
      <c r="V6" s="14"/>
      <c r="W6" s="331" t="s">
        <v>1254</v>
      </c>
      <c r="X6" s="331" t="s">
        <v>1263</v>
      </c>
      <c r="Y6" s="331" t="s">
        <v>1255</v>
      </c>
    </row>
    <row r="7" spans="1:37">
      <c r="A7" s="1" t="s">
        <v>1226</v>
      </c>
      <c r="B7" s="1" t="s">
        <v>1220</v>
      </c>
      <c r="C7" s="1">
        <v>1100</v>
      </c>
      <c r="D7" s="1">
        <v>1200</v>
      </c>
      <c r="E7" s="1" t="s">
        <v>1245</v>
      </c>
      <c r="F7" s="35" t="s">
        <v>1240</v>
      </c>
      <c r="H7" s="35" t="s">
        <v>1226</v>
      </c>
      <c r="I7" s="35" t="s">
        <v>1228</v>
      </c>
      <c r="K7" s="1" t="s">
        <v>1384</v>
      </c>
      <c r="L7" s="1" t="s">
        <v>1223</v>
      </c>
      <c r="M7" s="10">
        <v>1016</v>
      </c>
      <c r="N7" s="9">
        <v>1016</v>
      </c>
      <c r="O7" s="206">
        <v>1716</v>
      </c>
      <c r="P7" s="206">
        <v>1716</v>
      </c>
      <c r="Q7" s="6">
        <f t="shared" si="0"/>
        <v>700</v>
      </c>
      <c r="R7" s="6">
        <f t="shared" si="0"/>
        <v>700</v>
      </c>
      <c r="T7" s="14"/>
      <c r="U7" s="14"/>
      <c r="V7" s="14"/>
      <c r="W7" s="331"/>
      <c r="X7" s="331"/>
      <c r="Y7" s="331"/>
    </row>
    <row r="8" spans="1:37">
      <c r="A8" s="1" t="s">
        <v>1244</v>
      </c>
      <c r="B8" s="1" t="s">
        <v>1225</v>
      </c>
      <c r="C8" s="130">
        <v>400</v>
      </c>
      <c r="F8" s="35" t="s">
        <v>1241</v>
      </c>
      <c r="H8" s="35" t="s">
        <v>1216</v>
      </c>
      <c r="I8" s="35" t="s">
        <v>1220</v>
      </c>
      <c r="K8" s="14" t="s">
        <v>1237</v>
      </c>
      <c r="L8" s="14"/>
      <c r="M8" s="14"/>
      <c r="N8" s="14"/>
      <c r="O8" s="14"/>
      <c r="P8" s="14"/>
      <c r="T8" s="14"/>
      <c r="U8" s="14"/>
      <c r="V8" s="14"/>
      <c r="W8" s="171"/>
      <c r="X8" s="331"/>
      <c r="Y8" s="331"/>
    </row>
    <row r="9" spans="1:37">
      <c r="A9" s="1" t="s">
        <v>1244</v>
      </c>
      <c r="B9" s="1" t="s">
        <v>1225</v>
      </c>
      <c r="C9" s="1">
        <v>800</v>
      </c>
      <c r="F9" s="35" t="s">
        <v>1241</v>
      </c>
      <c r="H9" s="35" t="s">
        <v>1216</v>
      </c>
      <c r="I9" s="35" t="s">
        <v>1228</v>
      </c>
      <c r="K9" s="164" t="s">
        <v>1221</v>
      </c>
      <c r="L9" s="164" t="s">
        <v>1227</v>
      </c>
      <c r="M9" s="165" t="s">
        <v>1233</v>
      </c>
      <c r="N9" s="166">
        <v>2040</v>
      </c>
      <c r="O9" s="167">
        <v>500</v>
      </c>
      <c r="P9" s="168">
        <v>500</v>
      </c>
      <c r="T9" s="1" t="s">
        <v>1256</v>
      </c>
      <c r="U9" s="1" t="s">
        <v>1219</v>
      </c>
      <c r="V9" s="1" t="s">
        <v>1223</v>
      </c>
      <c r="W9" s="22" t="s">
        <v>1257</v>
      </c>
      <c r="X9" s="6">
        <f>R7</f>
        <v>700</v>
      </c>
      <c r="Y9" s="172" t="s">
        <v>393</v>
      </c>
    </row>
    <row r="10" spans="1:37">
      <c r="A10" s="1" t="s">
        <v>1219</v>
      </c>
      <c r="B10" s="1" t="s">
        <v>1223</v>
      </c>
      <c r="C10" s="1">
        <v>350</v>
      </c>
      <c r="F10" s="35" t="s">
        <v>1241</v>
      </c>
      <c r="H10" s="35" t="s">
        <v>1216</v>
      </c>
      <c r="I10" s="35" t="s">
        <v>1225</v>
      </c>
      <c r="K10" s="160" t="s">
        <v>1221</v>
      </c>
      <c r="L10" s="160" t="s">
        <v>1227</v>
      </c>
      <c r="M10" s="161" t="s">
        <v>1234</v>
      </c>
      <c r="N10" s="162">
        <v>2040</v>
      </c>
      <c r="O10" s="163">
        <v>500</v>
      </c>
      <c r="P10" s="169">
        <v>500</v>
      </c>
      <c r="T10" s="1" t="s">
        <v>1258</v>
      </c>
      <c r="U10" s="1" t="s">
        <v>1226</v>
      </c>
      <c r="V10" s="1" t="s">
        <v>1262</v>
      </c>
      <c r="W10" s="22" t="s">
        <v>1259</v>
      </c>
      <c r="X10" s="172"/>
      <c r="Y10" s="172" t="s">
        <v>393</v>
      </c>
    </row>
    <row r="11" spans="1:37">
      <c r="A11" s="1" t="s">
        <v>1219</v>
      </c>
      <c r="B11" s="1" t="s">
        <v>1223</v>
      </c>
      <c r="C11" s="1">
        <v>650</v>
      </c>
      <c r="F11" s="35" t="s">
        <v>1241</v>
      </c>
      <c r="H11" s="1" t="s">
        <v>1217</v>
      </c>
      <c r="I11" s="1" t="s">
        <v>1225</v>
      </c>
      <c r="K11" s="164" t="s">
        <v>1221</v>
      </c>
      <c r="L11" s="164" t="s">
        <v>1220</v>
      </c>
      <c r="M11" s="165" t="s">
        <v>1231</v>
      </c>
      <c r="N11" s="166">
        <v>2035</v>
      </c>
      <c r="O11" s="159">
        <v>800</v>
      </c>
      <c r="P11" s="159">
        <v>800</v>
      </c>
      <c r="T11" s="1" t="s">
        <v>1260</v>
      </c>
      <c r="U11" s="1" t="s">
        <v>1226</v>
      </c>
      <c r="V11" s="1" t="s">
        <v>1262</v>
      </c>
      <c r="W11" s="22" t="s">
        <v>1257</v>
      </c>
      <c r="X11" s="6">
        <f>Q5-800</f>
        <v>1600</v>
      </c>
      <c r="Y11" s="172" t="s">
        <v>394</v>
      </c>
    </row>
    <row r="12" spans="1:37">
      <c r="H12" s="35" t="s">
        <v>1217</v>
      </c>
      <c r="I12" s="35" t="s">
        <v>1222</v>
      </c>
      <c r="K12" s="164" t="s">
        <v>1221</v>
      </c>
      <c r="L12" s="164" t="s">
        <v>1220</v>
      </c>
      <c r="M12" s="165" t="s">
        <v>1232</v>
      </c>
      <c r="N12" s="166">
        <v>2030</v>
      </c>
      <c r="O12" s="159">
        <v>800</v>
      </c>
      <c r="P12" s="159">
        <v>900</v>
      </c>
      <c r="U12" s="1" t="s">
        <v>1226</v>
      </c>
      <c r="V12" s="1" t="s">
        <v>1227</v>
      </c>
      <c r="W12" s="22" t="s">
        <v>1261</v>
      </c>
      <c r="X12" s="172"/>
      <c r="Y12" s="172" t="s">
        <v>393</v>
      </c>
    </row>
    <row r="13" spans="1:37">
      <c r="H13" s="1" t="s">
        <v>1219</v>
      </c>
      <c r="I13" s="1" t="s">
        <v>1223</v>
      </c>
      <c r="K13" s="164" t="s">
        <v>1221</v>
      </c>
      <c r="L13" s="164" t="s">
        <v>1220</v>
      </c>
      <c r="M13" s="165" t="s">
        <v>1233</v>
      </c>
      <c r="N13" s="166">
        <v>2030</v>
      </c>
      <c r="O13" s="159">
        <v>800</v>
      </c>
      <c r="P13" s="159">
        <v>800</v>
      </c>
    </row>
    <row r="14" spans="1:37">
      <c r="H14" s="35" t="s">
        <v>1218</v>
      </c>
      <c r="I14" s="35" t="s">
        <v>1223</v>
      </c>
      <c r="K14" s="164" t="s">
        <v>1221</v>
      </c>
      <c r="L14" s="164" t="s">
        <v>1220</v>
      </c>
      <c r="M14" s="165" t="s">
        <v>1234</v>
      </c>
      <c r="N14" s="166">
        <v>2040</v>
      </c>
      <c r="O14" s="167">
        <v>800</v>
      </c>
      <c r="P14" s="168">
        <v>800</v>
      </c>
      <c r="T14" s="45" t="s">
        <v>1264</v>
      </c>
      <c r="U14" s="45"/>
      <c r="V14" s="45"/>
      <c r="W14" s="45"/>
      <c r="X14" s="45"/>
      <c r="Y14" s="45"/>
    </row>
    <row r="15" spans="1:37">
      <c r="K15" s="160" t="s">
        <v>1221</v>
      </c>
      <c r="L15" s="160" t="s">
        <v>1220</v>
      </c>
      <c r="M15" s="161" t="s">
        <v>1235</v>
      </c>
      <c r="N15" s="162">
        <v>2040</v>
      </c>
      <c r="O15" s="163">
        <v>800</v>
      </c>
      <c r="P15" s="169">
        <v>800</v>
      </c>
    </row>
    <row r="16" spans="1:37">
      <c r="K16" s="164" t="s">
        <v>1221</v>
      </c>
      <c r="L16" s="164" t="s">
        <v>1228</v>
      </c>
      <c r="M16" s="165" t="s">
        <v>1233</v>
      </c>
      <c r="N16" s="166">
        <v>2030</v>
      </c>
      <c r="O16" s="167">
        <v>500</v>
      </c>
      <c r="P16" s="168">
        <v>500</v>
      </c>
    </row>
    <row r="17" spans="11:16">
      <c r="K17" s="164" t="s">
        <v>1221</v>
      </c>
      <c r="L17" s="164" t="s">
        <v>1228</v>
      </c>
      <c r="M17" s="165" t="s">
        <v>1234</v>
      </c>
      <c r="N17" s="166">
        <v>2040</v>
      </c>
      <c r="O17" s="167">
        <v>500</v>
      </c>
      <c r="P17" s="168">
        <v>500</v>
      </c>
    </row>
    <row r="18" spans="11:16">
      <c r="K18" s="164" t="s">
        <v>1221</v>
      </c>
      <c r="L18" s="164" t="s">
        <v>1228</v>
      </c>
      <c r="M18" s="165" t="s">
        <v>1235</v>
      </c>
      <c r="N18" s="166">
        <v>2040</v>
      </c>
      <c r="O18" s="167">
        <v>500</v>
      </c>
      <c r="P18" s="168">
        <v>500</v>
      </c>
    </row>
    <row r="19" spans="11:16">
      <c r="K19" s="160" t="s">
        <v>1221</v>
      </c>
      <c r="L19" s="160" t="s">
        <v>1228</v>
      </c>
      <c r="M19" s="161" t="s">
        <v>1236</v>
      </c>
      <c r="N19" s="162">
        <v>2040</v>
      </c>
      <c r="O19" s="163">
        <v>500</v>
      </c>
      <c r="P19" s="169">
        <v>500</v>
      </c>
    </row>
    <row r="20" spans="11:16">
      <c r="K20" s="164" t="s">
        <v>1221</v>
      </c>
      <c r="L20" s="164" t="s">
        <v>1225</v>
      </c>
      <c r="M20" s="165" t="s">
        <v>1231</v>
      </c>
      <c r="N20" s="166">
        <v>2040</v>
      </c>
      <c r="O20" s="167">
        <v>800</v>
      </c>
      <c r="P20" s="168">
        <v>800</v>
      </c>
    </row>
    <row r="21" spans="11:16">
      <c r="K21" s="164" t="s">
        <v>1221</v>
      </c>
      <c r="L21" s="164" t="s">
        <v>1225</v>
      </c>
      <c r="M21" s="165" t="s">
        <v>1233</v>
      </c>
      <c r="N21" s="166">
        <v>2030</v>
      </c>
      <c r="O21" s="159">
        <v>500</v>
      </c>
      <c r="P21" s="159">
        <v>500</v>
      </c>
    </row>
    <row r="22" spans="11:16">
      <c r="K22" s="164" t="s">
        <v>1221</v>
      </c>
      <c r="L22" s="164" t="s">
        <v>1225</v>
      </c>
      <c r="M22" s="165" t="s">
        <v>1234</v>
      </c>
      <c r="N22" s="166">
        <v>2040</v>
      </c>
      <c r="O22" s="167">
        <v>500</v>
      </c>
      <c r="P22" s="168">
        <v>500</v>
      </c>
    </row>
    <row r="23" spans="11:16">
      <c r="K23" s="164" t="s">
        <v>1221</v>
      </c>
      <c r="L23" s="164" t="s">
        <v>1225</v>
      </c>
      <c r="M23" s="165" t="s">
        <v>1235</v>
      </c>
      <c r="N23" s="166">
        <v>2040</v>
      </c>
      <c r="O23" s="167">
        <v>500</v>
      </c>
      <c r="P23" s="168">
        <v>500</v>
      </c>
    </row>
    <row r="24" spans="11:16">
      <c r="K24" s="160" t="s">
        <v>1221</v>
      </c>
      <c r="L24" s="160" t="s">
        <v>1225</v>
      </c>
      <c r="M24" s="161" t="s">
        <v>1236</v>
      </c>
      <c r="N24" s="162">
        <v>2040</v>
      </c>
      <c r="O24" s="163">
        <v>500</v>
      </c>
      <c r="P24" s="169">
        <v>500</v>
      </c>
    </row>
    <row r="25" spans="11:16">
      <c r="K25" s="164" t="s">
        <v>1221</v>
      </c>
      <c r="L25" s="164" t="s">
        <v>1223</v>
      </c>
      <c r="M25" s="165" t="s">
        <v>1231</v>
      </c>
      <c r="N25" s="166">
        <v>2035</v>
      </c>
      <c r="O25" s="159">
        <v>700</v>
      </c>
      <c r="P25" s="159">
        <v>700</v>
      </c>
    </row>
    <row r="26" spans="11:16">
      <c r="K26" s="164" t="s">
        <v>1221</v>
      </c>
      <c r="L26" s="164" t="s">
        <v>1223</v>
      </c>
      <c r="M26" s="165" t="s">
        <v>1233</v>
      </c>
      <c r="N26" s="166">
        <v>2030</v>
      </c>
      <c r="O26" s="167">
        <v>700</v>
      </c>
      <c r="P26" s="168">
        <v>700</v>
      </c>
    </row>
    <row r="27" spans="11:16">
      <c r="K27" s="160" t="s">
        <v>1221</v>
      </c>
      <c r="L27" s="160" t="s">
        <v>1223</v>
      </c>
      <c r="M27" s="161" t="s">
        <v>1234</v>
      </c>
      <c r="N27" s="162">
        <v>2040</v>
      </c>
      <c r="O27" s="163">
        <v>700</v>
      </c>
      <c r="P27" s="169">
        <v>700</v>
      </c>
    </row>
    <row r="28" spans="11:16">
      <c r="K28" s="14" t="s">
        <v>1238</v>
      </c>
      <c r="L28" s="14"/>
      <c r="M28" s="14"/>
      <c r="N28" s="14"/>
      <c r="O28" s="14"/>
      <c r="P28" s="14"/>
    </row>
    <row r="29" spans="11:16">
      <c r="K29" s="164" t="s">
        <v>1221</v>
      </c>
      <c r="L29" s="164" t="s">
        <v>1227</v>
      </c>
      <c r="O29" s="6">
        <f>SUM(O9:O10)</f>
        <v>1000</v>
      </c>
      <c r="P29" s="170">
        <f>SUM(P9:P10)</f>
        <v>1000</v>
      </c>
    </row>
    <row r="30" spans="11:16">
      <c r="K30" s="164" t="s">
        <v>1221</v>
      </c>
      <c r="L30" s="164" t="s">
        <v>1220</v>
      </c>
      <c r="O30" s="6">
        <f>SUM(O11:O15)</f>
        <v>4000</v>
      </c>
      <c r="P30" s="6">
        <f>SUM(P11:P15)</f>
        <v>4100</v>
      </c>
    </row>
    <row r="31" spans="11:16">
      <c r="K31" s="164" t="s">
        <v>1221</v>
      </c>
      <c r="L31" s="164" t="s">
        <v>1228</v>
      </c>
      <c r="O31" s="6">
        <f>SUM(O16:O19)</f>
        <v>2000</v>
      </c>
      <c r="P31" s="170">
        <f>SUM(P16:P19)</f>
        <v>2000</v>
      </c>
    </row>
    <row r="32" spans="11:16">
      <c r="K32" s="164" t="s">
        <v>1221</v>
      </c>
      <c r="L32" s="164" t="s">
        <v>1225</v>
      </c>
      <c r="O32" s="6">
        <f>SUM(O20:O24)</f>
        <v>2800</v>
      </c>
      <c r="P32" s="170">
        <f>SUM(P20:P24)</f>
        <v>2800</v>
      </c>
    </row>
    <row r="33" spans="1:25">
      <c r="K33" s="164" t="s">
        <v>1221</v>
      </c>
      <c r="L33" s="164" t="s">
        <v>1223</v>
      </c>
      <c r="O33" s="6">
        <f>SUM(O25:O27)</f>
        <v>2100</v>
      </c>
      <c r="P33" s="170">
        <f>SUM(P25:P27)</f>
        <v>2100</v>
      </c>
    </row>
    <row r="35" spans="1:25">
      <c r="A35" s="174" t="s">
        <v>1229</v>
      </c>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row>
    <row r="36" spans="1:25">
      <c r="A36" s="45" t="s">
        <v>71</v>
      </c>
      <c r="B36" s="69" t="s">
        <v>1288</v>
      </c>
      <c r="C36" s="45"/>
      <c r="D36" s="45"/>
      <c r="E36" s="45"/>
      <c r="F36" s="45"/>
      <c r="G36" s="45"/>
      <c r="H36" s="45"/>
      <c r="I36" s="45"/>
      <c r="J36" s="45"/>
      <c r="K36" s="45"/>
      <c r="L36" s="45"/>
      <c r="M36" s="45"/>
      <c r="N36" s="45"/>
      <c r="O36" s="45"/>
      <c r="Q36" s="98" t="s">
        <v>1310</v>
      </c>
      <c r="R36" s="45"/>
      <c r="S36" s="45"/>
      <c r="T36" s="45"/>
      <c r="U36" s="45"/>
      <c r="V36" s="45"/>
    </row>
    <row r="37" spans="1:25">
      <c r="A37" s="14"/>
      <c r="B37" s="14"/>
      <c r="C37" s="176" t="s">
        <v>1294</v>
      </c>
      <c r="D37" s="14"/>
      <c r="E37" s="14"/>
      <c r="F37" s="14"/>
      <c r="G37" s="176" t="s">
        <v>1295</v>
      </c>
      <c r="H37" s="14"/>
      <c r="I37" s="14"/>
      <c r="J37" s="176" t="s">
        <v>1302</v>
      </c>
      <c r="K37" s="14"/>
      <c r="L37" s="176" t="s">
        <v>1270</v>
      </c>
      <c r="M37" s="14"/>
      <c r="N37" s="14"/>
      <c r="O37" s="14"/>
      <c r="Q37" s="98" t="s">
        <v>1285</v>
      </c>
      <c r="R37" s="98"/>
      <c r="S37" s="98"/>
      <c r="T37" s="98"/>
      <c r="U37" s="98"/>
      <c r="V37" s="45"/>
    </row>
    <row r="38" spans="1:25">
      <c r="A38" s="14"/>
      <c r="B38" s="14"/>
      <c r="C38" s="176" t="s">
        <v>1289</v>
      </c>
      <c r="D38" s="14" t="s">
        <v>1290</v>
      </c>
      <c r="E38" s="14" t="s">
        <v>1291</v>
      </c>
      <c r="F38" s="14" t="s">
        <v>407</v>
      </c>
      <c r="G38" s="176" t="s">
        <v>1304</v>
      </c>
      <c r="H38" s="14"/>
      <c r="I38" s="14" t="s">
        <v>1305</v>
      </c>
      <c r="J38" s="176"/>
      <c r="K38" s="14"/>
      <c r="L38" s="176" t="s">
        <v>1289</v>
      </c>
      <c r="M38" s="14" t="s">
        <v>1290</v>
      </c>
      <c r="N38" s="14" t="s">
        <v>1291</v>
      </c>
      <c r="O38" s="14" t="s">
        <v>407</v>
      </c>
      <c r="Q38" s="98" t="s">
        <v>1286</v>
      </c>
      <c r="R38" s="98"/>
      <c r="S38" s="98"/>
      <c r="T38" s="98"/>
      <c r="U38" s="98"/>
      <c r="V38" s="45"/>
    </row>
    <row r="39" spans="1:25">
      <c r="A39" s="1" t="s">
        <v>1272</v>
      </c>
      <c r="B39" s="35" t="s">
        <v>1277</v>
      </c>
      <c r="C39" s="177">
        <v>2</v>
      </c>
      <c r="D39" s="22">
        <v>1</v>
      </c>
      <c r="E39" s="22"/>
      <c r="F39" s="6">
        <f t="shared" ref="F39:F50" si="1">C39*$C$59+D39*$D$59+E39*$E$59</f>
        <v>2300</v>
      </c>
      <c r="G39" s="177" t="s">
        <v>1297</v>
      </c>
      <c r="H39" s="22"/>
      <c r="I39" s="22"/>
      <c r="J39" s="175"/>
      <c r="L39" s="181">
        <v>3</v>
      </c>
      <c r="M39" s="107"/>
      <c r="N39" s="107"/>
      <c r="O39" s="24">
        <f t="shared" ref="O39:O50" si="2">L39*$C$59+M39*$D$59+N39*$E$59</f>
        <v>3000</v>
      </c>
      <c r="Q39" s="98" t="s">
        <v>1287</v>
      </c>
      <c r="R39" s="98"/>
      <c r="S39" s="98"/>
      <c r="T39" s="98"/>
      <c r="U39" s="98"/>
      <c r="V39" s="45"/>
    </row>
    <row r="40" spans="1:25">
      <c r="A40" s="1" t="s">
        <v>1272</v>
      </c>
      <c r="B40" s="35" t="s">
        <v>1278</v>
      </c>
      <c r="C40" s="177">
        <v>1</v>
      </c>
      <c r="D40" s="22"/>
      <c r="E40" s="22"/>
      <c r="F40" s="6">
        <f t="shared" si="1"/>
        <v>1000</v>
      </c>
      <c r="G40" s="179" t="s">
        <v>1298</v>
      </c>
      <c r="H40" s="22"/>
      <c r="I40" s="137" t="s">
        <v>1296</v>
      </c>
      <c r="J40" s="175"/>
      <c r="L40" s="181">
        <v>2</v>
      </c>
      <c r="M40" s="107"/>
      <c r="N40" s="107"/>
      <c r="O40" s="24">
        <f t="shared" si="2"/>
        <v>2000</v>
      </c>
      <c r="Q40" s="14"/>
      <c r="R40" s="14"/>
      <c r="S40" s="101">
        <v>2025</v>
      </c>
      <c r="T40" s="101">
        <v>2035</v>
      </c>
      <c r="U40" s="182" t="s">
        <v>1284</v>
      </c>
      <c r="V40" s="14"/>
    </row>
    <row r="41" spans="1:25">
      <c r="A41" s="1" t="s">
        <v>1272</v>
      </c>
      <c r="B41" s="35" t="s">
        <v>1279</v>
      </c>
      <c r="C41" s="177">
        <v>1</v>
      </c>
      <c r="D41" s="22">
        <v>1</v>
      </c>
      <c r="E41" s="22">
        <v>1</v>
      </c>
      <c r="F41" s="6">
        <f t="shared" si="1"/>
        <v>1400</v>
      </c>
      <c r="G41" s="179" t="s">
        <v>1299</v>
      </c>
      <c r="H41" s="22"/>
      <c r="I41" s="22"/>
      <c r="J41" s="175"/>
      <c r="L41" s="181">
        <v>1</v>
      </c>
      <c r="M41" s="107">
        <v>1</v>
      </c>
      <c r="N41" s="107">
        <v>1</v>
      </c>
      <c r="O41" s="24">
        <f t="shared" si="2"/>
        <v>1400</v>
      </c>
      <c r="Q41" s="1" t="s">
        <v>1272</v>
      </c>
      <c r="R41" s="35" t="s">
        <v>1277</v>
      </c>
      <c r="S41" s="9">
        <v>1200</v>
      </c>
      <c r="T41" s="9">
        <v>1600</v>
      </c>
      <c r="U41" s="9">
        <f>T41-S41</f>
        <v>400</v>
      </c>
    </row>
    <row r="42" spans="1:25">
      <c r="A42" s="1" t="s">
        <v>1271</v>
      </c>
      <c r="B42" s="35" t="s">
        <v>1278</v>
      </c>
      <c r="C42" s="177">
        <v>4</v>
      </c>
      <c r="D42" s="22">
        <v>3</v>
      </c>
      <c r="E42" s="22"/>
      <c r="F42" s="6">
        <f t="shared" si="1"/>
        <v>4900</v>
      </c>
      <c r="G42" s="177" t="s">
        <v>1300</v>
      </c>
      <c r="H42" s="22"/>
      <c r="I42" s="137" t="s">
        <v>1296</v>
      </c>
      <c r="J42" s="175"/>
      <c r="L42" s="181">
        <v>6</v>
      </c>
      <c r="M42" s="107">
        <v>2</v>
      </c>
      <c r="N42" s="107">
        <v>1</v>
      </c>
      <c r="O42" s="24">
        <f t="shared" si="2"/>
        <v>6700</v>
      </c>
      <c r="Q42" s="1" t="s">
        <v>1272</v>
      </c>
      <c r="R42" s="35" t="s">
        <v>1278</v>
      </c>
      <c r="S42" s="9">
        <v>1800</v>
      </c>
      <c r="T42" s="9">
        <v>3000</v>
      </c>
      <c r="U42" s="9">
        <f t="shared" ref="U42:U50" si="3">T42-S42</f>
        <v>1200</v>
      </c>
    </row>
    <row r="43" spans="1:25">
      <c r="A43" s="1" t="s">
        <v>1271</v>
      </c>
      <c r="B43" s="35" t="s">
        <v>1280</v>
      </c>
      <c r="C43" s="177">
        <v>2</v>
      </c>
      <c r="D43" s="22">
        <v>1</v>
      </c>
      <c r="E43" s="22"/>
      <c r="F43" s="6">
        <f t="shared" si="1"/>
        <v>2300</v>
      </c>
      <c r="G43" s="177"/>
      <c r="H43" s="22"/>
      <c r="I43" s="22"/>
      <c r="J43" s="175"/>
      <c r="L43" s="181">
        <v>2</v>
      </c>
      <c r="M43" s="107">
        <v>1</v>
      </c>
      <c r="N43" s="107"/>
      <c r="O43" s="24">
        <f t="shared" si="2"/>
        <v>2300</v>
      </c>
      <c r="Q43" s="1" t="s">
        <v>1272</v>
      </c>
      <c r="R43" s="35" t="s">
        <v>1279</v>
      </c>
      <c r="S43" s="9">
        <v>1200</v>
      </c>
      <c r="T43" s="9">
        <v>2400</v>
      </c>
      <c r="U43" s="9">
        <f t="shared" si="3"/>
        <v>1200</v>
      </c>
    </row>
    <row r="44" spans="1:25">
      <c r="A44" s="1" t="s">
        <v>1273</v>
      </c>
      <c r="B44" s="35" t="s">
        <v>1280</v>
      </c>
      <c r="C44" s="177">
        <v>1</v>
      </c>
      <c r="D44" s="22">
        <v>1</v>
      </c>
      <c r="E44" s="22"/>
      <c r="F44" s="6">
        <f t="shared" si="1"/>
        <v>1300</v>
      </c>
      <c r="G44" s="177" t="s">
        <v>1301</v>
      </c>
      <c r="H44" s="22"/>
      <c r="I44" s="22"/>
      <c r="J44" s="175"/>
      <c r="L44" s="181">
        <v>3</v>
      </c>
      <c r="M44" s="107"/>
      <c r="N44" s="107">
        <v>1</v>
      </c>
      <c r="O44" s="24">
        <f t="shared" si="2"/>
        <v>3100</v>
      </c>
      <c r="Q44" s="1" t="s">
        <v>1271</v>
      </c>
      <c r="R44" s="35" t="s">
        <v>1278</v>
      </c>
      <c r="S44" s="9">
        <v>1200</v>
      </c>
      <c r="T44" s="9">
        <v>2400</v>
      </c>
      <c r="U44" s="9">
        <f t="shared" si="3"/>
        <v>1200</v>
      </c>
    </row>
    <row r="45" spans="1:25">
      <c r="A45" s="1" t="s">
        <v>1273</v>
      </c>
      <c r="B45" s="35" t="s">
        <v>1281</v>
      </c>
      <c r="C45" s="177"/>
      <c r="D45" s="22"/>
      <c r="E45" s="22"/>
      <c r="F45" s="6">
        <f t="shared" si="1"/>
        <v>0</v>
      </c>
      <c r="G45" s="177"/>
      <c r="H45" s="22"/>
      <c r="I45" s="22"/>
      <c r="J45" s="175"/>
      <c r="L45" s="181"/>
      <c r="M45" s="107"/>
      <c r="N45" s="107"/>
      <c r="O45" s="24">
        <f t="shared" si="2"/>
        <v>0</v>
      </c>
      <c r="Q45" s="1" t="s">
        <v>1271</v>
      </c>
      <c r="R45" s="35" t="s">
        <v>1280</v>
      </c>
      <c r="S45" s="9">
        <v>1500</v>
      </c>
      <c r="T45" s="9">
        <v>1800</v>
      </c>
      <c r="U45" s="9">
        <f t="shared" si="3"/>
        <v>300</v>
      </c>
    </row>
    <row r="46" spans="1:25">
      <c r="A46" s="1" t="s">
        <v>1273</v>
      </c>
      <c r="B46" s="35" t="s">
        <v>1282</v>
      </c>
      <c r="C46" s="177">
        <v>1</v>
      </c>
      <c r="D46" s="22">
        <v>1</v>
      </c>
      <c r="E46" s="22"/>
      <c r="F46" s="6">
        <f t="shared" si="1"/>
        <v>1300</v>
      </c>
      <c r="G46" s="178"/>
      <c r="H46" s="22"/>
      <c r="I46" s="22"/>
      <c r="J46" s="180" t="s">
        <v>1303</v>
      </c>
      <c r="L46" s="181">
        <v>1</v>
      </c>
      <c r="M46" s="107">
        <v>1</v>
      </c>
      <c r="N46" s="107"/>
      <c r="O46" s="24">
        <f t="shared" si="2"/>
        <v>1300</v>
      </c>
      <c r="Q46" s="1" t="s">
        <v>1273</v>
      </c>
      <c r="R46" s="35" t="s">
        <v>1280</v>
      </c>
      <c r="S46" s="9">
        <v>1500</v>
      </c>
      <c r="T46" s="9">
        <v>1800</v>
      </c>
      <c r="U46" s="9">
        <f t="shared" si="3"/>
        <v>300</v>
      </c>
    </row>
    <row r="47" spans="1:25">
      <c r="A47" s="1" t="s">
        <v>1274</v>
      </c>
      <c r="B47" s="35" t="s">
        <v>1281</v>
      </c>
      <c r="C47" s="177">
        <v>1</v>
      </c>
      <c r="D47" s="22">
        <v>3</v>
      </c>
      <c r="E47" s="22"/>
      <c r="F47" s="6">
        <f t="shared" si="1"/>
        <v>1900</v>
      </c>
      <c r="G47" s="177"/>
      <c r="H47" s="22"/>
      <c r="I47" s="22"/>
      <c r="J47" s="175"/>
      <c r="L47" s="181">
        <v>1</v>
      </c>
      <c r="M47" s="107">
        <v>3</v>
      </c>
      <c r="N47" s="107"/>
      <c r="O47" s="24">
        <f t="shared" si="2"/>
        <v>1900</v>
      </c>
      <c r="Q47" s="1" t="s">
        <v>1273</v>
      </c>
      <c r="R47" s="35" t="s">
        <v>1281</v>
      </c>
      <c r="S47" s="9">
        <v>1200</v>
      </c>
      <c r="T47" s="9">
        <v>2000</v>
      </c>
      <c r="U47" s="9">
        <f t="shared" si="3"/>
        <v>800</v>
      </c>
    </row>
    <row r="48" spans="1:25">
      <c r="A48" s="1" t="s">
        <v>1275</v>
      </c>
      <c r="B48" s="35" t="s">
        <v>1281</v>
      </c>
      <c r="C48" s="177"/>
      <c r="D48" s="22">
        <v>1</v>
      </c>
      <c r="E48" s="22"/>
      <c r="F48" s="6">
        <f t="shared" si="1"/>
        <v>300</v>
      </c>
      <c r="G48" s="177"/>
      <c r="H48" s="22"/>
      <c r="I48" s="22"/>
      <c r="J48" s="175"/>
      <c r="L48" s="181"/>
      <c r="M48" s="107">
        <v>1</v>
      </c>
      <c r="N48" s="107"/>
      <c r="O48" s="24">
        <f t="shared" si="2"/>
        <v>300</v>
      </c>
      <c r="Q48" s="1" t="s">
        <v>1273</v>
      </c>
      <c r="R48" s="35" t="s">
        <v>1282</v>
      </c>
      <c r="S48" s="9">
        <v>1200</v>
      </c>
      <c r="T48" s="9">
        <v>1800</v>
      </c>
      <c r="U48" s="9">
        <f t="shared" si="3"/>
        <v>600</v>
      </c>
    </row>
    <row r="49" spans="1:21">
      <c r="A49" s="1" t="s">
        <v>1275</v>
      </c>
      <c r="B49" s="35" t="s">
        <v>1283</v>
      </c>
      <c r="C49" s="177">
        <v>4</v>
      </c>
      <c r="D49" s="22">
        <v>3</v>
      </c>
      <c r="E49" s="22"/>
      <c r="F49" s="6">
        <f t="shared" si="1"/>
        <v>4900</v>
      </c>
      <c r="G49" s="178"/>
      <c r="H49" s="22"/>
      <c r="I49" s="22" t="s">
        <v>1296</v>
      </c>
      <c r="J49" s="180" t="s">
        <v>1303</v>
      </c>
      <c r="L49" s="181">
        <v>5</v>
      </c>
      <c r="M49" s="107">
        <v>3</v>
      </c>
      <c r="N49" s="107"/>
      <c r="O49" s="24">
        <f t="shared" si="2"/>
        <v>5900</v>
      </c>
      <c r="Q49" s="1" t="s">
        <v>1274</v>
      </c>
      <c r="R49" s="35" t="s">
        <v>1281</v>
      </c>
      <c r="S49" s="9">
        <v>1200</v>
      </c>
      <c r="T49" s="9">
        <v>1800</v>
      </c>
      <c r="U49" s="9">
        <f t="shared" si="3"/>
        <v>600</v>
      </c>
    </row>
    <row r="50" spans="1:21">
      <c r="A50" s="1" t="s">
        <v>1276</v>
      </c>
      <c r="B50" s="35" t="s">
        <v>1283</v>
      </c>
      <c r="C50" s="177">
        <v>2</v>
      </c>
      <c r="D50" s="22">
        <v>1</v>
      </c>
      <c r="E50" s="22"/>
      <c r="F50" s="6">
        <f t="shared" si="1"/>
        <v>2300</v>
      </c>
      <c r="G50" s="177"/>
      <c r="H50" s="22"/>
      <c r="I50" s="22"/>
      <c r="J50" s="175"/>
      <c r="L50" s="181">
        <v>2</v>
      </c>
      <c r="M50" s="107">
        <v>1</v>
      </c>
      <c r="N50" s="107"/>
      <c r="O50" s="24">
        <f t="shared" si="2"/>
        <v>2300</v>
      </c>
      <c r="Q50" s="1" t="s">
        <v>1275</v>
      </c>
      <c r="R50" s="35" t="s">
        <v>1283</v>
      </c>
      <c r="S50" s="9">
        <v>1800</v>
      </c>
      <c r="T50" s="9">
        <v>2200</v>
      </c>
      <c r="U50" s="9">
        <f t="shared" si="3"/>
        <v>400</v>
      </c>
    </row>
    <row r="51" spans="1:21">
      <c r="C51" s="22"/>
      <c r="D51" s="22"/>
      <c r="E51" s="22"/>
      <c r="F51" s="6">
        <f>SUM(F39:F50)</f>
        <v>23900</v>
      </c>
      <c r="M51" s="6"/>
      <c r="O51" s="6">
        <f>SUM(O39:O50)</f>
        <v>30200</v>
      </c>
      <c r="Q51" s="1" t="s">
        <v>1276</v>
      </c>
      <c r="R51" s="35" t="s">
        <v>1283</v>
      </c>
      <c r="S51" s="9">
        <v>1200</v>
      </c>
      <c r="T51" s="9">
        <v>1500</v>
      </c>
      <c r="U51" s="9">
        <f>T51-S51</f>
        <v>300</v>
      </c>
    </row>
    <row r="52" spans="1:21">
      <c r="Q52" s="1" t="s">
        <v>1275</v>
      </c>
      <c r="R52" s="35" t="s">
        <v>1281</v>
      </c>
      <c r="S52" s="9">
        <v>700</v>
      </c>
      <c r="T52" s="9">
        <v>1000</v>
      </c>
      <c r="U52" s="9">
        <f>T52-S52</f>
        <v>300</v>
      </c>
    </row>
    <row r="53" spans="1:21">
      <c r="A53" s="45" t="s">
        <v>1307</v>
      </c>
      <c r="B53" s="45"/>
      <c r="C53" s="45"/>
      <c r="D53" s="45"/>
      <c r="E53" s="45"/>
      <c r="F53" s="45"/>
      <c r="S53" s="9">
        <f>SUM(S41:S52)</f>
        <v>15700</v>
      </c>
      <c r="T53" s="9">
        <f>SUM(T41:T52)</f>
        <v>23300</v>
      </c>
      <c r="U53" s="9">
        <f>SUM(U41:U52)</f>
        <v>7600</v>
      </c>
    </row>
    <row r="54" spans="1:21">
      <c r="A54" s="45" t="s">
        <v>71</v>
      </c>
      <c r="B54" s="45" t="s">
        <v>1309</v>
      </c>
      <c r="C54" s="45"/>
      <c r="D54" s="45"/>
      <c r="E54" s="45"/>
      <c r="F54" s="45"/>
    </row>
    <row r="55" spans="1:21">
      <c r="A55" s="45"/>
      <c r="B55" s="69" t="s">
        <v>1308</v>
      </c>
      <c r="C55" s="45"/>
      <c r="D55" s="45"/>
      <c r="E55" s="45"/>
      <c r="F55" s="45"/>
    </row>
    <row r="56" spans="1:21">
      <c r="A56" s="14" t="s">
        <v>1307</v>
      </c>
      <c r="B56" s="14"/>
      <c r="C56" s="14" t="s">
        <v>1289</v>
      </c>
      <c r="D56" s="14" t="s">
        <v>1290</v>
      </c>
      <c r="E56" s="14" t="s">
        <v>1291</v>
      </c>
    </row>
    <row r="57" spans="1:21">
      <c r="A57" s="101" t="s">
        <v>1292</v>
      </c>
      <c r="B57" s="14"/>
      <c r="C57" s="54">
        <v>700</v>
      </c>
      <c r="D57" s="54">
        <v>230</v>
      </c>
      <c r="E57" s="54">
        <v>60</v>
      </c>
    </row>
    <row r="58" spans="1:21">
      <c r="A58" s="101" t="s">
        <v>1293</v>
      </c>
      <c r="B58" s="14"/>
      <c r="C58" s="54">
        <v>1030</v>
      </c>
      <c r="D58" s="54">
        <v>320</v>
      </c>
      <c r="E58" s="54">
        <v>95</v>
      </c>
    </row>
    <row r="59" spans="1:21">
      <c r="A59" s="14" t="s">
        <v>1306</v>
      </c>
      <c r="B59" s="14"/>
      <c r="C59" s="107">
        <v>1000</v>
      </c>
      <c r="D59" s="107">
        <v>300</v>
      </c>
      <c r="E59" s="107">
        <v>100</v>
      </c>
    </row>
  </sheetData>
  <mergeCells count="5">
    <mergeCell ref="M4:N4"/>
    <mergeCell ref="O4:P4"/>
    <mergeCell ref="W6:W7"/>
    <mergeCell ref="X6:X8"/>
    <mergeCell ref="Y6:Y8"/>
  </mergeCells>
  <hyperlinks>
    <hyperlink ref="B3" r:id="rId1" display="https://www.fingrid.fi/en/grid/development/part-of-the-nordic-power-system/" xr:uid="{A856FD75-3492-42EF-81A7-4D0F912A1179}"/>
    <hyperlink ref="B4" r:id="rId2" display="https://www.fingrid.fi/globalassets/dokumentit/fi/kantaverkko/kantaverkon-kehittaminen/fingrid_kehittamissuunnitelma_syksy23_en.pdf" xr:uid="{3C899368-2B38-43B5-9F68-3F6A327D98B5}"/>
    <hyperlink ref="V4" r:id="rId3" xr:uid="{7C4A4BC1-CD48-44A3-AC42-E8F12BB27758}"/>
    <hyperlink ref="B55" r:id="rId4" display="https://www.e-cigre.org/publications/detail/207-thermal-behaviour-of-overhead-conductors.html" xr:uid="{02EF5042-0E7E-4349-A5D8-5B532D8169AE}"/>
    <hyperlink ref="B36" r:id="rId5" display="https://karttapalaute.fingrid.fi/?link=hDzo" xr:uid="{CC4B8EB2-20C5-4E74-BE33-47C2E674F72C}"/>
  </hyperlinks>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D1318-F233-4884-A016-B3428AE5C910}">
  <sheetPr>
    <tabColor rgb="FF009900"/>
  </sheetPr>
  <dimension ref="A1:P54"/>
  <sheetViews>
    <sheetView workbookViewId="0">
      <selection activeCell="D38" sqref="D38"/>
    </sheetView>
  </sheetViews>
  <sheetFormatPr defaultColWidth="9.109375" defaultRowHeight="14.4"/>
  <cols>
    <col min="1" max="1" width="11.109375" style="1" customWidth="1"/>
    <col min="2" max="2" width="12.44140625" style="1" customWidth="1"/>
    <col min="3" max="3" width="9.6640625" style="1" customWidth="1"/>
    <col min="4" max="4" width="12.44140625" style="1" customWidth="1"/>
    <col min="5" max="5" width="14.109375" style="1" customWidth="1"/>
    <col min="6" max="6" width="15.44140625" style="1" customWidth="1"/>
    <col min="7" max="7" width="9.88671875" style="1" customWidth="1"/>
    <col min="8" max="16384" width="9.109375" style="1"/>
  </cols>
  <sheetData>
    <row r="1" spans="1:16">
      <c r="A1" s="65" t="s">
        <v>57</v>
      </c>
      <c r="B1" s="36"/>
      <c r="C1" s="36"/>
      <c r="D1" s="36"/>
      <c r="E1" s="36"/>
      <c r="F1" s="36"/>
      <c r="G1" s="36"/>
      <c r="H1" s="36"/>
      <c r="I1" s="36"/>
      <c r="J1" s="36"/>
      <c r="L1" s="36" t="s">
        <v>1332</v>
      </c>
      <c r="M1" s="36"/>
      <c r="N1" s="36"/>
      <c r="O1" s="36"/>
      <c r="P1" s="36"/>
    </row>
    <row r="2" spans="1:16">
      <c r="A2" s="37" t="s">
        <v>71</v>
      </c>
      <c r="B2" s="45"/>
      <c r="C2" s="37" t="s">
        <v>1200</v>
      </c>
      <c r="D2" s="37"/>
      <c r="E2" s="37"/>
      <c r="F2" s="37"/>
      <c r="G2" s="37"/>
      <c r="H2" s="45"/>
      <c r="I2" s="45"/>
      <c r="J2" s="45"/>
      <c r="L2" s="14" t="s">
        <v>1224</v>
      </c>
      <c r="M2" s="14"/>
      <c r="N2" s="35"/>
      <c r="O2" s="35"/>
    </row>
    <row r="3" spans="1:16">
      <c r="A3" s="37"/>
      <c r="B3" s="45"/>
      <c r="C3" s="37" t="s">
        <v>1201</v>
      </c>
      <c r="D3" s="37"/>
      <c r="E3" s="37"/>
      <c r="F3" s="37"/>
      <c r="G3" s="37"/>
      <c r="H3" s="45"/>
      <c r="I3" s="45"/>
      <c r="J3" s="45"/>
      <c r="L3" s="1" t="s">
        <v>1385</v>
      </c>
      <c r="M3" s="1" t="s">
        <v>1220</v>
      </c>
      <c r="N3" s="35">
        <v>7899</v>
      </c>
      <c r="O3" s="35">
        <v>7546</v>
      </c>
    </row>
    <row r="4" spans="1:16">
      <c r="A4" s="46" t="s">
        <v>72</v>
      </c>
      <c r="B4" s="47"/>
      <c r="C4" s="332" t="s">
        <v>76</v>
      </c>
      <c r="D4" s="332"/>
      <c r="E4" s="332"/>
      <c r="F4" s="332"/>
      <c r="G4" s="332"/>
      <c r="H4" s="332"/>
      <c r="I4" s="332"/>
      <c r="J4" s="332"/>
      <c r="L4" s="1" t="s">
        <v>1383</v>
      </c>
      <c r="M4" s="1" t="s">
        <v>1222</v>
      </c>
      <c r="N4" s="35">
        <v>21000</v>
      </c>
      <c r="O4" s="35">
        <v>21000</v>
      </c>
    </row>
    <row r="5" spans="1:16">
      <c r="A5" s="46"/>
      <c r="B5" s="47"/>
      <c r="C5" s="332"/>
      <c r="D5" s="332"/>
      <c r="E5" s="332"/>
      <c r="F5" s="332"/>
      <c r="G5" s="332"/>
      <c r="H5" s="332"/>
      <c r="I5" s="332"/>
      <c r="J5" s="332"/>
      <c r="L5" s="1" t="s">
        <v>1384</v>
      </c>
      <c r="M5" s="1" t="s">
        <v>1382</v>
      </c>
      <c r="N5" s="35">
        <v>8330</v>
      </c>
      <c r="O5" s="35">
        <v>4205</v>
      </c>
    </row>
    <row r="6" spans="1:16">
      <c r="A6" s="37"/>
      <c r="B6" s="37"/>
      <c r="C6" s="48" t="s">
        <v>73</v>
      </c>
      <c r="D6" s="37"/>
      <c r="E6" s="37"/>
      <c r="F6" s="37"/>
      <c r="G6" s="37"/>
      <c r="H6" s="45"/>
      <c r="I6" s="45"/>
      <c r="J6" s="45"/>
    </row>
    <row r="7" spans="1:16">
      <c r="A7" s="62"/>
      <c r="B7" s="62"/>
      <c r="C7" s="63"/>
      <c r="D7" s="64"/>
      <c r="E7" s="64" t="s">
        <v>74</v>
      </c>
      <c r="F7" s="64" t="s">
        <v>75</v>
      </c>
      <c r="G7" s="39"/>
      <c r="L7" s="1" t="s">
        <v>1311</v>
      </c>
    </row>
    <row r="8" spans="1:16">
      <c r="A8" s="333" t="s">
        <v>1202</v>
      </c>
      <c r="B8" s="38" t="s">
        <v>52</v>
      </c>
      <c r="D8" s="339" t="s">
        <v>70</v>
      </c>
      <c r="E8" s="10">
        <v>15300</v>
      </c>
      <c r="F8" s="9">
        <v>146690</v>
      </c>
      <c r="L8" s="1" t="s">
        <v>1385</v>
      </c>
      <c r="M8" s="1" t="s">
        <v>1386</v>
      </c>
      <c r="N8" s="1">
        <v>8000</v>
      </c>
    </row>
    <row r="9" spans="1:16">
      <c r="A9" s="334"/>
      <c r="B9" s="39" t="s">
        <v>59</v>
      </c>
      <c r="D9" s="339"/>
      <c r="E9" s="9">
        <v>55310</v>
      </c>
      <c r="F9" s="9">
        <v>326130</v>
      </c>
      <c r="L9" s="1" t="s">
        <v>1386</v>
      </c>
      <c r="M9" s="1" t="s">
        <v>1389</v>
      </c>
      <c r="N9" s="1">
        <v>8000</v>
      </c>
    </row>
    <row r="10" spans="1:16">
      <c r="A10" s="335"/>
      <c r="B10" s="40" t="s">
        <v>60</v>
      </c>
      <c r="C10" s="44"/>
      <c r="D10" s="340"/>
      <c r="E10" s="66">
        <v>500</v>
      </c>
      <c r="F10" s="66">
        <v>21860</v>
      </c>
      <c r="L10" s="1" t="s">
        <v>1383</v>
      </c>
      <c r="M10" s="1" t="s">
        <v>1387</v>
      </c>
      <c r="N10" s="1">
        <v>8000</v>
      </c>
    </row>
    <row r="11" spans="1:16">
      <c r="A11" s="333" t="s">
        <v>1203</v>
      </c>
      <c r="B11" s="38" t="s">
        <v>52</v>
      </c>
      <c r="C11" s="50"/>
      <c r="D11" s="341" t="s">
        <v>69</v>
      </c>
      <c r="E11" s="60">
        <v>50.48</v>
      </c>
      <c r="F11" s="51">
        <v>397.6</v>
      </c>
      <c r="L11" s="1" t="s">
        <v>1387</v>
      </c>
      <c r="M11" s="1" t="s">
        <v>1388</v>
      </c>
      <c r="N11" s="1">
        <v>8000</v>
      </c>
    </row>
    <row r="12" spans="1:16">
      <c r="A12" s="334"/>
      <c r="B12" s="52" t="s">
        <v>59</v>
      </c>
      <c r="D12" s="339"/>
      <c r="E12" s="53">
        <v>-28.74</v>
      </c>
      <c r="F12" s="54">
        <v>175.80000000000004</v>
      </c>
      <c r="L12" s="1" t="s">
        <v>1388</v>
      </c>
      <c r="M12" s="1" t="s">
        <v>1384</v>
      </c>
      <c r="N12" s="1">
        <v>8000</v>
      </c>
    </row>
    <row r="13" spans="1:16">
      <c r="A13" s="334"/>
      <c r="B13" s="52" t="s">
        <v>60</v>
      </c>
      <c r="D13" s="339"/>
      <c r="E13" s="53">
        <v>2.2000000000000002</v>
      </c>
      <c r="F13" s="55">
        <v>156.96</v>
      </c>
    </row>
    <row r="14" spans="1:16">
      <c r="A14" s="335"/>
      <c r="B14" s="41" t="s">
        <v>2</v>
      </c>
      <c r="C14" s="44"/>
      <c r="D14" s="340"/>
      <c r="E14" s="56">
        <f>SUMIF(E11:E13,"&gt;0",E11:E13)</f>
        <v>52.68</v>
      </c>
      <c r="F14" s="57">
        <f>SUM(F11:F13)</f>
        <v>730.36000000000013</v>
      </c>
    </row>
    <row r="15" spans="1:16">
      <c r="A15" s="333" t="s">
        <v>1204</v>
      </c>
      <c r="B15" s="59" t="s">
        <v>63</v>
      </c>
      <c r="C15" s="50"/>
      <c r="D15" s="336" t="s">
        <v>78</v>
      </c>
      <c r="E15" s="60">
        <v>3.2</v>
      </c>
      <c r="F15" s="61">
        <v>108.9</v>
      </c>
    </row>
    <row r="16" spans="1:16">
      <c r="A16" s="334"/>
      <c r="B16" s="155" t="s">
        <v>64</v>
      </c>
      <c r="D16" s="337"/>
      <c r="E16" s="53">
        <v>3.18</v>
      </c>
      <c r="F16" s="55">
        <v>108.27000000000001</v>
      </c>
    </row>
    <row r="17" spans="1:10">
      <c r="A17" s="334"/>
      <c r="B17" s="155" t="s">
        <v>65</v>
      </c>
      <c r="D17" s="337"/>
      <c r="E17" s="53"/>
      <c r="F17" s="55">
        <v>7.1399999999999988</v>
      </c>
    </row>
    <row r="18" spans="1:10">
      <c r="A18" s="334"/>
      <c r="B18" s="155" t="s">
        <v>66</v>
      </c>
      <c r="D18" s="337"/>
      <c r="E18" s="53"/>
      <c r="F18" s="55">
        <v>3.5299999999999994</v>
      </c>
    </row>
    <row r="19" spans="1:10">
      <c r="A19" s="334"/>
      <c r="B19" s="155" t="s">
        <v>51</v>
      </c>
      <c r="D19" s="337"/>
      <c r="E19" s="53">
        <v>14.91</v>
      </c>
      <c r="F19" s="55">
        <v>588</v>
      </c>
    </row>
    <row r="20" spans="1:10">
      <c r="A20" s="334"/>
      <c r="B20" s="155" t="s">
        <v>67</v>
      </c>
      <c r="D20" s="337"/>
      <c r="E20" s="53">
        <v>2.66</v>
      </c>
      <c r="F20" s="55">
        <v>93.92</v>
      </c>
    </row>
    <row r="21" spans="1:10">
      <c r="A21" s="334"/>
      <c r="B21" s="52" t="s">
        <v>2</v>
      </c>
      <c r="D21" s="337"/>
      <c r="E21" s="43">
        <f>SUM(E15:E20)</f>
        <v>23.95</v>
      </c>
      <c r="F21" s="43">
        <f>SUM(F15:F20)</f>
        <v>909.76</v>
      </c>
    </row>
    <row r="22" spans="1:10">
      <c r="A22" s="334"/>
      <c r="B22" s="155" t="s">
        <v>68</v>
      </c>
      <c r="D22" s="337"/>
      <c r="E22" s="49">
        <f>E19/E21</f>
        <v>0.62254697286012528</v>
      </c>
      <c r="F22" s="49">
        <f>F19/F21</f>
        <v>0.64632430531129093</v>
      </c>
    </row>
    <row r="23" spans="1:10">
      <c r="A23" s="335"/>
      <c r="B23" s="156" t="s">
        <v>77</v>
      </c>
      <c r="C23" s="156"/>
      <c r="D23" s="338"/>
      <c r="E23" s="157">
        <f>E21*$F$11/$F$21</f>
        <v>10.467068237776997</v>
      </c>
      <c r="F23" s="158"/>
    </row>
    <row r="24" spans="1:10">
      <c r="A24" s="145" t="s">
        <v>1205</v>
      </c>
      <c r="B24" s="58" t="s">
        <v>1197</v>
      </c>
      <c r="C24" s="58"/>
      <c r="D24" s="336" t="s">
        <v>1206</v>
      </c>
      <c r="E24" s="159">
        <v>266.71679999999998</v>
      </c>
      <c r="F24" s="9">
        <v>8048.5536899999988</v>
      </c>
    </row>
    <row r="25" spans="1:10">
      <c r="A25" s="145"/>
      <c r="B25" s="58" t="s">
        <v>1198</v>
      </c>
      <c r="C25" s="58"/>
      <c r="D25" s="337"/>
      <c r="E25" s="24">
        <v>3129.4252076910821</v>
      </c>
      <c r="F25" s="6">
        <v>56360.978208333341</v>
      </c>
    </row>
    <row r="26" spans="1:10">
      <c r="A26" s="145"/>
      <c r="B26" s="58" t="s">
        <v>1199</v>
      </c>
      <c r="C26" s="58"/>
      <c r="D26" s="337"/>
      <c r="E26" s="24">
        <v>1659.0323663429911</v>
      </c>
      <c r="F26" s="6">
        <v>29879.188937499996</v>
      </c>
    </row>
    <row r="28" spans="1:10">
      <c r="A28" s="65" t="s">
        <v>79</v>
      </c>
      <c r="B28" s="36"/>
      <c r="C28" s="36"/>
      <c r="D28" s="36"/>
      <c r="E28" s="36"/>
      <c r="F28" s="36"/>
      <c r="G28" s="36"/>
      <c r="H28" s="36"/>
      <c r="I28" s="36"/>
      <c r="J28" s="36"/>
    </row>
    <row r="29" spans="1:10">
      <c r="A29" s="45" t="s">
        <v>1195</v>
      </c>
      <c r="B29" s="342" t="s">
        <v>1196</v>
      </c>
      <c r="C29" s="342"/>
      <c r="D29" s="342"/>
      <c r="E29" s="342"/>
      <c r="F29" s="342"/>
      <c r="G29" s="342"/>
      <c r="H29" s="342"/>
      <c r="I29" s="342"/>
      <c r="J29" s="342"/>
    </row>
    <row r="30" spans="1:10">
      <c r="A30" s="45"/>
      <c r="B30" s="342"/>
      <c r="C30" s="342"/>
      <c r="D30" s="342"/>
      <c r="E30" s="342"/>
      <c r="F30" s="342"/>
      <c r="G30" s="342"/>
      <c r="H30" s="342"/>
      <c r="I30" s="342"/>
      <c r="J30" s="342"/>
    </row>
    <row r="31" spans="1:10">
      <c r="A31" s="45"/>
      <c r="B31" s="45" t="s">
        <v>1207</v>
      </c>
      <c r="C31" s="45"/>
      <c r="D31" s="45"/>
      <c r="E31" s="45"/>
      <c r="F31" s="45"/>
      <c r="G31" s="45"/>
      <c r="H31" s="45"/>
      <c r="I31" s="45"/>
      <c r="J31" s="45"/>
    </row>
    <row r="32" spans="1:10">
      <c r="A32" s="45"/>
      <c r="B32" s="45" t="s">
        <v>1335</v>
      </c>
      <c r="C32" s="45"/>
      <c r="D32" s="45"/>
      <c r="E32" s="45"/>
      <c r="F32" s="45"/>
      <c r="G32" s="45"/>
      <c r="H32" s="45"/>
      <c r="I32" s="45"/>
      <c r="J32" s="45"/>
    </row>
    <row r="33" spans="1:7" ht="14.4" customHeight="1">
      <c r="A33" s="14"/>
      <c r="B33" s="126" t="s">
        <v>1242</v>
      </c>
      <c r="C33" s="126" t="s">
        <v>3002</v>
      </c>
      <c r="D33" s="320" t="s">
        <v>3007</v>
      </c>
      <c r="E33" s="320"/>
      <c r="F33" s="320"/>
    </row>
    <row r="34" spans="1:7">
      <c r="A34" s="14" t="s">
        <v>3006</v>
      </c>
      <c r="B34" s="14" t="s">
        <v>52</v>
      </c>
      <c r="C34" s="126" t="s">
        <v>62</v>
      </c>
      <c r="D34" s="14" t="s">
        <v>3003</v>
      </c>
      <c r="E34" s="14" t="s">
        <v>3004</v>
      </c>
      <c r="F34" s="14" t="s">
        <v>3005</v>
      </c>
      <c r="G34" s="14" t="s">
        <v>3012</v>
      </c>
    </row>
    <row r="35" spans="1:7">
      <c r="A35" s="1" t="s">
        <v>28</v>
      </c>
      <c r="B35" s="206">
        <f>$E$8*B46/$B$54</f>
        <v>5878.5239145713213</v>
      </c>
      <c r="C35" s="306">
        <f>$E$23*D_el!$K88/(D_el!$K$95-D_el!$K$91)</f>
        <v>2.0138915737488277</v>
      </c>
      <c r="D35" s="306">
        <f>$E$24*D_el!$K88/(D_el!$K$95-D_el!$K$91)</f>
        <v>51.317016751514863</v>
      </c>
      <c r="E35" s="306">
        <f>$E$25*D_el!$K88/(D_el!$K$95-D_el!$K$91)</f>
        <v>602.10967515243192</v>
      </c>
      <c r="F35" s="306">
        <f>$E$26*D_el!$K88/(D_el!$K$95-D_el!$K$91)</f>
        <v>319.20220899069204</v>
      </c>
      <c r="G35" s="306">
        <f>P_H2[[#This Row],[Demand]]/0.00876*1.01</f>
        <v>232.19526135688537</v>
      </c>
    </row>
    <row r="36" spans="1:7">
      <c r="A36" s="1" t="s">
        <v>29</v>
      </c>
      <c r="B36" s="206">
        <f>$E$8*B47/$B$54</f>
        <v>6753.5638450219503</v>
      </c>
      <c r="C36" s="306">
        <f>$E$23*D_el!$K89/(D_el!$K$95-D_el!$K$91)</f>
        <v>1.6403900423905364</v>
      </c>
      <c r="D36" s="306">
        <f>$E$24*D_el!$K89/(D_el!$K$95-D_el!$K$91)</f>
        <v>41.799630318564624</v>
      </c>
      <c r="E36" s="306">
        <f>$E$25*D_el!$K89/(D_el!$K$95-D_el!$K$91)</f>
        <v>490.44086008487113</v>
      </c>
      <c r="F36" s="306">
        <f>$E$26*D_el!$K89/(D_el!$K$95-D_el!$K$91)</f>
        <v>260.00214309586232</v>
      </c>
      <c r="G36" s="306">
        <f>P_H2[[#This Row],[Demand]]/0.00876*1.01</f>
        <v>189.13172863178556</v>
      </c>
    </row>
    <row r="37" spans="1:7">
      <c r="A37" s="1" t="s">
        <v>31</v>
      </c>
      <c r="B37" s="206">
        <f>$E$8*B48/$B$54</f>
        <v>571.70859111089987</v>
      </c>
      <c r="C37" s="306">
        <f>$E$23*D_el!$K90/(D_el!$K$95-D_el!$K$91)</f>
        <v>1.4444284643690559</v>
      </c>
      <c r="D37" s="306">
        <f>$E$24*D_el!$K90/(D_el!$K$95-D_el!$K$91)</f>
        <v>36.80623161077709</v>
      </c>
      <c r="E37" s="306">
        <f>$E$25*D_el!$K90/(D_el!$K$95-D_el!$K$91)</f>
        <v>431.85262046816018</v>
      </c>
      <c r="F37" s="306">
        <f>$E$26*D_el!$K90/(D_el!$K$95-D_el!$K$91)</f>
        <v>228.9421945876515</v>
      </c>
      <c r="G37" s="306">
        <f>P_H2[[#This Row],[Demand]]/0.00876*1.01</f>
        <v>166.53798504711716</v>
      </c>
    </row>
    <row r="38" spans="1:7">
      <c r="A38" s="1" t="s">
        <v>32</v>
      </c>
      <c r="B38" s="206"/>
      <c r="C38" s="306"/>
      <c r="D38" s="306"/>
      <c r="E38" s="306"/>
      <c r="F38" s="306"/>
      <c r="G38" s="306"/>
    </row>
    <row r="39" spans="1:7">
      <c r="A39" s="1" t="s">
        <v>33</v>
      </c>
      <c r="B39" s="206">
        <f>$E$8*B50/$B$54</f>
        <v>831.6552720464091</v>
      </c>
      <c r="C39" s="306">
        <f>$E$23*D_el!$K92/(D_el!$K$95-D_el!$K$91)</f>
        <v>0.34877451835873546</v>
      </c>
      <c r="D39" s="306">
        <f>$E$24*D_el!$K92/(D_el!$K$95-D_el!$K$91)</f>
        <v>8.887304577077991</v>
      </c>
      <c r="E39" s="306">
        <f>$E$25*D_el!$K92/(D_el!$K$95-D_el!$K$91)</f>
        <v>104.27597726103568</v>
      </c>
      <c r="F39" s="306">
        <f>$E$26*D_el!$K92/(D_el!$K$95-D_el!$K$91)</f>
        <v>55.280829490008117</v>
      </c>
      <c r="G39" s="306">
        <f>P_H2[[#This Row],[Demand]]/0.00876*1.01</f>
        <v>40.212587162365615</v>
      </c>
    </row>
    <row r="40" spans="1:7">
      <c r="A40" s="1" t="s">
        <v>34</v>
      </c>
      <c r="B40" s="206">
        <f>$E$8*B51/$B$54</f>
        <v>828.01814760303364</v>
      </c>
      <c r="C40" s="306">
        <f>$E$23*D_el!$K93/(D_el!$K$95-D_el!$K$91)</f>
        <v>2.950179920977011</v>
      </c>
      <c r="D40" s="306">
        <f>$E$24*D_el!$K93/(D_el!$K$95-D_el!$K$91)</f>
        <v>75.175066224117359</v>
      </c>
      <c r="E40" s="306">
        <f>$E$25*D_el!$K93/(D_el!$K$95-D_el!$K$91)</f>
        <v>882.03947869650244</v>
      </c>
      <c r="F40" s="306">
        <f>$E$26*D_el!$K93/(D_el!$K$95-D_el!$K$91)</f>
        <v>467.60409545926052</v>
      </c>
      <c r="G40" s="306">
        <f>P_H2[[#This Row],[Demand]]/0.00876*1.01</f>
        <v>340.14631508981518</v>
      </c>
    </row>
    <row r="41" spans="1:7">
      <c r="A41" s="1" t="s">
        <v>3</v>
      </c>
      <c r="B41" s="206">
        <f>$E$8*B52/$B$54</f>
        <v>436.53022964638456</v>
      </c>
      <c r="C41" s="306">
        <f>$E$23*D_el!$K94/(D_el!$K$95-D_el!$K$91)</f>
        <v>2.0694037179328308</v>
      </c>
      <c r="D41" s="306">
        <f>$E$24*D_el!$K94/(D_el!$K$95-D_el!$K$91)</f>
        <v>52.731550517948044</v>
      </c>
      <c r="E41" s="306">
        <f>$E$25*D_el!$K94/(D_el!$K$95-D_el!$K$91)</f>
        <v>618.70659602808053</v>
      </c>
      <c r="F41" s="306">
        <f>$E$26*D_el!$K94/(D_el!$K$95-D_el!$K$91)</f>
        <v>328.00089471951645</v>
      </c>
      <c r="G41" s="306">
        <f>P_H2[[#This Row],[Demand]]/0.00876*1.01</f>
        <v>238.59563414522364</v>
      </c>
    </row>
    <row r="42" spans="1:7">
      <c r="B42" s="6">
        <f>SUM(B35:B41)</f>
        <v>15300.000000000002</v>
      </c>
      <c r="C42" s="153">
        <f>SUM(C35:C41)</f>
        <v>10.467068237776997</v>
      </c>
      <c r="D42" s="6">
        <f>SUM(D35:D41)</f>
        <v>266.71679999999998</v>
      </c>
      <c r="E42" s="6">
        <f>SUM(E35:E41)</f>
        <v>3129.4252076910821</v>
      </c>
      <c r="F42" s="6">
        <f>SUM(F35:F41)</f>
        <v>1659.0323663429911</v>
      </c>
    </row>
    <row r="44" spans="1:7">
      <c r="A44" s="45" t="s">
        <v>1194</v>
      </c>
      <c r="B44" s="45"/>
      <c r="C44" s="45"/>
      <c r="D44" s="45"/>
    </row>
    <row r="45" spans="1:7">
      <c r="A45" s="14" t="s">
        <v>24</v>
      </c>
      <c r="B45" s="14" t="s">
        <v>58</v>
      </c>
    </row>
    <row r="46" spans="1:7">
      <c r="A46" s="1" t="s">
        <v>28</v>
      </c>
      <c r="B46" s="24">
        <f>P_hydro!K11+P_el1!AM15</f>
        <v>28516.7675475287</v>
      </c>
      <c r="C46" s="2"/>
    </row>
    <row r="47" spans="1:7">
      <c r="A47" s="1" t="s">
        <v>29</v>
      </c>
      <c r="B47" s="24">
        <f>P_hydro!K12+P_el1!AM16</f>
        <v>32761.59340076943</v>
      </c>
      <c r="C47" s="2"/>
    </row>
    <row r="48" spans="1:7">
      <c r="A48" s="1" t="s">
        <v>31</v>
      </c>
      <c r="B48" s="24">
        <f>P_hydro!K13+P_el1!AM17</f>
        <v>2773.3630473498802</v>
      </c>
      <c r="C48" s="2"/>
    </row>
    <row r="49" spans="1:3">
      <c r="A49" s="1" t="s">
        <v>32</v>
      </c>
      <c r="B49" s="24">
        <f>P_hydro!K14+P_el1!AM18</f>
        <v>4788.6249719246043</v>
      </c>
      <c r="C49" s="2"/>
    </row>
    <row r="50" spans="1:3">
      <c r="A50" s="1" t="s">
        <v>33</v>
      </c>
      <c r="B50" s="24">
        <f>P_hydro!K15+P_el1!AM19</f>
        <v>4034.3665207924291</v>
      </c>
      <c r="C50" s="2"/>
    </row>
    <row r="51" spans="1:3">
      <c r="A51" s="1" t="s">
        <v>34</v>
      </c>
      <c r="B51" s="24">
        <f>P_hydro!K16+P_el1!AM20</f>
        <v>4016.7228003958717</v>
      </c>
      <c r="C51" s="2"/>
    </row>
    <row r="52" spans="1:3">
      <c r="A52" s="1" t="s">
        <v>3</v>
      </c>
      <c r="B52" s="24">
        <f>P_hydro!K17+P_el1!AM21</f>
        <v>2117.6117112390866</v>
      </c>
      <c r="C52" s="2"/>
    </row>
    <row r="53" spans="1:3">
      <c r="A53" s="1" t="s">
        <v>2</v>
      </c>
      <c r="B53" s="6">
        <f>SUM(B46:B52)</f>
        <v>79009.050000000017</v>
      </c>
      <c r="C53" s="2"/>
    </row>
    <row r="54" spans="1:3">
      <c r="A54" s="1" t="s">
        <v>1334</v>
      </c>
      <c r="B54" s="2">
        <f>SUM(B46:B48,B50:B52)</f>
        <v>74220.425028075406</v>
      </c>
    </row>
  </sheetData>
  <mergeCells count="10">
    <mergeCell ref="D33:F33"/>
    <mergeCell ref="C4:J5"/>
    <mergeCell ref="A15:A23"/>
    <mergeCell ref="D15:D23"/>
    <mergeCell ref="A8:A10"/>
    <mergeCell ref="D8:D10"/>
    <mergeCell ref="A11:A14"/>
    <mergeCell ref="D11:D14"/>
    <mergeCell ref="B29:J30"/>
    <mergeCell ref="D24:D26"/>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74B6-B8CC-4D5D-B42F-A378484D420E}">
  <sheetPr>
    <tabColor rgb="FF00CC00"/>
  </sheetPr>
  <dimension ref="A1:AZ278"/>
  <sheetViews>
    <sheetView topLeftCell="D9" workbookViewId="0">
      <selection activeCell="L43" sqref="L43"/>
    </sheetView>
  </sheetViews>
  <sheetFormatPr defaultColWidth="8.88671875" defaultRowHeight="14.4"/>
  <cols>
    <col min="1" max="1" width="25.77734375" style="1" customWidth="1"/>
    <col min="2" max="2" width="25.33203125" style="1" customWidth="1"/>
    <col min="3" max="3" width="12.33203125" style="1" customWidth="1"/>
    <col min="4" max="4" width="10" style="1" customWidth="1"/>
    <col min="5" max="5" width="18.33203125" style="1" bestFit="1" customWidth="1"/>
    <col min="6" max="6" width="19" style="1" customWidth="1"/>
    <col min="7" max="7" width="8.33203125" style="1" customWidth="1"/>
    <col min="8" max="8" width="8.88671875" style="1" customWidth="1"/>
    <col min="9" max="9" width="18.33203125" style="1" bestFit="1" customWidth="1"/>
    <col min="10" max="10" width="9.33203125" style="1" customWidth="1"/>
    <col min="11" max="11" width="8.88671875" style="1"/>
    <col min="12" max="12" width="9.5546875" style="1" customWidth="1"/>
    <col min="13" max="14" width="8.88671875" style="1"/>
    <col min="15" max="15" width="3.6640625" style="1" customWidth="1"/>
    <col min="16" max="20" width="8.88671875" style="1"/>
    <col min="21" max="21" width="4" style="1" customWidth="1"/>
    <col min="22" max="22" width="17" style="1" customWidth="1"/>
    <col min="23" max="23" width="8.88671875" style="1"/>
    <col min="24" max="24" width="11.88671875" style="1" bestFit="1" customWidth="1"/>
    <col min="25" max="25" width="22.6640625" style="1" bestFit="1" customWidth="1"/>
    <col min="26" max="26" width="3.6640625" style="1" customWidth="1"/>
    <col min="27" max="27" width="19.88671875" style="1" bestFit="1" customWidth="1"/>
    <col min="28" max="28" width="10.88671875" style="1" customWidth="1"/>
    <col min="29" max="29" width="11.88671875" style="1" customWidth="1"/>
    <col min="30" max="30" width="10.6640625" style="1" customWidth="1"/>
    <col min="31" max="31" width="3.6640625" style="1" customWidth="1"/>
    <col min="32" max="32" width="8.88671875" style="1"/>
    <col min="33" max="33" width="9.21875" style="1" customWidth="1"/>
    <col min="34" max="34" width="14.44140625" style="1" customWidth="1"/>
    <col min="35" max="35" width="14.77734375" style="1" customWidth="1"/>
    <col min="36" max="36" width="17.5546875" style="1" customWidth="1"/>
    <col min="37" max="37" width="16" style="1" customWidth="1"/>
    <col min="38" max="46" width="8.88671875" style="1"/>
    <col min="47" max="47" width="10" style="1" customWidth="1"/>
    <col min="48" max="48" width="10.21875" style="1" customWidth="1"/>
    <col min="49" max="16384" width="8.88671875" style="1"/>
  </cols>
  <sheetData>
    <row r="1" spans="1:52">
      <c r="A1" s="65" t="s">
        <v>1177</v>
      </c>
      <c r="B1" s="36" t="s">
        <v>859</v>
      </c>
      <c r="C1" s="36"/>
      <c r="D1" s="97" t="s">
        <v>175</v>
      </c>
      <c r="E1" s="36"/>
      <c r="F1" s="97"/>
      <c r="G1" s="36"/>
      <c r="H1" s="36"/>
      <c r="I1" s="36"/>
      <c r="J1" s="36"/>
      <c r="K1" s="36"/>
      <c r="L1" s="36"/>
      <c r="M1" s="36"/>
      <c r="N1" s="36"/>
      <c r="P1" s="116" t="s">
        <v>853</v>
      </c>
      <c r="Q1" s="116" t="s">
        <v>848</v>
      </c>
      <c r="R1" s="65"/>
      <c r="S1" s="36"/>
      <c r="T1" s="36"/>
      <c r="V1" s="65" t="s">
        <v>1181</v>
      </c>
      <c r="W1" s="97" t="s">
        <v>874</v>
      </c>
      <c r="X1" s="36"/>
      <c r="Y1" s="36"/>
      <c r="AA1" s="65" t="s">
        <v>1182</v>
      </c>
      <c r="AB1" s="97" t="s">
        <v>885</v>
      </c>
      <c r="AC1" s="36"/>
      <c r="AD1" s="36"/>
      <c r="AF1" s="65" t="s">
        <v>1183</v>
      </c>
      <c r="AG1" s="36"/>
      <c r="AH1" s="36"/>
      <c r="AI1" s="36"/>
      <c r="AJ1" s="36"/>
      <c r="AK1" s="36"/>
      <c r="AL1" s="36"/>
      <c r="AM1" s="36"/>
      <c r="AN1" s="36"/>
      <c r="AO1" s="36"/>
      <c r="AP1" s="36"/>
      <c r="AQ1" s="36"/>
      <c r="AR1" s="36"/>
      <c r="AT1" s="65" t="s">
        <v>1211</v>
      </c>
      <c r="AU1" s="36"/>
      <c r="AV1" s="36"/>
      <c r="AW1" s="36"/>
      <c r="AX1" s="36"/>
      <c r="AY1" s="36"/>
      <c r="AZ1" s="36"/>
    </row>
    <row r="2" spans="1:52" ht="14.4" customHeight="1">
      <c r="A2" s="98" t="s">
        <v>831</v>
      </c>
      <c r="B2" s="98" t="s">
        <v>1132</v>
      </c>
      <c r="C2" s="98"/>
      <c r="D2" s="45"/>
      <c r="E2" s="45"/>
      <c r="F2" s="45"/>
      <c r="G2" s="45"/>
      <c r="H2" s="45"/>
      <c r="I2" s="45"/>
      <c r="J2" s="45"/>
      <c r="K2" s="45"/>
      <c r="L2" s="45"/>
      <c r="M2" s="45"/>
      <c r="N2" s="45"/>
      <c r="P2" s="45"/>
      <c r="Q2" s="98" t="s">
        <v>852</v>
      </c>
      <c r="R2" s="45"/>
      <c r="S2" s="45"/>
      <c r="T2" s="45"/>
      <c r="V2" s="344" t="s">
        <v>876</v>
      </c>
      <c r="W2" s="344"/>
      <c r="X2" s="344"/>
      <c r="Y2" s="344"/>
      <c r="AA2" s="98" t="s">
        <v>396</v>
      </c>
      <c r="AB2" s="98"/>
      <c r="AC2" s="98"/>
      <c r="AD2" s="98"/>
      <c r="AF2" s="98" t="s">
        <v>860</v>
      </c>
      <c r="AG2" s="45"/>
      <c r="AH2" s="45"/>
      <c r="AI2" s="45"/>
      <c r="AJ2" s="45"/>
      <c r="AK2" s="45"/>
      <c r="AL2" s="45"/>
      <c r="AM2" s="45"/>
      <c r="AN2" s="45"/>
      <c r="AO2" s="45"/>
      <c r="AP2" s="45"/>
      <c r="AQ2" s="45"/>
      <c r="AR2" s="45"/>
      <c r="AT2" s="45" t="s">
        <v>1213</v>
      </c>
      <c r="AU2" s="45"/>
      <c r="AV2" s="45"/>
      <c r="AW2" s="45"/>
      <c r="AX2" s="45"/>
      <c r="AY2" s="45"/>
      <c r="AZ2" s="45"/>
    </row>
    <row r="3" spans="1:52" ht="15" customHeight="1">
      <c r="A3" s="98"/>
      <c r="B3" s="98" t="s">
        <v>815</v>
      </c>
      <c r="C3" s="98"/>
      <c r="D3" s="45"/>
      <c r="E3" s="45"/>
      <c r="F3" s="45"/>
      <c r="G3" s="45"/>
      <c r="H3" s="45"/>
      <c r="I3" s="45"/>
      <c r="J3" s="45"/>
      <c r="K3" s="45"/>
      <c r="L3" s="45"/>
      <c r="M3" s="45"/>
      <c r="N3" s="45"/>
      <c r="P3" s="14" t="s">
        <v>854</v>
      </c>
      <c r="Q3" s="14"/>
      <c r="R3" s="14" t="s">
        <v>58</v>
      </c>
      <c r="V3" s="344"/>
      <c r="W3" s="344"/>
      <c r="X3" s="344"/>
      <c r="Y3" s="344"/>
      <c r="AA3" s="344" t="s">
        <v>886</v>
      </c>
      <c r="AB3" s="344"/>
      <c r="AC3" s="344"/>
      <c r="AD3" s="344"/>
      <c r="AF3" s="98" t="s">
        <v>835</v>
      </c>
      <c r="AG3" s="98" t="s">
        <v>861</v>
      </c>
      <c r="AH3" s="98"/>
      <c r="AI3" s="45"/>
      <c r="AJ3" s="45"/>
      <c r="AK3" s="45"/>
      <c r="AL3" s="45"/>
      <c r="AM3" s="45"/>
      <c r="AN3" s="45"/>
      <c r="AO3" s="45"/>
      <c r="AP3" s="45"/>
      <c r="AQ3" s="45"/>
      <c r="AR3" s="45"/>
    </row>
    <row r="4" spans="1:52">
      <c r="A4" s="46" t="s">
        <v>397</v>
      </c>
      <c r="B4" s="46" t="s">
        <v>833</v>
      </c>
      <c r="C4" s="46"/>
      <c r="D4" s="45"/>
      <c r="E4" s="45"/>
      <c r="F4" s="45"/>
      <c r="G4" s="45"/>
      <c r="H4" s="45"/>
      <c r="I4" s="45"/>
      <c r="J4" s="45"/>
      <c r="K4" s="45"/>
      <c r="L4" s="45"/>
      <c r="M4" s="45"/>
      <c r="N4" s="45"/>
      <c r="P4" s="114" t="s">
        <v>163</v>
      </c>
      <c r="R4" s="10">
        <v>21270</v>
      </c>
      <c r="V4" s="344"/>
      <c r="W4" s="344"/>
      <c r="X4" s="344"/>
      <c r="Y4" s="344"/>
      <c r="AA4" s="344"/>
      <c r="AB4" s="344"/>
      <c r="AC4" s="344"/>
      <c r="AD4" s="344"/>
      <c r="AF4" s="98" t="s">
        <v>162</v>
      </c>
      <c r="AG4" s="98" t="s">
        <v>862</v>
      </c>
      <c r="AH4" s="98"/>
      <c r="AI4" s="45"/>
      <c r="AJ4" s="45"/>
      <c r="AK4" s="45"/>
      <c r="AL4" s="45"/>
      <c r="AM4" s="45"/>
      <c r="AN4" s="45"/>
      <c r="AO4" s="45"/>
      <c r="AP4" s="45"/>
      <c r="AQ4" s="45"/>
      <c r="AR4" s="45"/>
    </row>
    <row r="5" spans="1:52">
      <c r="A5" s="46"/>
      <c r="B5" s="98" t="s">
        <v>825</v>
      </c>
      <c r="C5" s="46"/>
      <c r="D5" s="46"/>
      <c r="E5" s="45"/>
      <c r="F5" s="98" t="s">
        <v>849</v>
      </c>
      <c r="G5" s="45"/>
      <c r="H5" s="45"/>
      <c r="I5" s="45"/>
      <c r="J5" s="45"/>
      <c r="K5" s="45"/>
      <c r="L5" s="45"/>
      <c r="M5" s="45"/>
      <c r="N5" s="45"/>
      <c r="P5" s="114" t="s">
        <v>841</v>
      </c>
      <c r="R5" s="10">
        <v>46000</v>
      </c>
      <c r="V5" s="14" t="s">
        <v>177</v>
      </c>
      <c r="W5" s="14" t="s">
        <v>58</v>
      </c>
      <c r="X5" s="14" t="s">
        <v>867</v>
      </c>
      <c r="Y5" s="14" t="s">
        <v>864</v>
      </c>
      <c r="AA5" s="344"/>
      <c r="AB5" s="344"/>
      <c r="AC5" s="344"/>
      <c r="AD5" s="344"/>
      <c r="AF5" s="98"/>
      <c r="AG5" s="122" t="s">
        <v>880</v>
      </c>
      <c r="AH5" s="98"/>
      <c r="AI5" s="45"/>
      <c r="AJ5" s="45"/>
      <c r="AK5" s="45"/>
      <c r="AL5" s="45"/>
      <c r="AM5" s="45"/>
      <c r="AN5" s="45"/>
      <c r="AO5" s="45"/>
      <c r="AP5" s="45"/>
      <c r="AQ5" s="45"/>
      <c r="AR5" s="45"/>
      <c r="AT5" s="14" t="s">
        <v>1212</v>
      </c>
      <c r="AU5" s="14"/>
      <c r="AV5" s="14"/>
      <c r="AW5" s="1">
        <v>1270</v>
      </c>
    </row>
    <row r="6" spans="1:52">
      <c r="A6" s="98"/>
      <c r="B6" s="98" t="s">
        <v>826</v>
      </c>
      <c r="C6" s="46"/>
      <c r="D6" s="46"/>
      <c r="E6" s="45"/>
      <c r="F6" s="98" t="s">
        <v>828</v>
      </c>
      <c r="G6" s="45"/>
      <c r="H6" s="45"/>
      <c r="I6" s="45"/>
      <c r="J6" s="45"/>
      <c r="K6" s="45"/>
      <c r="L6" s="45"/>
      <c r="M6" s="45"/>
      <c r="N6" s="45"/>
      <c r="P6" s="114" t="s">
        <v>842</v>
      </c>
      <c r="R6" s="10">
        <v>3600</v>
      </c>
      <c r="V6" s="1" t="s">
        <v>524</v>
      </c>
      <c r="W6" s="42">
        <v>565</v>
      </c>
      <c r="X6" s="35" t="s">
        <v>866</v>
      </c>
      <c r="Y6" s="35" t="s">
        <v>865</v>
      </c>
      <c r="AA6" s="344"/>
      <c r="AB6" s="344"/>
      <c r="AC6" s="344"/>
      <c r="AD6" s="344"/>
      <c r="AE6" s="6"/>
      <c r="AF6" s="98"/>
      <c r="AG6" s="122" t="s">
        <v>881</v>
      </c>
      <c r="AH6" s="98"/>
      <c r="AI6" s="45"/>
      <c r="AJ6" s="45"/>
      <c r="AK6" s="45"/>
      <c r="AL6" s="45"/>
      <c r="AM6" s="45"/>
      <c r="AN6" s="45"/>
      <c r="AO6" s="45"/>
      <c r="AP6" s="45"/>
      <c r="AQ6" s="45"/>
      <c r="AR6" s="45"/>
    </row>
    <row r="7" spans="1:52">
      <c r="A7" s="98"/>
      <c r="B7" s="98" t="s">
        <v>827</v>
      </c>
      <c r="C7" s="46"/>
      <c r="D7" s="46"/>
      <c r="E7" s="45"/>
      <c r="F7" s="98" t="s">
        <v>829</v>
      </c>
      <c r="G7" s="45"/>
      <c r="H7" s="45"/>
      <c r="I7" s="45"/>
      <c r="J7" s="45"/>
      <c r="K7" s="45"/>
      <c r="L7" s="45"/>
      <c r="M7" s="45"/>
      <c r="N7" s="45"/>
      <c r="P7" s="14" t="s">
        <v>855</v>
      </c>
      <c r="Q7" s="14"/>
      <c r="R7" s="14" t="s">
        <v>58</v>
      </c>
      <c r="V7" s="1" t="s">
        <v>418</v>
      </c>
      <c r="W7" s="42">
        <v>352</v>
      </c>
      <c r="X7" s="35" t="s">
        <v>868</v>
      </c>
      <c r="Y7" s="35" t="s">
        <v>869</v>
      </c>
      <c r="AA7" s="344"/>
      <c r="AB7" s="344"/>
      <c r="AC7" s="344"/>
      <c r="AD7" s="344"/>
      <c r="AE7" s="6"/>
      <c r="AF7" s="98" t="s">
        <v>863</v>
      </c>
      <c r="AG7" s="98" t="s">
        <v>878</v>
      </c>
      <c r="AH7" s="98"/>
      <c r="AI7" s="45"/>
      <c r="AJ7" s="45"/>
      <c r="AK7" s="45"/>
      <c r="AL7" s="45"/>
      <c r="AM7" s="45"/>
      <c r="AN7" s="45"/>
      <c r="AO7" s="45"/>
      <c r="AP7" s="45"/>
      <c r="AQ7" s="45"/>
      <c r="AR7" s="45"/>
      <c r="AT7" s="14" t="s">
        <v>24</v>
      </c>
      <c r="AU7" s="14" t="s">
        <v>1214</v>
      </c>
      <c r="AV7" s="14" t="s">
        <v>54</v>
      </c>
    </row>
    <row r="8" spans="1:52">
      <c r="A8" s="98"/>
      <c r="B8" s="98" t="s">
        <v>830</v>
      </c>
      <c r="C8" s="46"/>
      <c r="D8" s="46"/>
      <c r="E8" s="45"/>
      <c r="F8" s="98"/>
      <c r="G8" s="45"/>
      <c r="H8" s="45"/>
      <c r="I8" s="45"/>
      <c r="J8" s="45"/>
      <c r="K8" s="45"/>
      <c r="L8" s="45"/>
      <c r="M8" s="45"/>
      <c r="N8" s="45"/>
      <c r="P8" s="114" t="s">
        <v>835</v>
      </c>
      <c r="R8" s="10">
        <v>3250</v>
      </c>
      <c r="V8" s="1" t="s">
        <v>439</v>
      </c>
      <c r="W8" s="42">
        <v>180</v>
      </c>
      <c r="X8" s="35" t="s">
        <v>868</v>
      </c>
      <c r="Y8" s="35" t="s">
        <v>869</v>
      </c>
      <c r="AA8" s="344"/>
      <c r="AB8" s="344"/>
      <c r="AC8" s="344"/>
      <c r="AD8" s="344"/>
      <c r="AE8" s="24"/>
      <c r="AF8" s="98"/>
      <c r="AG8" s="122" t="s">
        <v>882</v>
      </c>
      <c r="AH8" s="98"/>
      <c r="AI8" s="45"/>
      <c r="AJ8" s="45"/>
      <c r="AK8" s="45"/>
      <c r="AL8" s="45"/>
      <c r="AM8" s="45"/>
      <c r="AN8" s="45"/>
      <c r="AO8" s="45"/>
      <c r="AP8" s="45"/>
      <c r="AQ8" s="45"/>
      <c r="AR8" s="45"/>
      <c r="AT8" s="1" t="s">
        <v>28</v>
      </c>
      <c r="AU8" s="24">
        <f>_xlfn.XLOOKUP(Battery[[#This Row],[Region]],P_el_final[Region],P_el_final[Total])+_xlfn.XLOOKUP(Battery[[#This Row],[Region]],P_hydro_3[Region],P_hydro_3[Capacity])</f>
        <v>28516.7675475287</v>
      </c>
      <c r="AV8" s="215">
        <f t="shared" ref="AV8:AV14" si="0">$AW$5*AU8/$AU$15</f>
        <v>458.3816004035163</v>
      </c>
      <c r="AX8" s="152"/>
    </row>
    <row r="9" spans="1:52">
      <c r="A9" s="98"/>
      <c r="B9" s="98" t="s">
        <v>834</v>
      </c>
      <c r="C9" s="46"/>
      <c r="D9" s="46"/>
      <c r="E9" s="45"/>
      <c r="F9" s="98"/>
      <c r="G9" s="45"/>
      <c r="H9" s="45"/>
      <c r="I9" s="45"/>
      <c r="J9" s="45"/>
      <c r="K9" s="45"/>
      <c r="L9" s="45"/>
      <c r="M9" s="45"/>
      <c r="N9" s="45"/>
      <c r="P9" s="115" t="s">
        <v>843</v>
      </c>
      <c r="R9" s="10">
        <v>928</v>
      </c>
      <c r="V9" s="1" t="s">
        <v>475</v>
      </c>
      <c r="W9" s="42">
        <v>118</v>
      </c>
      <c r="X9" s="35" t="s">
        <v>868</v>
      </c>
      <c r="Y9" s="35" t="s">
        <v>870</v>
      </c>
      <c r="AA9" s="344"/>
      <c r="AB9" s="344"/>
      <c r="AC9" s="344"/>
      <c r="AD9" s="344"/>
      <c r="AE9" s="6"/>
      <c r="AF9" s="98"/>
      <c r="AG9" s="98" t="s">
        <v>879</v>
      </c>
      <c r="AH9" s="98"/>
      <c r="AI9" s="45"/>
      <c r="AJ9" s="45"/>
      <c r="AK9" s="45"/>
      <c r="AL9" s="45"/>
      <c r="AM9" s="45"/>
      <c r="AN9" s="45"/>
      <c r="AO9" s="45"/>
      <c r="AP9" s="45"/>
      <c r="AQ9" s="45"/>
      <c r="AR9" s="45"/>
      <c r="AT9" s="1" t="s">
        <v>29</v>
      </c>
      <c r="AU9" s="24">
        <f>_xlfn.XLOOKUP(Battery[[#This Row],[Region]],P_el_final[Region],P_el_final[Total])+_xlfn.XLOOKUP(Battery[[#This Row],[Region]],P_hydro_3[Region],P_hydro_3[Capacity])</f>
        <v>32761.59340076943</v>
      </c>
      <c r="AV9" s="215">
        <f t="shared" si="0"/>
        <v>526.61338946585442</v>
      </c>
      <c r="AX9" s="152"/>
    </row>
    <row r="10" spans="1:52">
      <c r="A10" s="98" t="s">
        <v>839</v>
      </c>
      <c r="B10" s="98" t="s">
        <v>840</v>
      </c>
      <c r="C10" s="46"/>
      <c r="D10" s="46"/>
      <c r="E10" s="45"/>
      <c r="F10" s="98"/>
      <c r="G10" s="45"/>
      <c r="H10" s="45"/>
      <c r="I10" s="45"/>
      <c r="J10" s="45"/>
      <c r="K10" s="45"/>
      <c r="L10" s="45"/>
      <c r="M10" s="45"/>
      <c r="N10" s="45"/>
      <c r="P10" s="39" t="s">
        <v>844</v>
      </c>
      <c r="R10" s="10">
        <v>38</v>
      </c>
      <c r="V10" s="1" t="s">
        <v>526</v>
      </c>
      <c r="W10" s="42">
        <v>102</v>
      </c>
      <c r="X10" s="35" t="s">
        <v>868</v>
      </c>
      <c r="Y10" s="35" t="s">
        <v>871</v>
      </c>
      <c r="AA10" s="344"/>
      <c r="AB10" s="344"/>
      <c r="AC10" s="344"/>
      <c r="AD10" s="344"/>
      <c r="AE10" s="2"/>
      <c r="AF10" s="98"/>
      <c r="AG10" s="122" t="s">
        <v>883</v>
      </c>
      <c r="AH10" s="98"/>
      <c r="AI10" s="45"/>
      <c r="AJ10" s="45"/>
      <c r="AK10" s="45"/>
      <c r="AL10" s="45"/>
      <c r="AM10" s="45"/>
      <c r="AN10" s="45"/>
      <c r="AO10" s="45"/>
      <c r="AP10" s="45"/>
      <c r="AQ10" s="45"/>
      <c r="AR10" s="45"/>
      <c r="AT10" s="1" t="s">
        <v>31</v>
      </c>
      <c r="AU10" s="24">
        <f>_xlfn.XLOOKUP(Battery[[#This Row],[Region]],P_el_final[Region],P_el_final[Total])+_xlfn.XLOOKUP(Battery[[#This Row],[Region]],P_hydro_3[Region],P_hydro_3[Capacity])</f>
        <v>2773.3630473498802</v>
      </c>
      <c r="AV10" s="215">
        <f t="shared" si="0"/>
        <v>44.579337052329407</v>
      </c>
      <c r="AX10" s="152"/>
    </row>
    <row r="11" spans="1:52">
      <c r="A11" s="98" t="s">
        <v>837</v>
      </c>
      <c r="B11" s="98" t="s">
        <v>838</v>
      </c>
      <c r="C11" s="46"/>
      <c r="D11" s="46"/>
      <c r="E11" s="45"/>
      <c r="F11" s="98"/>
      <c r="G11" s="45"/>
      <c r="H11" s="45"/>
      <c r="I11" s="45"/>
      <c r="J11" s="45"/>
      <c r="K11" s="45"/>
      <c r="L11" s="45"/>
      <c r="M11" s="45"/>
      <c r="N11" s="45"/>
      <c r="P11" s="39" t="s">
        <v>845</v>
      </c>
      <c r="R11" s="10">
        <v>640</v>
      </c>
      <c r="V11" s="1" t="s">
        <v>555</v>
      </c>
      <c r="W11" s="42">
        <v>100.5</v>
      </c>
      <c r="X11" s="35" t="s">
        <v>868</v>
      </c>
      <c r="Y11" s="35" t="s">
        <v>869</v>
      </c>
      <c r="AA11" s="344"/>
      <c r="AB11" s="344"/>
      <c r="AC11" s="344"/>
      <c r="AD11" s="344"/>
      <c r="AE11" s="6"/>
      <c r="AF11" s="98"/>
      <c r="AG11" s="122" t="s">
        <v>884</v>
      </c>
      <c r="AH11" s="98"/>
      <c r="AI11" s="45"/>
      <c r="AJ11" s="45"/>
      <c r="AK11" s="45"/>
      <c r="AL11" s="45"/>
      <c r="AM11" s="45"/>
      <c r="AN11" s="45"/>
      <c r="AO11" s="45"/>
      <c r="AP11" s="45"/>
      <c r="AQ11" s="45"/>
      <c r="AR11" s="45"/>
      <c r="AT11" s="1" t="s">
        <v>32</v>
      </c>
      <c r="AU11" s="24">
        <f>_xlfn.XLOOKUP(Battery[[#This Row],[Region]],P_el_final[Region],P_el_final[Total])+_xlfn.XLOOKUP(Battery[[#This Row],[Region]],P_hydro_3[Region],P_hydro_3[Capacity])</f>
        <v>4788.6249719246043</v>
      </c>
      <c r="AV11" s="215">
        <f t="shared" si="0"/>
        <v>76.972874807939675</v>
      </c>
      <c r="AX11" s="152"/>
    </row>
    <row r="12" spans="1:52">
      <c r="A12" s="46" t="s">
        <v>406</v>
      </c>
      <c r="B12" s="46" t="s">
        <v>407</v>
      </c>
      <c r="C12" s="46"/>
      <c r="D12" s="45"/>
      <c r="E12" s="45"/>
      <c r="F12" s="45"/>
      <c r="G12" s="45"/>
      <c r="H12" s="45"/>
      <c r="I12" s="45"/>
      <c r="J12" s="45"/>
      <c r="K12" s="45"/>
      <c r="L12" s="45"/>
      <c r="M12" s="45"/>
      <c r="N12" s="45"/>
      <c r="P12" s="39" t="s">
        <v>846</v>
      </c>
      <c r="R12" s="10">
        <v>234</v>
      </c>
      <c r="V12" s="1" t="s">
        <v>584</v>
      </c>
      <c r="W12" s="42">
        <v>80</v>
      </c>
      <c r="X12" s="35" t="s">
        <v>868</v>
      </c>
      <c r="Y12" s="35" t="s">
        <v>869</v>
      </c>
      <c r="AA12" s="344"/>
      <c r="AB12" s="344"/>
      <c r="AC12" s="344"/>
      <c r="AD12" s="344"/>
      <c r="AE12" s="6"/>
      <c r="AF12" s="98" t="s">
        <v>163</v>
      </c>
      <c r="AG12" s="98" t="s">
        <v>893</v>
      </c>
      <c r="AH12" s="45"/>
      <c r="AI12" s="45"/>
      <c r="AJ12" s="45"/>
      <c r="AK12" s="45"/>
      <c r="AL12" s="45"/>
      <c r="AM12" s="45"/>
      <c r="AN12" s="45"/>
      <c r="AO12" s="45"/>
      <c r="AP12" s="45"/>
      <c r="AQ12" s="45"/>
      <c r="AR12" s="45"/>
      <c r="AT12" s="1" t="s">
        <v>33</v>
      </c>
      <c r="AU12" s="24">
        <f>_xlfn.XLOOKUP(Battery[[#This Row],[Region]],P_el_final[Region],P_el_final[Total])+_xlfn.XLOOKUP(Battery[[#This Row],[Region]],P_hydro_3[Region],P_hydro_3[Capacity])</f>
        <v>4034.3665207924291</v>
      </c>
      <c r="AV12" s="215">
        <f t="shared" si="0"/>
        <v>64.848843030088119</v>
      </c>
      <c r="AX12" s="152"/>
    </row>
    <row r="13" spans="1:52">
      <c r="A13" s="100"/>
      <c r="B13" s="100"/>
      <c r="C13" s="100"/>
      <c r="P13" s="39" t="s">
        <v>847</v>
      </c>
      <c r="R13" s="10">
        <v>87</v>
      </c>
      <c r="V13" s="1" t="s">
        <v>491</v>
      </c>
      <c r="W13" s="42">
        <v>60</v>
      </c>
      <c r="X13" s="35" t="s">
        <v>872</v>
      </c>
      <c r="Y13" s="35" t="s">
        <v>865</v>
      </c>
      <c r="AA13" s="344"/>
      <c r="AB13" s="344"/>
      <c r="AC13" s="344"/>
      <c r="AD13" s="344"/>
      <c r="AE13" s="6"/>
      <c r="AT13" s="1" t="s">
        <v>34</v>
      </c>
      <c r="AU13" s="24">
        <f>_xlfn.XLOOKUP(Battery[[#This Row],[Region]],P_el_final[Region],P_el_final[Total])+_xlfn.XLOOKUP(Battery[[#This Row],[Region]],P_hydro_3[Region],P_hydro_3[Capacity])</f>
        <v>4016.7228003958717</v>
      </c>
      <c r="AV13" s="215">
        <f t="shared" si="0"/>
        <v>64.565235963509949</v>
      </c>
      <c r="AX13" s="152"/>
    </row>
    <row r="14" spans="1:52">
      <c r="A14" s="343" t="s">
        <v>408</v>
      </c>
      <c r="B14" s="343"/>
      <c r="C14" s="343"/>
      <c r="D14" s="343"/>
      <c r="E14" s="343" t="s">
        <v>397</v>
      </c>
      <c r="F14" s="343"/>
      <c r="G14" s="343"/>
      <c r="I14" s="343" t="s">
        <v>850</v>
      </c>
      <c r="J14" s="343"/>
      <c r="K14" s="343"/>
      <c r="L14" s="343"/>
      <c r="M14" s="343"/>
      <c r="N14" s="343"/>
      <c r="O14" s="120"/>
      <c r="V14" s="1" t="s">
        <v>627</v>
      </c>
      <c r="W14" s="42">
        <v>52</v>
      </c>
      <c r="X14" s="35" t="s">
        <v>868</v>
      </c>
      <c r="Y14" s="35" t="s">
        <v>869</v>
      </c>
      <c r="AA14" s="98" t="s">
        <v>887</v>
      </c>
      <c r="AB14" s="125"/>
      <c r="AC14" s="125"/>
      <c r="AD14" s="125"/>
      <c r="AE14" s="2"/>
      <c r="AF14" s="14" t="s">
        <v>24</v>
      </c>
      <c r="AG14" s="14" t="s">
        <v>835</v>
      </c>
      <c r="AH14" s="14" t="s">
        <v>841</v>
      </c>
      <c r="AI14" s="14" t="s">
        <v>842</v>
      </c>
      <c r="AJ14" s="14" t="s">
        <v>873</v>
      </c>
      <c r="AK14" s="14" t="s">
        <v>877</v>
      </c>
      <c r="AL14" s="14" t="s">
        <v>163</v>
      </c>
      <c r="AM14" s="14" t="s">
        <v>2</v>
      </c>
      <c r="AT14" s="1" t="s">
        <v>3</v>
      </c>
      <c r="AU14" s="24">
        <f>_xlfn.XLOOKUP(Battery[[#This Row],[Region]],P_el_final[Region],P_el_final[Total])+_xlfn.XLOOKUP(Battery[[#This Row],[Region]],P_hydro_3[Region],P_hydro_3[Capacity])</f>
        <v>2117.6117112390866</v>
      </c>
      <c r="AV14" s="215">
        <f t="shared" si="0"/>
        <v>34.038719276761832</v>
      </c>
      <c r="AX14" s="152"/>
    </row>
    <row r="15" spans="1:52" ht="15" customHeight="1">
      <c r="A15" s="14" t="s">
        <v>177</v>
      </c>
      <c r="B15" s="14" t="s">
        <v>178</v>
      </c>
      <c r="C15" s="14" t="s">
        <v>159</v>
      </c>
      <c r="D15" s="14" t="s">
        <v>58</v>
      </c>
      <c r="E15" s="14" t="s">
        <v>820</v>
      </c>
      <c r="F15" s="101" t="s">
        <v>819</v>
      </c>
      <c r="G15" s="108" t="s">
        <v>821</v>
      </c>
      <c r="I15" s="14" t="s">
        <v>24</v>
      </c>
      <c r="J15" s="14" t="s">
        <v>835</v>
      </c>
      <c r="K15" s="14" t="s">
        <v>162</v>
      </c>
      <c r="L15" s="14" t="s">
        <v>836</v>
      </c>
      <c r="M15" s="14" t="s">
        <v>163</v>
      </c>
      <c r="N15" s="109" t="s">
        <v>2</v>
      </c>
      <c r="O15" s="6"/>
      <c r="P15" s="39"/>
      <c r="R15" s="10"/>
      <c r="V15" s="1" t="s">
        <v>648</v>
      </c>
      <c r="W15" s="42">
        <v>50</v>
      </c>
      <c r="X15" s="35" t="s">
        <v>868</v>
      </c>
      <c r="Y15" s="35" t="s">
        <v>869</v>
      </c>
      <c r="AA15" s="344" t="s">
        <v>888</v>
      </c>
      <c r="AB15" s="344"/>
      <c r="AC15" s="344"/>
      <c r="AD15" s="344"/>
      <c r="AE15" s="6"/>
      <c r="AF15" s="1" t="s">
        <v>28</v>
      </c>
      <c r="AG15" s="6">
        <v>0</v>
      </c>
      <c r="AH15" s="206">
        <f t="shared" ref="AH15:AH21" si="1">K38/$K$45*$R$5</f>
        <v>22638.197509624475</v>
      </c>
      <c r="AI15" s="206">
        <f>K38/SUM($K$38,$K$39,$K$42)*R$6</f>
        <v>1925.0770285679264</v>
      </c>
      <c r="AJ15" s="214"/>
      <c r="AK15" s="206">
        <f t="shared" ref="AK15:AK21" si="2">L38-AJ15</f>
        <v>120.1</v>
      </c>
      <c r="AL15" s="206">
        <f t="shared" ref="AL15:AL21" si="3">AB49/$AB$56*$R$4</f>
        <v>2066.3930093362978</v>
      </c>
      <c r="AM15" s="24">
        <f t="shared" ref="AM15:AM21" si="4">SUM(AG15:AL15)</f>
        <v>26749.7675475287</v>
      </c>
      <c r="AT15" s="1" t="s">
        <v>3211</v>
      </c>
      <c r="AU15" s="24">
        <f>SUM(Battery[non-CHP])</f>
        <v>79009.050000000017</v>
      </c>
      <c r="AV15" s="107">
        <f>SUM(Battery[Battery])</f>
        <v>1269.9999999999998</v>
      </c>
    </row>
    <row r="16" spans="1:52" ht="15" customHeight="1">
      <c r="A16" s="1" t="s">
        <v>554</v>
      </c>
      <c r="B16" s="1" t="s">
        <v>554</v>
      </c>
      <c r="C16" s="1" t="s">
        <v>835</v>
      </c>
      <c r="D16" s="42">
        <v>1575</v>
      </c>
      <c r="E16" s="107" t="s">
        <v>5</v>
      </c>
      <c r="F16" s="35"/>
      <c r="G16" s="35" t="s">
        <v>823</v>
      </c>
      <c r="I16" s="2" t="s">
        <v>3</v>
      </c>
      <c r="J16" s="24">
        <f>SUMIFS(P_el[Capacity], P_el[Type], J$15, P_el[Region 1], P_el_2[[#This Row],[Region]])</f>
        <v>1014</v>
      </c>
      <c r="K16" s="107">
        <f>SUMIFS(P_el[Capacity], P_el[Type], K$15, P_el[Region 1], P_el_2[[#This Row],[Region]])</f>
        <v>26.65</v>
      </c>
      <c r="L16" s="107">
        <f>SUMIFS(P_el[Capacity], P_el[Type], L$15, P_el[Region 1], P_el_2[[#This Row],[Region]])</f>
        <v>226.25</v>
      </c>
      <c r="M16" s="24">
        <f>SUMIFS(P_el[Capacity], P_el[Type], M$15, P_el[Region 1], P_el_2[[#This Row],[Region]])</f>
        <v>10.33</v>
      </c>
      <c r="N16" s="6">
        <f>SUM(P_el_2[[#This Row],[Nuclear]:[Thermal]])</f>
        <v>1266.9000000000001</v>
      </c>
      <c r="O16" s="6"/>
      <c r="V16" s="1" t="s">
        <v>544</v>
      </c>
      <c r="W16" s="42">
        <v>40</v>
      </c>
      <c r="AA16" s="344"/>
      <c r="AB16" s="344"/>
      <c r="AC16" s="344"/>
      <c r="AD16" s="344"/>
      <c r="AE16" s="2"/>
      <c r="AF16" s="1" t="s">
        <v>29</v>
      </c>
      <c r="AG16" s="206">
        <f>J39</f>
        <v>3355</v>
      </c>
      <c r="AH16" s="206">
        <f t="shared" si="1"/>
        <v>18945.898495339359</v>
      </c>
      <c r="AI16" s="206">
        <f>K39/SUM($K$38,$K$39,$K$42)*R$6</f>
        <v>1611.0961998388561</v>
      </c>
      <c r="AJ16" s="206">
        <f>W6+W13</f>
        <v>625</v>
      </c>
      <c r="AK16" s="206">
        <f t="shared" si="2"/>
        <v>205.09999999999991</v>
      </c>
      <c r="AL16" s="206">
        <f t="shared" si="3"/>
        <v>7869.4987055912188</v>
      </c>
      <c r="AM16" s="24">
        <f t="shared" si="4"/>
        <v>32611.59340076943</v>
      </c>
      <c r="AT16" s="35"/>
      <c r="AU16" s="2"/>
      <c r="AV16" s="2"/>
    </row>
    <row r="17" spans="1:39">
      <c r="A17" s="1" t="s">
        <v>552</v>
      </c>
      <c r="B17" s="1" t="s">
        <v>552</v>
      </c>
      <c r="C17" s="1" t="s">
        <v>835</v>
      </c>
      <c r="D17" s="42">
        <v>890</v>
      </c>
      <c r="E17" s="107" t="s">
        <v>5</v>
      </c>
      <c r="F17" s="35"/>
      <c r="G17" s="35" t="s">
        <v>823</v>
      </c>
      <c r="I17" s="1" t="s">
        <v>167</v>
      </c>
      <c r="J17" s="24">
        <f>SUMIFS(P_el[Capacity], P_el[Type], J$15, P_el[Region 1], P_el_2[[#This Row],[Region]])</f>
        <v>0</v>
      </c>
      <c r="K17" s="24">
        <f>SUMIFS(P_el[Capacity], P_el[Type], K$15, P_el[Region 1], P_el_2[[#This Row],[Region]])</f>
        <v>83.55</v>
      </c>
      <c r="L17" s="24">
        <f>SUMIFS(P_el[Capacity], P_el[Type], L$15, P_el[Region 1], P_el_2[[#This Row],[Region]])</f>
        <v>41.1</v>
      </c>
      <c r="M17" s="24">
        <f>SUMIFS(P_el[Capacity], P_el[Type], M$15, P_el[Region 1], P_el_2[[#This Row],[Region]])</f>
        <v>0</v>
      </c>
      <c r="N17" s="6">
        <f>SUM(P_el_2[[#This Row],[Nuclear]:[Thermal]])</f>
        <v>124.65</v>
      </c>
      <c r="O17" s="6"/>
      <c r="V17" s="1" t="s">
        <v>583</v>
      </c>
      <c r="W17" s="42">
        <v>27</v>
      </c>
      <c r="AA17" s="344"/>
      <c r="AB17" s="344"/>
      <c r="AC17" s="344"/>
      <c r="AD17" s="344"/>
      <c r="AE17" s="2"/>
      <c r="AF17" s="1" t="s">
        <v>31</v>
      </c>
      <c r="AG17" s="6">
        <v>0</v>
      </c>
      <c r="AH17" s="206">
        <f t="shared" si="1"/>
        <v>2004.4279610226617</v>
      </c>
      <c r="AI17" s="6">
        <v>0</v>
      </c>
      <c r="AJ17" s="214"/>
      <c r="AK17" s="206">
        <f t="shared" si="2"/>
        <v>7</v>
      </c>
      <c r="AL17" s="206">
        <f t="shared" si="3"/>
        <v>645.83508632721851</v>
      </c>
      <c r="AM17" s="24">
        <f t="shared" si="4"/>
        <v>2657.2630473498803</v>
      </c>
    </row>
    <row r="18" spans="1:39">
      <c r="A18" s="1" t="s">
        <v>553</v>
      </c>
      <c r="B18" s="1" t="s">
        <v>553</v>
      </c>
      <c r="C18" s="1" t="s">
        <v>835</v>
      </c>
      <c r="D18" s="42">
        <v>890</v>
      </c>
      <c r="E18" s="107" t="s">
        <v>5</v>
      </c>
      <c r="F18" s="35"/>
      <c r="G18" s="35" t="s">
        <v>823</v>
      </c>
      <c r="I18" s="2" t="s">
        <v>5</v>
      </c>
      <c r="J18" s="24">
        <f>SUMIFS(P_el[Capacity], P_el[Type], J$15, P_el[Region 1], P_el_2[[#This Row],[Region]])</f>
        <v>3355</v>
      </c>
      <c r="K18" s="24">
        <f>SUMIFS(P_el[Capacity], P_el[Type], K$15, P_el[Region 1], P_el_2[[#This Row],[Region]])</f>
        <v>452.10000000000008</v>
      </c>
      <c r="L18" s="24">
        <f>SUMIFS(P_el[Capacity], P_el[Type], L$15, P_el[Region 1], P_el_2[[#This Row],[Region]])</f>
        <v>725.9</v>
      </c>
      <c r="M18" s="24">
        <f>SUMIFS(P_el[Capacity], P_el[Type], M$15, P_el[Region 1], P_el_2[[#This Row],[Region]])</f>
        <v>27.7</v>
      </c>
      <c r="N18" s="6">
        <f>SUM(P_el_2[[#This Row],[Nuclear]:[Thermal]])</f>
        <v>4533</v>
      </c>
      <c r="O18" s="6"/>
      <c r="P18" s="45" t="s">
        <v>856</v>
      </c>
      <c r="Q18" s="45"/>
      <c r="R18" s="45"/>
      <c r="V18" s="1" t="s">
        <v>651</v>
      </c>
      <c r="W18" s="42">
        <v>26</v>
      </c>
      <c r="AA18" s="344"/>
      <c r="AB18" s="344"/>
      <c r="AC18" s="344"/>
      <c r="AD18" s="344"/>
      <c r="AE18" s="6"/>
      <c r="AF18" s="1" t="s">
        <v>32</v>
      </c>
      <c r="AG18" s="6">
        <v>0</v>
      </c>
      <c r="AH18" s="206">
        <f t="shared" si="1"/>
        <v>1253.0377598841774</v>
      </c>
      <c r="AI18" s="6">
        <v>0</v>
      </c>
      <c r="AJ18" s="214"/>
      <c r="AK18" s="206">
        <f t="shared" si="2"/>
        <v>182.6</v>
      </c>
      <c r="AL18" s="206">
        <f t="shared" si="3"/>
        <v>2895.0872120404274</v>
      </c>
      <c r="AM18" s="24">
        <f t="shared" si="4"/>
        <v>4330.7249719246047</v>
      </c>
    </row>
    <row r="19" spans="1:39">
      <c r="A19" s="1" t="s">
        <v>524</v>
      </c>
      <c r="B19" s="1" t="s">
        <v>524</v>
      </c>
      <c r="C19" s="1" t="s">
        <v>836</v>
      </c>
      <c r="D19" s="42">
        <v>565</v>
      </c>
      <c r="E19" s="107" t="s">
        <v>5</v>
      </c>
      <c r="F19" s="35"/>
      <c r="G19" s="35" t="s">
        <v>822</v>
      </c>
      <c r="I19" s="2" t="s">
        <v>6</v>
      </c>
      <c r="J19" s="24">
        <f>SUMIFS(P_el[Capacity], P_el[Type], J$15, P_el[Region 1], P_el_2[[#This Row],[Region]])</f>
        <v>0</v>
      </c>
      <c r="K19" s="24">
        <f>SUMIFS(P_el[Capacity], P_el[Type], K$15, P_el[Region 1], P_el_2[[#This Row],[Region]])</f>
        <v>55.3</v>
      </c>
      <c r="L19" s="24">
        <f>SUMIFS(P_el[Capacity], P_el[Type], L$15, P_el[Region 1], P_el_2[[#This Row],[Region]])</f>
        <v>402</v>
      </c>
      <c r="M19" s="24">
        <f>SUMIFS(P_el[Capacity], P_el[Type], M$15, P_el[Region 1], P_el_2[[#This Row],[Region]])</f>
        <v>0</v>
      </c>
      <c r="N19" s="6">
        <f>SUM(P_el_2[[#This Row],[Nuclear]:[Thermal]])</f>
        <v>457.3</v>
      </c>
      <c r="O19" s="6"/>
      <c r="P19" s="101"/>
      <c r="Q19" s="14" t="s">
        <v>858</v>
      </c>
      <c r="R19" s="87" t="s">
        <v>857</v>
      </c>
      <c r="V19" s="1" t="s">
        <v>602</v>
      </c>
      <c r="W19" s="42">
        <v>16</v>
      </c>
      <c r="AA19" s="344"/>
      <c r="AB19" s="344"/>
      <c r="AC19" s="344"/>
      <c r="AD19" s="344"/>
      <c r="AE19" s="2"/>
      <c r="AF19" s="1" t="s">
        <v>33</v>
      </c>
      <c r="AG19" s="6">
        <v>0</v>
      </c>
      <c r="AH19" s="206">
        <f t="shared" si="1"/>
        <v>750.57934840344262</v>
      </c>
      <c r="AI19" s="206">
        <f>K42/SUM($K$38,$K$39,$K$42)*R$6</f>
        <v>63.82677159321765</v>
      </c>
      <c r="AJ19" s="214"/>
      <c r="AK19" s="206">
        <f t="shared" si="2"/>
        <v>443.1</v>
      </c>
      <c r="AL19" s="206">
        <f t="shared" si="3"/>
        <v>2762.8604007957688</v>
      </c>
      <c r="AM19" s="24">
        <f t="shared" si="4"/>
        <v>4020.3665207924291</v>
      </c>
    </row>
    <row r="20" spans="1:39">
      <c r="A20" s="1" t="s">
        <v>511</v>
      </c>
      <c r="B20" s="1" t="s">
        <v>716</v>
      </c>
      <c r="C20" s="1" t="s">
        <v>835</v>
      </c>
      <c r="D20" s="42">
        <v>507</v>
      </c>
      <c r="E20" s="107" t="s">
        <v>3</v>
      </c>
      <c r="F20" s="35"/>
      <c r="G20" s="35" t="s">
        <v>822</v>
      </c>
      <c r="I20" s="2" t="s">
        <v>7</v>
      </c>
      <c r="J20" s="24">
        <f>SUMIFS(P_el[Capacity], P_el[Type], J$15, P_el[Region 1], P_el_2[[#This Row],[Region]])</f>
        <v>0</v>
      </c>
      <c r="K20" s="24">
        <f>SUMIFS(P_el[Capacity], P_el[Type], K$15, P_el[Region 1], P_el_2[[#This Row],[Region]])</f>
        <v>20.100000000000001</v>
      </c>
      <c r="L20" s="24">
        <f>SUMIFS(P_el[Capacity], P_el[Type], L$15, P_el[Region 1], P_el_2[[#This Row],[Region]])</f>
        <v>7</v>
      </c>
      <c r="M20" s="24">
        <f>SUMIFS(P_el[Capacity], P_el[Type], M$15, P_el[Region 1], P_el_2[[#This Row],[Region]])</f>
        <v>4.5999999999999996</v>
      </c>
      <c r="N20" s="6">
        <f>SUM(P_el_2[[#This Row],[Nuclear]:[Thermal]])</f>
        <v>27.1</v>
      </c>
      <c r="O20" s="6"/>
      <c r="P20" s="1" t="s">
        <v>835</v>
      </c>
      <c r="Q20" s="6">
        <f>J45</f>
        <v>4369</v>
      </c>
      <c r="R20" s="6">
        <f>R8</f>
        <v>3250</v>
      </c>
      <c r="V20" s="1" t="s">
        <v>618</v>
      </c>
      <c r="W20" s="42">
        <v>14.5</v>
      </c>
      <c r="AA20" s="344"/>
      <c r="AB20" s="344"/>
      <c r="AC20" s="344"/>
      <c r="AD20" s="344"/>
      <c r="AE20" s="2"/>
      <c r="AF20" s="1" t="s">
        <v>34</v>
      </c>
      <c r="AG20" s="6">
        <v>0</v>
      </c>
      <c r="AH20" s="206">
        <f t="shared" si="1"/>
        <v>263.79742313351102</v>
      </c>
      <c r="AI20" s="6">
        <v>0</v>
      </c>
      <c r="AJ20" s="214"/>
      <c r="AK20" s="206">
        <f t="shared" si="2"/>
        <v>17.2</v>
      </c>
      <c r="AL20" s="206">
        <f t="shared" si="3"/>
        <v>3283.025377262361</v>
      </c>
      <c r="AM20" s="24">
        <f t="shared" si="4"/>
        <v>3564.0228003958719</v>
      </c>
    </row>
    <row r="21" spans="1:39">
      <c r="A21" s="1" t="s">
        <v>512</v>
      </c>
      <c r="B21" s="1" t="s">
        <v>717</v>
      </c>
      <c r="C21" s="1" t="s">
        <v>835</v>
      </c>
      <c r="D21" s="42">
        <v>507</v>
      </c>
      <c r="E21" s="107" t="s">
        <v>3</v>
      </c>
      <c r="F21" s="35"/>
      <c r="G21" s="35" t="s">
        <v>822</v>
      </c>
      <c r="I21" s="2" t="s">
        <v>8</v>
      </c>
      <c r="J21" s="24">
        <f>SUMIFS(P_el[Capacity], P_el[Type], J$15, P_el[Region 1], P_el_2[[#This Row],[Region]])</f>
        <v>0</v>
      </c>
      <c r="K21" s="24">
        <f>SUMIFS(P_el[Capacity], P_el[Type], K$15, P_el[Region 1], P_el_2[[#This Row],[Region]])</f>
        <v>19.8</v>
      </c>
      <c r="L21" s="24">
        <f>SUMIFS(P_el[Capacity], P_el[Type], L$15, P_el[Region 1], P_el_2[[#This Row],[Region]])</f>
        <v>14.5</v>
      </c>
      <c r="M21" s="24">
        <f>SUMIFS(P_el[Capacity], P_el[Type], M$15, P_el[Region 1], P_el_2[[#This Row],[Region]])</f>
        <v>2.31</v>
      </c>
      <c r="N21" s="6">
        <f>SUM(P_el_2[[#This Row],[Nuclear]:[Thermal]])</f>
        <v>34.299999999999997</v>
      </c>
      <c r="O21" s="6"/>
      <c r="P21" s="1" t="s">
        <v>162</v>
      </c>
      <c r="Q21" s="6">
        <f>K45</f>
        <v>8509.56</v>
      </c>
      <c r="R21" s="6">
        <f>R5+R6</f>
        <v>49600</v>
      </c>
      <c r="S21" s="118"/>
      <c r="V21" s="1" t="s">
        <v>663</v>
      </c>
      <c r="W21" s="42">
        <v>10.4</v>
      </c>
      <c r="AA21" s="344"/>
      <c r="AB21" s="344"/>
      <c r="AC21" s="344"/>
      <c r="AD21" s="344"/>
      <c r="AE21" s="6"/>
      <c r="AF21" s="1" t="s">
        <v>3</v>
      </c>
      <c r="AG21" s="6">
        <v>0</v>
      </c>
      <c r="AH21" s="206">
        <f t="shared" si="1"/>
        <v>144.06150259237845</v>
      </c>
      <c r="AI21" s="6">
        <v>0</v>
      </c>
      <c r="AJ21" s="214"/>
      <c r="AK21" s="206">
        <f t="shared" si="2"/>
        <v>226.25</v>
      </c>
      <c r="AL21" s="206">
        <f t="shared" si="3"/>
        <v>1747.3002086467079</v>
      </c>
      <c r="AM21" s="24">
        <f t="shared" si="4"/>
        <v>2117.6117112390866</v>
      </c>
    </row>
    <row r="22" spans="1:39">
      <c r="A22" s="1" t="s">
        <v>576</v>
      </c>
      <c r="B22" s="1" t="s">
        <v>752</v>
      </c>
      <c r="C22" s="1" t="s">
        <v>162</v>
      </c>
      <c r="D22" s="42">
        <v>380</v>
      </c>
      <c r="E22" s="107" t="s">
        <v>121</v>
      </c>
      <c r="F22" s="35"/>
      <c r="G22" s="35" t="s">
        <v>824</v>
      </c>
      <c r="I22" s="2" t="s">
        <v>9</v>
      </c>
      <c r="J22" s="24">
        <f>SUMIFS(P_el[Capacity], P_el[Type], J$15, P_el[Region 1], P_el_2[[#This Row],[Region]])</f>
        <v>0</v>
      </c>
      <c r="K22" s="24">
        <f>SUMIFS(P_el[Capacity], P_el[Type], K$15, P_el[Region 1], P_el_2[[#This Row],[Region]])</f>
        <v>8</v>
      </c>
      <c r="L22" s="24">
        <f>SUMIFS(P_el[Capacity], P_el[Type], L$15, P_el[Region 1], P_el_2[[#This Row],[Region]])</f>
        <v>2.7</v>
      </c>
      <c r="M22" s="24">
        <f>SUMIFS(P_el[Capacity], P_el[Type], M$15, P_el[Region 1], P_el_2[[#This Row],[Region]])</f>
        <v>0</v>
      </c>
      <c r="N22" s="6">
        <f>SUM(P_el_2[[#This Row],[Nuclear]:[Thermal]])</f>
        <v>10.7</v>
      </c>
      <c r="O22" s="6"/>
      <c r="P22" s="1" t="s">
        <v>836</v>
      </c>
      <c r="Q22" s="6">
        <f>L45</f>
        <v>1826.3500000000001</v>
      </c>
      <c r="R22" s="6">
        <f>SUM(R9:R13)</f>
        <v>1927</v>
      </c>
      <c r="S22" s="117"/>
      <c r="V22" s="1" t="s">
        <v>466</v>
      </c>
      <c r="W22" s="42">
        <v>7</v>
      </c>
      <c r="AA22" s="344"/>
      <c r="AB22" s="344"/>
      <c r="AC22" s="344"/>
      <c r="AD22" s="344"/>
      <c r="AE22" s="2"/>
      <c r="AF22" s="1" t="s">
        <v>3211</v>
      </c>
      <c r="AG22" s="6">
        <v>0</v>
      </c>
      <c r="AH22" s="6">
        <f t="shared" ref="AH22:AM22" si="5">SUM(AH15:AH21)</f>
        <v>46000.000000000007</v>
      </c>
      <c r="AI22" s="6">
        <f t="shared" si="5"/>
        <v>3600</v>
      </c>
      <c r="AJ22" s="6">
        <f t="shared" si="5"/>
        <v>625</v>
      </c>
      <c r="AK22" s="6">
        <f t="shared" si="5"/>
        <v>1201.3499999999999</v>
      </c>
      <c r="AL22" s="6">
        <f t="shared" si="5"/>
        <v>21270.000000000004</v>
      </c>
      <c r="AM22" s="6">
        <f t="shared" si="5"/>
        <v>76051.35000000002</v>
      </c>
    </row>
    <row r="23" spans="1:39" ht="12" customHeight="1">
      <c r="A23" s="1" t="s">
        <v>418</v>
      </c>
      <c r="B23" s="105" t="s">
        <v>669</v>
      </c>
      <c r="C23" s="1" t="s">
        <v>836</v>
      </c>
      <c r="D23" s="42">
        <v>352</v>
      </c>
      <c r="E23" s="107" t="s">
        <v>6</v>
      </c>
      <c r="F23" s="35"/>
      <c r="G23" s="35" t="s">
        <v>824</v>
      </c>
      <c r="I23" s="1" t="s">
        <v>118</v>
      </c>
      <c r="J23" s="24">
        <f>SUMIFS(P_el[Capacity], P_el[Type], J$15, P_el[Region 1], P_el_2[[#This Row],[Region]])</f>
        <v>0</v>
      </c>
      <c r="K23" s="24">
        <f>SUMIFS(P_el[Capacity], P_el[Type], K$15, P_el[Region 1], P_el_2[[#This Row],[Region]])</f>
        <v>21</v>
      </c>
      <c r="L23" s="24">
        <f>SUMIFS(P_el[Capacity], P_el[Type], L$15, P_el[Region 1], P_el_2[[#This Row],[Region]])</f>
        <v>0</v>
      </c>
      <c r="M23" s="24">
        <f>SUMIFS(P_el[Capacity], P_el[Type], M$15, P_el[Region 1], P_el_2[[#This Row],[Region]])</f>
        <v>0</v>
      </c>
      <c r="N23" s="6">
        <f>SUM(P_el_2[[#This Row],[Nuclear]:[Thermal]])</f>
        <v>21</v>
      </c>
      <c r="O23" s="6"/>
      <c r="P23" s="100" t="s">
        <v>163</v>
      </c>
      <c r="Q23" s="6">
        <f>M45</f>
        <v>133.02000000000001</v>
      </c>
      <c r="R23" s="6">
        <f>R4</f>
        <v>21270</v>
      </c>
      <c r="V23" s="1" t="s">
        <v>199</v>
      </c>
      <c r="W23" s="42">
        <v>6.3</v>
      </c>
      <c r="AA23" s="344"/>
      <c r="AB23" s="344"/>
      <c r="AC23" s="344"/>
      <c r="AD23" s="344"/>
      <c r="AE23" s="2"/>
    </row>
    <row r="24" spans="1:39">
      <c r="A24" s="1" t="s">
        <v>500</v>
      </c>
      <c r="B24" s="1" t="s">
        <v>711</v>
      </c>
      <c r="C24" s="1" t="s">
        <v>162</v>
      </c>
      <c r="D24" s="42">
        <v>241.8</v>
      </c>
      <c r="E24" s="107" t="s">
        <v>121</v>
      </c>
      <c r="F24" s="35"/>
      <c r="G24" s="35" t="s">
        <v>822</v>
      </c>
      <c r="I24" s="1" t="s">
        <v>166</v>
      </c>
      <c r="J24" s="24">
        <f>SUMIFS(P_el[Capacity], P_el[Type], J$15, P_el[Region 1], P_el_2[[#This Row],[Region]])</f>
        <v>0</v>
      </c>
      <c r="K24" s="24">
        <f>SUMIFS(P_el[Capacity], P_el[Type], K$15, P_el[Region 1], P_el_2[[#This Row],[Region]])</f>
        <v>0</v>
      </c>
      <c r="L24" s="24">
        <f>SUMIFS(P_el[Capacity], P_el[Type], L$15, P_el[Region 1], P_el_2[[#This Row],[Region]])</f>
        <v>0</v>
      </c>
      <c r="M24" s="24">
        <f>SUMIFS(P_el[Capacity], P_el[Type], M$15, P_el[Region 1], P_el_2[[#This Row],[Region]])</f>
        <v>12.08</v>
      </c>
      <c r="N24" s="6">
        <f>SUM(P_el_2[[#This Row],[Nuclear]:[Thermal]])</f>
        <v>0</v>
      </c>
      <c r="O24" s="6"/>
      <c r="V24" s="1" t="s">
        <v>662</v>
      </c>
      <c r="W24" s="42">
        <v>5.5</v>
      </c>
      <c r="AA24" s="344"/>
      <c r="AB24" s="344"/>
      <c r="AC24" s="344"/>
      <c r="AD24" s="344"/>
    </row>
    <row r="25" spans="1:39">
      <c r="A25" s="1" t="s">
        <v>470</v>
      </c>
      <c r="B25" s="1" t="s">
        <v>470</v>
      </c>
      <c r="C25" s="1" t="s">
        <v>162</v>
      </c>
      <c r="D25" s="42">
        <v>235.6</v>
      </c>
      <c r="E25" s="107" t="s">
        <v>124</v>
      </c>
      <c r="F25" s="35"/>
      <c r="G25" s="35" t="s">
        <v>822</v>
      </c>
      <c r="I25" s="1" t="s">
        <v>165</v>
      </c>
      <c r="J25" s="24">
        <f>SUMIFS(P_el[Capacity], P_el[Type], J$15, P_el[Region 1], P_el_2[[#This Row],[Region]])</f>
        <v>0</v>
      </c>
      <c r="K25" s="24">
        <f>SUMIFS(P_el[Capacity], P_el[Type], K$15, P_el[Region 1], P_el_2[[#This Row],[Region]])</f>
        <v>10.5</v>
      </c>
      <c r="L25" s="24">
        <f>SUMIFS(P_el[Capacity], P_el[Type], L$15, P_el[Region 1], P_el_2[[#This Row],[Region]])</f>
        <v>181.1</v>
      </c>
      <c r="M25" s="24">
        <f>SUMIFS(P_el[Capacity], P_el[Type], M$15, P_el[Region 1], P_el_2[[#This Row],[Region]])</f>
        <v>4.9000000000000004</v>
      </c>
      <c r="N25" s="6">
        <f>SUM(P_el_2[[#This Row],[Nuclear]:[Thermal]])</f>
        <v>191.6</v>
      </c>
      <c r="O25" s="6"/>
      <c r="V25" s="1" t="s">
        <v>601</v>
      </c>
      <c r="W25" s="42">
        <v>2.7</v>
      </c>
      <c r="AA25" s="344"/>
      <c r="AB25" s="344"/>
      <c r="AC25" s="344"/>
      <c r="AD25" s="344"/>
    </row>
    <row r="26" spans="1:39">
      <c r="A26" s="1" t="s">
        <v>574</v>
      </c>
      <c r="B26" s="1" t="s">
        <v>751</v>
      </c>
      <c r="C26" s="1" t="s">
        <v>162</v>
      </c>
      <c r="D26" s="42">
        <v>211.4</v>
      </c>
      <c r="E26" s="107" t="s">
        <v>124</v>
      </c>
      <c r="F26" s="35" t="s">
        <v>19</v>
      </c>
      <c r="G26" s="35" t="s">
        <v>822</v>
      </c>
      <c r="I26" s="1" t="s">
        <v>122</v>
      </c>
      <c r="J26" s="24">
        <f>SUMIFS(P_el[Capacity], P_el[Type], J$15, P_el[Region 1], P_el_2[[#This Row],[Region]])</f>
        <v>0</v>
      </c>
      <c r="K26" s="24">
        <f>SUMIFS(P_el[Capacity], P_el[Type], K$15, P_el[Region 1], P_el_2[[#This Row],[Region]])</f>
        <v>0</v>
      </c>
      <c r="L26" s="24">
        <f>SUMIFS(P_el[Capacity], P_el[Type], L$15, P_el[Region 1], P_el_2[[#This Row],[Region]])</f>
        <v>0</v>
      </c>
      <c r="M26" s="24">
        <f>SUMIFS(P_el[Capacity], P_el[Type], M$15, P_el[Region 1], P_el_2[[#This Row],[Region]])</f>
        <v>0</v>
      </c>
      <c r="N26" s="6">
        <f>SUM(P_el_2[[#This Row],[Nuclear]:[Thermal]])</f>
        <v>0</v>
      </c>
      <c r="O26" s="6"/>
      <c r="P26" s="39"/>
      <c r="Q26" s="39"/>
      <c r="R26" s="39"/>
      <c r="S26" s="39"/>
      <c r="T26" s="39"/>
      <c r="U26" s="39"/>
      <c r="V26" s="1" t="s">
        <v>626</v>
      </c>
      <c r="W26" s="42">
        <v>2.1</v>
      </c>
      <c r="AA26" s="14" t="s">
        <v>24</v>
      </c>
      <c r="AB26" s="126" t="s">
        <v>890</v>
      </c>
      <c r="AC26" s="126" t="s">
        <v>892</v>
      </c>
      <c r="AD26" s="126" t="s">
        <v>891</v>
      </c>
    </row>
    <row r="27" spans="1:39">
      <c r="A27" s="1" t="s">
        <v>536</v>
      </c>
      <c r="B27" s="1" t="s">
        <v>732</v>
      </c>
      <c r="C27" s="1" t="s">
        <v>162</v>
      </c>
      <c r="D27" s="42">
        <v>203.8</v>
      </c>
      <c r="E27" s="107" t="s">
        <v>124</v>
      </c>
      <c r="F27" s="35" t="s">
        <v>123</v>
      </c>
      <c r="G27" s="35" t="s">
        <v>822</v>
      </c>
      <c r="I27" s="1" t="s">
        <v>119</v>
      </c>
      <c r="J27" s="24">
        <f>SUMIFS(P_el[Capacity], P_el[Type], J$15, P_el[Region 1], P_el_2[[#This Row],[Region]])</f>
        <v>0</v>
      </c>
      <c r="K27" s="24">
        <f>SUMIFS(P_el[Capacity], P_el[Type], K$15, P_el[Region 1], P_el_2[[#This Row],[Region]])</f>
        <v>350.7</v>
      </c>
      <c r="L27" s="24">
        <f>SUMIFS(P_el[Capacity], P_el[Type], L$15, P_el[Region 1], P_el_2[[#This Row],[Region]])</f>
        <v>0</v>
      </c>
      <c r="M27" s="24">
        <f>SUMIFS(P_el[Capacity], P_el[Type], M$15, P_el[Region 1], P_el_2[[#This Row],[Region]])</f>
        <v>0</v>
      </c>
      <c r="N27" s="6">
        <f>SUM(P_el_2[[#This Row],[Nuclear]:[Thermal]])</f>
        <v>350.7</v>
      </c>
      <c r="O27" s="6"/>
      <c r="V27" s="1" t="s">
        <v>435</v>
      </c>
      <c r="W27" s="42">
        <v>1.5</v>
      </c>
      <c r="AA27" s="2" t="s">
        <v>3</v>
      </c>
      <c r="AB27" s="10">
        <v>1693</v>
      </c>
      <c r="AC27" s="124">
        <v>0.08</v>
      </c>
      <c r="AD27" s="6">
        <f t="shared" ref="AD27:AD42" si="6">AB27/AC27</f>
        <v>21162.5</v>
      </c>
    </row>
    <row r="28" spans="1:39">
      <c r="A28" s="1" t="s">
        <v>537</v>
      </c>
      <c r="B28" s="1" t="s">
        <v>732</v>
      </c>
      <c r="C28" s="1" t="s">
        <v>162</v>
      </c>
      <c r="D28" s="42">
        <v>200</v>
      </c>
      <c r="E28" s="107" t="s">
        <v>124</v>
      </c>
      <c r="F28" s="35" t="s">
        <v>123</v>
      </c>
      <c r="G28" s="35" t="s">
        <v>822</v>
      </c>
      <c r="I28" s="1" t="s">
        <v>120</v>
      </c>
      <c r="J28" s="24">
        <f>SUMIFS(P_el[Capacity], P_el[Type], J$15, P_el[Region 1], P_el_2[[#This Row],[Region]])</f>
        <v>0</v>
      </c>
      <c r="K28" s="24">
        <f>SUMIFS(P_el[Capacity], P_el[Type], K$15, P_el[Region 1], P_el_2[[#This Row],[Region]])</f>
        <v>1209.9100000000003</v>
      </c>
      <c r="L28" s="24">
        <f>SUMIFS(P_el[Capacity], P_el[Type], L$15, P_el[Region 1], P_el_2[[#This Row],[Region]])</f>
        <v>1</v>
      </c>
      <c r="M28" s="24">
        <f>SUMIFS(P_el[Capacity], P_el[Type], M$15, P_el[Region 1], P_el_2[[#This Row],[Region]])</f>
        <v>44.2</v>
      </c>
      <c r="N28" s="6">
        <f>SUM(P_el_2[[#This Row],[Nuclear]:[Thermal]])</f>
        <v>1210.9100000000003</v>
      </c>
      <c r="O28" s="6"/>
      <c r="P28" s="39"/>
      <c r="Q28" s="39"/>
      <c r="R28" s="39"/>
      <c r="S28" s="39"/>
      <c r="T28" s="39"/>
      <c r="U28" s="39"/>
      <c r="V28" s="1" t="s">
        <v>506</v>
      </c>
      <c r="W28" s="42">
        <v>1.3</v>
      </c>
      <c r="AA28" s="1" t="s">
        <v>167</v>
      </c>
      <c r="AB28" s="10">
        <v>1542</v>
      </c>
      <c r="AC28" s="124">
        <v>7.0000000000000007E-2</v>
      </c>
      <c r="AD28" s="6">
        <f t="shared" si="6"/>
        <v>22028.571428571428</v>
      </c>
    </row>
    <row r="29" spans="1:39">
      <c r="A29" s="1" t="s">
        <v>471</v>
      </c>
      <c r="B29" s="1" t="s">
        <v>471</v>
      </c>
      <c r="C29" s="1" t="s">
        <v>162</v>
      </c>
      <c r="D29" s="42">
        <v>188.1</v>
      </c>
      <c r="E29" s="107" t="s">
        <v>124</v>
      </c>
      <c r="F29" s="35"/>
      <c r="G29" s="35" t="s">
        <v>823</v>
      </c>
      <c r="I29" s="1" t="s">
        <v>121</v>
      </c>
      <c r="J29" s="24">
        <f>SUMIFS(P_el[Capacity], P_el[Type], J$15, P_el[Region 1], P_el_2[[#This Row],[Region]])</f>
        <v>0</v>
      </c>
      <c r="K29" s="24">
        <f>SUMIFS(P_el[Capacity], P_el[Type], K$15, P_el[Region 1], P_el_2[[#This Row],[Region]])</f>
        <v>1587.1999999999998</v>
      </c>
      <c r="L29" s="24">
        <f>SUMIFS(P_el[Capacity], P_el[Type], L$15, P_el[Region 1], P_el_2[[#This Row],[Region]])</f>
        <v>101.9</v>
      </c>
      <c r="M29" s="24">
        <f>SUMIFS(P_el[Capacity], P_el[Type], M$15, P_el[Region 1], P_el_2[[#This Row],[Region]])</f>
        <v>3.6</v>
      </c>
      <c r="N29" s="6">
        <f>SUM(P_el_2[[#This Row],[Nuclear]:[Thermal]])</f>
        <v>1689.1</v>
      </c>
      <c r="O29" s="6"/>
      <c r="P29" s="39"/>
      <c r="Q29" s="39"/>
      <c r="R29" s="39"/>
      <c r="S29" s="39"/>
      <c r="T29" s="39"/>
      <c r="U29" s="39"/>
      <c r="V29" s="1" t="s">
        <v>469</v>
      </c>
      <c r="W29" s="42">
        <v>1.25</v>
      </c>
      <c r="AA29" s="2" t="s">
        <v>5</v>
      </c>
      <c r="AB29" s="10">
        <v>3546</v>
      </c>
      <c r="AC29" s="124">
        <v>0.17</v>
      </c>
      <c r="AD29" s="24">
        <f>AB29/AC29</f>
        <v>20858.823529411762</v>
      </c>
    </row>
    <row r="30" spans="1:39">
      <c r="A30" s="1" t="s">
        <v>439</v>
      </c>
      <c r="B30" s="1" t="s">
        <v>680</v>
      </c>
      <c r="C30" s="1" t="s">
        <v>836</v>
      </c>
      <c r="D30" s="42">
        <v>180</v>
      </c>
      <c r="E30" s="107" t="s">
        <v>165</v>
      </c>
      <c r="F30" s="35"/>
      <c r="G30" s="35" t="s">
        <v>824</v>
      </c>
      <c r="I30" s="1" t="s">
        <v>123</v>
      </c>
      <c r="J30" s="24">
        <f>SUMIFS(P_el[Capacity], P_el[Type], J$15, P_el[Region 1], P_el_2[[#This Row],[Region]])</f>
        <v>0</v>
      </c>
      <c r="K30" s="24">
        <f>SUMIFS(P_el[Capacity], P_el[Type], K$15, P_el[Region 1], P_el_2[[#This Row],[Region]])</f>
        <v>255.6</v>
      </c>
      <c r="L30" s="24">
        <f>SUMIFS(P_el[Capacity], P_el[Type], L$15, P_el[Region 1], P_el_2[[#This Row],[Region]])</f>
        <v>1.3</v>
      </c>
      <c r="M30" s="24">
        <f>SUMIFS(P_el[Capacity], P_el[Type], M$15, P_el[Region 1], P_el_2[[#This Row],[Region]])</f>
        <v>4</v>
      </c>
      <c r="N30" s="6">
        <f>SUM(P_el_2[[#This Row],[Nuclear]:[Thermal]])</f>
        <v>256.89999999999998</v>
      </c>
      <c r="O30" s="6"/>
      <c r="V30" s="1" t="s">
        <v>490</v>
      </c>
      <c r="W30" s="42">
        <v>1.2</v>
      </c>
      <c r="AA30" s="2" t="s">
        <v>6</v>
      </c>
      <c r="AB30" s="10">
        <v>1135</v>
      </c>
      <c r="AC30" s="124">
        <v>0.05</v>
      </c>
      <c r="AD30" s="6">
        <f t="shared" si="6"/>
        <v>22700</v>
      </c>
      <c r="AL30" s="2"/>
    </row>
    <row r="31" spans="1:39">
      <c r="A31" s="1" t="s">
        <v>465</v>
      </c>
      <c r="B31" s="1" t="s">
        <v>696</v>
      </c>
      <c r="C31" s="1" t="s">
        <v>162</v>
      </c>
      <c r="D31" s="42">
        <v>158.65</v>
      </c>
      <c r="E31" s="107" t="s">
        <v>120</v>
      </c>
      <c r="F31" s="35"/>
      <c r="G31" s="35" t="s">
        <v>822</v>
      </c>
      <c r="I31" s="1" t="s">
        <v>124</v>
      </c>
      <c r="J31" s="24">
        <f>SUMIFS(P_el[Capacity], P_el[Type], J$15, P_el[Region 1], P_el_2[[#This Row],[Region]])</f>
        <v>0</v>
      </c>
      <c r="K31" s="24">
        <f>SUMIFS(P_el[Capacity], P_el[Type], K$15, P_el[Region 1], P_el_2[[#This Row],[Region]])</f>
        <v>3366.6</v>
      </c>
      <c r="L31" s="24">
        <f>SUMIFS(P_el[Capacity], P_el[Type], L$15, P_el[Region 1], P_el_2[[#This Row],[Region]])</f>
        <v>103.2</v>
      </c>
      <c r="M31" s="24">
        <f>SUMIFS(P_el[Capacity], P_el[Type], M$15, P_el[Region 1], P_el_2[[#This Row],[Region]])</f>
        <v>19.3</v>
      </c>
      <c r="N31" s="6">
        <f>SUM(P_el_2[[#This Row],[Nuclear]:[Thermal]])</f>
        <v>3469.7999999999997</v>
      </c>
      <c r="O31" s="6"/>
      <c r="V31" s="1" t="s">
        <v>473</v>
      </c>
      <c r="W31" s="42">
        <v>1.1000000000000001</v>
      </c>
      <c r="AA31" s="2" t="s">
        <v>7</v>
      </c>
      <c r="AB31" s="24">
        <f>AC31*$AD$29</f>
        <v>208.58823529411762</v>
      </c>
      <c r="AC31" s="124">
        <v>0.01</v>
      </c>
      <c r="AD31" s="2"/>
      <c r="AL31" s="2"/>
    </row>
    <row r="32" spans="1:39">
      <c r="A32" s="1" t="s">
        <v>560</v>
      </c>
      <c r="B32" s="1" t="s">
        <v>560</v>
      </c>
      <c r="C32" s="1" t="s">
        <v>162</v>
      </c>
      <c r="D32" s="42">
        <v>153.4</v>
      </c>
      <c r="E32" s="107" t="s">
        <v>124</v>
      </c>
      <c r="F32" s="35"/>
      <c r="G32" s="35" t="s">
        <v>822</v>
      </c>
      <c r="I32" s="2" t="s">
        <v>19</v>
      </c>
      <c r="J32" s="24">
        <f>SUMIFS(P_el[Capacity], P_el[Type], J$15, P_el[Region 1], P_el_2[[#This Row],[Region]])</f>
        <v>0</v>
      </c>
      <c r="K32" s="24">
        <f>SUMIFS(P_el[Capacity], P_el[Type], K$15, P_el[Region 1], P_el_2[[#This Row],[Region]])</f>
        <v>221.3</v>
      </c>
      <c r="L32" s="24">
        <f>SUMIFS(P_el[Capacity], P_el[Type], L$15, P_el[Region 1], P_el_2[[#This Row],[Region]])</f>
        <v>1.5</v>
      </c>
      <c r="M32" s="24">
        <f>SUMIFS(P_el[Capacity], P_el[Type], M$15, P_el[Region 1], P_el_2[[#This Row],[Region]])</f>
        <v>0</v>
      </c>
      <c r="N32" s="6">
        <f>SUM(P_el_2[[#This Row],[Nuclear]:[Thermal]])</f>
        <v>222.8</v>
      </c>
      <c r="O32" s="6"/>
      <c r="V32" s="1" t="s">
        <v>604</v>
      </c>
      <c r="W32" s="42">
        <v>1.1000000000000001</v>
      </c>
      <c r="AA32" s="2" t="s">
        <v>8</v>
      </c>
      <c r="AB32" s="10">
        <v>791</v>
      </c>
      <c r="AC32" s="124">
        <v>0.04</v>
      </c>
      <c r="AD32" s="6">
        <f t="shared" si="6"/>
        <v>19775</v>
      </c>
      <c r="AL32" s="2"/>
    </row>
    <row r="33" spans="1:38">
      <c r="A33" s="1" t="s">
        <v>608</v>
      </c>
      <c r="B33" s="1" t="s">
        <v>775</v>
      </c>
      <c r="C33" s="1" t="s">
        <v>162</v>
      </c>
      <c r="D33" s="42">
        <v>151</v>
      </c>
      <c r="E33" s="107" t="s">
        <v>125</v>
      </c>
      <c r="F33" s="35"/>
      <c r="G33" s="35" t="s">
        <v>822</v>
      </c>
      <c r="I33" s="106" t="s">
        <v>125</v>
      </c>
      <c r="J33" s="24">
        <f>SUMIFS(P_el[Capacity], P_el[Type], J$15, P_el[Region 1], P_el_2[[#This Row],[Region]])</f>
        <v>0</v>
      </c>
      <c r="K33" s="24">
        <f>SUMIFS(P_el[Capacity], P_el[Type], K$15, P_el[Region 1], P_el_2[[#This Row],[Region]])</f>
        <v>821.25</v>
      </c>
      <c r="L33" s="24">
        <f>SUMIFS(P_el[Capacity], P_el[Type], L$15, P_el[Region 1], P_el_2[[#This Row],[Region]])</f>
        <v>16.899999999999999</v>
      </c>
      <c r="M33" s="24">
        <f>SUMIFS(P_el[Capacity], P_el[Type], M$15, P_el[Region 1], P_el_2[[#This Row],[Region]])</f>
        <v>0</v>
      </c>
      <c r="N33" s="110">
        <f>SUM(P_el_2[[#This Row],[Nuclear]:[Thermal]])</f>
        <v>838.15</v>
      </c>
      <c r="O33" s="110"/>
      <c r="V33" s="1" t="s">
        <v>541</v>
      </c>
      <c r="W33" s="42">
        <v>1</v>
      </c>
      <c r="AA33" s="2" t="s">
        <v>9</v>
      </c>
      <c r="AB33" s="10">
        <v>1090</v>
      </c>
      <c r="AC33" s="124">
        <v>0.05</v>
      </c>
      <c r="AD33" s="6">
        <f t="shared" si="6"/>
        <v>21800</v>
      </c>
      <c r="AL33" s="2"/>
    </row>
    <row r="34" spans="1:38">
      <c r="A34" s="1" t="s">
        <v>523</v>
      </c>
      <c r="B34" s="1" t="s">
        <v>725</v>
      </c>
      <c r="C34" s="1" t="s">
        <v>162</v>
      </c>
      <c r="D34" s="42">
        <v>148.5</v>
      </c>
      <c r="E34" s="107" t="s">
        <v>120</v>
      </c>
      <c r="F34" s="35"/>
      <c r="G34" s="35" t="s">
        <v>822</v>
      </c>
      <c r="J34" s="6">
        <f>SUM(P_el_2[Nuclear])</f>
        <v>4369</v>
      </c>
      <c r="K34" s="6">
        <f>SUM(P_el_2[Wind])</f>
        <v>8509.5600000000013</v>
      </c>
      <c r="L34" s="6">
        <f>SUM(P_el_2[Thermal])</f>
        <v>1826.3500000000001</v>
      </c>
      <c r="M34" s="6">
        <f>SUM(P_el_2[Solar])</f>
        <v>133.02000000000001</v>
      </c>
      <c r="V34" s="1" t="s">
        <v>617</v>
      </c>
      <c r="W34" s="42">
        <v>0.9</v>
      </c>
      <c r="AA34" s="1" t="s">
        <v>118</v>
      </c>
      <c r="AB34" s="10">
        <v>1300</v>
      </c>
      <c r="AC34" s="124">
        <v>0.06</v>
      </c>
      <c r="AD34" s="6">
        <f t="shared" si="6"/>
        <v>21666.666666666668</v>
      </c>
      <c r="AL34" s="2"/>
    </row>
    <row r="35" spans="1:38">
      <c r="A35" s="1" t="s">
        <v>510</v>
      </c>
      <c r="B35" s="1" t="s">
        <v>510</v>
      </c>
      <c r="C35" s="1" t="s">
        <v>162</v>
      </c>
      <c r="D35" s="42">
        <v>142.6</v>
      </c>
      <c r="E35" s="107" t="s">
        <v>120</v>
      </c>
      <c r="F35" s="35"/>
      <c r="G35" s="35" t="s">
        <v>824</v>
      </c>
      <c r="V35" s="1" t="s">
        <v>610</v>
      </c>
      <c r="W35" s="42">
        <v>0</v>
      </c>
      <c r="AA35" s="1" t="s">
        <v>166</v>
      </c>
      <c r="AB35" s="24">
        <f>AC35*$AD$29</f>
        <v>834.35294117647049</v>
      </c>
      <c r="AC35" s="124">
        <v>0.04</v>
      </c>
      <c r="AD35" s="2"/>
      <c r="AL35" s="2"/>
    </row>
    <row r="36" spans="1:38">
      <c r="A36" s="1" t="s">
        <v>527</v>
      </c>
      <c r="B36" s="1" t="s">
        <v>728</v>
      </c>
      <c r="C36" s="1" t="s">
        <v>162</v>
      </c>
      <c r="D36" s="42">
        <v>132</v>
      </c>
      <c r="E36" s="107" t="s">
        <v>124</v>
      </c>
      <c r="F36" s="35"/>
      <c r="G36" s="35" t="s">
        <v>824</v>
      </c>
      <c r="I36" s="343" t="s">
        <v>851</v>
      </c>
      <c r="J36" s="343"/>
      <c r="K36" s="343"/>
      <c r="L36" s="343"/>
      <c r="M36" s="343"/>
      <c r="N36" s="343"/>
      <c r="O36" s="120"/>
      <c r="V36" s="35" t="s">
        <v>2</v>
      </c>
      <c r="W36" s="7">
        <f>SUM(W6:W35)</f>
        <v>1826.35</v>
      </c>
      <c r="X36" s="35"/>
      <c r="AA36" s="1" t="s">
        <v>165</v>
      </c>
      <c r="AB36" s="10">
        <v>1345</v>
      </c>
      <c r="AC36" s="124">
        <v>7.0000000000000007E-2</v>
      </c>
      <c r="AD36" s="6">
        <f t="shared" si="6"/>
        <v>19214.285714285714</v>
      </c>
      <c r="AL36" s="2"/>
    </row>
    <row r="37" spans="1:38">
      <c r="A37" s="1" t="s">
        <v>450</v>
      </c>
      <c r="B37" s="1" t="s">
        <v>450</v>
      </c>
      <c r="C37" s="1" t="s">
        <v>162</v>
      </c>
      <c r="D37" s="42">
        <v>126</v>
      </c>
      <c r="E37" s="107" t="s">
        <v>124</v>
      </c>
      <c r="F37" s="35"/>
      <c r="G37" s="35" t="s">
        <v>824</v>
      </c>
      <c r="I37" s="14" t="s">
        <v>24</v>
      </c>
      <c r="J37" s="14" t="s">
        <v>835</v>
      </c>
      <c r="K37" s="14" t="s">
        <v>162</v>
      </c>
      <c r="L37" s="14" t="s">
        <v>836</v>
      </c>
      <c r="M37" s="1" t="s">
        <v>163</v>
      </c>
      <c r="N37" s="14" t="s">
        <v>2</v>
      </c>
      <c r="V37" s="35" t="s">
        <v>875</v>
      </c>
      <c r="W37" s="7">
        <f>SUM(W6:W15)</f>
        <v>1659.5</v>
      </c>
      <c r="X37" s="119">
        <f>W37/W36</f>
        <v>0.90864292167437788</v>
      </c>
      <c r="AA37" s="1" t="s">
        <v>122</v>
      </c>
      <c r="AB37" s="24">
        <f>AC37*$AD$29</f>
        <v>417.17647058823525</v>
      </c>
      <c r="AC37" s="124">
        <v>0.02</v>
      </c>
      <c r="AD37" s="2"/>
      <c r="AL37" s="2"/>
    </row>
    <row r="38" spans="1:38">
      <c r="A38" s="1" t="s">
        <v>531</v>
      </c>
      <c r="B38" s="1" t="s">
        <v>531</v>
      </c>
      <c r="C38" s="1" t="s">
        <v>162</v>
      </c>
      <c r="D38" s="42">
        <v>126</v>
      </c>
      <c r="E38" s="107" t="s">
        <v>125</v>
      </c>
      <c r="F38" s="35"/>
      <c r="G38" s="35" t="s">
        <v>823</v>
      </c>
      <c r="I38" s="1" t="s">
        <v>28</v>
      </c>
      <c r="J38" s="6" cm="1">
        <f t="array" ref="J38">SUM(_xlfn._xlws.FILTER(P_el_2[Nuclear],ISNUMBER(MATCH(P_el_2[Region],_xlfn._xlws.FILTER(Region[Administrative],Region[Model]=P_el_3[[#This Row],[Region]]),0))))</f>
        <v>0</v>
      </c>
      <c r="K38" s="24" cm="1">
        <f t="array" ref="K38">SUM(_xlfn._xlws.FILTER(P_el_2[Wind],ISNUMBER(MATCH(P_el_2[Region],_xlfn._xlws.FILTER(Region[Administrative],Region[Model]=P_el_3[[#This Row],[Region]]),0))))</f>
        <v>4187.8500000000004</v>
      </c>
      <c r="L38" s="24" cm="1">
        <f t="array" ref="L38">SUM(_xlfn._xlws.FILTER(P_el_2[Thermal],ISNUMBER(MATCH(P_el_2[Region],_xlfn._xlws.FILTER(Region[Administrative],Region[Model]=P_el_3[[#This Row],[Region]]),0))))</f>
        <v>120.1</v>
      </c>
      <c r="M38" s="111" cm="1">
        <f t="array" ref="M38">SUM(_xlfn._xlws.FILTER(P_el_2[Solar],ISNUMBER(MATCH(P_el_2[Region],_xlfn._xlws.FILTER(Region[Administrative],Region[Model]=P_el_3[[#This Row],[Region]]),0))))</f>
        <v>19.3</v>
      </c>
      <c r="N38" s="6">
        <f>SUM(P_el_3[[#This Row],[Nuclear]:[Thermal]])</f>
        <v>4307.9500000000007</v>
      </c>
      <c r="O38" s="6"/>
      <c r="AA38" s="1" t="s">
        <v>119</v>
      </c>
      <c r="AB38" s="24">
        <f>AC38*$AD$29</f>
        <v>417.17647058823525</v>
      </c>
      <c r="AC38" s="124">
        <v>0.02</v>
      </c>
      <c r="AD38" s="2"/>
      <c r="AL38" s="2"/>
    </row>
    <row r="39" spans="1:38">
      <c r="A39" s="1" t="s">
        <v>475</v>
      </c>
      <c r="B39" s="1" t="s">
        <v>475</v>
      </c>
      <c r="C39" s="1" t="s">
        <v>836</v>
      </c>
      <c r="D39" s="42">
        <v>118</v>
      </c>
      <c r="E39" s="107" t="s">
        <v>3</v>
      </c>
      <c r="F39" s="35"/>
      <c r="G39" s="35" t="s">
        <v>823</v>
      </c>
      <c r="I39" s="1" t="s">
        <v>29</v>
      </c>
      <c r="J39" s="24" cm="1">
        <f t="array" ref="J39">SUM(_xlfn._xlws.FILTER(P_el_2[Nuclear],ISNUMBER(MATCH(P_el_2[Region],_xlfn._xlws.FILTER(Region[Administrative],Region[Model]=P_el_3[[#This Row],[Region]]),0))))</f>
        <v>3355</v>
      </c>
      <c r="K39" s="24" cm="1">
        <f t="array" ref="K39">SUM(_xlfn._xlws.FILTER(P_el_2[Wind],ISNUMBER(MATCH(P_el_2[Region],_xlfn._xlws.FILTER(Region[Administrative],Region[Model]=P_el_3[[#This Row],[Region]]),0))))</f>
        <v>3504.81</v>
      </c>
      <c r="L39" s="24" cm="1">
        <f t="array" ref="L39">SUM(_xlfn._xlws.FILTER(P_el_2[Thermal],ISNUMBER(MATCH(P_el_2[Region],_xlfn._xlws.FILTER(Region[Administrative],Region[Model]=P_el_3[[#This Row],[Region]]),0))))</f>
        <v>830.09999999999991</v>
      </c>
      <c r="M39" s="111" cm="1">
        <f t="array" ref="M39">SUM(_xlfn._xlws.FILTER(P_el_2[Solar],ISNUMBER(MATCH(P_el_2[Region],_xlfn._xlws.FILTER(Region[Administrative],Region[Model]=P_el_3[[#This Row],[Region]]),0))))</f>
        <v>79.5</v>
      </c>
      <c r="N39" s="6">
        <f>SUM(P_el_3[[#This Row],[Nuclear]:[Thermal]])</f>
        <v>7689.91</v>
      </c>
      <c r="O39" s="6"/>
      <c r="AA39" s="1" t="s">
        <v>120</v>
      </c>
      <c r="AB39" s="10">
        <v>3036</v>
      </c>
      <c r="AC39" s="124">
        <v>0.15</v>
      </c>
      <c r="AD39" s="6">
        <f t="shared" si="6"/>
        <v>20240</v>
      </c>
      <c r="AL39" s="2"/>
    </row>
    <row r="40" spans="1:38">
      <c r="A40" s="1" t="s">
        <v>571</v>
      </c>
      <c r="B40" s="1" t="s">
        <v>571</v>
      </c>
      <c r="C40" s="1" t="s">
        <v>162</v>
      </c>
      <c r="D40" s="42">
        <v>117.6</v>
      </c>
      <c r="E40" s="107" t="s">
        <v>120</v>
      </c>
      <c r="F40" s="35"/>
      <c r="G40" s="35" t="s">
        <v>824</v>
      </c>
      <c r="I40" s="1" t="s">
        <v>31</v>
      </c>
      <c r="J40" s="6" cm="1">
        <f t="array" ref="J40">SUM(_xlfn._xlws.FILTER(P_el_2[Nuclear],ISNUMBER(MATCH(P_el_2[Region],_xlfn._xlws.FILTER(Region[Administrative],Region[Model]=P_el_3[[#This Row],[Region]]),0))))</f>
        <v>0</v>
      </c>
      <c r="K40" s="24" cm="1">
        <f t="array" ref="K40">SUM(_xlfn._xlws.FILTER(P_el_2[Wind],ISNUMBER(MATCH(P_el_2[Region],_xlfn._xlws.FILTER(Region[Administrative],Region[Model]=P_el_3[[#This Row],[Region]]),0))))</f>
        <v>370.8</v>
      </c>
      <c r="L40" s="6" cm="1">
        <f t="array" ref="L40">SUM(_xlfn._xlws.FILTER(P_el_2[Thermal],ISNUMBER(MATCH(P_el_2[Region],_xlfn._xlws.FILTER(Region[Administrative],Region[Model]=P_el_3[[#This Row],[Region]]),0))))</f>
        <v>7</v>
      </c>
      <c r="M40" s="111" cm="1">
        <f t="array" ref="M40">SUM(_xlfn._xlws.FILTER(P_el_2[Solar],ISNUMBER(MATCH(P_el_2[Region],_xlfn._xlws.FILTER(Region[Administrative],Region[Model]=P_el_3[[#This Row],[Region]]),0))))</f>
        <v>4.5999999999999996</v>
      </c>
      <c r="N40" s="6">
        <f>SUM(P_el_3[[#This Row],[Nuclear]:[Thermal]])</f>
        <v>377.8</v>
      </c>
      <c r="O40" s="6"/>
      <c r="AA40" s="1" t="s">
        <v>121</v>
      </c>
      <c r="AB40" s="24">
        <f>AC40*$AD$29</f>
        <v>417.17647058823525</v>
      </c>
      <c r="AC40" s="124">
        <v>0.02</v>
      </c>
      <c r="AD40" s="2"/>
      <c r="AL40" s="2"/>
    </row>
    <row r="41" spans="1:38" ht="14.4" customHeight="1">
      <c r="A41" s="1" t="s">
        <v>528</v>
      </c>
      <c r="B41" s="1" t="s">
        <v>528</v>
      </c>
      <c r="C41" s="1" t="s">
        <v>162</v>
      </c>
      <c r="D41" s="42">
        <v>117.3</v>
      </c>
      <c r="E41" s="107" t="s">
        <v>121</v>
      </c>
      <c r="F41" s="35"/>
      <c r="G41" s="35" t="s">
        <v>824</v>
      </c>
      <c r="I41" s="1" t="s">
        <v>32</v>
      </c>
      <c r="J41" s="6" cm="1">
        <f t="array" ref="J41">SUM(_xlfn._xlws.FILTER(P_el_2[Nuclear],ISNUMBER(MATCH(P_el_2[Region],_xlfn._xlws.FILTER(Region[Administrative],Region[Model]=P_el_3[[#This Row],[Region]]),0))))</f>
        <v>0</v>
      </c>
      <c r="K41" s="24" cm="1">
        <f t="array" ref="K41">SUM(_xlfn._xlws.FILTER(P_el_2[Wind],ISNUMBER(MATCH(P_el_2[Region],_xlfn._xlws.FILTER(Region[Administrative],Region[Model]=P_el_3[[#This Row],[Region]]),0))))</f>
        <v>231.8</v>
      </c>
      <c r="L41" s="24" cm="1">
        <f t="array" ref="L41">SUM(_xlfn._xlws.FILTER(P_el_2[Thermal],ISNUMBER(MATCH(P_el_2[Region],_xlfn._xlws.FILTER(Region[Administrative],Region[Model]=P_el_3[[#This Row],[Region]]),0))))</f>
        <v>182.6</v>
      </c>
      <c r="M41" s="111" cm="1">
        <f t="array" ref="M41">SUM(_xlfn._xlws.FILTER(P_el_2[Solar],ISNUMBER(MATCH(P_el_2[Region],_xlfn._xlws.FILTER(Region[Administrative],Region[Model]=P_el_3[[#This Row],[Region]]),0))))</f>
        <v>16.98</v>
      </c>
      <c r="N41" s="6">
        <f>SUM(P_el_3[[#This Row],[Nuclear]:[Thermal]])</f>
        <v>414.4</v>
      </c>
      <c r="O41" s="6"/>
      <c r="V41" s="121"/>
      <c r="W41" s="121"/>
      <c r="X41" s="121"/>
      <c r="Y41" s="121"/>
      <c r="AA41" s="1" t="s">
        <v>123</v>
      </c>
      <c r="AB41" s="24">
        <f>AC41*$AD$29</f>
        <v>625.76470588235281</v>
      </c>
      <c r="AC41" s="124">
        <v>0.03</v>
      </c>
      <c r="AD41" s="2"/>
      <c r="AL41" s="2"/>
    </row>
    <row r="42" spans="1:38">
      <c r="A42" s="1" t="s">
        <v>620</v>
      </c>
      <c r="B42" s="1" t="s">
        <v>782</v>
      </c>
      <c r="C42" s="1" t="s">
        <v>162</v>
      </c>
      <c r="D42" s="42">
        <v>105.4</v>
      </c>
      <c r="E42" s="107" t="s">
        <v>121</v>
      </c>
      <c r="F42" s="35"/>
      <c r="G42" s="35" t="s">
        <v>822</v>
      </c>
      <c r="I42" s="1" t="s">
        <v>33</v>
      </c>
      <c r="J42" s="6" cm="1">
        <f t="array" ref="J42">SUM(_xlfn._xlws.FILTER(P_el_2[Nuclear],ISNUMBER(MATCH(P_el_2[Region],_xlfn._xlws.FILTER(Region[Administrative],Region[Model]=P_el_3[[#This Row],[Region]]),0))))</f>
        <v>0</v>
      </c>
      <c r="K42" s="24" cm="1">
        <f t="array" ref="K42">SUM(_xlfn._xlws.FILTER(P_el_2[Wind],ISNUMBER(MATCH(P_el_2[Region],_xlfn._xlws.FILTER(Region[Administrative],Region[Model]=P_el_3[[#This Row],[Region]]),0))))</f>
        <v>138.85</v>
      </c>
      <c r="L42" s="24" cm="1">
        <f t="array" ref="L42">SUM(_xlfn._xlws.FILTER(P_el_2[Thermal],ISNUMBER(MATCH(P_el_2[Region],_xlfn._xlws.FILTER(Region[Administrative],Region[Model]=P_el_3[[#This Row],[Region]]),0))))</f>
        <v>443.1</v>
      </c>
      <c r="M42" s="111" cm="1">
        <f t="array" ref="M42">SUM(_xlfn._xlws.FILTER(P_el_2[Solar],ISNUMBER(MATCH(P_el_2[Region],_xlfn._xlws.FILTER(Region[Administrative],Region[Model]=P_el_3[[#This Row],[Region]]),0))))</f>
        <v>0</v>
      </c>
      <c r="N42" s="6">
        <f>SUM(P_el_3[[#This Row],[Nuclear]:[Thermal]])</f>
        <v>581.95000000000005</v>
      </c>
      <c r="O42" s="6"/>
      <c r="V42" s="121"/>
      <c r="W42" s="121"/>
      <c r="X42" s="121"/>
      <c r="Y42" s="121"/>
      <c r="AA42" s="1" t="s">
        <v>124</v>
      </c>
      <c r="AB42" s="10">
        <v>1585</v>
      </c>
      <c r="AC42" s="124">
        <v>0.08</v>
      </c>
      <c r="AD42" s="6">
        <f t="shared" si="6"/>
        <v>19812.5</v>
      </c>
      <c r="AL42" s="2"/>
    </row>
    <row r="43" spans="1:38">
      <c r="A43" s="1" t="s">
        <v>658</v>
      </c>
      <c r="B43" s="1" t="s">
        <v>811</v>
      </c>
      <c r="C43" s="1" t="s">
        <v>162</v>
      </c>
      <c r="D43" s="42">
        <v>103.2</v>
      </c>
      <c r="E43" s="107" t="s">
        <v>124</v>
      </c>
      <c r="F43" s="35"/>
      <c r="G43" s="35" t="s">
        <v>824</v>
      </c>
      <c r="I43" s="1" t="s">
        <v>34</v>
      </c>
      <c r="J43" s="6" cm="1">
        <f t="array" ref="J43">SUM(_xlfn._xlws.FILTER(P_el_2[Nuclear],ISNUMBER(MATCH(P_el_2[Region],_xlfn._xlws.FILTER(Region[Administrative],Region[Model]=P_el_3[[#This Row],[Region]]),0))))</f>
        <v>0</v>
      </c>
      <c r="K43" s="6" cm="1">
        <f t="array" ref="K43">SUM(_xlfn._xlws.FILTER(P_el_2[Wind],ISNUMBER(MATCH(P_el_2[Region],_xlfn._xlws.FILTER(Region[Administrative],Region[Model]=P_el_3[[#This Row],[Region]]),0))))</f>
        <v>48.8</v>
      </c>
      <c r="L43" s="6" cm="1">
        <f t="array" ref="L43">SUM(_xlfn._xlws.FILTER(P_el_2[Thermal],ISNUMBER(MATCH(P_el_2[Region],_xlfn._xlws.FILTER(Region[Administrative],Region[Model]=P_el_3[[#This Row],[Region]]),0))))</f>
        <v>17.2</v>
      </c>
      <c r="M43" s="111" cm="1">
        <f t="array" ref="M43">SUM(_xlfn._xlws.FILTER(P_el_2[Solar],ISNUMBER(MATCH(P_el_2[Region],_xlfn._xlws.FILTER(Region[Administrative],Region[Model]=P_el_3[[#This Row],[Region]]),0))))</f>
        <v>2.31</v>
      </c>
      <c r="N43" s="6">
        <f>SUM(P_el_3[[#This Row],[Nuclear]:[Thermal]])</f>
        <v>66</v>
      </c>
      <c r="O43" s="6"/>
      <c r="V43" s="121"/>
      <c r="W43" s="121"/>
      <c r="X43" s="121"/>
      <c r="Y43" s="121"/>
      <c r="AA43" s="2" t="s">
        <v>19</v>
      </c>
      <c r="AB43" s="24">
        <f>AC43*$AD$29</f>
        <v>208.58823529411762</v>
      </c>
      <c r="AC43" s="124">
        <v>0.01</v>
      </c>
      <c r="AD43" s="2"/>
      <c r="AL43" s="2"/>
    </row>
    <row r="44" spans="1:38">
      <c r="A44" s="1" t="s">
        <v>526</v>
      </c>
      <c r="B44" s="1" t="s">
        <v>727</v>
      </c>
      <c r="C44" s="1" t="s">
        <v>836</v>
      </c>
      <c r="D44" s="42">
        <v>102</v>
      </c>
      <c r="E44" s="107" t="s">
        <v>124</v>
      </c>
      <c r="F44" s="35"/>
      <c r="G44" s="35" t="s">
        <v>824</v>
      </c>
      <c r="I44" s="1" t="s">
        <v>3</v>
      </c>
      <c r="J44" s="24" cm="1">
        <f t="array" ref="J44">SUM(_xlfn._xlws.FILTER(P_el_2[Nuclear],ISNUMBER(MATCH(P_el_2[Region],_xlfn._xlws.FILTER(Region[Administrative],Region[Model]=P_el_3[[#This Row],[Region]]),0))))</f>
        <v>1014</v>
      </c>
      <c r="K44" s="6" cm="1">
        <f t="array" ref="K44">SUM(_xlfn._xlws.FILTER(P_el_2[Wind],ISNUMBER(MATCH(P_el_2[Region],_xlfn._xlws.FILTER(Region[Administrative],Region[Model]=P_el_3[[#This Row],[Region]]),0))))</f>
        <v>26.65</v>
      </c>
      <c r="L44" s="24" cm="1">
        <f t="array" ref="L44">SUM(_xlfn._xlws.FILTER(P_el_2[Thermal],ISNUMBER(MATCH(P_el_2[Region],_xlfn._xlws.FILTER(Region[Administrative],Region[Model]=P_el_3[[#This Row],[Region]]),0))))</f>
        <v>226.25</v>
      </c>
      <c r="M44" s="111" cm="1">
        <f t="array" ref="M44">SUM(_xlfn._xlws.FILTER(P_el_2[Solar],ISNUMBER(MATCH(P_el_2[Region],_xlfn._xlws.FILTER(Region[Administrative],Region[Model]=P_el_3[[#This Row],[Region]]),0))))</f>
        <v>10.33</v>
      </c>
      <c r="N44" s="6">
        <f>SUM(P_el_3[[#This Row],[Nuclear]:[Thermal]])</f>
        <v>1266.9000000000001</v>
      </c>
      <c r="O44" s="6"/>
      <c r="V44" s="121"/>
      <c r="W44" s="121"/>
      <c r="X44" s="121"/>
      <c r="Y44" s="121"/>
      <c r="AA44" s="1" t="s">
        <v>125</v>
      </c>
      <c r="AB44" s="24">
        <f>AC44*$AD$29</f>
        <v>417.17647058823525</v>
      </c>
      <c r="AC44" s="124">
        <v>0.02</v>
      </c>
      <c r="AD44" s="2"/>
      <c r="AL44" s="2"/>
    </row>
    <row r="45" spans="1:38">
      <c r="A45" s="1" t="s">
        <v>547</v>
      </c>
      <c r="B45" s="1" t="s">
        <v>737</v>
      </c>
      <c r="C45" s="1" t="s">
        <v>162</v>
      </c>
      <c r="D45" s="42">
        <v>102</v>
      </c>
      <c r="E45" s="107" t="s">
        <v>121</v>
      </c>
      <c r="F45" s="35"/>
      <c r="G45" s="35" t="s">
        <v>824</v>
      </c>
      <c r="J45" s="6">
        <f>SUM(P_el_3[Nuclear])</f>
        <v>4369</v>
      </c>
      <c r="K45" s="6">
        <f>SUM(P_el_3[Wind])</f>
        <v>8509.56</v>
      </c>
      <c r="L45" s="6">
        <f>SUM(P_el_3[Thermal])</f>
        <v>1826.3500000000001</v>
      </c>
      <c r="M45" s="6">
        <f>SUM(P_el_3[Solar])</f>
        <v>133.02000000000001</v>
      </c>
      <c r="N45" s="6">
        <f>SUM(N38:N44)</f>
        <v>14704.91</v>
      </c>
      <c r="O45" s="6"/>
      <c r="V45" s="121"/>
      <c r="W45" s="121"/>
      <c r="X45" s="121"/>
      <c r="Y45" s="121"/>
      <c r="AB45" s="6">
        <f>SUM(AB27:AB44)</f>
        <v>20609.000000000004</v>
      </c>
      <c r="AC45" s="123"/>
      <c r="AL45" s="2"/>
    </row>
    <row r="46" spans="1:38">
      <c r="A46" s="1" t="s">
        <v>555</v>
      </c>
      <c r="B46" s="1" t="s">
        <v>740</v>
      </c>
      <c r="C46" s="1" t="s">
        <v>836</v>
      </c>
      <c r="D46" s="42">
        <v>100.5</v>
      </c>
      <c r="E46" s="107" t="s">
        <v>5</v>
      </c>
      <c r="F46" s="35"/>
      <c r="G46" s="35" t="s">
        <v>822</v>
      </c>
      <c r="V46" s="121"/>
      <c r="W46" s="121"/>
      <c r="X46" s="121"/>
      <c r="Y46" s="121"/>
      <c r="AL46" s="2"/>
    </row>
    <row r="47" spans="1:38">
      <c r="A47" s="1" t="s">
        <v>548</v>
      </c>
      <c r="B47" s="1" t="s">
        <v>548</v>
      </c>
      <c r="C47" s="1" t="s">
        <v>162</v>
      </c>
      <c r="D47" s="42">
        <v>96.9</v>
      </c>
      <c r="E47" s="107" t="s">
        <v>125</v>
      </c>
      <c r="F47" s="35"/>
      <c r="G47" s="35" t="s">
        <v>824</v>
      </c>
      <c r="V47" s="121"/>
      <c r="W47" s="121"/>
      <c r="X47" s="121"/>
      <c r="Y47" s="121"/>
      <c r="AA47" s="45" t="s">
        <v>889</v>
      </c>
      <c r="AB47" s="45"/>
      <c r="AL47" s="2"/>
    </row>
    <row r="48" spans="1:38">
      <c r="A48" s="1" t="s">
        <v>530</v>
      </c>
      <c r="B48" s="1" t="s">
        <v>729</v>
      </c>
      <c r="C48" s="1" t="s">
        <v>162</v>
      </c>
      <c r="D48" s="42">
        <v>93</v>
      </c>
      <c r="E48" s="107" t="s">
        <v>124</v>
      </c>
      <c r="F48" s="35"/>
      <c r="G48" s="35" t="s">
        <v>824</v>
      </c>
      <c r="V48" s="121"/>
      <c r="W48" s="121"/>
      <c r="X48" s="121"/>
      <c r="Y48" s="121"/>
      <c r="AA48" s="14" t="s">
        <v>24</v>
      </c>
      <c r="AB48" s="14" t="s">
        <v>58</v>
      </c>
    </row>
    <row r="49" spans="1:28">
      <c r="A49" s="1" t="s">
        <v>559</v>
      </c>
      <c r="B49" s="1" t="s">
        <v>744</v>
      </c>
      <c r="C49" s="1" t="s">
        <v>162</v>
      </c>
      <c r="D49" s="42">
        <v>93</v>
      </c>
      <c r="E49" s="107" t="s">
        <v>5</v>
      </c>
      <c r="F49" s="35"/>
      <c r="G49" s="35" t="s">
        <v>822</v>
      </c>
      <c r="AA49" s="1" t="s">
        <v>28</v>
      </c>
      <c r="AB49" s="24" cm="1">
        <f t="array" ref="AB49">SUM(_xlfn._xlws.FILTER(P_el_S5_1[Regional],ISNUMBER(MATCH(P_el_S5_1[Region],_xlfn._xlws.FILTER(Region[Administrative],Region[Model]=P_el_S5_2[[#This Row],[Region]]),0))))</f>
        <v>2002.1764705882351</v>
      </c>
    </row>
    <row r="50" spans="1:28">
      <c r="A50" s="1" t="s">
        <v>562</v>
      </c>
      <c r="B50" s="1" t="s">
        <v>308</v>
      </c>
      <c r="C50" s="1" t="s">
        <v>162</v>
      </c>
      <c r="D50" s="42">
        <v>93</v>
      </c>
      <c r="E50" s="107" t="s">
        <v>124</v>
      </c>
      <c r="F50" s="35"/>
      <c r="G50" s="35" t="s">
        <v>824</v>
      </c>
      <c r="AA50" s="1" t="s">
        <v>29</v>
      </c>
      <c r="AB50" s="24" cm="1">
        <f t="array" ref="AB50">SUM(_xlfn._xlws.FILTER(P_el_S5_1[Regional],ISNUMBER(MATCH(P_el_S5_1[Region],_xlfn._xlws.FILTER(Region[Administrative],Region[Model]=P_el_S5_2[[#This Row],[Region]]),0))))</f>
        <v>7624.9411764705883</v>
      </c>
    </row>
    <row r="51" spans="1:28">
      <c r="A51" s="1" t="s">
        <v>413</v>
      </c>
      <c r="B51" s="1" t="s">
        <v>665</v>
      </c>
      <c r="C51" s="1" t="s">
        <v>162</v>
      </c>
      <c r="D51" s="42">
        <v>92.4</v>
      </c>
      <c r="E51" s="107" t="s">
        <v>123</v>
      </c>
      <c r="F51" s="35" t="s">
        <v>119</v>
      </c>
      <c r="G51" s="35" t="s">
        <v>824</v>
      </c>
      <c r="AA51" s="1" t="s">
        <v>31</v>
      </c>
      <c r="AB51" s="24" cm="1">
        <f t="array" ref="AB51">SUM(_xlfn._xlws.FILTER(P_el_S5_1[Regional],ISNUMBER(MATCH(P_el_S5_1[Region],_xlfn._xlws.FILTER(Region[Administrative],Region[Model]=P_el_S5_2[[#This Row],[Region]]),0))))</f>
        <v>625.76470588235293</v>
      </c>
    </row>
    <row r="52" spans="1:28">
      <c r="A52" s="1" t="s">
        <v>535</v>
      </c>
      <c r="B52" s="1" t="s">
        <v>731</v>
      </c>
      <c r="C52" s="1" t="s">
        <v>162</v>
      </c>
      <c r="D52" s="42">
        <v>92.399999999999991</v>
      </c>
      <c r="E52" s="107" t="s">
        <v>124</v>
      </c>
      <c r="F52" s="35"/>
      <c r="G52" s="35" t="s">
        <v>822</v>
      </c>
      <c r="AA52" s="1" t="s">
        <v>32</v>
      </c>
      <c r="AB52" s="24" cm="1">
        <f t="array" ref="AB52">SUM(_xlfn._xlws.FILTER(P_el_S5_1[Regional],ISNUMBER(MATCH(P_el_S5_1[Region],_xlfn._xlws.FILTER(Region[Administrative],Region[Model]=P_el_S5_2[[#This Row],[Region]]),0))))</f>
        <v>2805.117647058823</v>
      </c>
    </row>
    <row r="53" spans="1:28">
      <c r="A53" s="1" t="s">
        <v>556</v>
      </c>
      <c r="B53" s="1" t="s">
        <v>741</v>
      </c>
      <c r="C53" s="1" t="s">
        <v>162</v>
      </c>
      <c r="D53" s="42">
        <v>91.2</v>
      </c>
      <c r="E53" s="107" t="s">
        <v>124</v>
      </c>
      <c r="F53" s="35"/>
      <c r="G53" s="35" t="s">
        <v>822</v>
      </c>
      <c r="AA53" s="1" t="s">
        <v>33</v>
      </c>
      <c r="AB53" s="24" cm="1">
        <f t="array" ref="AB53">SUM(_xlfn._xlws.FILTER(P_el_S5_1[Regional],ISNUMBER(MATCH(P_el_S5_1[Region],_xlfn._xlws.FILTER(Region[Administrative],Region[Model]=P_el_S5_2[[#This Row],[Region]]),0))))</f>
        <v>2677</v>
      </c>
    </row>
    <row r="54" spans="1:28">
      <c r="A54" s="1" t="s">
        <v>464</v>
      </c>
      <c r="B54" s="1" t="s">
        <v>695</v>
      </c>
      <c r="C54" s="1" t="s">
        <v>162</v>
      </c>
      <c r="D54" s="42">
        <v>90.3</v>
      </c>
      <c r="E54" s="107" t="s">
        <v>121</v>
      </c>
      <c r="F54" s="35"/>
      <c r="G54" s="35" t="s">
        <v>823</v>
      </c>
      <c r="AA54" s="1" t="s">
        <v>34</v>
      </c>
      <c r="AB54" s="24" cm="1">
        <f t="array" ref="AB54">SUM(_xlfn._xlws.FILTER(P_el_S5_1[Regional],ISNUMBER(MATCH(P_el_S5_1[Region],_xlfn._xlws.FILTER(Region[Administrative],Region[Model]=P_el_S5_2[[#This Row],[Region]]),0))))</f>
        <v>3181</v>
      </c>
    </row>
    <row r="55" spans="1:28">
      <c r="A55" s="1" t="s">
        <v>586</v>
      </c>
      <c r="B55" s="1" t="s">
        <v>759</v>
      </c>
      <c r="C55" s="1" t="s">
        <v>162</v>
      </c>
      <c r="D55" s="42">
        <v>88</v>
      </c>
      <c r="E55" s="107" t="s">
        <v>124</v>
      </c>
      <c r="F55" s="35"/>
      <c r="G55" s="35" t="s">
        <v>822</v>
      </c>
      <c r="AA55" s="1" t="s">
        <v>3</v>
      </c>
      <c r="AB55" s="24" cm="1">
        <f t="array" ref="AB55">SUM(_xlfn._xlws.FILTER(P_el_S5_1[Regional],ISNUMBER(MATCH(P_el_S5_1[Region],_xlfn._xlws.FILTER(Region[Administrative],Region[Model]=P_el_S5_2[[#This Row],[Region]]),0))))</f>
        <v>1693</v>
      </c>
    </row>
    <row r="56" spans="1:28">
      <c r="A56" s="1" t="s">
        <v>565</v>
      </c>
      <c r="B56" s="1" t="s">
        <v>565</v>
      </c>
      <c r="C56" s="1" t="s">
        <v>162</v>
      </c>
      <c r="D56" s="42">
        <v>86.8</v>
      </c>
      <c r="E56" s="107" t="s">
        <v>124</v>
      </c>
      <c r="F56" s="35"/>
      <c r="G56" s="35" t="s">
        <v>824</v>
      </c>
      <c r="AB56" s="6">
        <f>SUM(P_el_S5_2[Capacity])</f>
        <v>20609</v>
      </c>
    </row>
    <row r="57" spans="1:28">
      <c r="A57" s="1" t="s">
        <v>499</v>
      </c>
      <c r="B57" s="1" t="s">
        <v>499</v>
      </c>
      <c r="C57" s="1" t="s">
        <v>162</v>
      </c>
      <c r="D57" s="42">
        <v>86</v>
      </c>
      <c r="E57" s="107" t="s">
        <v>120</v>
      </c>
      <c r="F57" s="35"/>
      <c r="G57" s="35" t="s">
        <v>824</v>
      </c>
    </row>
    <row r="58" spans="1:28">
      <c r="A58" s="1" t="s">
        <v>525</v>
      </c>
      <c r="B58" s="1" t="s">
        <v>726</v>
      </c>
      <c r="C58" s="1" t="s">
        <v>162</v>
      </c>
      <c r="D58" s="42">
        <v>82.5</v>
      </c>
      <c r="E58" s="107" t="s">
        <v>121</v>
      </c>
      <c r="F58" s="35"/>
      <c r="G58" s="35" t="s">
        <v>822</v>
      </c>
    </row>
    <row r="59" spans="1:28">
      <c r="A59" s="1" t="s">
        <v>558</v>
      </c>
      <c r="B59" s="1" t="s">
        <v>743</v>
      </c>
      <c r="C59" s="1" t="s">
        <v>162</v>
      </c>
      <c r="D59" s="42">
        <v>80.599999999999994</v>
      </c>
      <c r="E59" s="107" t="s">
        <v>5</v>
      </c>
      <c r="F59" s="35"/>
      <c r="G59" s="35" t="s">
        <v>824</v>
      </c>
    </row>
    <row r="60" spans="1:28">
      <c r="A60" s="1" t="s">
        <v>584</v>
      </c>
      <c r="B60" s="1" t="s">
        <v>758</v>
      </c>
      <c r="C60" s="1" t="s">
        <v>836</v>
      </c>
      <c r="D60" s="42">
        <v>80</v>
      </c>
      <c r="E60" s="107" t="s">
        <v>3</v>
      </c>
      <c r="F60" s="35"/>
      <c r="G60" s="35" t="s">
        <v>823</v>
      </c>
    </row>
    <row r="61" spans="1:28">
      <c r="A61" s="1" t="s">
        <v>463</v>
      </c>
      <c r="B61" s="1" t="s">
        <v>463</v>
      </c>
      <c r="C61" s="1" t="s">
        <v>162</v>
      </c>
      <c r="D61" s="42">
        <v>79.8</v>
      </c>
      <c r="E61" s="107" t="s">
        <v>124</v>
      </c>
      <c r="F61" s="35"/>
      <c r="G61" s="35" t="s">
        <v>822</v>
      </c>
    </row>
    <row r="62" spans="1:28">
      <c r="A62" s="1" t="s">
        <v>429</v>
      </c>
      <c r="B62" s="1" t="s">
        <v>673</v>
      </c>
      <c r="C62" s="1" t="s">
        <v>162</v>
      </c>
      <c r="D62" s="42">
        <v>79</v>
      </c>
      <c r="E62" s="107" t="s">
        <v>121</v>
      </c>
      <c r="F62" s="35"/>
      <c r="G62" s="35" t="s">
        <v>822</v>
      </c>
    </row>
    <row r="63" spans="1:28">
      <c r="A63" s="1" t="s">
        <v>542</v>
      </c>
      <c r="B63" s="1" t="s">
        <v>542</v>
      </c>
      <c r="C63" s="1" t="s">
        <v>162</v>
      </c>
      <c r="D63" s="42">
        <v>78</v>
      </c>
      <c r="E63" s="107" t="s">
        <v>120</v>
      </c>
      <c r="F63" s="35"/>
      <c r="G63" s="35" t="s">
        <v>824</v>
      </c>
    </row>
    <row r="64" spans="1:28">
      <c r="A64" s="1" t="s">
        <v>638</v>
      </c>
      <c r="B64" s="1" t="s">
        <v>799</v>
      </c>
      <c r="C64" s="1" t="s">
        <v>162</v>
      </c>
      <c r="D64" s="42">
        <v>72</v>
      </c>
      <c r="E64" s="107" t="s">
        <v>124</v>
      </c>
      <c r="F64" s="35"/>
      <c r="G64" s="35" t="s">
        <v>824</v>
      </c>
    </row>
    <row r="65" spans="1:7">
      <c r="A65" s="1" t="s">
        <v>567</v>
      </c>
      <c r="B65" s="1" t="s">
        <v>688</v>
      </c>
      <c r="C65" s="1" t="s">
        <v>162</v>
      </c>
      <c r="D65" s="42">
        <v>70.8</v>
      </c>
      <c r="E65" s="107" t="s">
        <v>124</v>
      </c>
      <c r="F65" s="35"/>
      <c r="G65" s="35" t="s">
        <v>822</v>
      </c>
    </row>
    <row r="66" spans="1:7">
      <c r="A66" s="1" t="s">
        <v>522</v>
      </c>
      <c r="B66" s="1" t="s">
        <v>724</v>
      </c>
      <c r="C66" s="1" t="s">
        <v>162</v>
      </c>
      <c r="D66" s="42">
        <v>68.400000000000006</v>
      </c>
      <c r="E66" s="107" t="s">
        <v>124</v>
      </c>
      <c r="F66" s="35"/>
      <c r="G66" s="35" t="s">
        <v>822</v>
      </c>
    </row>
    <row r="67" spans="1:7">
      <c r="A67" s="1" t="s">
        <v>491</v>
      </c>
      <c r="B67" s="1" t="s">
        <v>706</v>
      </c>
      <c r="C67" s="1" t="s">
        <v>836</v>
      </c>
      <c r="D67" s="42">
        <v>60</v>
      </c>
      <c r="E67" s="107" t="s">
        <v>121</v>
      </c>
      <c r="F67" s="35"/>
      <c r="G67" s="35" t="s">
        <v>822</v>
      </c>
    </row>
    <row r="68" spans="1:7">
      <c r="A68" s="1" t="s">
        <v>494</v>
      </c>
      <c r="B68" s="1" t="s">
        <v>494</v>
      </c>
      <c r="C68" s="1" t="s">
        <v>162</v>
      </c>
      <c r="D68" s="42">
        <v>58.8</v>
      </c>
      <c r="E68" s="107" t="s">
        <v>123</v>
      </c>
      <c r="F68" s="35"/>
      <c r="G68" s="35" t="s">
        <v>824</v>
      </c>
    </row>
    <row r="69" spans="1:7">
      <c r="A69" s="1" t="s">
        <v>606</v>
      </c>
      <c r="B69" s="1" t="s">
        <v>606</v>
      </c>
      <c r="C69" s="1" t="s">
        <v>162</v>
      </c>
      <c r="D69" s="42">
        <v>56.1</v>
      </c>
      <c r="E69" s="107" t="s">
        <v>120</v>
      </c>
      <c r="F69" s="35"/>
      <c r="G69" s="35" t="s">
        <v>824</v>
      </c>
    </row>
    <row r="70" spans="1:7">
      <c r="A70" s="1" t="s">
        <v>569</v>
      </c>
      <c r="B70" s="1" t="s">
        <v>749</v>
      </c>
      <c r="C70" s="1" t="s">
        <v>162</v>
      </c>
      <c r="D70" s="42">
        <v>56</v>
      </c>
      <c r="E70" s="107" t="s">
        <v>124</v>
      </c>
      <c r="F70" s="35"/>
      <c r="G70" s="35" t="s">
        <v>822</v>
      </c>
    </row>
    <row r="71" spans="1:7">
      <c r="A71" s="1" t="s">
        <v>514</v>
      </c>
      <c r="B71" s="1" t="s">
        <v>718</v>
      </c>
      <c r="C71" s="1" t="s">
        <v>162</v>
      </c>
      <c r="D71" s="42">
        <v>55.8</v>
      </c>
      <c r="E71" s="107" t="s">
        <v>19</v>
      </c>
      <c r="F71" s="35"/>
      <c r="G71" s="35" t="s">
        <v>822</v>
      </c>
    </row>
    <row r="72" spans="1:7">
      <c r="A72" s="1" t="s">
        <v>659</v>
      </c>
      <c r="B72" s="1" t="s">
        <v>659</v>
      </c>
      <c r="C72" s="1" t="s">
        <v>162</v>
      </c>
      <c r="D72" s="42">
        <v>55.8</v>
      </c>
      <c r="E72" s="107" t="s">
        <v>121</v>
      </c>
      <c r="F72" s="35"/>
      <c r="G72" s="35" t="s">
        <v>824</v>
      </c>
    </row>
    <row r="73" spans="1:7">
      <c r="A73" s="1" t="s">
        <v>580</v>
      </c>
      <c r="B73" s="1" t="s">
        <v>580</v>
      </c>
      <c r="C73" s="1" t="s">
        <v>162</v>
      </c>
      <c r="D73" s="42">
        <v>54</v>
      </c>
      <c r="E73" s="107" t="s">
        <v>5</v>
      </c>
      <c r="F73" s="35"/>
      <c r="G73" s="35" t="s">
        <v>822</v>
      </c>
    </row>
    <row r="74" spans="1:7">
      <c r="A74" s="1" t="s">
        <v>639</v>
      </c>
      <c r="B74" s="1" t="s">
        <v>800</v>
      </c>
      <c r="C74" s="1" t="s">
        <v>162</v>
      </c>
      <c r="D74" s="42">
        <v>52.8</v>
      </c>
      <c r="E74" s="107" t="s">
        <v>121</v>
      </c>
      <c r="F74" s="35"/>
      <c r="G74" s="35" t="s">
        <v>824</v>
      </c>
    </row>
    <row r="75" spans="1:7">
      <c r="A75" s="1" t="s">
        <v>627</v>
      </c>
      <c r="B75" s="1" t="s">
        <v>789</v>
      </c>
      <c r="C75" s="1" t="s">
        <v>836</v>
      </c>
      <c r="D75" s="42">
        <v>52</v>
      </c>
      <c r="E75" s="107" t="s">
        <v>5</v>
      </c>
      <c r="F75" s="35"/>
      <c r="G75" s="35" t="s">
        <v>823</v>
      </c>
    </row>
    <row r="76" spans="1:7">
      <c r="A76" s="1" t="s">
        <v>493</v>
      </c>
      <c r="B76" s="1" t="s">
        <v>708</v>
      </c>
      <c r="C76" s="1" t="s">
        <v>162</v>
      </c>
      <c r="D76" s="42">
        <v>51</v>
      </c>
      <c r="E76" s="107" t="s">
        <v>125</v>
      </c>
      <c r="F76" s="35"/>
      <c r="G76" s="35" t="s">
        <v>824</v>
      </c>
    </row>
    <row r="77" spans="1:7">
      <c r="A77" s="1" t="s">
        <v>498</v>
      </c>
      <c r="B77" s="1" t="s">
        <v>498</v>
      </c>
      <c r="C77" s="1" t="s">
        <v>162</v>
      </c>
      <c r="D77" s="42">
        <v>50.4</v>
      </c>
      <c r="E77" s="107" t="s">
        <v>120</v>
      </c>
      <c r="F77" s="35"/>
      <c r="G77" s="35" t="s">
        <v>824</v>
      </c>
    </row>
    <row r="78" spans="1:7">
      <c r="A78" s="1" t="s">
        <v>648</v>
      </c>
      <c r="B78" s="1" t="s">
        <v>807</v>
      </c>
      <c r="C78" s="1" t="s">
        <v>836</v>
      </c>
      <c r="D78" s="42">
        <v>50</v>
      </c>
      <c r="E78" s="107" t="s">
        <v>6</v>
      </c>
      <c r="F78" s="35"/>
      <c r="G78" s="35" t="s">
        <v>823</v>
      </c>
    </row>
    <row r="79" spans="1:7">
      <c r="A79" s="1" t="s">
        <v>607</v>
      </c>
      <c r="B79" s="1" t="s">
        <v>774</v>
      </c>
      <c r="C79" s="1" t="s">
        <v>162</v>
      </c>
      <c r="D79" s="42">
        <v>48.3</v>
      </c>
      <c r="E79" s="107" t="s">
        <v>124</v>
      </c>
      <c r="F79" s="35"/>
      <c r="G79" s="35" t="s">
        <v>822</v>
      </c>
    </row>
    <row r="80" spans="1:7">
      <c r="A80" s="1" t="s">
        <v>474</v>
      </c>
      <c r="B80" s="1" t="s">
        <v>474</v>
      </c>
      <c r="C80" s="1" t="s">
        <v>162</v>
      </c>
      <c r="D80" s="42">
        <v>48</v>
      </c>
      <c r="E80" s="107" t="s">
        <v>123</v>
      </c>
      <c r="F80" s="35"/>
      <c r="G80" s="35" t="s">
        <v>823</v>
      </c>
    </row>
    <row r="81" spans="1:7">
      <c r="A81" s="1" t="s">
        <v>594</v>
      </c>
      <c r="B81" s="1" t="s">
        <v>764</v>
      </c>
      <c r="C81" s="1" t="s">
        <v>162</v>
      </c>
      <c r="D81" s="42">
        <v>48</v>
      </c>
      <c r="E81" s="107" t="s">
        <v>120</v>
      </c>
      <c r="F81" s="35"/>
      <c r="G81" s="35" t="s">
        <v>822</v>
      </c>
    </row>
    <row r="82" spans="1:7">
      <c r="A82" s="1" t="s">
        <v>423</v>
      </c>
      <c r="B82" s="1" t="s">
        <v>423</v>
      </c>
      <c r="C82" s="1" t="s">
        <v>162</v>
      </c>
      <c r="D82" s="42">
        <v>45.6</v>
      </c>
      <c r="E82" s="107" t="s">
        <v>119</v>
      </c>
      <c r="F82" s="35"/>
      <c r="G82" s="35" t="s">
        <v>824</v>
      </c>
    </row>
    <row r="83" spans="1:7">
      <c r="A83" s="1" t="s">
        <v>478</v>
      </c>
      <c r="B83" s="1" t="s">
        <v>478</v>
      </c>
      <c r="C83" s="1" t="s">
        <v>162</v>
      </c>
      <c r="D83" s="42">
        <v>45.6</v>
      </c>
      <c r="E83" s="107" t="s">
        <v>119</v>
      </c>
      <c r="F83" s="35"/>
      <c r="G83" s="35" t="s">
        <v>824</v>
      </c>
    </row>
    <row r="84" spans="1:7">
      <c r="A84" s="1" t="s">
        <v>515</v>
      </c>
      <c r="B84" s="1" t="s">
        <v>719</v>
      </c>
      <c r="C84" s="1" t="s">
        <v>162</v>
      </c>
      <c r="D84" s="42">
        <v>45.6</v>
      </c>
      <c r="E84" s="107" t="s">
        <v>19</v>
      </c>
      <c r="F84" s="35"/>
      <c r="G84" s="35" t="s">
        <v>822</v>
      </c>
    </row>
    <row r="85" spans="1:7">
      <c r="A85" s="1" t="s">
        <v>538</v>
      </c>
      <c r="B85" s="1" t="s">
        <v>538</v>
      </c>
      <c r="C85" s="1" t="s">
        <v>162</v>
      </c>
      <c r="D85" s="42">
        <v>45.6</v>
      </c>
      <c r="E85" s="107" t="s">
        <v>124</v>
      </c>
      <c r="F85" s="35"/>
      <c r="G85" s="35" t="s">
        <v>823</v>
      </c>
    </row>
    <row r="86" spans="1:7">
      <c r="A86" s="1" t="s">
        <v>503</v>
      </c>
      <c r="B86" s="1" t="s">
        <v>503</v>
      </c>
      <c r="C86" s="1" t="s">
        <v>162</v>
      </c>
      <c r="D86" s="42">
        <v>44.9</v>
      </c>
      <c r="E86" s="107" t="s">
        <v>125</v>
      </c>
      <c r="F86" s="35"/>
      <c r="G86" s="35" t="s">
        <v>823</v>
      </c>
    </row>
    <row r="87" spans="1:7">
      <c r="A87" s="1" t="s">
        <v>426</v>
      </c>
      <c r="B87" s="1" t="s">
        <v>672</v>
      </c>
      <c r="C87" s="1" t="s">
        <v>162</v>
      </c>
      <c r="D87" s="42">
        <v>44.8</v>
      </c>
      <c r="E87" s="107" t="s">
        <v>124</v>
      </c>
      <c r="F87" s="35"/>
      <c r="G87" s="35" t="s">
        <v>823</v>
      </c>
    </row>
    <row r="88" spans="1:7">
      <c r="A88" s="1" t="s">
        <v>589</v>
      </c>
      <c r="B88" s="1" t="s">
        <v>761</v>
      </c>
      <c r="C88" s="1" t="s">
        <v>162</v>
      </c>
      <c r="D88" s="42">
        <v>44</v>
      </c>
      <c r="E88" s="107" t="s">
        <v>124</v>
      </c>
      <c r="F88" s="35"/>
      <c r="G88" s="35" t="s">
        <v>824</v>
      </c>
    </row>
    <row r="89" spans="1:7">
      <c r="A89" s="1" t="s">
        <v>600</v>
      </c>
      <c r="B89" s="1" t="s">
        <v>769</v>
      </c>
      <c r="C89" s="1" t="s">
        <v>162</v>
      </c>
      <c r="D89" s="42">
        <v>44</v>
      </c>
      <c r="E89" s="107" t="s">
        <v>120</v>
      </c>
      <c r="F89" s="35"/>
      <c r="G89" s="35" t="s">
        <v>822</v>
      </c>
    </row>
    <row r="90" spans="1:7">
      <c r="A90" s="1" t="s">
        <v>485</v>
      </c>
      <c r="B90" s="1" t="s">
        <v>701</v>
      </c>
      <c r="C90" s="1" t="s">
        <v>162</v>
      </c>
      <c r="D90" s="42">
        <v>43.2</v>
      </c>
      <c r="E90" s="107" t="s">
        <v>124</v>
      </c>
      <c r="F90" s="35"/>
      <c r="G90" s="35" t="s">
        <v>823</v>
      </c>
    </row>
    <row r="91" spans="1:7">
      <c r="A91" s="1" t="s">
        <v>488</v>
      </c>
      <c r="B91" s="1" t="s">
        <v>703</v>
      </c>
      <c r="C91" s="1" t="s">
        <v>162</v>
      </c>
      <c r="D91" s="42">
        <v>43.2</v>
      </c>
      <c r="E91" s="107" t="s">
        <v>119</v>
      </c>
      <c r="F91" s="35"/>
      <c r="G91" s="35" t="s">
        <v>824</v>
      </c>
    </row>
    <row r="92" spans="1:7">
      <c r="A92" s="1" t="s">
        <v>577</v>
      </c>
      <c r="B92" s="1" t="s">
        <v>753</v>
      </c>
      <c r="C92" s="1" t="s">
        <v>162</v>
      </c>
      <c r="D92" s="42">
        <v>43</v>
      </c>
      <c r="E92" s="107" t="s">
        <v>124</v>
      </c>
      <c r="F92" s="35"/>
      <c r="G92" s="35" t="s">
        <v>824</v>
      </c>
    </row>
    <row r="93" spans="1:7">
      <c r="A93" s="1" t="s">
        <v>412</v>
      </c>
      <c r="B93" s="1" t="s">
        <v>412</v>
      </c>
      <c r="C93" s="1" t="s">
        <v>162</v>
      </c>
      <c r="D93" s="42">
        <v>42.4</v>
      </c>
      <c r="E93" s="107" t="s">
        <v>125</v>
      </c>
      <c r="F93" s="35"/>
      <c r="G93" s="35" t="s">
        <v>823</v>
      </c>
    </row>
    <row r="94" spans="1:7">
      <c r="A94" s="1" t="s">
        <v>477</v>
      </c>
      <c r="B94" s="1" t="s">
        <v>477</v>
      </c>
      <c r="C94" s="1" t="s">
        <v>162</v>
      </c>
      <c r="D94" s="42">
        <v>42</v>
      </c>
      <c r="E94" s="107" t="s">
        <v>124</v>
      </c>
      <c r="F94" s="35"/>
      <c r="G94" s="35" t="s">
        <v>823</v>
      </c>
    </row>
    <row r="95" spans="1:7">
      <c r="A95" s="1" t="s">
        <v>629</v>
      </c>
      <c r="B95" s="1" t="s">
        <v>629</v>
      </c>
      <c r="C95" s="1" t="s">
        <v>162</v>
      </c>
      <c r="D95" s="42">
        <v>42</v>
      </c>
      <c r="E95" s="107" t="s">
        <v>5</v>
      </c>
      <c r="F95" s="35"/>
      <c r="G95" s="35" t="s">
        <v>823</v>
      </c>
    </row>
    <row r="96" spans="1:7">
      <c r="A96" s="1" t="s">
        <v>415</v>
      </c>
      <c r="B96" s="1" t="s">
        <v>666</v>
      </c>
      <c r="C96" s="1" t="s">
        <v>162</v>
      </c>
      <c r="D96" s="42">
        <v>41.3</v>
      </c>
      <c r="E96" s="107" t="s">
        <v>121</v>
      </c>
      <c r="F96" s="35"/>
      <c r="G96" s="35" t="s">
        <v>824</v>
      </c>
    </row>
    <row r="97" spans="1:7">
      <c r="A97" s="1" t="s">
        <v>521</v>
      </c>
      <c r="B97" s="1" t="s">
        <v>723</v>
      </c>
      <c r="C97" s="1" t="s">
        <v>162</v>
      </c>
      <c r="D97" s="42">
        <v>41.3</v>
      </c>
      <c r="E97" s="107" t="s">
        <v>124</v>
      </c>
      <c r="F97" s="35"/>
      <c r="G97" s="35" t="s">
        <v>824</v>
      </c>
    </row>
    <row r="98" spans="1:7">
      <c r="A98" s="1" t="s">
        <v>544</v>
      </c>
      <c r="B98" s="1" t="s">
        <v>735</v>
      </c>
      <c r="C98" s="1" t="s">
        <v>836</v>
      </c>
      <c r="D98" s="42">
        <v>40</v>
      </c>
      <c r="E98" s="107" t="s">
        <v>167</v>
      </c>
      <c r="F98" s="35"/>
      <c r="G98" s="35" t="s">
        <v>822</v>
      </c>
    </row>
    <row r="99" spans="1:7">
      <c r="A99" s="1" t="s">
        <v>460</v>
      </c>
      <c r="B99" s="1" t="s">
        <v>693</v>
      </c>
      <c r="C99" s="1" t="s">
        <v>162</v>
      </c>
      <c r="D99" s="42">
        <v>39.9</v>
      </c>
      <c r="E99" s="107" t="s">
        <v>124</v>
      </c>
      <c r="F99" s="35"/>
      <c r="G99" s="35" t="s">
        <v>822</v>
      </c>
    </row>
    <row r="100" spans="1:7">
      <c r="A100" s="1" t="s">
        <v>642</v>
      </c>
      <c r="B100" s="1" t="s">
        <v>802</v>
      </c>
      <c r="C100" s="1" t="s">
        <v>162</v>
      </c>
      <c r="D100" s="42">
        <v>39.9</v>
      </c>
      <c r="E100" s="107" t="s">
        <v>124</v>
      </c>
      <c r="F100" s="35"/>
      <c r="G100" s="35" t="s">
        <v>822</v>
      </c>
    </row>
    <row r="101" spans="1:7">
      <c r="A101" s="1" t="s">
        <v>480</v>
      </c>
      <c r="B101" s="1" t="s">
        <v>700</v>
      </c>
      <c r="C101" s="1" t="s">
        <v>162</v>
      </c>
      <c r="D101" s="42">
        <v>39</v>
      </c>
      <c r="E101" s="107" t="s">
        <v>19</v>
      </c>
      <c r="F101" s="35"/>
      <c r="G101" s="35" t="s">
        <v>823</v>
      </c>
    </row>
    <row r="102" spans="1:7">
      <c r="A102" s="1" t="s">
        <v>424</v>
      </c>
      <c r="B102" s="1" t="s">
        <v>671</v>
      </c>
      <c r="C102" s="1" t="s">
        <v>162</v>
      </c>
      <c r="D102" s="42">
        <v>38.5</v>
      </c>
      <c r="E102" s="107" t="s">
        <v>125</v>
      </c>
      <c r="F102" s="35"/>
      <c r="G102" s="35" t="s">
        <v>823</v>
      </c>
    </row>
    <row r="103" spans="1:7">
      <c r="A103" s="1" t="s">
        <v>645</v>
      </c>
      <c r="B103" s="1" t="s">
        <v>805</v>
      </c>
      <c r="C103" s="1" t="s">
        <v>162</v>
      </c>
      <c r="D103" s="42">
        <v>38.5</v>
      </c>
      <c r="E103" s="107" t="s">
        <v>119</v>
      </c>
      <c r="F103" s="35"/>
      <c r="G103" s="35" t="s">
        <v>823</v>
      </c>
    </row>
    <row r="104" spans="1:7">
      <c r="A104" s="1" t="s">
        <v>660</v>
      </c>
      <c r="B104" s="1" t="s">
        <v>812</v>
      </c>
      <c r="C104" s="1" t="s">
        <v>162</v>
      </c>
      <c r="D104" s="42">
        <v>37.800000000000004</v>
      </c>
      <c r="E104" s="107" t="s">
        <v>120</v>
      </c>
      <c r="F104" s="35"/>
      <c r="G104" s="35" t="s">
        <v>822</v>
      </c>
    </row>
    <row r="105" spans="1:7">
      <c r="A105" s="1" t="s">
        <v>640</v>
      </c>
      <c r="B105" s="1" t="s">
        <v>640</v>
      </c>
      <c r="C105" s="1" t="s">
        <v>162</v>
      </c>
      <c r="D105" s="42">
        <v>36</v>
      </c>
      <c r="E105" s="107" t="s">
        <v>125</v>
      </c>
      <c r="F105" s="35"/>
      <c r="G105" s="35" t="s">
        <v>824</v>
      </c>
    </row>
    <row r="106" spans="1:7">
      <c r="A106" s="1" t="s">
        <v>430</v>
      </c>
      <c r="B106" s="1" t="s">
        <v>430</v>
      </c>
      <c r="C106" s="1" t="s">
        <v>163</v>
      </c>
      <c r="D106" s="42">
        <v>35.200000000000003</v>
      </c>
      <c r="E106" s="107" t="s">
        <v>120</v>
      </c>
      <c r="F106" s="35"/>
      <c r="G106" s="35" t="s">
        <v>822</v>
      </c>
    </row>
    <row r="107" spans="1:7">
      <c r="A107" s="1" t="s">
        <v>414</v>
      </c>
      <c r="B107" s="1" t="s">
        <v>414</v>
      </c>
      <c r="C107" s="1" t="s">
        <v>162</v>
      </c>
      <c r="D107" s="42">
        <v>34.5</v>
      </c>
      <c r="E107" s="107" t="s">
        <v>120</v>
      </c>
      <c r="F107" s="35"/>
      <c r="G107" s="35" t="s">
        <v>823</v>
      </c>
    </row>
    <row r="108" spans="1:7">
      <c r="A108" s="1" t="s">
        <v>546</v>
      </c>
      <c r="B108" s="1" t="s">
        <v>736</v>
      </c>
      <c r="C108" s="1" t="s">
        <v>162</v>
      </c>
      <c r="D108" s="42">
        <v>34.5</v>
      </c>
      <c r="E108" s="107" t="s">
        <v>120</v>
      </c>
      <c r="F108" s="35"/>
      <c r="G108" s="35" t="s">
        <v>823</v>
      </c>
    </row>
    <row r="109" spans="1:7">
      <c r="A109" s="1" t="s">
        <v>442</v>
      </c>
      <c r="B109" s="1" t="s">
        <v>683</v>
      </c>
      <c r="C109" s="1" t="s">
        <v>162</v>
      </c>
      <c r="D109" s="42">
        <v>33.9</v>
      </c>
      <c r="E109" s="107" t="s">
        <v>124</v>
      </c>
      <c r="F109" s="35"/>
      <c r="G109" s="35" t="s">
        <v>822</v>
      </c>
    </row>
    <row r="110" spans="1:7">
      <c r="A110" s="1" t="s">
        <v>609</v>
      </c>
      <c r="B110" s="1" t="s">
        <v>776</v>
      </c>
      <c r="C110" s="1" t="s">
        <v>162</v>
      </c>
      <c r="D110" s="42">
        <v>33.6</v>
      </c>
      <c r="E110" s="107" t="s">
        <v>120</v>
      </c>
      <c r="F110" s="35"/>
      <c r="G110" s="35" t="s">
        <v>822</v>
      </c>
    </row>
    <row r="111" spans="1:7">
      <c r="A111" s="1" t="s">
        <v>482</v>
      </c>
      <c r="B111" s="1" t="s">
        <v>482</v>
      </c>
      <c r="C111" s="1" t="s">
        <v>162</v>
      </c>
      <c r="D111" s="42">
        <v>33</v>
      </c>
      <c r="E111" s="107" t="s">
        <v>19</v>
      </c>
      <c r="F111" s="35"/>
      <c r="G111" s="35" t="s">
        <v>823</v>
      </c>
    </row>
    <row r="112" spans="1:7">
      <c r="A112" s="1" t="s">
        <v>540</v>
      </c>
      <c r="B112" s="1" t="s">
        <v>733</v>
      </c>
      <c r="C112" s="1" t="s">
        <v>162</v>
      </c>
      <c r="D112" s="42">
        <v>33</v>
      </c>
      <c r="E112" s="107" t="s">
        <v>124</v>
      </c>
      <c r="F112" s="35"/>
      <c r="G112" s="35" t="s">
        <v>822</v>
      </c>
    </row>
    <row r="113" spans="1:7">
      <c r="A113" s="1" t="s">
        <v>632</v>
      </c>
      <c r="B113" s="1" t="s">
        <v>792</v>
      </c>
      <c r="C113" s="1" t="s">
        <v>162</v>
      </c>
      <c r="D113" s="42">
        <v>32.25</v>
      </c>
      <c r="E113" s="107" t="s">
        <v>125</v>
      </c>
      <c r="F113" s="35"/>
      <c r="G113" s="35" t="s">
        <v>823</v>
      </c>
    </row>
    <row r="114" spans="1:7">
      <c r="A114" s="1" t="s">
        <v>449</v>
      </c>
      <c r="B114" s="1" t="s">
        <v>659</v>
      </c>
      <c r="C114" s="1" t="s">
        <v>162</v>
      </c>
      <c r="D114" s="42">
        <v>31</v>
      </c>
      <c r="E114" s="107" t="s">
        <v>121</v>
      </c>
      <c r="F114" s="35"/>
      <c r="G114" s="35" t="s">
        <v>823</v>
      </c>
    </row>
    <row r="115" spans="1:7">
      <c r="A115" s="1" t="s">
        <v>462</v>
      </c>
      <c r="B115" s="1" t="s">
        <v>462</v>
      </c>
      <c r="C115" s="1" t="s">
        <v>162</v>
      </c>
      <c r="D115" s="42">
        <v>30</v>
      </c>
      <c r="E115" s="107" t="s">
        <v>5</v>
      </c>
      <c r="F115" s="35"/>
      <c r="G115" s="35" t="s">
        <v>823</v>
      </c>
    </row>
    <row r="116" spans="1:7">
      <c r="A116" s="1" t="s">
        <v>520</v>
      </c>
      <c r="B116" s="1" t="s">
        <v>722</v>
      </c>
      <c r="C116" s="1" t="s">
        <v>162</v>
      </c>
      <c r="D116" s="42">
        <v>30</v>
      </c>
      <c r="E116" s="107" t="s">
        <v>121</v>
      </c>
      <c r="F116" s="35"/>
      <c r="G116" s="35" t="s">
        <v>823</v>
      </c>
    </row>
    <row r="117" spans="1:7">
      <c r="A117" s="1" t="s">
        <v>573</v>
      </c>
      <c r="B117" s="1" t="s">
        <v>573</v>
      </c>
      <c r="C117" s="1" t="s">
        <v>162</v>
      </c>
      <c r="D117" s="42">
        <v>30</v>
      </c>
      <c r="E117" s="107" t="s">
        <v>119</v>
      </c>
      <c r="F117" s="35"/>
      <c r="G117" s="35" t="s">
        <v>824</v>
      </c>
    </row>
    <row r="118" spans="1:7">
      <c r="A118" s="1" t="s">
        <v>612</v>
      </c>
      <c r="B118" s="1" t="s">
        <v>573</v>
      </c>
      <c r="C118" s="1" t="s">
        <v>162</v>
      </c>
      <c r="D118" s="42">
        <v>30</v>
      </c>
      <c r="E118" s="107" t="s">
        <v>119</v>
      </c>
      <c r="F118" s="35"/>
      <c r="G118" s="35" t="s">
        <v>824</v>
      </c>
    </row>
    <row r="119" spans="1:7">
      <c r="A119" s="1" t="s">
        <v>486</v>
      </c>
      <c r="B119" s="1" t="s">
        <v>702</v>
      </c>
      <c r="C119" s="1" t="s">
        <v>162</v>
      </c>
      <c r="D119" s="42">
        <v>29.96</v>
      </c>
      <c r="E119" s="107" t="s">
        <v>120</v>
      </c>
      <c r="F119" s="35"/>
      <c r="G119" s="35" t="s">
        <v>824</v>
      </c>
    </row>
    <row r="120" spans="1:7">
      <c r="A120" s="1" t="s">
        <v>444</v>
      </c>
      <c r="B120" s="1" t="s">
        <v>444</v>
      </c>
      <c r="C120" s="1" t="s">
        <v>162</v>
      </c>
      <c r="D120" s="42">
        <v>29.9</v>
      </c>
      <c r="E120" s="107" t="s">
        <v>19</v>
      </c>
      <c r="F120" s="35"/>
      <c r="G120" s="35" t="s">
        <v>824</v>
      </c>
    </row>
    <row r="121" spans="1:7">
      <c r="A121" s="1" t="s">
        <v>603</v>
      </c>
      <c r="B121" s="1" t="s">
        <v>772</v>
      </c>
      <c r="C121" s="1" t="s">
        <v>162</v>
      </c>
      <c r="D121" s="42">
        <v>29.7</v>
      </c>
      <c r="E121" s="107" t="s">
        <v>125</v>
      </c>
      <c r="F121" s="35"/>
      <c r="G121" s="35" t="s">
        <v>824</v>
      </c>
    </row>
    <row r="122" spans="1:7">
      <c r="A122" s="1" t="s">
        <v>448</v>
      </c>
      <c r="B122" s="1" t="s">
        <v>688</v>
      </c>
      <c r="C122" s="1" t="s">
        <v>162</v>
      </c>
      <c r="D122" s="42">
        <v>29.5</v>
      </c>
      <c r="E122" s="107" t="s">
        <v>124</v>
      </c>
      <c r="F122" s="35"/>
      <c r="G122" s="35" t="s">
        <v>822</v>
      </c>
    </row>
    <row r="123" spans="1:7">
      <c r="A123" s="1" t="s">
        <v>492</v>
      </c>
      <c r="B123" s="1" t="s">
        <v>707</v>
      </c>
      <c r="C123" s="1" t="s">
        <v>162</v>
      </c>
      <c r="D123" s="42">
        <v>29.5</v>
      </c>
      <c r="E123" s="107" t="s">
        <v>121</v>
      </c>
      <c r="F123" s="35"/>
      <c r="G123" s="35" t="s">
        <v>822</v>
      </c>
    </row>
    <row r="124" spans="1:7">
      <c r="A124" s="1" t="s">
        <v>543</v>
      </c>
      <c r="B124" s="1" t="s">
        <v>734</v>
      </c>
      <c r="C124" s="1" t="s">
        <v>162</v>
      </c>
      <c r="D124" s="42">
        <v>29.5</v>
      </c>
      <c r="E124" s="107" t="s">
        <v>121</v>
      </c>
      <c r="F124" s="35"/>
      <c r="G124" s="35" t="s">
        <v>824</v>
      </c>
    </row>
    <row r="125" spans="1:7">
      <c r="A125" s="1" t="s">
        <v>578</v>
      </c>
      <c r="B125" s="1" t="s">
        <v>754</v>
      </c>
      <c r="C125" s="1" t="s">
        <v>162</v>
      </c>
      <c r="D125" s="42">
        <v>29.5</v>
      </c>
      <c r="E125" s="107" t="s">
        <v>120</v>
      </c>
      <c r="F125" s="35"/>
      <c r="G125" s="35" t="s">
        <v>824</v>
      </c>
    </row>
    <row r="126" spans="1:7">
      <c r="A126" s="1" t="s">
        <v>619</v>
      </c>
      <c r="B126" s="1" t="s">
        <v>781</v>
      </c>
      <c r="C126" s="1" t="s">
        <v>162</v>
      </c>
      <c r="D126" s="42">
        <v>29.5</v>
      </c>
      <c r="E126" s="107" t="s">
        <v>121</v>
      </c>
      <c r="F126" s="35"/>
      <c r="G126" s="35" t="s">
        <v>823</v>
      </c>
    </row>
    <row r="127" spans="1:7">
      <c r="A127" s="1" t="s">
        <v>646</v>
      </c>
      <c r="B127" s="1" t="s">
        <v>646</v>
      </c>
      <c r="C127" s="1" t="s">
        <v>162</v>
      </c>
      <c r="D127" s="42">
        <v>29.5</v>
      </c>
      <c r="E127" s="107" t="s">
        <v>6</v>
      </c>
      <c r="F127" s="35"/>
      <c r="G127" s="35" t="s">
        <v>823</v>
      </c>
    </row>
    <row r="128" spans="1:7">
      <c r="A128" s="1" t="s">
        <v>484</v>
      </c>
      <c r="B128" s="1" t="s">
        <v>484</v>
      </c>
      <c r="C128" s="1" t="s">
        <v>162</v>
      </c>
      <c r="D128" s="42">
        <v>28.9</v>
      </c>
      <c r="E128" s="107" t="s">
        <v>119</v>
      </c>
      <c r="F128" s="35"/>
      <c r="G128" s="35" t="s">
        <v>824</v>
      </c>
    </row>
    <row r="129" spans="1:7">
      <c r="A129" s="1" t="s">
        <v>534</v>
      </c>
      <c r="B129" s="1" t="s">
        <v>534</v>
      </c>
      <c r="C129" s="1" t="s">
        <v>162</v>
      </c>
      <c r="D129" s="42">
        <v>28.9</v>
      </c>
      <c r="E129" s="107" t="s">
        <v>119</v>
      </c>
      <c r="F129" s="35"/>
      <c r="G129" s="35" t="s">
        <v>824</v>
      </c>
    </row>
    <row r="130" spans="1:7">
      <c r="A130" s="1" t="s">
        <v>641</v>
      </c>
      <c r="B130" s="1" t="s">
        <v>801</v>
      </c>
      <c r="C130" s="1" t="s">
        <v>162</v>
      </c>
      <c r="D130" s="42">
        <v>28.8</v>
      </c>
      <c r="E130" s="107" t="s">
        <v>125</v>
      </c>
      <c r="F130" s="35"/>
      <c r="G130" s="35" t="s">
        <v>824</v>
      </c>
    </row>
    <row r="131" spans="1:7">
      <c r="A131" s="1" t="s">
        <v>631</v>
      </c>
      <c r="B131" s="1" t="s">
        <v>631</v>
      </c>
      <c r="C131" s="1" t="s">
        <v>162</v>
      </c>
      <c r="D131" s="42">
        <v>28.5</v>
      </c>
      <c r="E131" s="107" t="s">
        <v>121</v>
      </c>
      <c r="F131" s="35"/>
      <c r="G131" s="35" t="s">
        <v>824</v>
      </c>
    </row>
    <row r="132" spans="1:7">
      <c r="A132" s="1" t="s">
        <v>575</v>
      </c>
      <c r="B132" s="1" t="s">
        <v>575</v>
      </c>
      <c r="C132" s="1" t="s">
        <v>162</v>
      </c>
      <c r="D132" s="42">
        <v>27.6</v>
      </c>
      <c r="E132" s="107" t="s">
        <v>125</v>
      </c>
      <c r="F132" s="35"/>
      <c r="G132" s="35" t="s">
        <v>823</v>
      </c>
    </row>
    <row r="133" spans="1:7">
      <c r="A133" s="1" t="s">
        <v>457</v>
      </c>
      <c r="B133" s="1" t="s">
        <v>691</v>
      </c>
      <c r="C133" s="1" t="s">
        <v>162</v>
      </c>
      <c r="D133" s="42">
        <v>27</v>
      </c>
      <c r="E133" s="107" t="s">
        <v>125</v>
      </c>
      <c r="F133" s="35"/>
      <c r="G133" s="35" t="s">
        <v>822</v>
      </c>
    </row>
    <row r="134" spans="1:7">
      <c r="A134" s="1" t="s">
        <v>487</v>
      </c>
      <c r="B134" s="1" t="s">
        <v>487</v>
      </c>
      <c r="C134" s="1" t="s">
        <v>162</v>
      </c>
      <c r="D134" s="42">
        <v>27</v>
      </c>
      <c r="E134" s="107" t="s">
        <v>5</v>
      </c>
      <c r="F134" s="35"/>
      <c r="G134" s="35" t="s">
        <v>823</v>
      </c>
    </row>
    <row r="135" spans="1:7">
      <c r="A135" s="1" t="s">
        <v>507</v>
      </c>
      <c r="B135" s="1" t="s">
        <v>507</v>
      </c>
      <c r="C135" s="1" t="s">
        <v>162</v>
      </c>
      <c r="D135" s="42">
        <v>27</v>
      </c>
      <c r="E135" s="107" t="s">
        <v>123</v>
      </c>
      <c r="F135" s="35"/>
      <c r="G135" s="35" t="s">
        <v>824</v>
      </c>
    </row>
    <row r="136" spans="1:7">
      <c r="A136" s="1" t="s">
        <v>583</v>
      </c>
      <c r="B136" s="1" t="s">
        <v>757</v>
      </c>
      <c r="C136" s="1" t="s">
        <v>836</v>
      </c>
      <c r="D136" s="42">
        <v>27</v>
      </c>
      <c r="E136" s="107" t="s">
        <v>3</v>
      </c>
      <c r="F136" s="35"/>
      <c r="G136" s="35" t="s">
        <v>822</v>
      </c>
    </row>
    <row r="137" spans="1:7">
      <c r="A137" s="1" t="s">
        <v>596</v>
      </c>
      <c r="B137" s="1" t="s">
        <v>596</v>
      </c>
      <c r="C137" s="1" t="s">
        <v>162</v>
      </c>
      <c r="D137" s="42">
        <v>27</v>
      </c>
      <c r="E137" s="107" t="s">
        <v>5</v>
      </c>
      <c r="F137" s="35"/>
      <c r="G137" s="35" t="s">
        <v>823</v>
      </c>
    </row>
    <row r="138" spans="1:7">
      <c r="A138" s="1" t="s">
        <v>545</v>
      </c>
      <c r="B138" s="1" t="s">
        <v>545</v>
      </c>
      <c r="C138" s="1" t="s">
        <v>162</v>
      </c>
      <c r="D138" s="42">
        <v>26.4</v>
      </c>
      <c r="E138" s="107" t="s">
        <v>124</v>
      </c>
      <c r="F138" s="35"/>
      <c r="G138" s="35" t="s">
        <v>823</v>
      </c>
    </row>
    <row r="139" spans="1:7">
      <c r="A139" s="1" t="s">
        <v>590</v>
      </c>
      <c r="B139" s="1" t="s">
        <v>590</v>
      </c>
      <c r="C139" s="1" t="s">
        <v>162</v>
      </c>
      <c r="D139" s="42">
        <v>26.4</v>
      </c>
      <c r="E139" s="107" t="s">
        <v>124</v>
      </c>
      <c r="F139" s="35"/>
      <c r="G139" s="35" t="s">
        <v>822</v>
      </c>
    </row>
    <row r="140" spans="1:7">
      <c r="A140" s="1" t="s">
        <v>613</v>
      </c>
      <c r="B140" s="1" t="s">
        <v>613</v>
      </c>
      <c r="C140" s="1" t="s">
        <v>162</v>
      </c>
      <c r="D140" s="42">
        <v>26.4</v>
      </c>
      <c r="E140" s="107" t="s">
        <v>5</v>
      </c>
      <c r="F140" s="35"/>
      <c r="G140" s="35" t="s">
        <v>822</v>
      </c>
    </row>
    <row r="141" spans="1:7">
      <c r="A141" s="1" t="s">
        <v>651</v>
      </c>
      <c r="B141" s="1" t="s">
        <v>808</v>
      </c>
      <c r="C141" s="1" t="s">
        <v>836</v>
      </c>
      <c r="D141" s="42">
        <v>26</v>
      </c>
      <c r="E141" s="107" t="s">
        <v>121</v>
      </c>
      <c r="F141" s="35"/>
      <c r="G141" s="35" t="s">
        <v>823</v>
      </c>
    </row>
    <row r="142" spans="1:7">
      <c r="A142" s="1" t="s">
        <v>652</v>
      </c>
      <c r="B142" s="1" t="s">
        <v>809</v>
      </c>
      <c r="C142" s="1" t="s">
        <v>162</v>
      </c>
      <c r="D142" s="42">
        <v>25.9</v>
      </c>
      <c r="E142" s="107" t="s">
        <v>167</v>
      </c>
      <c r="F142" s="35"/>
      <c r="G142" s="35" t="s">
        <v>824</v>
      </c>
    </row>
    <row r="143" spans="1:7">
      <c r="A143" s="1" t="s">
        <v>438</v>
      </c>
      <c r="B143" s="1" t="s">
        <v>679</v>
      </c>
      <c r="C143" s="1" t="s">
        <v>162</v>
      </c>
      <c r="D143" s="42">
        <v>25.8</v>
      </c>
      <c r="E143" s="107" t="s">
        <v>6</v>
      </c>
      <c r="F143" s="35"/>
      <c r="G143" s="35" t="s">
        <v>824</v>
      </c>
    </row>
    <row r="144" spans="1:7">
      <c r="A144" s="1" t="s">
        <v>650</v>
      </c>
      <c r="B144" s="1" t="s">
        <v>650</v>
      </c>
      <c r="C144" s="1" t="s">
        <v>162</v>
      </c>
      <c r="D144" s="42">
        <v>25.65</v>
      </c>
      <c r="E144" s="107" t="s">
        <v>124</v>
      </c>
      <c r="F144" s="35"/>
      <c r="G144" s="35" t="s">
        <v>824</v>
      </c>
    </row>
    <row r="145" spans="1:7">
      <c r="A145" s="1" t="s">
        <v>496</v>
      </c>
      <c r="B145" s="1" t="s">
        <v>709</v>
      </c>
      <c r="C145" s="1" t="s">
        <v>163</v>
      </c>
      <c r="D145" s="42">
        <v>24.64</v>
      </c>
      <c r="E145" s="107" t="s">
        <v>5</v>
      </c>
      <c r="F145" s="35"/>
      <c r="G145" s="35" t="s">
        <v>824</v>
      </c>
    </row>
    <row r="146" spans="1:7">
      <c r="A146" s="1" t="s">
        <v>585</v>
      </c>
      <c r="B146" s="1" t="s">
        <v>585</v>
      </c>
      <c r="C146" s="1" t="s">
        <v>162</v>
      </c>
      <c r="D146" s="42">
        <v>24.2</v>
      </c>
      <c r="E146" s="107" t="s">
        <v>125</v>
      </c>
      <c r="F146" s="35"/>
      <c r="G146" s="35" t="s">
        <v>824</v>
      </c>
    </row>
    <row r="147" spans="1:7">
      <c r="A147" s="1" t="s">
        <v>468</v>
      </c>
      <c r="B147" s="1" t="s">
        <v>468</v>
      </c>
      <c r="C147" s="1" t="s">
        <v>162</v>
      </c>
      <c r="D147" s="42">
        <v>24</v>
      </c>
      <c r="E147" s="107" t="s">
        <v>5</v>
      </c>
      <c r="F147" s="35"/>
      <c r="G147" s="35" t="s">
        <v>824</v>
      </c>
    </row>
    <row r="148" spans="1:7">
      <c r="A148" s="1" t="s">
        <v>419</v>
      </c>
      <c r="B148" s="1" t="s">
        <v>670</v>
      </c>
      <c r="C148" s="1" t="s">
        <v>162</v>
      </c>
      <c r="D148" s="42">
        <v>23.1</v>
      </c>
      <c r="E148" s="107" t="s">
        <v>124</v>
      </c>
      <c r="F148" s="35"/>
      <c r="G148" s="35" t="s">
        <v>824</v>
      </c>
    </row>
    <row r="149" spans="1:7">
      <c r="A149" s="1" t="s">
        <v>564</v>
      </c>
      <c r="B149" s="1" t="s">
        <v>747</v>
      </c>
      <c r="C149" s="1" t="s">
        <v>162</v>
      </c>
      <c r="D149" s="42">
        <v>23.1</v>
      </c>
      <c r="E149" s="107" t="s">
        <v>124</v>
      </c>
      <c r="F149" s="35"/>
      <c r="G149" s="35" t="s">
        <v>824</v>
      </c>
    </row>
    <row r="150" spans="1:7">
      <c r="A150" s="1" t="s">
        <v>421</v>
      </c>
      <c r="B150" s="1" t="s">
        <v>421</v>
      </c>
      <c r="C150" s="1" t="s">
        <v>162</v>
      </c>
      <c r="D150" s="42">
        <v>22.8</v>
      </c>
      <c r="E150" s="107" t="s">
        <v>119</v>
      </c>
      <c r="F150" s="35"/>
      <c r="G150" s="35" t="s">
        <v>824</v>
      </c>
    </row>
    <row r="151" spans="1:7">
      <c r="A151" s="1" t="s">
        <v>598</v>
      </c>
      <c r="B151" s="1" t="s">
        <v>767</v>
      </c>
      <c r="C151" s="1" t="s">
        <v>162</v>
      </c>
      <c r="D151" s="42">
        <v>22.5</v>
      </c>
      <c r="E151" s="107" t="s">
        <v>121</v>
      </c>
      <c r="F151" s="35"/>
      <c r="G151" s="35" t="s">
        <v>824</v>
      </c>
    </row>
    <row r="152" spans="1:7">
      <c r="A152" s="1" t="s">
        <v>479</v>
      </c>
      <c r="B152" s="1" t="s">
        <v>699</v>
      </c>
      <c r="C152" s="1" t="s">
        <v>162</v>
      </c>
      <c r="D152" s="42">
        <v>21.6</v>
      </c>
      <c r="E152" s="107" t="s">
        <v>5</v>
      </c>
      <c r="F152" s="35"/>
      <c r="G152" s="35" t="s">
        <v>824</v>
      </c>
    </row>
    <row r="153" spans="1:7">
      <c r="A153" s="1" t="s">
        <v>568</v>
      </c>
      <c r="B153" s="1" t="s">
        <v>748</v>
      </c>
      <c r="C153" s="1" t="s">
        <v>162</v>
      </c>
      <c r="D153" s="42">
        <v>21.5</v>
      </c>
      <c r="E153" s="107" t="s">
        <v>124</v>
      </c>
      <c r="F153" s="35"/>
      <c r="G153" s="35" t="s">
        <v>822</v>
      </c>
    </row>
    <row r="154" spans="1:7">
      <c r="A154" s="1" t="s">
        <v>443</v>
      </c>
      <c r="B154" s="1" t="s">
        <v>684</v>
      </c>
      <c r="C154" s="1" t="s">
        <v>162</v>
      </c>
      <c r="D154" s="42">
        <v>21</v>
      </c>
      <c r="E154" s="107" t="s">
        <v>124</v>
      </c>
      <c r="F154" s="35"/>
      <c r="G154" s="35" t="s">
        <v>822</v>
      </c>
    </row>
    <row r="155" spans="1:7">
      <c r="A155" s="1" t="s">
        <v>643</v>
      </c>
      <c r="B155" s="1" t="s">
        <v>803</v>
      </c>
      <c r="C155" s="1" t="s">
        <v>162</v>
      </c>
      <c r="D155" s="42">
        <v>21</v>
      </c>
      <c r="E155" s="107" t="s">
        <v>118</v>
      </c>
      <c r="F155" s="35"/>
      <c r="G155" s="35" t="s">
        <v>822</v>
      </c>
    </row>
    <row r="156" spans="1:7">
      <c r="A156" s="1" t="s">
        <v>458</v>
      </c>
      <c r="B156" s="1" t="s">
        <v>458</v>
      </c>
      <c r="C156" s="1" t="s">
        <v>162</v>
      </c>
      <c r="D156" s="42">
        <v>20.7</v>
      </c>
      <c r="E156" s="107" t="s">
        <v>120</v>
      </c>
      <c r="F156" s="35"/>
      <c r="G156" s="35" t="s">
        <v>823</v>
      </c>
    </row>
    <row r="157" spans="1:7">
      <c r="A157" s="1" t="s">
        <v>593</v>
      </c>
      <c r="B157" s="1" t="s">
        <v>763</v>
      </c>
      <c r="C157" s="1" t="s">
        <v>162</v>
      </c>
      <c r="D157" s="42">
        <v>20.7</v>
      </c>
      <c r="E157" s="107" t="s">
        <v>124</v>
      </c>
      <c r="F157" s="35"/>
      <c r="G157" s="35" t="s">
        <v>822</v>
      </c>
    </row>
    <row r="158" spans="1:7">
      <c r="A158" s="1" t="s">
        <v>533</v>
      </c>
      <c r="B158" s="1" t="s">
        <v>533</v>
      </c>
      <c r="C158" s="1" t="s">
        <v>162</v>
      </c>
      <c r="D158" s="42">
        <v>20</v>
      </c>
      <c r="E158" s="107" t="s">
        <v>120</v>
      </c>
      <c r="F158" s="35"/>
      <c r="G158" s="35" t="s">
        <v>823</v>
      </c>
    </row>
    <row r="159" spans="1:7">
      <c r="A159" s="1" t="s">
        <v>495</v>
      </c>
      <c r="B159" s="1" t="s">
        <v>495</v>
      </c>
      <c r="C159" s="1" t="s">
        <v>162</v>
      </c>
      <c r="D159" s="42">
        <v>19.8</v>
      </c>
      <c r="E159" s="107" t="s">
        <v>8</v>
      </c>
      <c r="F159" s="35"/>
      <c r="G159" s="35" t="s">
        <v>824</v>
      </c>
    </row>
    <row r="160" spans="1:7">
      <c r="A160" s="1" t="s">
        <v>489</v>
      </c>
      <c r="B160" s="1" t="s">
        <v>704</v>
      </c>
      <c r="C160" s="1" t="s">
        <v>162</v>
      </c>
      <c r="D160" s="42">
        <v>19.200000000000003</v>
      </c>
      <c r="E160" s="107" t="s">
        <v>119</v>
      </c>
      <c r="F160" s="35"/>
      <c r="G160" s="35" t="s">
        <v>824</v>
      </c>
    </row>
    <row r="161" spans="1:7">
      <c r="A161" s="1" t="s">
        <v>434</v>
      </c>
      <c r="B161" s="1" t="s">
        <v>677</v>
      </c>
      <c r="C161" s="1" t="s">
        <v>162</v>
      </c>
      <c r="D161" s="42">
        <v>19.2</v>
      </c>
      <c r="E161" s="107" t="s">
        <v>124</v>
      </c>
      <c r="F161" s="35"/>
      <c r="G161" s="35" t="s">
        <v>823</v>
      </c>
    </row>
    <row r="162" spans="1:7">
      <c r="A162" s="1" t="s">
        <v>551</v>
      </c>
      <c r="B162" s="1" t="s">
        <v>739</v>
      </c>
      <c r="C162" s="1" t="s">
        <v>162</v>
      </c>
      <c r="D162" s="42">
        <v>19.2</v>
      </c>
      <c r="E162" s="107" t="s">
        <v>124</v>
      </c>
      <c r="F162" s="35"/>
      <c r="G162" s="35" t="s">
        <v>823</v>
      </c>
    </row>
    <row r="163" spans="1:7">
      <c r="A163" s="1" t="s">
        <v>481</v>
      </c>
      <c r="B163" s="1" t="s">
        <v>481</v>
      </c>
      <c r="C163" s="1" t="s">
        <v>162</v>
      </c>
      <c r="D163" s="42">
        <v>18</v>
      </c>
      <c r="E163" s="107" t="s">
        <v>19</v>
      </c>
      <c r="F163" s="35"/>
      <c r="G163" s="35" t="s">
        <v>823</v>
      </c>
    </row>
    <row r="164" spans="1:7">
      <c r="A164" s="1" t="s">
        <v>502</v>
      </c>
      <c r="B164" s="1" t="s">
        <v>713</v>
      </c>
      <c r="C164" s="1" t="s">
        <v>162</v>
      </c>
      <c r="D164" s="42">
        <v>18</v>
      </c>
      <c r="E164" s="107" t="s">
        <v>119</v>
      </c>
      <c r="F164" s="35"/>
      <c r="G164" s="35" t="s">
        <v>823</v>
      </c>
    </row>
    <row r="165" spans="1:7">
      <c r="A165" s="1" t="s">
        <v>614</v>
      </c>
      <c r="B165" s="1" t="s">
        <v>614</v>
      </c>
      <c r="C165" s="1" t="s">
        <v>162</v>
      </c>
      <c r="D165" s="42">
        <v>18</v>
      </c>
      <c r="E165" s="107" t="s">
        <v>125</v>
      </c>
      <c r="F165" s="35"/>
      <c r="G165" s="35" t="s">
        <v>822</v>
      </c>
    </row>
    <row r="166" spans="1:7">
      <c r="A166" s="1" t="s">
        <v>566</v>
      </c>
      <c r="B166" s="1" t="s">
        <v>566</v>
      </c>
      <c r="C166" s="1" t="s">
        <v>162</v>
      </c>
      <c r="D166" s="42">
        <v>17.2</v>
      </c>
      <c r="E166" s="107" t="s">
        <v>167</v>
      </c>
      <c r="F166" s="35"/>
      <c r="G166" s="35" t="s">
        <v>823</v>
      </c>
    </row>
    <row r="167" spans="1:7">
      <c r="A167" s="1" t="s">
        <v>588</v>
      </c>
      <c r="B167" s="1" t="s">
        <v>588</v>
      </c>
      <c r="C167" s="1" t="s">
        <v>162</v>
      </c>
      <c r="D167" s="42">
        <v>16.5</v>
      </c>
      <c r="E167" s="107" t="s">
        <v>125</v>
      </c>
      <c r="F167" s="35"/>
      <c r="G167" s="35" t="s">
        <v>823</v>
      </c>
    </row>
    <row r="168" spans="1:7">
      <c r="A168" s="1" t="s">
        <v>602</v>
      </c>
      <c r="B168" s="1" t="s">
        <v>771</v>
      </c>
      <c r="C168" s="1" t="s">
        <v>836</v>
      </c>
      <c r="D168" s="42">
        <v>16</v>
      </c>
      <c r="E168" s="107" t="s">
        <v>125</v>
      </c>
      <c r="F168" s="35"/>
      <c r="G168" s="35" t="s">
        <v>823</v>
      </c>
    </row>
    <row r="169" spans="1:7">
      <c r="A169" s="1" t="s">
        <v>623</v>
      </c>
      <c r="B169" s="1" t="s">
        <v>785</v>
      </c>
      <c r="C169" s="1" t="s">
        <v>162</v>
      </c>
      <c r="D169" s="42">
        <v>15</v>
      </c>
      <c r="E169" s="107" t="s">
        <v>121</v>
      </c>
      <c r="F169" s="35"/>
      <c r="G169" s="35" t="s">
        <v>822</v>
      </c>
    </row>
    <row r="170" spans="1:7">
      <c r="A170" s="1" t="s">
        <v>644</v>
      </c>
      <c r="B170" s="1" t="s">
        <v>804</v>
      </c>
      <c r="C170" s="1" t="s">
        <v>162</v>
      </c>
      <c r="D170" s="42">
        <v>15</v>
      </c>
      <c r="E170" s="107" t="s">
        <v>123</v>
      </c>
      <c r="F170" s="35"/>
      <c r="G170" s="35" t="s">
        <v>824</v>
      </c>
    </row>
    <row r="171" spans="1:7">
      <c r="A171" s="1" t="s">
        <v>618</v>
      </c>
      <c r="B171" s="1" t="s">
        <v>780</v>
      </c>
      <c r="C171" s="1" t="s">
        <v>836</v>
      </c>
      <c r="D171" s="42">
        <v>14.5</v>
      </c>
      <c r="E171" s="107" t="s">
        <v>8</v>
      </c>
      <c r="F171" s="35"/>
      <c r="G171" s="35" t="s">
        <v>822</v>
      </c>
    </row>
    <row r="172" spans="1:7">
      <c r="A172" s="1" t="s">
        <v>664</v>
      </c>
      <c r="B172" s="1" t="s">
        <v>664</v>
      </c>
      <c r="C172" s="1" t="s">
        <v>162</v>
      </c>
      <c r="D172" s="42">
        <v>14.4</v>
      </c>
      <c r="E172" s="107" t="s">
        <v>123</v>
      </c>
      <c r="F172" s="35"/>
      <c r="G172" s="35" t="s">
        <v>824</v>
      </c>
    </row>
    <row r="173" spans="1:7">
      <c r="A173" s="1" t="s">
        <v>591</v>
      </c>
      <c r="B173" s="1" t="s">
        <v>591</v>
      </c>
      <c r="C173" s="1" t="s">
        <v>162</v>
      </c>
      <c r="D173" s="42">
        <v>13.2</v>
      </c>
      <c r="E173" s="107" t="s">
        <v>3</v>
      </c>
      <c r="F173" s="35"/>
      <c r="G173" s="35" t="s">
        <v>824</v>
      </c>
    </row>
    <row r="174" spans="1:7">
      <c r="A174" s="1" t="s">
        <v>633</v>
      </c>
      <c r="B174" s="1" t="s">
        <v>793</v>
      </c>
      <c r="C174" s="1" t="s">
        <v>162</v>
      </c>
      <c r="D174" s="42">
        <v>13.2</v>
      </c>
      <c r="E174" s="107" t="s">
        <v>124</v>
      </c>
      <c r="F174" s="35"/>
      <c r="G174" s="35" t="s">
        <v>824</v>
      </c>
    </row>
    <row r="175" spans="1:7">
      <c r="A175" s="1" t="s">
        <v>634</v>
      </c>
      <c r="B175" s="1" t="s">
        <v>794</v>
      </c>
      <c r="C175" s="1" t="s">
        <v>162</v>
      </c>
      <c r="D175" s="42">
        <v>13.2</v>
      </c>
      <c r="E175" s="107" t="s">
        <v>124</v>
      </c>
      <c r="F175" s="35"/>
      <c r="G175" s="35" t="s">
        <v>824</v>
      </c>
    </row>
    <row r="176" spans="1:7">
      <c r="A176" s="1" t="s">
        <v>635</v>
      </c>
      <c r="B176" s="1" t="s">
        <v>795</v>
      </c>
      <c r="C176" s="1" t="s">
        <v>162</v>
      </c>
      <c r="D176" s="42">
        <v>13.2</v>
      </c>
      <c r="E176" s="107" t="s">
        <v>124</v>
      </c>
      <c r="F176" s="35"/>
      <c r="G176" s="35" t="s">
        <v>824</v>
      </c>
    </row>
    <row r="177" spans="1:7">
      <c r="A177" s="1" t="s">
        <v>637</v>
      </c>
      <c r="B177" s="1" t="s">
        <v>798</v>
      </c>
      <c r="C177" s="1" t="s">
        <v>162</v>
      </c>
      <c r="D177" s="42">
        <v>13.2</v>
      </c>
      <c r="E177" s="107" t="s">
        <v>124</v>
      </c>
      <c r="F177" s="35"/>
      <c r="G177" s="35" t="s">
        <v>824</v>
      </c>
    </row>
    <row r="178" spans="1:7">
      <c r="A178" s="1" t="s">
        <v>622</v>
      </c>
      <c r="B178" s="1" t="s">
        <v>784</v>
      </c>
      <c r="C178" s="1" t="s">
        <v>162</v>
      </c>
      <c r="D178" s="42">
        <v>12.6</v>
      </c>
      <c r="E178" s="107" t="s">
        <v>7</v>
      </c>
      <c r="F178" s="35"/>
      <c r="G178" s="35" t="s">
        <v>822</v>
      </c>
    </row>
    <row r="179" spans="1:7">
      <c r="A179" s="1" t="s">
        <v>453</v>
      </c>
      <c r="B179" s="1" t="s">
        <v>453</v>
      </c>
      <c r="C179" s="1" t="s">
        <v>162</v>
      </c>
      <c r="D179" s="42">
        <v>12</v>
      </c>
      <c r="E179" s="107" t="s">
        <v>124</v>
      </c>
      <c r="F179" s="35"/>
      <c r="G179" s="35" t="s">
        <v>824</v>
      </c>
    </row>
    <row r="180" spans="1:7">
      <c r="A180" s="1" t="s">
        <v>454</v>
      </c>
      <c r="B180" s="1" t="s">
        <v>454</v>
      </c>
      <c r="C180" s="1" t="s">
        <v>162</v>
      </c>
      <c r="D180" s="42">
        <v>12</v>
      </c>
      <c r="E180" s="107" t="s">
        <v>124</v>
      </c>
      <c r="F180" s="35"/>
      <c r="G180" s="35" t="s">
        <v>824</v>
      </c>
    </row>
    <row r="181" spans="1:7">
      <c r="A181" s="1" t="s">
        <v>455</v>
      </c>
      <c r="B181" s="1" t="s">
        <v>455</v>
      </c>
      <c r="C181" s="1" t="s">
        <v>162</v>
      </c>
      <c r="D181" s="42">
        <v>12</v>
      </c>
      <c r="E181" s="107" t="s">
        <v>124</v>
      </c>
      <c r="F181" s="35"/>
      <c r="G181" s="35" t="s">
        <v>824</v>
      </c>
    </row>
    <row r="182" spans="1:7">
      <c r="A182" s="1" t="s">
        <v>561</v>
      </c>
      <c r="B182" s="1" t="s">
        <v>745</v>
      </c>
      <c r="C182" s="1" t="s">
        <v>162</v>
      </c>
      <c r="D182" s="42">
        <v>11.4</v>
      </c>
      <c r="E182" s="107" t="s">
        <v>167</v>
      </c>
      <c r="F182" s="35"/>
      <c r="G182" s="35" t="s">
        <v>824</v>
      </c>
    </row>
    <row r="183" spans="1:7">
      <c r="A183" s="1" t="s">
        <v>445</v>
      </c>
      <c r="B183" s="1" t="s">
        <v>685</v>
      </c>
      <c r="C183" s="1" t="s">
        <v>162</v>
      </c>
      <c r="D183" s="42">
        <v>10.5</v>
      </c>
      <c r="E183" s="107" t="s">
        <v>165</v>
      </c>
      <c r="F183" s="35"/>
      <c r="G183" s="35" t="s">
        <v>824</v>
      </c>
    </row>
    <row r="184" spans="1:7">
      <c r="A184" s="1" t="s">
        <v>557</v>
      </c>
      <c r="B184" s="1" t="s">
        <v>742</v>
      </c>
      <c r="C184" s="1" t="s">
        <v>162</v>
      </c>
      <c r="D184" s="42">
        <v>10.5</v>
      </c>
      <c r="E184" s="107" t="s">
        <v>125</v>
      </c>
      <c r="F184" s="35"/>
      <c r="G184" s="35" t="s">
        <v>822</v>
      </c>
    </row>
    <row r="185" spans="1:7">
      <c r="A185" s="1" t="s">
        <v>663</v>
      </c>
      <c r="B185" s="1" t="s">
        <v>814</v>
      </c>
      <c r="C185" s="1" t="s">
        <v>836</v>
      </c>
      <c r="D185" s="42">
        <v>10.4</v>
      </c>
      <c r="E185" s="107" t="s">
        <v>121</v>
      </c>
      <c r="F185" s="35"/>
      <c r="G185" s="35" t="s">
        <v>824</v>
      </c>
    </row>
    <row r="186" spans="1:7">
      <c r="A186" s="1" t="s">
        <v>459</v>
      </c>
      <c r="B186" s="1" t="s">
        <v>692</v>
      </c>
      <c r="C186" s="1" t="s">
        <v>163</v>
      </c>
      <c r="D186" s="42">
        <v>10</v>
      </c>
      <c r="E186" s="107" t="s">
        <v>124</v>
      </c>
      <c r="F186" s="35"/>
      <c r="G186" s="35" t="s">
        <v>822</v>
      </c>
    </row>
    <row r="187" spans="1:7">
      <c r="A187" s="1" t="s">
        <v>605</v>
      </c>
      <c r="B187" s="1" t="s">
        <v>605</v>
      </c>
      <c r="C187" s="1" t="s">
        <v>162</v>
      </c>
      <c r="D187" s="42">
        <v>10</v>
      </c>
      <c r="E187" s="107" t="s">
        <v>167</v>
      </c>
      <c r="F187" s="35"/>
      <c r="G187" s="35" t="s">
        <v>822</v>
      </c>
    </row>
    <row r="188" spans="1:7">
      <c r="A188" s="1" t="s">
        <v>636</v>
      </c>
      <c r="B188" s="1" t="s">
        <v>796</v>
      </c>
      <c r="C188" s="1" t="s">
        <v>162</v>
      </c>
      <c r="D188" s="42">
        <v>9.9</v>
      </c>
      <c r="E188" s="107" t="s">
        <v>124</v>
      </c>
      <c r="F188" s="35"/>
      <c r="G188" s="35" t="s">
        <v>824</v>
      </c>
    </row>
    <row r="189" spans="1:7">
      <c r="A189" s="1" t="s">
        <v>636</v>
      </c>
      <c r="B189" s="1" t="s">
        <v>797</v>
      </c>
      <c r="C189" s="1" t="s">
        <v>162</v>
      </c>
      <c r="D189" s="42">
        <v>9.9</v>
      </c>
      <c r="E189" s="107" t="s">
        <v>124</v>
      </c>
      <c r="F189" s="35"/>
      <c r="G189" s="35" t="s">
        <v>824</v>
      </c>
    </row>
    <row r="190" spans="1:7">
      <c r="A190" s="1" t="s">
        <v>529</v>
      </c>
      <c r="B190" s="1" t="s">
        <v>529</v>
      </c>
      <c r="C190" s="1" t="s">
        <v>162</v>
      </c>
      <c r="D190" s="42">
        <v>9</v>
      </c>
      <c r="E190" s="107" t="s">
        <v>121</v>
      </c>
      <c r="F190" s="35"/>
      <c r="G190" s="35" t="s">
        <v>824</v>
      </c>
    </row>
    <row r="191" spans="1:7">
      <c r="A191" s="1" t="s">
        <v>550</v>
      </c>
      <c r="B191" s="1" t="s">
        <v>738</v>
      </c>
      <c r="C191" s="1" t="s">
        <v>163</v>
      </c>
      <c r="D191" s="42">
        <v>9</v>
      </c>
      <c r="E191" s="107" t="s">
        <v>120</v>
      </c>
      <c r="F191" s="35"/>
      <c r="G191" s="35" t="s">
        <v>824</v>
      </c>
    </row>
    <row r="192" spans="1:7">
      <c r="A192" s="1" t="s">
        <v>615</v>
      </c>
      <c r="B192" s="1" t="s">
        <v>778</v>
      </c>
      <c r="C192" s="1" t="s">
        <v>162</v>
      </c>
      <c r="D192" s="42">
        <v>9</v>
      </c>
      <c r="E192" s="107" t="s">
        <v>125</v>
      </c>
      <c r="F192" s="35"/>
      <c r="G192" s="35" t="s">
        <v>822</v>
      </c>
    </row>
    <row r="193" spans="1:7">
      <c r="A193" s="1" t="s">
        <v>616</v>
      </c>
      <c r="B193" s="1" t="s">
        <v>779</v>
      </c>
      <c r="C193" s="1" t="s">
        <v>162</v>
      </c>
      <c r="D193" s="42">
        <v>9</v>
      </c>
      <c r="E193" s="107" t="s">
        <v>125</v>
      </c>
      <c r="F193" s="35"/>
      <c r="G193" s="35" t="s">
        <v>822</v>
      </c>
    </row>
    <row r="194" spans="1:7">
      <c r="A194" s="1" t="s">
        <v>539</v>
      </c>
      <c r="B194" s="1" t="s">
        <v>539</v>
      </c>
      <c r="C194" s="1" t="s">
        <v>162</v>
      </c>
      <c r="D194" s="42">
        <v>8.4</v>
      </c>
      <c r="E194" s="107" t="s">
        <v>124</v>
      </c>
      <c r="F194" s="35"/>
      <c r="G194" s="35" t="s">
        <v>823</v>
      </c>
    </row>
    <row r="195" spans="1:7">
      <c r="A195" s="1" t="s">
        <v>425</v>
      </c>
      <c r="B195" s="1" t="s">
        <v>425</v>
      </c>
      <c r="C195" s="1" t="s">
        <v>162</v>
      </c>
      <c r="D195" s="42">
        <v>8</v>
      </c>
      <c r="E195" s="107" t="s">
        <v>9</v>
      </c>
      <c r="F195" s="35"/>
      <c r="G195" s="35" t="s">
        <v>822</v>
      </c>
    </row>
    <row r="196" spans="1:7">
      <c r="A196" s="1" t="s">
        <v>427</v>
      </c>
      <c r="B196" s="1" t="s">
        <v>427</v>
      </c>
      <c r="C196" s="1" t="s">
        <v>162</v>
      </c>
      <c r="D196" s="42">
        <v>8</v>
      </c>
      <c r="E196" s="107" t="s">
        <v>3</v>
      </c>
      <c r="F196" s="35"/>
      <c r="G196" s="35" t="s">
        <v>822</v>
      </c>
    </row>
    <row r="197" spans="1:7">
      <c r="A197" s="1" t="s">
        <v>467</v>
      </c>
      <c r="B197" s="1" t="s">
        <v>467</v>
      </c>
      <c r="C197" s="1" t="s">
        <v>162</v>
      </c>
      <c r="D197" s="42">
        <v>7.5</v>
      </c>
      <c r="E197" s="107" t="s">
        <v>7</v>
      </c>
      <c r="F197" s="35"/>
      <c r="G197" s="35" t="s">
        <v>824</v>
      </c>
    </row>
    <row r="198" spans="1:7">
      <c r="A198" s="1" t="s">
        <v>441</v>
      </c>
      <c r="B198" s="1" t="s">
        <v>682</v>
      </c>
      <c r="C198" s="1" t="s">
        <v>162</v>
      </c>
      <c r="D198" s="42">
        <v>7</v>
      </c>
      <c r="E198" s="107" t="s">
        <v>124</v>
      </c>
      <c r="F198" s="35"/>
      <c r="G198" s="35" t="s">
        <v>822</v>
      </c>
    </row>
    <row r="199" spans="1:7">
      <c r="A199" s="1" t="s">
        <v>466</v>
      </c>
      <c r="B199" s="1" t="s">
        <v>466</v>
      </c>
      <c r="C199" s="1" t="s">
        <v>836</v>
      </c>
      <c r="D199" s="42">
        <v>7</v>
      </c>
      <c r="E199" s="107" t="s">
        <v>7</v>
      </c>
      <c r="F199" s="35"/>
      <c r="G199" s="35" t="s">
        <v>824</v>
      </c>
    </row>
    <row r="200" spans="1:7">
      <c r="A200" s="1" t="s">
        <v>497</v>
      </c>
      <c r="B200" s="1" t="s">
        <v>710</v>
      </c>
      <c r="C200" s="1" t="s">
        <v>162</v>
      </c>
      <c r="D200" s="42">
        <v>7</v>
      </c>
      <c r="E200" s="107" t="s">
        <v>120</v>
      </c>
      <c r="F200" s="35"/>
      <c r="G200" s="35" t="s">
        <v>824</v>
      </c>
    </row>
    <row r="201" spans="1:7">
      <c r="A201" s="1" t="s">
        <v>428</v>
      </c>
      <c r="B201" s="1" t="s">
        <v>428</v>
      </c>
      <c r="C201" s="1" t="s">
        <v>162</v>
      </c>
      <c r="D201" s="42">
        <v>6.9</v>
      </c>
      <c r="E201" s="107" t="s">
        <v>120</v>
      </c>
      <c r="F201" s="35"/>
      <c r="G201" s="35" t="s">
        <v>824</v>
      </c>
    </row>
    <row r="202" spans="1:7">
      <c r="A202" s="1" t="s">
        <v>452</v>
      </c>
      <c r="B202" s="1" t="s">
        <v>452</v>
      </c>
      <c r="C202" s="1" t="s">
        <v>162</v>
      </c>
      <c r="D202" s="42">
        <v>6.9</v>
      </c>
      <c r="E202" s="107" t="s">
        <v>121</v>
      </c>
      <c r="F202" s="35"/>
      <c r="G202" s="35" t="s">
        <v>824</v>
      </c>
    </row>
    <row r="203" spans="1:7">
      <c r="A203" s="1" t="s">
        <v>420</v>
      </c>
      <c r="B203" s="1" t="s">
        <v>420</v>
      </c>
      <c r="C203" s="1" t="s">
        <v>162</v>
      </c>
      <c r="D203" s="42">
        <v>6.6</v>
      </c>
      <c r="E203" s="107" t="s">
        <v>124</v>
      </c>
      <c r="F203" s="35"/>
      <c r="G203" s="35" t="s">
        <v>822</v>
      </c>
    </row>
    <row r="204" spans="1:7">
      <c r="A204" s="1" t="s">
        <v>563</v>
      </c>
      <c r="B204" s="1" t="s">
        <v>746</v>
      </c>
      <c r="C204" s="1" t="s">
        <v>162</v>
      </c>
      <c r="D204" s="42">
        <v>6.6</v>
      </c>
      <c r="E204" s="107" t="s">
        <v>124</v>
      </c>
      <c r="F204" s="35"/>
      <c r="G204" s="35" t="s">
        <v>824</v>
      </c>
    </row>
    <row r="205" spans="1:7">
      <c r="A205" s="1" t="s">
        <v>579</v>
      </c>
      <c r="B205" s="1" t="s">
        <v>579</v>
      </c>
      <c r="C205" s="1" t="s">
        <v>162</v>
      </c>
      <c r="D205" s="42">
        <v>6.6</v>
      </c>
      <c r="E205" s="107" t="s">
        <v>5</v>
      </c>
      <c r="F205" s="35"/>
      <c r="G205" s="35" t="s">
        <v>822</v>
      </c>
    </row>
    <row r="206" spans="1:7">
      <c r="A206" s="1" t="s">
        <v>570</v>
      </c>
      <c r="B206" s="1" t="s">
        <v>570</v>
      </c>
      <c r="C206" s="1" t="s">
        <v>162</v>
      </c>
      <c r="D206" s="42">
        <v>6.4</v>
      </c>
      <c r="E206" s="107" t="s">
        <v>120</v>
      </c>
      <c r="F206" s="35"/>
      <c r="G206" s="35" t="s">
        <v>824</v>
      </c>
    </row>
    <row r="207" spans="1:7">
      <c r="A207" s="1" t="s">
        <v>199</v>
      </c>
      <c r="B207" s="1" t="s">
        <v>199</v>
      </c>
      <c r="C207" s="1" t="s">
        <v>836</v>
      </c>
      <c r="D207" s="42">
        <v>6.3</v>
      </c>
      <c r="E207" s="107" t="s">
        <v>5</v>
      </c>
      <c r="F207" s="35"/>
      <c r="G207" s="35" t="s">
        <v>824</v>
      </c>
    </row>
    <row r="208" spans="1:7">
      <c r="A208" s="1" t="s">
        <v>509</v>
      </c>
      <c r="B208" s="1" t="s">
        <v>509</v>
      </c>
      <c r="C208" s="1" t="s">
        <v>163</v>
      </c>
      <c r="D208" s="42">
        <v>6.3</v>
      </c>
      <c r="E208" s="107" t="s">
        <v>3</v>
      </c>
      <c r="F208" s="35"/>
      <c r="G208" s="35" t="s">
        <v>824</v>
      </c>
    </row>
    <row r="209" spans="1:7">
      <c r="A209" s="1" t="s">
        <v>417</v>
      </c>
      <c r="B209" s="1" t="s">
        <v>668</v>
      </c>
      <c r="C209" s="1" t="s">
        <v>162</v>
      </c>
      <c r="D209" s="42">
        <v>6</v>
      </c>
      <c r="E209" s="107" t="s">
        <v>124</v>
      </c>
      <c r="F209" s="35"/>
      <c r="G209" s="35" t="s">
        <v>822</v>
      </c>
    </row>
    <row r="210" spans="1:7">
      <c r="A210" s="1" t="s">
        <v>440</v>
      </c>
      <c r="B210" s="1" t="s">
        <v>681</v>
      </c>
      <c r="C210" s="1" t="s">
        <v>162</v>
      </c>
      <c r="D210" s="42">
        <v>6</v>
      </c>
      <c r="E210" s="107" t="s">
        <v>167</v>
      </c>
      <c r="F210" s="35"/>
      <c r="G210" s="35" t="s">
        <v>824</v>
      </c>
    </row>
    <row r="211" spans="1:7">
      <c r="A211" s="1" t="s">
        <v>581</v>
      </c>
      <c r="B211" s="1" t="s">
        <v>755</v>
      </c>
      <c r="C211" s="1" t="s">
        <v>162</v>
      </c>
      <c r="D211" s="42">
        <v>6</v>
      </c>
      <c r="E211" s="107" t="s">
        <v>5</v>
      </c>
      <c r="F211" s="35"/>
      <c r="G211" s="35" t="s">
        <v>822</v>
      </c>
    </row>
    <row r="212" spans="1:7">
      <c r="A212" s="1" t="s">
        <v>532</v>
      </c>
      <c r="B212" s="1" t="s">
        <v>730</v>
      </c>
      <c r="C212" s="1" t="s">
        <v>162</v>
      </c>
      <c r="D212" s="42">
        <v>5.7</v>
      </c>
      <c r="E212" s="107" t="s">
        <v>167</v>
      </c>
      <c r="F212" s="35"/>
      <c r="G212" s="35" t="s">
        <v>824</v>
      </c>
    </row>
    <row r="213" spans="1:7">
      <c r="A213" s="1" t="s">
        <v>662</v>
      </c>
      <c r="B213" s="1" t="s">
        <v>662</v>
      </c>
      <c r="C213" s="1" t="s">
        <v>836</v>
      </c>
      <c r="D213" s="42">
        <v>5.5</v>
      </c>
      <c r="E213" s="107" t="s">
        <v>121</v>
      </c>
      <c r="F213" s="35"/>
      <c r="G213" s="35" t="s">
        <v>824</v>
      </c>
    </row>
    <row r="214" spans="1:7">
      <c r="A214" s="1" t="s">
        <v>597</v>
      </c>
      <c r="B214" s="1" t="s">
        <v>766</v>
      </c>
      <c r="C214" s="1" t="s">
        <v>162</v>
      </c>
      <c r="D214" s="42">
        <v>5</v>
      </c>
      <c r="E214" s="107" t="s">
        <v>167</v>
      </c>
      <c r="F214" s="35"/>
      <c r="G214" s="35" t="s">
        <v>822</v>
      </c>
    </row>
    <row r="215" spans="1:7">
      <c r="A215" s="1" t="s">
        <v>456</v>
      </c>
      <c r="B215" s="1" t="s">
        <v>690</v>
      </c>
      <c r="C215" s="1" t="s">
        <v>163</v>
      </c>
      <c r="D215" s="42">
        <v>4.9000000000000004</v>
      </c>
      <c r="E215" s="107" t="s">
        <v>165</v>
      </c>
      <c r="F215" s="35"/>
      <c r="G215" s="35" t="s">
        <v>822</v>
      </c>
    </row>
    <row r="216" spans="1:7">
      <c r="A216" s="1" t="s">
        <v>653</v>
      </c>
      <c r="B216" s="1" t="s">
        <v>810</v>
      </c>
      <c r="C216" s="1" t="s">
        <v>163</v>
      </c>
      <c r="D216" s="42">
        <v>4.9000000000000004</v>
      </c>
      <c r="E216" s="107" t="s">
        <v>124</v>
      </c>
      <c r="F216" s="35"/>
      <c r="G216" s="35" t="s">
        <v>824</v>
      </c>
    </row>
    <row r="217" spans="1:7">
      <c r="A217" s="1" t="s">
        <v>654</v>
      </c>
      <c r="B217" s="1" t="s">
        <v>810</v>
      </c>
      <c r="C217" s="1" t="s">
        <v>163</v>
      </c>
      <c r="D217" s="42">
        <v>4.4000000000000004</v>
      </c>
      <c r="E217" s="107" t="s">
        <v>124</v>
      </c>
      <c r="F217" s="35"/>
      <c r="G217" s="35" t="s">
        <v>824</v>
      </c>
    </row>
    <row r="218" spans="1:7">
      <c r="A218" s="1" t="s">
        <v>516</v>
      </c>
      <c r="B218" s="1" t="s">
        <v>516</v>
      </c>
      <c r="C218" s="1" t="s">
        <v>162</v>
      </c>
      <c r="D218" s="42">
        <v>4.2</v>
      </c>
      <c r="E218" s="107" t="s">
        <v>120</v>
      </c>
      <c r="F218" s="35"/>
      <c r="G218" s="35" t="s">
        <v>823</v>
      </c>
    </row>
    <row r="219" spans="1:7">
      <c r="A219" s="1" t="s">
        <v>433</v>
      </c>
      <c r="B219" s="1" t="s">
        <v>676</v>
      </c>
      <c r="C219" s="1" t="s">
        <v>163</v>
      </c>
      <c r="D219" s="42">
        <v>4.08</v>
      </c>
      <c r="E219" s="107" t="s">
        <v>166</v>
      </c>
      <c r="F219" s="35"/>
      <c r="G219" s="35" t="s">
        <v>822</v>
      </c>
    </row>
    <row r="220" spans="1:7">
      <c r="A220" s="1" t="s">
        <v>431</v>
      </c>
      <c r="B220" s="1" t="s">
        <v>674</v>
      </c>
      <c r="C220" s="1" t="s">
        <v>163</v>
      </c>
      <c r="D220" s="42">
        <v>4</v>
      </c>
      <c r="E220" s="107" t="s">
        <v>123</v>
      </c>
      <c r="F220" s="35"/>
      <c r="G220" s="35" t="s">
        <v>822</v>
      </c>
    </row>
    <row r="221" spans="1:7">
      <c r="A221" s="1" t="s">
        <v>461</v>
      </c>
      <c r="B221" s="1" t="s">
        <v>694</v>
      </c>
      <c r="C221" s="1" t="s">
        <v>163</v>
      </c>
      <c r="D221" s="42">
        <v>4</v>
      </c>
      <c r="E221" s="107" t="s">
        <v>166</v>
      </c>
      <c r="F221" s="35"/>
      <c r="G221" s="35" t="s">
        <v>822</v>
      </c>
    </row>
    <row r="222" spans="1:7">
      <c r="A222" s="1" t="s">
        <v>621</v>
      </c>
      <c r="B222" s="1" t="s">
        <v>783</v>
      </c>
      <c r="C222" s="1" t="s">
        <v>163</v>
      </c>
      <c r="D222" s="42">
        <v>4</v>
      </c>
      <c r="E222" s="107" t="s">
        <v>166</v>
      </c>
      <c r="F222" s="35"/>
      <c r="G222" s="35" t="s">
        <v>824</v>
      </c>
    </row>
    <row r="223" spans="1:7">
      <c r="A223" s="1" t="s">
        <v>437</v>
      </c>
      <c r="B223" s="1" t="s">
        <v>678</v>
      </c>
      <c r="C223" s="1" t="s">
        <v>162</v>
      </c>
      <c r="D223" s="42">
        <v>3.6</v>
      </c>
      <c r="E223" s="107" t="s">
        <v>5</v>
      </c>
      <c r="F223" s="35"/>
      <c r="G223" s="35" t="s">
        <v>824</v>
      </c>
    </row>
    <row r="224" spans="1:7">
      <c r="A224" s="1" t="s">
        <v>661</v>
      </c>
      <c r="B224" s="1" t="s">
        <v>813</v>
      </c>
      <c r="C224" s="1" t="s">
        <v>162</v>
      </c>
      <c r="D224" s="42">
        <v>3.6</v>
      </c>
      <c r="E224" s="107" t="s">
        <v>121</v>
      </c>
      <c r="F224" s="35"/>
      <c r="G224" s="35" t="s">
        <v>822</v>
      </c>
    </row>
    <row r="225" spans="1:7">
      <c r="A225" s="1" t="s">
        <v>472</v>
      </c>
      <c r="B225" s="1" t="s">
        <v>472</v>
      </c>
      <c r="C225" s="1" t="s">
        <v>162</v>
      </c>
      <c r="D225" s="42">
        <v>3.45</v>
      </c>
      <c r="E225" s="107" t="s">
        <v>3</v>
      </c>
      <c r="F225" s="35"/>
      <c r="G225" s="35" t="s">
        <v>823</v>
      </c>
    </row>
    <row r="226" spans="1:7">
      <c r="A226" s="1" t="s">
        <v>655</v>
      </c>
      <c r="B226" s="1" t="s">
        <v>655</v>
      </c>
      <c r="C226" s="1" t="s">
        <v>162</v>
      </c>
      <c r="D226" s="42">
        <v>3.45</v>
      </c>
      <c r="E226" s="107" t="s">
        <v>124</v>
      </c>
      <c r="F226" s="35"/>
      <c r="G226" s="35" t="s">
        <v>824</v>
      </c>
    </row>
    <row r="227" spans="1:7">
      <c r="A227" s="1" t="s">
        <v>656</v>
      </c>
      <c r="B227" s="1" t="s">
        <v>656</v>
      </c>
      <c r="C227" s="1" t="s">
        <v>162</v>
      </c>
      <c r="D227" s="42">
        <v>3.3</v>
      </c>
      <c r="E227" s="107" t="s">
        <v>124</v>
      </c>
      <c r="F227" s="35"/>
      <c r="G227" s="35" t="s">
        <v>822</v>
      </c>
    </row>
    <row r="228" spans="1:7">
      <c r="A228" s="1" t="s">
        <v>657</v>
      </c>
      <c r="B228" s="1" t="s">
        <v>657</v>
      </c>
      <c r="C228" s="1" t="s">
        <v>162</v>
      </c>
      <c r="D228" s="42">
        <v>3.3</v>
      </c>
      <c r="E228" s="107" t="s">
        <v>124</v>
      </c>
      <c r="F228" s="35"/>
      <c r="G228" s="35" t="s">
        <v>822</v>
      </c>
    </row>
    <row r="229" spans="1:7">
      <c r="A229" s="1" t="s">
        <v>422</v>
      </c>
      <c r="B229" s="1" t="s">
        <v>422</v>
      </c>
      <c r="C229" s="1" t="s">
        <v>162</v>
      </c>
      <c r="D229" s="42">
        <v>3.1</v>
      </c>
      <c r="E229" s="107" t="s">
        <v>124</v>
      </c>
      <c r="F229" s="35"/>
      <c r="G229" s="35" t="s">
        <v>824</v>
      </c>
    </row>
    <row r="230" spans="1:7">
      <c r="A230" s="1" t="s">
        <v>483</v>
      </c>
      <c r="B230" s="1" t="s">
        <v>483</v>
      </c>
      <c r="C230" s="1" t="s">
        <v>162</v>
      </c>
      <c r="D230" s="42">
        <v>3.1</v>
      </c>
      <c r="E230" s="107" t="s">
        <v>124</v>
      </c>
      <c r="F230" s="35"/>
      <c r="G230" s="35" t="s">
        <v>824</v>
      </c>
    </row>
    <row r="231" spans="1:7">
      <c r="A231" s="1" t="s">
        <v>416</v>
      </c>
      <c r="B231" s="1" t="s">
        <v>667</v>
      </c>
      <c r="C231" s="1" t="s">
        <v>163</v>
      </c>
      <c r="D231" s="42">
        <v>3.06</v>
      </c>
      <c r="E231" s="107" t="s">
        <v>5</v>
      </c>
      <c r="F231" s="35"/>
      <c r="G231" s="35" t="s">
        <v>824</v>
      </c>
    </row>
    <row r="232" spans="1:7">
      <c r="A232" s="1" t="s">
        <v>518</v>
      </c>
      <c r="B232" s="1" t="s">
        <v>720</v>
      </c>
      <c r="C232" s="1" t="s">
        <v>162</v>
      </c>
      <c r="D232" s="42">
        <v>3</v>
      </c>
      <c r="E232" s="107" t="s">
        <v>120</v>
      </c>
      <c r="F232" s="35"/>
      <c r="G232" s="35" t="s">
        <v>823</v>
      </c>
    </row>
    <row r="233" spans="1:7">
      <c r="A233" s="1" t="s">
        <v>519</v>
      </c>
      <c r="B233" s="1" t="s">
        <v>721</v>
      </c>
      <c r="C233" s="1" t="s">
        <v>162</v>
      </c>
      <c r="D233" s="42">
        <v>3</v>
      </c>
      <c r="E233" s="107" t="s">
        <v>121</v>
      </c>
      <c r="F233" s="35"/>
      <c r="G233" s="35" t="s">
        <v>824</v>
      </c>
    </row>
    <row r="234" spans="1:7">
      <c r="A234" s="1" t="s">
        <v>582</v>
      </c>
      <c r="B234" s="1" t="s">
        <v>756</v>
      </c>
      <c r="C234" s="1" t="s">
        <v>162</v>
      </c>
      <c r="D234" s="42">
        <v>3</v>
      </c>
      <c r="E234" s="107" t="s">
        <v>5</v>
      </c>
      <c r="F234" s="35"/>
      <c r="G234" s="35" t="s">
        <v>823</v>
      </c>
    </row>
    <row r="235" spans="1:7">
      <c r="A235" s="1" t="s">
        <v>595</v>
      </c>
      <c r="B235" s="1" t="s">
        <v>765</v>
      </c>
      <c r="C235" s="1" t="s">
        <v>162</v>
      </c>
      <c r="D235" s="42">
        <v>3</v>
      </c>
      <c r="E235" s="107" t="s">
        <v>120</v>
      </c>
      <c r="F235" s="35"/>
      <c r="G235" s="35" t="s">
        <v>822</v>
      </c>
    </row>
    <row r="236" spans="1:7">
      <c r="A236" s="1" t="s">
        <v>630</v>
      </c>
      <c r="B236" s="1" t="s">
        <v>791</v>
      </c>
      <c r="C236" s="1" t="s">
        <v>162</v>
      </c>
      <c r="D236" s="42">
        <v>3</v>
      </c>
      <c r="E236" s="107" t="s">
        <v>5</v>
      </c>
      <c r="F236" s="35"/>
      <c r="G236" s="35" t="s">
        <v>822</v>
      </c>
    </row>
    <row r="237" spans="1:7">
      <c r="A237" s="1" t="s">
        <v>601</v>
      </c>
      <c r="B237" s="1" t="s">
        <v>770</v>
      </c>
      <c r="C237" s="1" t="s">
        <v>836</v>
      </c>
      <c r="D237" s="42">
        <v>2.7</v>
      </c>
      <c r="E237" s="107" t="s">
        <v>9</v>
      </c>
      <c r="F237" s="35"/>
      <c r="G237" s="35" t="s">
        <v>822</v>
      </c>
    </row>
    <row r="238" spans="1:7">
      <c r="A238" s="1" t="s">
        <v>611</v>
      </c>
      <c r="B238" s="1" t="s">
        <v>777</v>
      </c>
      <c r="C238" s="1" t="s">
        <v>163</v>
      </c>
      <c r="D238" s="42">
        <v>2.5299999999999998</v>
      </c>
      <c r="E238" s="107" t="s">
        <v>3</v>
      </c>
      <c r="F238" s="35"/>
      <c r="G238" s="35" t="s">
        <v>824</v>
      </c>
    </row>
    <row r="239" spans="1:7">
      <c r="A239" s="1" t="s">
        <v>451</v>
      </c>
      <c r="B239" s="1" t="s">
        <v>689</v>
      </c>
      <c r="C239" s="1" t="s">
        <v>162</v>
      </c>
      <c r="D239" s="42">
        <v>2.5</v>
      </c>
      <c r="E239" s="107" t="s">
        <v>120</v>
      </c>
      <c r="F239" s="35"/>
      <c r="G239" s="35" t="s">
        <v>824</v>
      </c>
    </row>
    <row r="240" spans="1:7">
      <c r="A240" s="1" t="s">
        <v>572</v>
      </c>
      <c r="B240" s="1" t="s">
        <v>750</v>
      </c>
      <c r="C240" s="1" t="s">
        <v>162</v>
      </c>
      <c r="D240" s="42">
        <v>2.5</v>
      </c>
      <c r="E240" s="107" t="s">
        <v>120</v>
      </c>
      <c r="F240" s="35"/>
      <c r="G240" s="35" t="s">
        <v>822</v>
      </c>
    </row>
    <row r="241" spans="1:7">
      <c r="A241" s="1" t="s">
        <v>624</v>
      </c>
      <c r="B241" s="1" t="s">
        <v>786</v>
      </c>
      <c r="C241" s="1" t="s">
        <v>162</v>
      </c>
      <c r="D241" s="42">
        <v>2.5</v>
      </c>
      <c r="E241" s="107" t="s">
        <v>120</v>
      </c>
      <c r="F241" s="35"/>
      <c r="G241" s="35" t="s">
        <v>824</v>
      </c>
    </row>
    <row r="242" spans="1:7">
      <c r="A242" s="1" t="s">
        <v>517</v>
      </c>
      <c r="B242" s="1" t="s">
        <v>517</v>
      </c>
      <c r="C242" s="1" t="s">
        <v>162</v>
      </c>
      <c r="D242" s="42">
        <v>2.35</v>
      </c>
      <c r="E242" s="107" t="s">
        <v>167</v>
      </c>
      <c r="F242" s="35"/>
      <c r="G242" s="35" t="s">
        <v>824</v>
      </c>
    </row>
    <row r="243" spans="1:7">
      <c r="A243" s="1" t="s">
        <v>447</v>
      </c>
      <c r="B243" s="1" t="s">
        <v>687</v>
      </c>
      <c r="C243" s="1" t="s">
        <v>163</v>
      </c>
      <c r="D243" s="42">
        <v>2.31</v>
      </c>
      <c r="E243" s="107" t="s">
        <v>8</v>
      </c>
      <c r="F243" s="35"/>
      <c r="G243" s="35" t="s">
        <v>822</v>
      </c>
    </row>
    <row r="244" spans="1:7">
      <c r="A244" s="1" t="s">
        <v>628</v>
      </c>
      <c r="B244" s="1" t="s">
        <v>790</v>
      </c>
      <c r="C244" s="1" t="s">
        <v>162</v>
      </c>
      <c r="D244" s="42">
        <v>2.2999999999999998</v>
      </c>
      <c r="E244" s="107" t="s">
        <v>5</v>
      </c>
      <c r="F244" s="35"/>
      <c r="G244" s="35" t="s">
        <v>822</v>
      </c>
    </row>
    <row r="245" spans="1:7">
      <c r="A245" s="1" t="s">
        <v>626</v>
      </c>
      <c r="B245" s="1" t="s">
        <v>788</v>
      </c>
      <c r="C245" s="1" t="s">
        <v>836</v>
      </c>
      <c r="D245" s="42">
        <v>2.1</v>
      </c>
      <c r="E245" s="107" t="s">
        <v>5</v>
      </c>
      <c r="F245" s="35"/>
      <c r="G245" s="35" t="s">
        <v>824</v>
      </c>
    </row>
    <row r="246" spans="1:7">
      <c r="A246" s="1" t="s">
        <v>432</v>
      </c>
      <c r="B246" s="1" t="s">
        <v>675</v>
      </c>
      <c r="C246" s="1" t="s">
        <v>162</v>
      </c>
      <c r="D246" s="42">
        <v>2</v>
      </c>
      <c r="E246" s="107" t="s">
        <v>5</v>
      </c>
      <c r="F246" s="35"/>
      <c r="G246" s="35" t="s">
        <v>822</v>
      </c>
    </row>
    <row r="247" spans="1:7">
      <c r="A247" s="1" t="s">
        <v>436</v>
      </c>
      <c r="B247" s="1" t="s">
        <v>436</v>
      </c>
      <c r="C247" s="1" t="s">
        <v>162</v>
      </c>
      <c r="D247" s="42">
        <v>2</v>
      </c>
      <c r="E247" s="107" t="s">
        <v>124</v>
      </c>
      <c r="F247" s="35"/>
      <c r="G247" s="35" t="s">
        <v>824</v>
      </c>
    </row>
    <row r="248" spans="1:7">
      <c r="A248" s="1" t="s">
        <v>446</v>
      </c>
      <c r="B248" s="1" t="s">
        <v>686</v>
      </c>
      <c r="C248" s="1" t="s">
        <v>162</v>
      </c>
      <c r="D248" s="42">
        <v>2</v>
      </c>
      <c r="E248" s="107" t="s">
        <v>3</v>
      </c>
      <c r="F248" s="35"/>
      <c r="G248" s="35" t="s">
        <v>822</v>
      </c>
    </row>
    <row r="249" spans="1:7">
      <c r="A249" s="1" t="s">
        <v>476</v>
      </c>
      <c r="B249" s="1" t="s">
        <v>698</v>
      </c>
      <c r="C249" s="1" t="s">
        <v>162</v>
      </c>
      <c r="D249" s="42">
        <v>2</v>
      </c>
      <c r="E249" s="107" t="s">
        <v>125</v>
      </c>
      <c r="F249" s="35"/>
      <c r="G249" s="35" t="s">
        <v>823</v>
      </c>
    </row>
    <row r="250" spans="1:7">
      <c r="A250" s="1" t="s">
        <v>625</v>
      </c>
      <c r="B250" s="1" t="s">
        <v>787</v>
      </c>
      <c r="C250" s="1" t="s">
        <v>162</v>
      </c>
      <c r="D250" s="42">
        <v>2</v>
      </c>
      <c r="E250" s="107" t="s">
        <v>124</v>
      </c>
      <c r="F250" s="35"/>
      <c r="G250" s="35" t="s">
        <v>822</v>
      </c>
    </row>
    <row r="251" spans="1:7">
      <c r="A251" s="1" t="s">
        <v>649</v>
      </c>
      <c r="B251" s="1" t="s">
        <v>649</v>
      </c>
      <c r="C251" s="1" t="s">
        <v>162</v>
      </c>
      <c r="D251" s="42">
        <v>2</v>
      </c>
      <c r="E251" s="107" t="s">
        <v>124</v>
      </c>
      <c r="F251" s="35"/>
      <c r="G251" s="35" t="s">
        <v>824</v>
      </c>
    </row>
    <row r="252" spans="1:7">
      <c r="A252" s="1" t="s">
        <v>504</v>
      </c>
      <c r="B252" s="1" t="s">
        <v>714</v>
      </c>
      <c r="C252" s="1" t="s">
        <v>163</v>
      </c>
      <c r="D252" s="42">
        <v>1.8</v>
      </c>
      <c r="E252" s="107" t="s">
        <v>7</v>
      </c>
      <c r="F252" s="35"/>
      <c r="G252" s="35" t="s">
        <v>822</v>
      </c>
    </row>
    <row r="253" spans="1:7">
      <c r="A253" s="1" t="s">
        <v>505</v>
      </c>
      <c r="B253" s="1" t="s">
        <v>715</v>
      </c>
      <c r="C253" s="1" t="s">
        <v>163</v>
      </c>
      <c r="D253" s="42">
        <v>1.8</v>
      </c>
      <c r="E253" s="107" t="s">
        <v>7</v>
      </c>
      <c r="F253" s="35"/>
      <c r="G253" s="35" t="s">
        <v>822</v>
      </c>
    </row>
    <row r="254" spans="1:7">
      <c r="A254" s="1" t="s">
        <v>508</v>
      </c>
      <c r="B254" s="1" t="s">
        <v>508</v>
      </c>
      <c r="C254" s="1" t="s">
        <v>163</v>
      </c>
      <c r="D254" s="42">
        <v>1.8</v>
      </c>
      <c r="E254" s="107" t="s">
        <v>121</v>
      </c>
      <c r="F254" s="35"/>
      <c r="G254" s="35" t="s">
        <v>824</v>
      </c>
    </row>
    <row r="255" spans="1:7">
      <c r="A255" s="1" t="s">
        <v>599</v>
      </c>
      <c r="B255" s="1" t="s">
        <v>768</v>
      </c>
      <c r="C255" s="1" t="s">
        <v>163</v>
      </c>
      <c r="D255" s="42">
        <v>1.8</v>
      </c>
      <c r="E255" s="107" t="s">
        <v>121</v>
      </c>
      <c r="F255" s="35"/>
      <c r="G255" s="35" t="s">
        <v>824</v>
      </c>
    </row>
    <row r="256" spans="1:7">
      <c r="A256" s="1" t="s">
        <v>513</v>
      </c>
      <c r="B256" s="1" t="s">
        <v>513</v>
      </c>
      <c r="C256" s="1" t="s">
        <v>162</v>
      </c>
      <c r="D256" s="42">
        <v>1.6</v>
      </c>
      <c r="E256" s="107" t="s">
        <v>124</v>
      </c>
      <c r="F256" s="35"/>
      <c r="G256" s="35" t="s">
        <v>824</v>
      </c>
    </row>
    <row r="257" spans="1:9">
      <c r="A257" s="1" t="s">
        <v>435</v>
      </c>
      <c r="B257" s="1" t="s">
        <v>435</v>
      </c>
      <c r="C257" s="1" t="s">
        <v>836</v>
      </c>
      <c r="D257" s="42">
        <v>1.5</v>
      </c>
      <c r="E257" s="107" t="s">
        <v>19</v>
      </c>
      <c r="F257" s="35"/>
      <c r="G257" s="35" t="s">
        <v>822</v>
      </c>
    </row>
    <row r="258" spans="1:9">
      <c r="A258" s="1" t="s">
        <v>549</v>
      </c>
      <c r="B258" s="1" t="s">
        <v>549</v>
      </c>
      <c r="C258" s="1" t="s">
        <v>163</v>
      </c>
      <c r="D258" s="42">
        <v>1.5</v>
      </c>
      <c r="E258" s="107" t="s">
        <v>3</v>
      </c>
      <c r="F258" s="35"/>
      <c r="G258" s="35" t="s">
        <v>824</v>
      </c>
    </row>
    <row r="259" spans="1:9">
      <c r="A259" s="1" t="s">
        <v>647</v>
      </c>
      <c r="B259" s="1" t="s">
        <v>806</v>
      </c>
      <c r="C259" s="1" t="s">
        <v>162</v>
      </c>
      <c r="D259" s="42">
        <v>1.5</v>
      </c>
      <c r="E259" s="107" t="s">
        <v>120</v>
      </c>
      <c r="F259" s="35"/>
      <c r="G259" s="35" t="s">
        <v>822</v>
      </c>
    </row>
    <row r="260" spans="1:9">
      <c r="A260" s="1" t="s">
        <v>506</v>
      </c>
      <c r="B260" s="1" t="s">
        <v>506</v>
      </c>
      <c r="C260" s="1" t="s">
        <v>836</v>
      </c>
      <c r="D260" s="42">
        <v>1.3</v>
      </c>
      <c r="E260" s="107" t="s">
        <v>123</v>
      </c>
      <c r="F260" s="35"/>
      <c r="G260" s="35" t="s">
        <v>824</v>
      </c>
    </row>
    <row r="261" spans="1:9">
      <c r="A261" s="1" t="s">
        <v>469</v>
      </c>
      <c r="B261" s="1" t="s">
        <v>469</v>
      </c>
      <c r="C261" s="1" t="s">
        <v>836</v>
      </c>
      <c r="D261" s="42">
        <v>1.25</v>
      </c>
      <c r="E261" s="107" t="s">
        <v>3</v>
      </c>
      <c r="F261" s="35"/>
      <c r="G261" s="35" t="s">
        <v>824</v>
      </c>
    </row>
    <row r="262" spans="1:9">
      <c r="A262" s="1" t="s">
        <v>490</v>
      </c>
      <c r="B262" s="1" t="s">
        <v>705</v>
      </c>
      <c r="C262" s="1" t="s">
        <v>836</v>
      </c>
      <c r="D262" s="42">
        <v>1.2</v>
      </c>
      <c r="E262" s="107" t="s">
        <v>124</v>
      </c>
      <c r="F262" s="35"/>
      <c r="G262" s="35" t="s">
        <v>824</v>
      </c>
    </row>
    <row r="263" spans="1:9">
      <c r="A263" s="1" t="s">
        <v>473</v>
      </c>
      <c r="B263" s="1" t="s">
        <v>697</v>
      </c>
      <c r="C263" s="1" t="s">
        <v>836</v>
      </c>
      <c r="D263" s="42">
        <v>1.1000000000000001</v>
      </c>
      <c r="E263" s="107" t="s">
        <v>167</v>
      </c>
      <c r="F263" s="35"/>
      <c r="G263" s="35" t="s">
        <v>822</v>
      </c>
    </row>
    <row r="264" spans="1:9">
      <c r="A264" s="1" t="s">
        <v>604</v>
      </c>
      <c r="B264" s="1" t="s">
        <v>773</v>
      </c>
      <c r="C264" s="1" t="s">
        <v>836</v>
      </c>
      <c r="D264" s="42">
        <v>1.1000000000000001</v>
      </c>
      <c r="E264" s="107" t="s">
        <v>165</v>
      </c>
      <c r="F264" s="35"/>
      <c r="G264" s="35" t="s">
        <v>824</v>
      </c>
    </row>
    <row r="265" spans="1:9">
      <c r="A265" s="1" t="s">
        <v>501</v>
      </c>
      <c r="B265" s="1" t="s">
        <v>712</v>
      </c>
      <c r="C265" s="1" t="s">
        <v>162</v>
      </c>
      <c r="D265" s="42">
        <v>1</v>
      </c>
      <c r="E265" s="107" t="s">
        <v>121</v>
      </c>
      <c r="F265" s="35"/>
      <c r="G265" s="35" t="s">
        <v>824</v>
      </c>
    </row>
    <row r="266" spans="1:9">
      <c r="A266" s="1" t="s">
        <v>541</v>
      </c>
      <c r="B266" s="1" t="s">
        <v>541</v>
      </c>
      <c r="C266" s="1" t="s">
        <v>836</v>
      </c>
      <c r="D266" s="42">
        <v>1</v>
      </c>
      <c r="E266" s="107" t="s">
        <v>120</v>
      </c>
      <c r="F266" s="35"/>
      <c r="G266" s="35" t="s">
        <v>824</v>
      </c>
    </row>
    <row r="267" spans="1:9">
      <c r="A267" s="1" t="s">
        <v>587</v>
      </c>
      <c r="B267" s="1" t="s">
        <v>760</v>
      </c>
      <c r="D267" s="42">
        <v>1</v>
      </c>
      <c r="E267" s="107" t="s">
        <v>119</v>
      </c>
      <c r="F267" s="35"/>
      <c r="G267" s="35" t="s">
        <v>824</v>
      </c>
    </row>
    <row r="268" spans="1:9">
      <c r="A268" s="1" t="s">
        <v>592</v>
      </c>
      <c r="B268" s="1" t="s">
        <v>762</v>
      </c>
      <c r="C268" s="1" t="s">
        <v>163</v>
      </c>
      <c r="D268" s="42">
        <v>1</v>
      </c>
      <c r="E268" s="107" t="s">
        <v>7</v>
      </c>
      <c r="F268" s="35"/>
      <c r="G268" s="35" t="s">
        <v>824</v>
      </c>
      <c r="I268" s="1">
        <f>COUNTIF(P_el[Basis],"=[1]")</f>
        <v>88</v>
      </c>
    </row>
    <row r="269" spans="1:9">
      <c r="A269" s="1" t="s">
        <v>617</v>
      </c>
      <c r="B269" s="1" t="s">
        <v>617</v>
      </c>
      <c r="C269" s="1" t="s">
        <v>836</v>
      </c>
      <c r="D269" s="42">
        <v>0.9</v>
      </c>
      <c r="E269" s="107" t="s">
        <v>125</v>
      </c>
      <c r="F269" s="35"/>
      <c r="G269" s="35" t="s">
        <v>822</v>
      </c>
      <c r="I269" s="1">
        <f>COUNTIF(P_el[Basis],"=[2]")</f>
        <v>50</v>
      </c>
    </row>
    <row r="270" spans="1:9">
      <c r="A270" s="1" t="s">
        <v>610</v>
      </c>
      <c r="B270" s="1" t="s">
        <v>610</v>
      </c>
      <c r="C270" s="1" t="s">
        <v>836</v>
      </c>
      <c r="D270" s="42">
        <v>0</v>
      </c>
      <c r="E270" s="107" t="s">
        <v>119</v>
      </c>
      <c r="F270" s="35"/>
      <c r="G270" s="35" t="s">
        <v>824</v>
      </c>
      <c r="I270" s="1">
        <f>COUNTIF(P_el[Basis],"=[3]")</f>
        <v>117</v>
      </c>
    </row>
    <row r="272" spans="1:9">
      <c r="D272" s="101"/>
      <c r="E272" s="101" t="s">
        <v>109</v>
      </c>
      <c r="F272" s="101" t="s">
        <v>58</v>
      </c>
      <c r="G272" s="101" t="s">
        <v>816</v>
      </c>
    </row>
    <row r="273" spans="3:7">
      <c r="C273" s="39"/>
      <c r="D273" s="101" t="s">
        <v>2</v>
      </c>
      <c r="E273" s="35">
        <f>COUNT(D16:D270)</f>
        <v>255</v>
      </c>
      <c r="F273" s="7">
        <f>SUM(D16:D270)</f>
        <v>14838.929999999993</v>
      </c>
      <c r="G273" s="35"/>
    </row>
    <row r="274" spans="3:7">
      <c r="C274" s="76"/>
      <c r="D274" s="101" t="s">
        <v>392</v>
      </c>
      <c r="E274" s="35">
        <f>COUNT(D16:D187)</f>
        <v>172</v>
      </c>
      <c r="F274" s="7">
        <f>SUM(D16:D187)</f>
        <v>14506.049999999996</v>
      </c>
      <c r="G274" s="119">
        <f>F274/$F$273</f>
        <v>0.97756711568826071</v>
      </c>
    </row>
    <row r="275" spans="3:7">
      <c r="D275" s="101" t="s">
        <v>818</v>
      </c>
      <c r="E275" s="35">
        <f>COUNT(D16:D158)</f>
        <v>143</v>
      </c>
      <c r="F275" s="7">
        <f>SUM(D16:D158)</f>
        <v>14088.649999999991</v>
      </c>
      <c r="G275" s="119">
        <f>F275/$F$273</f>
        <v>0.94943840290371317</v>
      </c>
    </row>
    <row r="276" spans="3:7">
      <c r="D276" s="101" t="s">
        <v>817</v>
      </c>
      <c r="E276" s="35">
        <f>COUNT(D16:D78)</f>
        <v>63</v>
      </c>
      <c r="F276" s="7">
        <f>SUM(D16:D78)</f>
        <v>11477.649999999994</v>
      </c>
      <c r="G276" s="119">
        <f>F276/$F$273</f>
        <v>0.77348231981686011</v>
      </c>
    </row>
    <row r="277" spans="3:7">
      <c r="D277" s="101" t="s">
        <v>391</v>
      </c>
      <c r="E277" s="35">
        <f>COUNT(D16:D46)</f>
        <v>31</v>
      </c>
      <c r="F277" s="7">
        <f>SUM(D16:D46)</f>
        <v>9130.85</v>
      </c>
      <c r="G277" s="119">
        <f>F277/$F$273</f>
        <v>0.6153307549803122</v>
      </c>
    </row>
    <row r="278" spans="3:7">
      <c r="D278" s="101" t="s">
        <v>832</v>
      </c>
      <c r="E278" s="35">
        <f>COUNT(D16:D28)</f>
        <v>13</v>
      </c>
      <c r="F278" s="7">
        <f>SUM(D16:D28)</f>
        <v>6758.6</v>
      </c>
      <c r="G278" s="119">
        <f>F278/$F$273</f>
        <v>0.4554641069133693</v>
      </c>
    </row>
  </sheetData>
  <sortState xmlns:xlrd2="http://schemas.microsoft.com/office/spreadsheetml/2017/richdata2" ref="A16:G270">
    <sortCondition descending="1" ref="D16:D270"/>
  </sortState>
  <mergeCells count="7">
    <mergeCell ref="I36:N36"/>
    <mergeCell ref="V2:Y4"/>
    <mergeCell ref="AA3:AD13"/>
    <mergeCell ref="AA15:AD25"/>
    <mergeCell ref="A14:D14"/>
    <mergeCell ref="E14:G14"/>
    <mergeCell ref="I14:N14"/>
  </mergeCells>
  <conditionalFormatting sqref="P1:Q1">
    <cfRule type="duplicateValues" dxfId="4" priority="1"/>
  </conditionalFormatting>
  <hyperlinks>
    <hyperlink ref="D1" r:id="rId1" display="https://energiavirasto.fi/toimitusvarmuus" xr:uid="{B69D348C-50ED-4794-A4F2-F64F7831A2C6}"/>
    <hyperlink ref="W1" r:id="rId2" display="https://www.gem.wiki/Main_Page" xr:uid="{3944A0CB-9FB5-4E5E-8B51-F970EC13B82F}"/>
    <hyperlink ref="AB1" r:id="rId3" display="https://suomenuusiutuvat.fi/en/solar-power/solar-power-projects-in-finland/" xr:uid="{62CA7909-AE4D-4AB7-BBE1-7586393CC8F6}"/>
  </hyperlinks>
  <pageMargins left="0.7" right="0.7" top="0.75" bottom="0.75" header="0.3" footer="0.3"/>
  <tableParts count="7">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824A2-270A-41FB-A39C-974F5EE4A6C1}">
  <sheetPr>
    <tabColor rgb="FF00CC00"/>
  </sheetPr>
  <dimension ref="A1:R154"/>
  <sheetViews>
    <sheetView workbookViewId="0">
      <pane ySplit="10" topLeftCell="A11" activePane="bottomLeft" state="frozen"/>
      <selection pane="bottomLeft" activeCell="J11" sqref="J11"/>
    </sheetView>
  </sheetViews>
  <sheetFormatPr defaultColWidth="8.6640625" defaultRowHeight="14.4"/>
  <cols>
    <col min="1" max="1" width="14.88671875" style="1" customWidth="1"/>
    <col min="2" max="2" width="21.5546875" style="1" customWidth="1"/>
    <col min="3" max="3" width="8.44140625" style="1" bestFit="1" customWidth="1"/>
    <col min="4" max="4" width="17.33203125" style="1" bestFit="1" customWidth="1"/>
    <col min="5" max="5" width="10.33203125" style="1" bestFit="1" customWidth="1"/>
    <col min="6" max="6" width="8.6640625" style="1"/>
    <col min="7" max="7" width="18.44140625" style="1" bestFit="1" customWidth="1"/>
    <col min="8" max="8" width="10.6640625" style="1" bestFit="1" customWidth="1"/>
    <col min="9" max="9" width="8.6640625" style="1"/>
    <col min="10" max="10" width="11.109375" style="1" bestFit="1" customWidth="1"/>
    <col min="11" max="11" width="10.6640625" style="1" bestFit="1" customWidth="1"/>
    <col min="12" max="12" width="8.6640625" style="1"/>
    <col min="13" max="13" width="8.6640625" style="1" customWidth="1"/>
    <col min="14" max="14" width="10.44140625" style="1" bestFit="1" customWidth="1"/>
    <col min="15" max="16384" width="8.6640625" style="1"/>
  </cols>
  <sheetData>
    <row r="1" spans="1:18">
      <c r="A1" s="36" t="s">
        <v>174</v>
      </c>
      <c r="B1" s="36" t="s">
        <v>176</v>
      </c>
      <c r="C1" s="36"/>
      <c r="D1" s="36"/>
      <c r="E1" s="36"/>
      <c r="F1" s="36"/>
      <c r="G1" s="36"/>
      <c r="H1" s="36"/>
      <c r="I1" s="36"/>
      <c r="J1" s="36"/>
      <c r="K1" s="36"/>
      <c r="L1" s="36"/>
      <c r="M1" s="36"/>
      <c r="N1" s="36"/>
      <c r="O1" s="36"/>
      <c r="P1" s="36"/>
      <c r="Q1" s="36"/>
      <c r="R1" s="36"/>
    </row>
    <row r="2" spans="1:18">
      <c r="A2" s="36" t="s">
        <v>71</v>
      </c>
      <c r="B2" s="97" t="s">
        <v>175</v>
      </c>
      <c r="C2" s="36"/>
      <c r="D2" s="36"/>
      <c r="E2" s="36"/>
      <c r="F2" s="36"/>
      <c r="G2" s="36"/>
      <c r="H2" s="36"/>
      <c r="I2" s="36"/>
      <c r="J2" s="36"/>
      <c r="K2" s="36"/>
      <c r="L2" s="36"/>
      <c r="M2" s="36"/>
      <c r="N2" s="36"/>
      <c r="O2" s="36"/>
      <c r="P2" s="36"/>
      <c r="Q2" s="36"/>
      <c r="R2" s="36"/>
    </row>
    <row r="3" spans="1:18">
      <c r="A3" s="98" t="s">
        <v>396</v>
      </c>
      <c r="B3" s="98" t="s">
        <v>1132</v>
      </c>
      <c r="C3" s="45"/>
      <c r="D3" s="45"/>
      <c r="E3" s="45"/>
      <c r="F3" s="45"/>
      <c r="G3" s="45"/>
      <c r="H3" s="45"/>
      <c r="I3" s="45"/>
      <c r="J3" s="45"/>
      <c r="K3" s="45"/>
      <c r="L3" s="45"/>
      <c r="M3" s="45"/>
      <c r="N3" s="45"/>
      <c r="O3" s="45"/>
      <c r="P3" s="45"/>
      <c r="Q3" s="45"/>
      <c r="R3" s="45"/>
    </row>
    <row r="4" spans="1:18">
      <c r="A4" s="46" t="s">
        <v>397</v>
      </c>
      <c r="B4" s="46" t="s">
        <v>398</v>
      </c>
      <c r="C4" s="45"/>
      <c r="D4" s="45"/>
      <c r="E4" s="45"/>
      <c r="F4" s="45"/>
      <c r="G4" s="45"/>
      <c r="H4" s="45"/>
      <c r="I4" s="45"/>
      <c r="J4" s="45"/>
      <c r="K4" s="45"/>
      <c r="L4" s="45"/>
      <c r="M4" s="45"/>
      <c r="N4" s="45"/>
      <c r="O4" s="45"/>
      <c r="P4" s="45"/>
      <c r="Q4" s="45"/>
      <c r="R4" s="45"/>
    </row>
    <row r="5" spans="1:18">
      <c r="A5" s="46"/>
      <c r="B5" s="46" t="s">
        <v>400</v>
      </c>
      <c r="C5" s="45"/>
      <c r="D5" s="45"/>
      <c r="E5" s="45"/>
      <c r="F5" s="45"/>
      <c r="G5" s="45"/>
      <c r="H5" s="45"/>
      <c r="I5" s="45"/>
      <c r="J5" s="45"/>
      <c r="K5" s="45"/>
      <c r="L5" s="45"/>
      <c r="M5" s="45"/>
      <c r="N5" s="45"/>
      <c r="O5" s="45"/>
      <c r="P5" s="45"/>
      <c r="Q5" s="45"/>
      <c r="R5" s="45"/>
    </row>
    <row r="6" spans="1:18">
      <c r="A6" s="98"/>
      <c r="B6" s="98" t="s">
        <v>399</v>
      </c>
      <c r="C6" s="45"/>
      <c r="D6" s="45"/>
      <c r="E6" s="45"/>
      <c r="F6" s="45"/>
      <c r="G6" s="45"/>
      <c r="H6" s="45"/>
      <c r="I6" s="45"/>
      <c r="J6" s="45"/>
      <c r="K6" s="45"/>
      <c r="L6" s="45"/>
      <c r="M6" s="45"/>
      <c r="N6" s="45"/>
      <c r="O6" s="45"/>
      <c r="P6" s="45"/>
      <c r="Q6" s="45"/>
      <c r="R6" s="45"/>
    </row>
    <row r="7" spans="1:18">
      <c r="A7" s="98"/>
      <c r="B7" s="98" t="s">
        <v>409</v>
      </c>
      <c r="C7" s="45"/>
      <c r="D7" s="45"/>
      <c r="E7" s="45"/>
      <c r="F7" s="45"/>
      <c r="G7" s="45"/>
      <c r="H7" s="45"/>
      <c r="I7" s="45"/>
      <c r="J7" s="45"/>
      <c r="K7" s="45"/>
      <c r="L7" s="45"/>
      <c r="M7" s="45"/>
      <c r="N7" s="45"/>
      <c r="O7" s="45"/>
      <c r="P7" s="45"/>
      <c r="Q7" s="45"/>
      <c r="R7" s="45"/>
    </row>
    <row r="9" spans="1:18">
      <c r="A9" s="343" t="s">
        <v>408</v>
      </c>
      <c r="B9" s="343"/>
      <c r="C9" s="343"/>
      <c r="D9" s="343" t="s">
        <v>397</v>
      </c>
      <c r="E9" s="343"/>
    </row>
    <row r="10" spans="1:18">
      <c r="A10" s="101" t="s">
        <v>177</v>
      </c>
      <c r="B10" s="14" t="s">
        <v>178</v>
      </c>
      <c r="C10" s="14" t="s">
        <v>58</v>
      </c>
      <c r="D10" s="14" t="s">
        <v>24</v>
      </c>
      <c r="E10" s="103" t="s">
        <v>410</v>
      </c>
      <c r="G10" s="14" t="s">
        <v>24</v>
      </c>
      <c r="H10" s="14" t="s">
        <v>58</v>
      </c>
      <c r="J10" s="14" t="s">
        <v>24</v>
      </c>
      <c r="K10" s="14" t="s">
        <v>58</v>
      </c>
      <c r="N10" s="1" t="s">
        <v>3022</v>
      </c>
      <c r="P10" s="1" t="s">
        <v>3031</v>
      </c>
    </row>
    <row r="11" spans="1:18">
      <c r="A11" s="35" t="s">
        <v>213</v>
      </c>
      <c r="B11" s="1" t="s">
        <v>213</v>
      </c>
      <c r="C11" s="22">
        <v>192</v>
      </c>
      <c r="D11" s="107" t="s">
        <v>118</v>
      </c>
      <c r="E11" s="102" t="s">
        <v>393</v>
      </c>
      <c r="G11" s="2" t="s">
        <v>3</v>
      </c>
      <c r="H11" s="104">
        <f t="shared" ref="H11:H28" si="0">SUMIF($D$11:$D$69, G11, $C$11:$C$69)</f>
        <v>0</v>
      </c>
      <c r="J11" s="1" t="s">
        <v>28</v>
      </c>
      <c r="K11" s="43" cm="1">
        <f t="array" ref="K11">SUM(_xlfn._xlws.FILTER(P_hydro_2[Capacity],ISNUMBER(MATCH(P_hydro_2[Region],_xlfn._xlws.FILTER(Region[Administrative],Region[Model]=P_hydro_3[[#This Row],[Region]]),0))))</f>
        <v>1767</v>
      </c>
      <c r="L11" s="312">
        <f>P_hydro_3[[#This Row],[Capacity]]/$K$19</f>
        <v>0.60026497265346335</v>
      </c>
      <c r="N11" s="43">
        <f>$N$18*L11</f>
        <v>3319465.2987736524</v>
      </c>
      <c r="P11" s="24">
        <f>$P$18*L11</f>
        <v>250.91075856914767</v>
      </c>
    </row>
    <row r="12" spans="1:18">
      <c r="A12" s="35" t="s">
        <v>322</v>
      </c>
      <c r="B12" s="1" t="s">
        <v>322</v>
      </c>
      <c r="C12" s="22">
        <v>169</v>
      </c>
      <c r="D12" s="107" t="s">
        <v>124</v>
      </c>
      <c r="E12" s="102" t="s">
        <v>394</v>
      </c>
      <c r="G12" s="1" t="s">
        <v>167</v>
      </c>
      <c r="H12" s="104">
        <f t="shared" si="0"/>
        <v>14</v>
      </c>
      <c r="J12" s="1" t="s">
        <v>29</v>
      </c>
      <c r="K12" s="43" cm="1">
        <f t="array" ref="K12">SUM(_xlfn._xlws.FILTER(P_hydro_2[Capacity],ISNUMBER(MATCH(P_hydro_2[Region],_xlfn._xlws.FILTER(Region[Administrative],Region[Model]=P_hydro_3[[#This Row],[Region]]),0))))</f>
        <v>150</v>
      </c>
      <c r="L12" s="312">
        <f>P_hydro_3[[#This Row],[Capacity]]/$K$19</f>
        <v>5.0956279512178557E-2</v>
      </c>
      <c r="N12" s="43">
        <f>$N$18*L12</f>
        <v>281788.22570234741</v>
      </c>
      <c r="P12" s="24">
        <f>$P$18*L12</f>
        <v>21.299724836090636</v>
      </c>
    </row>
    <row r="13" spans="1:18">
      <c r="A13" s="35" t="s">
        <v>330</v>
      </c>
      <c r="B13" s="1" t="s">
        <v>330</v>
      </c>
      <c r="C13" s="22">
        <v>146</v>
      </c>
      <c r="D13" s="107" t="s">
        <v>166</v>
      </c>
      <c r="E13" s="102" t="s">
        <v>394</v>
      </c>
      <c r="G13" s="2" t="s">
        <v>5</v>
      </c>
      <c r="H13" s="104">
        <f t="shared" si="0"/>
        <v>150</v>
      </c>
      <c r="J13" s="1" t="s">
        <v>31</v>
      </c>
      <c r="K13" s="43" cm="1">
        <f t="array" ref="K13">SUM(_xlfn._xlws.FILTER(P_hydro_2[Capacity],ISNUMBER(MATCH(P_hydro_2[Region],_xlfn._xlws.FILTER(Region[Administrative],Region[Model]=P_hydro_3[[#This Row],[Region]]),0))))</f>
        <v>116.10000000000001</v>
      </c>
      <c r="L13" s="312">
        <f>P_hydro_3[[#This Row],[Capacity]]/$K$19</f>
        <v>3.94401603424262E-2</v>
      </c>
      <c r="N13" s="43">
        <f>$N$18*L13</f>
        <v>218104.08669361687</v>
      </c>
      <c r="P13" s="24">
        <f>$P$18*L13</f>
        <v>16.48598702313415</v>
      </c>
    </row>
    <row r="14" spans="1:18">
      <c r="A14" s="35" t="s">
        <v>342</v>
      </c>
      <c r="B14" s="1" t="s">
        <v>342</v>
      </c>
      <c r="C14" s="22">
        <v>142.5</v>
      </c>
      <c r="D14" s="107" t="s">
        <v>125</v>
      </c>
      <c r="E14" s="102" t="s">
        <v>393</v>
      </c>
      <c r="G14" s="2" t="s">
        <v>6</v>
      </c>
      <c r="H14" s="104">
        <f t="shared" si="0"/>
        <v>0</v>
      </c>
      <c r="J14" s="1" t="s">
        <v>32</v>
      </c>
      <c r="K14" s="43" cm="1">
        <f t="array" ref="K14">SUM(_xlfn._xlws.FILTER(P_hydro_2[Capacity],ISNUMBER(MATCH(P_hydro_2[Region],_xlfn._xlws.FILTER(Region[Administrative],Region[Model]=P_hydro_3[[#This Row],[Region]]),0))))</f>
        <v>457.9</v>
      </c>
      <c r="L14" s="312">
        <f>P_hydro_3[[#This Row],[Capacity]]/$K$19</f>
        <v>0.15555253592417706</v>
      </c>
      <c r="N14" s="43">
        <f>$N$18*L14</f>
        <v>860205.52366069914</v>
      </c>
      <c r="P14" s="24">
        <f>$P$18*L14</f>
        <v>65.020960016306006</v>
      </c>
    </row>
    <row r="15" spans="1:18">
      <c r="A15" s="35" t="s">
        <v>323</v>
      </c>
      <c r="B15" s="1" t="s">
        <v>323</v>
      </c>
      <c r="C15" s="22">
        <v>141</v>
      </c>
      <c r="D15" s="107" t="s">
        <v>125</v>
      </c>
      <c r="E15" s="102" t="s">
        <v>393</v>
      </c>
      <c r="G15" s="2" t="s">
        <v>7</v>
      </c>
      <c r="H15" s="104">
        <f t="shared" si="0"/>
        <v>116.10000000000001</v>
      </c>
      <c r="J15" s="1" t="s">
        <v>33</v>
      </c>
      <c r="K15" s="34" cm="1">
        <f t="array" ref="K15">SUM(_xlfn._xlws.FILTER(P_hydro_2[Capacity],ISNUMBER(MATCH(P_hydro_2[Region],_xlfn._xlws.FILTER(Region[Administrative],Region[Model]=P_hydro_3[[#This Row],[Region]]),0))))</f>
        <v>14</v>
      </c>
      <c r="L15" s="312"/>
      <c r="N15" s="43"/>
      <c r="P15" s="24"/>
    </row>
    <row r="16" spans="1:18">
      <c r="A16" s="35" t="s">
        <v>355</v>
      </c>
      <c r="B16" s="1" t="s">
        <v>355</v>
      </c>
      <c r="C16" s="22">
        <v>133.19999999999999</v>
      </c>
      <c r="D16" s="107" t="s">
        <v>124</v>
      </c>
      <c r="E16" s="102" t="s">
        <v>394</v>
      </c>
      <c r="G16" s="2" t="s">
        <v>8</v>
      </c>
      <c r="H16" s="104">
        <f t="shared" si="0"/>
        <v>30</v>
      </c>
      <c r="J16" s="1" t="s">
        <v>34</v>
      </c>
      <c r="K16" s="43" cm="1">
        <f t="array" ref="K16">SUM(_xlfn._xlws.FILTER(P_hydro_2[Capacity],ISNUMBER(MATCH(P_hydro_2[Region],_xlfn._xlws.FILTER(Region[Administrative],Region[Model]=P_hydro_3[[#This Row],[Region]]),0))))</f>
        <v>452.70000000000005</v>
      </c>
      <c r="L16" s="312">
        <f>P_hydro_3[[#This Row],[Capacity]]/$K$19</f>
        <v>0.15378605156775488</v>
      </c>
      <c r="N16" s="43">
        <f>$N$18*L16</f>
        <v>850436.86516968452</v>
      </c>
      <c r="P16" s="24">
        <f>$P$18*L16</f>
        <v>64.282569555321544</v>
      </c>
    </row>
    <row r="17" spans="1:16">
      <c r="A17" s="35" t="s">
        <v>305</v>
      </c>
      <c r="B17" s="1" t="s">
        <v>305</v>
      </c>
      <c r="C17" s="22">
        <v>120</v>
      </c>
      <c r="D17" s="107" t="s">
        <v>125</v>
      </c>
      <c r="E17" s="102" t="s">
        <v>393</v>
      </c>
      <c r="G17" s="2" t="s">
        <v>9</v>
      </c>
      <c r="H17" s="104">
        <f t="shared" si="0"/>
        <v>165.20000000000002</v>
      </c>
      <c r="J17" s="1" t="s">
        <v>3</v>
      </c>
      <c r="K17" s="34" cm="1">
        <f t="array" ref="K17">SUM(_xlfn._xlws.FILTER(P_hydro_2[Capacity],ISNUMBER(MATCH(P_hydro_2[Region],_xlfn._xlws.FILTER(Region[Administrative],Region[Model]=P_hydro_3[[#This Row],[Region]]),0))))</f>
        <v>0</v>
      </c>
      <c r="L17" s="95"/>
      <c r="N17" s="2"/>
    </row>
    <row r="18" spans="1:16">
      <c r="A18" s="35" t="s">
        <v>216</v>
      </c>
      <c r="B18" s="1" t="s">
        <v>217</v>
      </c>
      <c r="C18" s="22">
        <v>106</v>
      </c>
      <c r="D18" s="107" t="s">
        <v>125</v>
      </c>
      <c r="E18" s="102" t="s">
        <v>394</v>
      </c>
      <c r="G18" s="1" t="s">
        <v>118</v>
      </c>
      <c r="H18" s="104">
        <f t="shared" si="0"/>
        <v>257.5</v>
      </c>
      <c r="K18" s="6">
        <f>SUM(P_hydro_3[Capacity])</f>
        <v>2957.7</v>
      </c>
      <c r="L18" s="7"/>
      <c r="N18" s="10">
        <f>5530000</f>
        <v>5530000</v>
      </c>
      <c r="P18" s="1">
        <v>418</v>
      </c>
    </row>
    <row r="19" spans="1:16">
      <c r="A19" s="35" t="s">
        <v>199</v>
      </c>
      <c r="B19" s="1" t="s">
        <v>200</v>
      </c>
      <c r="C19" s="22">
        <v>105</v>
      </c>
      <c r="D19" s="107" t="s">
        <v>5</v>
      </c>
      <c r="E19" s="102" t="s">
        <v>393</v>
      </c>
      <c r="G19" s="1" t="s">
        <v>166</v>
      </c>
      <c r="H19" s="104">
        <f t="shared" si="0"/>
        <v>146</v>
      </c>
      <c r="K19" s="2">
        <f>SUM(K11:K14,K16)</f>
        <v>2943.7</v>
      </c>
      <c r="L19" s="313"/>
    </row>
    <row r="20" spans="1:16">
      <c r="A20" s="35" t="s">
        <v>367</v>
      </c>
      <c r="B20" s="1" t="s">
        <v>367</v>
      </c>
      <c r="C20" s="22">
        <v>94.4</v>
      </c>
      <c r="D20" s="107" t="s">
        <v>125</v>
      </c>
      <c r="E20" s="102" t="s">
        <v>393</v>
      </c>
      <c r="G20" s="1" t="s">
        <v>165</v>
      </c>
      <c r="H20" s="104">
        <f t="shared" si="0"/>
        <v>68.8</v>
      </c>
      <c r="L20" s="7"/>
    </row>
    <row r="21" spans="1:16">
      <c r="A21" s="35" t="s">
        <v>366</v>
      </c>
      <c r="B21" s="1" t="s">
        <v>366</v>
      </c>
      <c r="C21" s="22">
        <v>92</v>
      </c>
      <c r="D21" s="107" t="s">
        <v>125</v>
      </c>
      <c r="E21" s="102" t="s">
        <v>393</v>
      </c>
      <c r="G21" s="1" t="s">
        <v>122</v>
      </c>
      <c r="H21" s="104">
        <f t="shared" si="0"/>
        <v>169.39999999999998</v>
      </c>
      <c r="L21" s="7"/>
    </row>
    <row r="22" spans="1:16">
      <c r="A22" s="35" t="s">
        <v>302</v>
      </c>
      <c r="B22" s="1" t="s">
        <v>302</v>
      </c>
      <c r="C22" s="22">
        <v>85.2</v>
      </c>
      <c r="D22" s="107" t="s">
        <v>124</v>
      </c>
      <c r="E22" s="102" t="s">
        <v>393</v>
      </c>
      <c r="G22" s="1" t="s">
        <v>119</v>
      </c>
      <c r="H22" s="104">
        <f t="shared" si="0"/>
        <v>0</v>
      </c>
    </row>
    <row r="23" spans="1:16">
      <c r="A23" s="35" t="s">
        <v>312</v>
      </c>
      <c r="B23" s="1" t="s">
        <v>313</v>
      </c>
      <c r="C23" s="22">
        <v>85</v>
      </c>
      <c r="D23" s="107" t="s">
        <v>122</v>
      </c>
      <c r="E23" s="102" t="s">
        <v>393</v>
      </c>
      <c r="G23" s="1" t="s">
        <v>120</v>
      </c>
      <c r="H23" s="104">
        <f t="shared" si="0"/>
        <v>0</v>
      </c>
      <c r="M23" s="2"/>
    </row>
    <row r="24" spans="1:16">
      <c r="A24" s="35" t="s">
        <v>291</v>
      </c>
      <c r="B24" s="1" t="s">
        <v>292</v>
      </c>
      <c r="C24" s="22">
        <v>70</v>
      </c>
      <c r="D24" s="107" t="s">
        <v>7</v>
      </c>
      <c r="E24" s="102" t="s">
        <v>393</v>
      </c>
      <c r="G24" s="1" t="s">
        <v>121</v>
      </c>
      <c r="H24" s="104">
        <f t="shared" si="0"/>
        <v>0</v>
      </c>
    </row>
    <row r="25" spans="1:16">
      <c r="A25" s="35" t="s">
        <v>354</v>
      </c>
      <c r="B25" s="1" t="s">
        <v>354</v>
      </c>
      <c r="C25" s="22">
        <v>65.5</v>
      </c>
      <c r="D25" s="107" t="s">
        <v>118</v>
      </c>
      <c r="E25" s="102" t="s">
        <v>393</v>
      </c>
      <c r="G25" s="1" t="s">
        <v>123</v>
      </c>
      <c r="H25" s="104">
        <f t="shared" si="0"/>
        <v>0</v>
      </c>
    </row>
    <row r="26" spans="1:16">
      <c r="A26" s="35" t="s">
        <v>362</v>
      </c>
      <c r="B26" s="1" t="s">
        <v>362</v>
      </c>
      <c r="C26" s="22">
        <v>64.8</v>
      </c>
      <c r="D26" s="107" t="s">
        <v>124</v>
      </c>
      <c r="E26" s="102" t="s">
        <v>393</v>
      </c>
      <c r="G26" s="1" t="s">
        <v>124</v>
      </c>
      <c r="H26" s="104">
        <f t="shared" si="0"/>
        <v>869.30000000000007</v>
      </c>
    </row>
    <row r="27" spans="1:16">
      <c r="A27" s="35" t="s">
        <v>334</v>
      </c>
      <c r="B27" s="1" t="s">
        <v>335</v>
      </c>
      <c r="C27" s="22">
        <v>60</v>
      </c>
      <c r="D27" s="107" t="s">
        <v>124</v>
      </c>
      <c r="E27" s="102" t="s">
        <v>393</v>
      </c>
      <c r="G27" s="2" t="s">
        <v>19</v>
      </c>
      <c r="H27" s="104">
        <f t="shared" si="0"/>
        <v>73.7</v>
      </c>
    </row>
    <row r="28" spans="1:16">
      <c r="A28" s="35" t="s">
        <v>333</v>
      </c>
      <c r="B28" s="1" t="s">
        <v>333</v>
      </c>
      <c r="C28" s="22">
        <v>58</v>
      </c>
      <c r="D28" s="107" t="s">
        <v>124</v>
      </c>
      <c r="E28" s="102" t="s">
        <v>393</v>
      </c>
      <c r="G28" s="1" t="s">
        <v>125</v>
      </c>
      <c r="H28" s="104">
        <f t="shared" si="0"/>
        <v>897.7</v>
      </c>
    </row>
    <row r="29" spans="1:16">
      <c r="A29" s="35" t="s">
        <v>229</v>
      </c>
      <c r="B29" s="1" t="s">
        <v>229</v>
      </c>
      <c r="C29" s="22">
        <v>55</v>
      </c>
      <c r="D29" s="107" t="s">
        <v>124</v>
      </c>
      <c r="E29" s="102" t="s">
        <v>393</v>
      </c>
      <c r="H29" s="99">
        <f>SUM(H11:H28)</f>
        <v>2957.7</v>
      </c>
    </row>
    <row r="30" spans="1:16">
      <c r="A30" s="35" t="s">
        <v>295</v>
      </c>
      <c r="B30" s="1" t="s">
        <v>295</v>
      </c>
      <c r="C30" s="22">
        <v>51</v>
      </c>
      <c r="D30" s="107" t="s">
        <v>124</v>
      </c>
      <c r="E30" s="102" t="s">
        <v>393</v>
      </c>
    </row>
    <row r="31" spans="1:16">
      <c r="A31" s="35" t="s">
        <v>260</v>
      </c>
      <c r="B31" s="1" t="s">
        <v>261</v>
      </c>
      <c r="C31" s="22">
        <v>45</v>
      </c>
      <c r="D31" s="107" t="s">
        <v>5</v>
      </c>
      <c r="E31" s="102" t="s">
        <v>393</v>
      </c>
    </row>
    <row r="32" spans="1:16">
      <c r="A32" s="35" t="s">
        <v>180</v>
      </c>
      <c r="B32" s="1" t="s">
        <v>180</v>
      </c>
      <c r="C32" s="22">
        <v>44.8</v>
      </c>
      <c r="D32" s="107" t="s">
        <v>165</v>
      </c>
      <c r="E32" s="102" t="s">
        <v>394</v>
      </c>
    </row>
    <row r="33" spans="1:5">
      <c r="A33" s="35" t="s">
        <v>308</v>
      </c>
      <c r="B33" s="1" t="s">
        <v>309</v>
      </c>
      <c r="C33" s="22">
        <v>42.1</v>
      </c>
      <c r="D33" s="107" t="s">
        <v>124</v>
      </c>
      <c r="E33" s="102" t="s">
        <v>393</v>
      </c>
    </row>
    <row r="34" spans="1:5">
      <c r="A34" s="35" t="s">
        <v>293</v>
      </c>
      <c r="B34" s="1" t="s">
        <v>294</v>
      </c>
      <c r="C34" s="22">
        <v>42</v>
      </c>
      <c r="D34" s="107" t="s">
        <v>124</v>
      </c>
      <c r="E34" s="102" t="s">
        <v>393</v>
      </c>
    </row>
    <row r="35" spans="1:5">
      <c r="A35" s="35" t="s">
        <v>327</v>
      </c>
      <c r="B35" s="1" t="s">
        <v>327</v>
      </c>
      <c r="C35" s="22">
        <v>40</v>
      </c>
      <c r="D35" s="107" t="s">
        <v>125</v>
      </c>
      <c r="E35" s="102" t="s">
        <v>393</v>
      </c>
    </row>
    <row r="36" spans="1:5">
      <c r="A36" s="35" t="s">
        <v>285</v>
      </c>
      <c r="B36" s="1" t="s">
        <v>286</v>
      </c>
      <c r="C36" s="22">
        <v>38.5</v>
      </c>
      <c r="D36" s="107" t="s">
        <v>124</v>
      </c>
      <c r="E36" s="102" t="s">
        <v>393</v>
      </c>
    </row>
    <row r="37" spans="1:5">
      <c r="A37" s="35" t="s">
        <v>246</v>
      </c>
      <c r="B37" s="1" t="s">
        <v>247</v>
      </c>
      <c r="C37" s="22">
        <v>38</v>
      </c>
      <c r="D37" s="107" t="s">
        <v>124</v>
      </c>
      <c r="E37" s="102" t="s">
        <v>393</v>
      </c>
    </row>
    <row r="38" spans="1:5">
      <c r="A38" s="35" t="s">
        <v>343</v>
      </c>
      <c r="B38" s="1" t="s">
        <v>343</v>
      </c>
      <c r="C38" s="22">
        <v>37.9</v>
      </c>
      <c r="D38" s="107" t="s">
        <v>19</v>
      </c>
      <c r="E38" s="102" t="s">
        <v>393</v>
      </c>
    </row>
    <row r="39" spans="1:5">
      <c r="A39" s="35" t="s">
        <v>193</v>
      </c>
      <c r="B39" s="1" t="s">
        <v>194</v>
      </c>
      <c r="C39" s="22">
        <v>32.5</v>
      </c>
      <c r="D39" s="107" t="s">
        <v>124</v>
      </c>
      <c r="E39" s="102" t="s">
        <v>393</v>
      </c>
    </row>
    <row r="40" spans="1:5">
      <c r="A40" s="35" t="s">
        <v>239</v>
      </c>
      <c r="B40" s="1" t="s">
        <v>239</v>
      </c>
      <c r="C40" s="22">
        <v>32</v>
      </c>
      <c r="D40" s="107" t="s">
        <v>122</v>
      </c>
      <c r="E40" s="102" t="s">
        <v>393</v>
      </c>
    </row>
    <row r="41" spans="1:5">
      <c r="A41" s="35" t="s">
        <v>274</v>
      </c>
      <c r="B41" s="1" t="s">
        <v>238</v>
      </c>
      <c r="C41" s="22">
        <v>30</v>
      </c>
      <c r="D41" s="107" t="s">
        <v>9</v>
      </c>
      <c r="E41" s="102" t="s">
        <v>393</v>
      </c>
    </row>
    <row r="42" spans="1:5">
      <c r="A42" s="35" t="s">
        <v>289</v>
      </c>
      <c r="B42" s="1" t="s">
        <v>289</v>
      </c>
      <c r="C42" s="22">
        <v>30</v>
      </c>
      <c r="D42" s="107" t="s">
        <v>8</v>
      </c>
      <c r="E42" s="102" t="s">
        <v>393</v>
      </c>
    </row>
    <row r="43" spans="1:5">
      <c r="A43" s="35" t="s">
        <v>271</v>
      </c>
      <c r="B43" s="1" t="s">
        <v>271</v>
      </c>
      <c r="C43" s="22">
        <v>26.6</v>
      </c>
      <c r="D43" s="107" t="s">
        <v>125</v>
      </c>
      <c r="E43" s="102" t="s">
        <v>393</v>
      </c>
    </row>
    <row r="44" spans="1:5">
      <c r="A44" s="35" t="s">
        <v>222</v>
      </c>
      <c r="B44" s="1" t="s">
        <v>223</v>
      </c>
      <c r="C44" s="22">
        <v>26</v>
      </c>
      <c r="D44" s="107" t="s">
        <v>125</v>
      </c>
      <c r="E44" s="102" t="s">
        <v>394</v>
      </c>
    </row>
    <row r="45" spans="1:5">
      <c r="A45" s="35" t="s">
        <v>259</v>
      </c>
      <c r="B45" s="1" t="s">
        <v>259</v>
      </c>
      <c r="C45" s="22">
        <v>26</v>
      </c>
      <c r="D45" s="107" t="s">
        <v>125</v>
      </c>
      <c r="E45" s="102" t="s">
        <v>393</v>
      </c>
    </row>
    <row r="46" spans="1:5">
      <c r="A46" s="35" t="s">
        <v>258</v>
      </c>
      <c r="B46" s="1" t="s">
        <v>258</v>
      </c>
      <c r="C46" s="22">
        <v>24.3</v>
      </c>
      <c r="D46" s="107" t="s">
        <v>19</v>
      </c>
      <c r="E46" s="102" t="s">
        <v>393</v>
      </c>
    </row>
    <row r="47" spans="1:5">
      <c r="A47" s="35" t="s">
        <v>179</v>
      </c>
      <c r="B47" s="1" t="s">
        <v>179</v>
      </c>
      <c r="C47" s="22">
        <v>24</v>
      </c>
      <c r="D47" s="107" t="s">
        <v>9</v>
      </c>
      <c r="E47" s="102" t="s">
        <v>393</v>
      </c>
    </row>
    <row r="48" spans="1:5">
      <c r="A48" s="35" t="s">
        <v>278</v>
      </c>
      <c r="B48" s="1" t="s">
        <v>278</v>
      </c>
      <c r="C48" s="22">
        <v>24</v>
      </c>
      <c r="D48" s="107" t="s">
        <v>165</v>
      </c>
      <c r="E48" s="102" t="s">
        <v>394</v>
      </c>
    </row>
    <row r="49" spans="1:5">
      <c r="A49" s="35" t="s">
        <v>377</v>
      </c>
      <c r="B49" s="1" t="s">
        <v>378</v>
      </c>
      <c r="C49" s="22">
        <v>24</v>
      </c>
      <c r="D49" s="107" t="s">
        <v>9</v>
      </c>
      <c r="E49" s="102" t="s">
        <v>393</v>
      </c>
    </row>
    <row r="50" spans="1:5">
      <c r="A50" s="35" t="s">
        <v>299</v>
      </c>
      <c r="B50" s="1" t="s">
        <v>299</v>
      </c>
      <c r="C50" s="22">
        <v>23.8</v>
      </c>
      <c r="D50" s="107" t="s">
        <v>9</v>
      </c>
      <c r="E50" s="102" t="s">
        <v>393</v>
      </c>
    </row>
    <row r="51" spans="1:5">
      <c r="A51" s="35" t="s">
        <v>365</v>
      </c>
      <c r="B51" s="1" t="s">
        <v>365</v>
      </c>
      <c r="C51" s="22">
        <v>22.4</v>
      </c>
      <c r="D51" s="107" t="s">
        <v>125</v>
      </c>
      <c r="E51" s="102" t="s">
        <v>393</v>
      </c>
    </row>
    <row r="52" spans="1:5">
      <c r="A52" s="35" t="s">
        <v>272</v>
      </c>
      <c r="B52" s="35" t="s">
        <v>273</v>
      </c>
      <c r="C52" s="22">
        <v>21.2</v>
      </c>
      <c r="D52" s="107" t="s">
        <v>122</v>
      </c>
      <c r="E52" s="102" t="s">
        <v>393</v>
      </c>
    </row>
    <row r="53" spans="1:5">
      <c r="A53" s="35" t="s">
        <v>386</v>
      </c>
      <c r="B53" s="1" t="s">
        <v>386</v>
      </c>
      <c r="C53" s="22">
        <v>19.7</v>
      </c>
      <c r="D53" s="107" t="s">
        <v>7</v>
      </c>
      <c r="E53" s="102" t="s">
        <v>393</v>
      </c>
    </row>
    <row r="54" spans="1:5">
      <c r="A54" s="35" t="s">
        <v>244</v>
      </c>
      <c r="B54" s="1" t="s">
        <v>244</v>
      </c>
      <c r="C54" s="22">
        <v>19.100000000000001</v>
      </c>
      <c r="D54" s="107" t="s">
        <v>9</v>
      </c>
      <c r="E54" s="102" t="s">
        <v>393</v>
      </c>
    </row>
    <row r="55" spans="1:5">
      <c r="A55" s="35" t="s">
        <v>183</v>
      </c>
      <c r="B55" s="1" t="s">
        <v>184</v>
      </c>
      <c r="C55" s="22">
        <v>18</v>
      </c>
      <c r="D55" s="107" t="s">
        <v>9</v>
      </c>
      <c r="E55" s="102" t="s">
        <v>393</v>
      </c>
    </row>
    <row r="56" spans="1:5">
      <c r="A56" s="35" t="s">
        <v>214</v>
      </c>
      <c r="B56" s="1" t="s">
        <v>215</v>
      </c>
      <c r="C56" s="22">
        <v>16.3</v>
      </c>
      <c r="D56" s="107" t="s">
        <v>9</v>
      </c>
      <c r="E56" s="102" t="s">
        <v>394</v>
      </c>
    </row>
    <row r="57" spans="1:5">
      <c r="A57" s="35" t="s">
        <v>281</v>
      </c>
      <c r="B57" s="1" t="s">
        <v>281</v>
      </c>
      <c r="C57" s="22">
        <v>16</v>
      </c>
      <c r="D57" s="107" t="s">
        <v>122</v>
      </c>
      <c r="E57" s="102" t="s">
        <v>393</v>
      </c>
    </row>
    <row r="58" spans="1:5">
      <c r="A58" s="35" t="s">
        <v>314</v>
      </c>
      <c r="B58" s="1" t="s">
        <v>314</v>
      </c>
      <c r="C58" s="22">
        <v>15.2</v>
      </c>
      <c r="D58" s="107" t="s">
        <v>122</v>
      </c>
      <c r="E58" s="102" t="s">
        <v>393</v>
      </c>
    </row>
    <row r="59" spans="1:5">
      <c r="A59" s="35" t="s">
        <v>270</v>
      </c>
      <c r="B59" s="1" t="s">
        <v>270</v>
      </c>
      <c r="C59" s="22">
        <v>15</v>
      </c>
      <c r="D59" s="107" t="s">
        <v>125</v>
      </c>
      <c r="E59" s="102" t="s">
        <v>393</v>
      </c>
    </row>
    <row r="60" spans="1:5">
      <c r="A60" s="35" t="s">
        <v>321</v>
      </c>
      <c r="B60" s="1" t="s">
        <v>321</v>
      </c>
      <c r="C60" s="22">
        <v>14.1</v>
      </c>
      <c r="D60" s="107" t="s">
        <v>125</v>
      </c>
      <c r="E60" s="102" t="s">
        <v>393</v>
      </c>
    </row>
    <row r="61" spans="1:5">
      <c r="A61" s="35" t="s">
        <v>387</v>
      </c>
      <c r="B61" s="1" t="s">
        <v>387</v>
      </c>
      <c r="C61" s="22">
        <v>14</v>
      </c>
      <c r="D61" s="107" t="s">
        <v>167</v>
      </c>
      <c r="E61" s="102" t="s">
        <v>394</v>
      </c>
    </row>
    <row r="62" spans="1:5">
      <c r="A62" s="35" t="s">
        <v>359</v>
      </c>
      <c r="B62" s="1" t="s">
        <v>359</v>
      </c>
      <c r="C62" s="22">
        <v>13.5</v>
      </c>
      <c r="D62" s="107" t="s">
        <v>7</v>
      </c>
      <c r="E62" s="102" t="s">
        <v>393</v>
      </c>
    </row>
    <row r="63" spans="1:5">
      <c r="A63" s="35" t="s">
        <v>211</v>
      </c>
      <c r="B63" s="1" t="s">
        <v>212</v>
      </c>
      <c r="C63" s="22">
        <v>12.9</v>
      </c>
      <c r="D63" s="107" t="s">
        <v>7</v>
      </c>
      <c r="E63" s="102" t="s">
        <v>393</v>
      </c>
    </row>
    <row r="64" spans="1:5">
      <c r="A64" s="35" t="s">
        <v>237</v>
      </c>
      <c r="B64" s="1" t="s">
        <v>237</v>
      </c>
      <c r="C64" s="54">
        <v>12</v>
      </c>
      <c r="D64" s="107"/>
      <c r="E64" s="102"/>
    </row>
    <row r="65" spans="1:5">
      <c r="A65" s="35" t="s">
        <v>242</v>
      </c>
      <c r="B65" s="1" t="s">
        <v>242</v>
      </c>
      <c r="C65" s="22">
        <v>11.5</v>
      </c>
      <c r="D65" s="107" t="s">
        <v>19</v>
      </c>
      <c r="E65" s="102" t="s">
        <v>393</v>
      </c>
    </row>
    <row r="66" spans="1:5">
      <c r="A66" s="35" t="s">
        <v>326</v>
      </c>
      <c r="B66" s="100" t="s">
        <v>326</v>
      </c>
      <c r="C66" s="22">
        <v>11</v>
      </c>
      <c r="D66" s="107" t="s">
        <v>125</v>
      </c>
      <c r="E66" s="102" t="s">
        <v>393</v>
      </c>
    </row>
    <row r="67" spans="1:5">
      <c r="A67" s="35" t="s">
        <v>245</v>
      </c>
      <c r="B67" s="100" t="s">
        <v>245</v>
      </c>
      <c r="C67" s="22">
        <v>10.6</v>
      </c>
      <c r="D67" s="107" t="s">
        <v>125</v>
      </c>
      <c r="E67" s="102" t="s">
        <v>393</v>
      </c>
    </row>
    <row r="68" spans="1:5">
      <c r="A68" s="35" t="s">
        <v>290</v>
      </c>
      <c r="B68" s="100" t="s">
        <v>290</v>
      </c>
      <c r="C68" s="22">
        <v>10.1</v>
      </c>
      <c r="D68" s="107" t="s">
        <v>125</v>
      </c>
      <c r="E68" s="102" t="s">
        <v>393</v>
      </c>
    </row>
    <row r="69" spans="1:5">
      <c r="A69" s="35" t="s">
        <v>262</v>
      </c>
      <c r="B69" s="100" t="s">
        <v>263</v>
      </c>
      <c r="C69" s="22">
        <v>10</v>
      </c>
      <c r="D69" s="107" t="s">
        <v>9</v>
      </c>
      <c r="E69" s="102" t="s">
        <v>393</v>
      </c>
    </row>
    <row r="70" spans="1:5">
      <c r="A70" s="35" t="s">
        <v>379</v>
      </c>
      <c r="B70" s="35" t="s">
        <v>379</v>
      </c>
      <c r="C70" s="54">
        <v>9.5</v>
      </c>
    </row>
    <row r="71" spans="1:5">
      <c r="A71" s="35" t="s">
        <v>375</v>
      </c>
      <c r="B71" s="35" t="s">
        <v>376</v>
      </c>
      <c r="C71" s="54">
        <v>8.9</v>
      </c>
    </row>
    <row r="72" spans="1:5">
      <c r="A72" s="35" t="s">
        <v>356</v>
      </c>
      <c r="B72" s="35" t="s">
        <v>356</v>
      </c>
      <c r="C72" s="54">
        <v>8.6</v>
      </c>
    </row>
    <row r="73" spans="1:5">
      <c r="A73" s="35" t="s">
        <v>209</v>
      </c>
      <c r="B73" s="35" t="s">
        <v>210</v>
      </c>
      <c r="C73" s="54">
        <v>8.5</v>
      </c>
    </row>
    <row r="74" spans="1:5">
      <c r="A74" s="35" t="s">
        <v>266</v>
      </c>
      <c r="B74" s="35" t="s">
        <v>267</v>
      </c>
      <c r="C74" s="54">
        <v>8</v>
      </c>
    </row>
    <row r="75" spans="1:5">
      <c r="A75" s="35" t="s">
        <v>275</v>
      </c>
      <c r="B75" s="35" t="s">
        <v>276</v>
      </c>
      <c r="C75" s="54">
        <v>7.8</v>
      </c>
    </row>
    <row r="76" spans="1:5">
      <c r="A76" s="35" t="s">
        <v>234</v>
      </c>
      <c r="B76" s="35" t="s">
        <v>234</v>
      </c>
      <c r="C76" s="54">
        <v>7.6</v>
      </c>
    </row>
    <row r="77" spans="1:5">
      <c r="A77" s="35" t="s">
        <v>298</v>
      </c>
      <c r="B77" s="35" t="s">
        <v>298</v>
      </c>
      <c r="C77" s="54">
        <v>6.9</v>
      </c>
    </row>
    <row r="78" spans="1:5">
      <c r="A78" s="35" t="s">
        <v>328</v>
      </c>
      <c r="B78" s="35" t="s">
        <v>329</v>
      </c>
      <c r="C78" s="54">
        <v>6.9</v>
      </c>
    </row>
    <row r="79" spans="1:5">
      <c r="A79" s="35" t="s">
        <v>205</v>
      </c>
      <c r="B79" s="35" t="s">
        <v>206</v>
      </c>
      <c r="C79" s="54">
        <v>6.8</v>
      </c>
    </row>
    <row r="80" spans="1:5">
      <c r="A80" s="35" t="s">
        <v>310</v>
      </c>
      <c r="B80" s="35" t="s">
        <v>311</v>
      </c>
      <c r="C80" s="54">
        <v>6.8</v>
      </c>
    </row>
    <row r="81" spans="1:3">
      <c r="A81" s="35" t="s">
        <v>203</v>
      </c>
      <c r="B81" s="35" t="s">
        <v>204</v>
      </c>
      <c r="C81" s="54">
        <v>6.7</v>
      </c>
    </row>
    <row r="82" spans="1:3">
      <c r="A82" s="35" t="s">
        <v>187</v>
      </c>
      <c r="B82" s="35" t="s">
        <v>188</v>
      </c>
      <c r="C82" s="54">
        <v>6.5</v>
      </c>
    </row>
    <row r="83" spans="1:3">
      <c r="A83" s="35" t="s">
        <v>207</v>
      </c>
      <c r="B83" s="35" t="s">
        <v>208</v>
      </c>
      <c r="C83" s="54">
        <v>6.3</v>
      </c>
    </row>
    <row r="84" spans="1:3">
      <c r="A84" s="35" t="s">
        <v>324</v>
      </c>
      <c r="B84" s="35" t="s">
        <v>325</v>
      </c>
      <c r="C84" s="54">
        <v>6.3</v>
      </c>
    </row>
    <row r="85" spans="1:3">
      <c r="A85" s="35" t="s">
        <v>389</v>
      </c>
      <c r="B85" s="35" t="s">
        <v>390</v>
      </c>
      <c r="C85" s="54">
        <v>6</v>
      </c>
    </row>
    <row r="86" spans="1:3">
      <c r="A86" s="35" t="s">
        <v>249</v>
      </c>
      <c r="B86" s="35" t="s">
        <v>250</v>
      </c>
      <c r="C86" s="54">
        <v>5.6</v>
      </c>
    </row>
    <row r="87" spans="1:3">
      <c r="A87" s="35" t="s">
        <v>220</v>
      </c>
      <c r="B87" s="35" t="s">
        <v>221</v>
      </c>
      <c r="C87" s="54">
        <v>5.5</v>
      </c>
    </row>
    <row r="88" spans="1:3">
      <c r="A88" s="35" t="s">
        <v>232</v>
      </c>
      <c r="B88" s="35" t="s">
        <v>233</v>
      </c>
      <c r="C88" s="54">
        <v>5.4</v>
      </c>
    </row>
    <row r="89" spans="1:3">
      <c r="A89" s="35" t="s">
        <v>181</v>
      </c>
      <c r="B89" s="35" t="s">
        <v>182</v>
      </c>
      <c r="C89" s="54">
        <v>4.5999999999999996</v>
      </c>
    </row>
    <row r="90" spans="1:3">
      <c r="A90" s="35" t="s">
        <v>351</v>
      </c>
      <c r="B90" s="35" t="s">
        <v>351</v>
      </c>
      <c r="C90" s="54">
        <v>4.5999999999999996</v>
      </c>
    </row>
    <row r="91" spans="1:3">
      <c r="A91" s="35" t="s">
        <v>240</v>
      </c>
      <c r="B91" s="35" t="s">
        <v>241</v>
      </c>
      <c r="C91" s="54">
        <v>4.5</v>
      </c>
    </row>
    <row r="92" spans="1:3">
      <c r="A92" s="35" t="s">
        <v>248</v>
      </c>
      <c r="B92" s="35" t="s">
        <v>248</v>
      </c>
      <c r="C92" s="54">
        <v>4.5</v>
      </c>
    </row>
    <row r="93" spans="1:3">
      <c r="A93" s="35" t="s">
        <v>254</v>
      </c>
      <c r="B93" s="35" t="s">
        <v>254</v>
      </c>
      <c r="C93" s="54">
        <v>4.5</v>
      </c>
    </row>
    <row r="94" spans="1:3">
      <c r="A94" s="35" t="s">
        <v>192</v>
      </c>
      <c r="B94" s="35" t="s">
        <v>192</v>
      </c>
      <c r="C94" s="54">
        <v>4.1900000000000004</v>
      </c>
    </row>
    <row r="95" spans="1:3">
      <c r="A95" s="35" t="s">
        <v>226</v>
      </c>
      <c r="B95" s="35" t="s">
        <v>226</v>
      </c>
      <c r="C95" s="54">
        <v>3.7</v>
      </c>
    </row>
    <row r="96" spans="1:3">
      <c r="A96" s="35" t="s">
        <v>360</v>
      </c>
      <c r="B96" s="35" t="s">
        <v>361</v>
      </c>
      <c r="C96" s="54">
        <v>3.7</v>
      </c>
    </row>
    <row r="97" spans="1:3">
      <c r="A97" s="35" t="s">
        <v>363</v>
      </c>
      <c r="B97" s="35" t="s">
        <v>364</v>
      </c>
      <c r="C97" s="54">
        <v>3.6</v>
      </c>
    </row>
    <row r="98" spans="1:3">
      <c r="A98" s="35" t="s">
        <v>336</v>
      </c>
      <c r="B98" s="35" t="s">
        <v>337</v>
      </c>
      <c r="C98" s="54">
        <v>3.3</v>
      </c>
    </row>
    <row r="99" spans="1:3">
      <c r="A99" s="35" t="s">
        <v>279</v>
      </c>
      <c r="B99" s="35" t="s">
        <v>280</v>
      </c>
      <c r="C99" s="54">
        <v>3.2</v>
      </c>
    </row>
    <row r="100" spans="1:3">
      <c r="A100" s="35" t="s">
        <v>357</v>
      </c>
      <c r="B100" s="35" t="s">
        <v>357</v>
      </c>
      <c r="C100" s="54">
        <v>3.01</v>
      </c>
    </row>
    <row r="101" spans="1:3">
      <c r="A101" s="35" t="s">
        <v>303</v>
      </c>
      <c r="B101" s="35" t="s">
        <v>304</v>
      </c>
      <c r="C101" s="54">
        <v>3</v>
      </c>
    </row>
    <row r="102" spans="1:3">
      <c r="A102" s="35" t="s">
        <v>352</v>
      </c>
      <c r="B102" s="35" t="s">
        <v>353</v>
      </c>
      <c r="C102" s="54">
        <v>3</v>
      </c>
    </row>
    <row r="103" spans="1:3">
      <c r="A103" s="35" t="s">
        <v>358</v>
      </c>
      <c r="B103" s="35" t="s">
        <v>358</v>
      </c>
      <c r="C103" s="54">
        <v>3</v>
      </c>
    </row>
    <row r="104" spans="1:3">
      <c r="A104" s="35" t="s">
        <v>371</v>
      </c>
      <c r="B104" s="35" t="s">
        <v>372</v>
      </c>
      <c r="C104" s="54">
        <v>3</v>
      </c>
    </row>
    <row r="105" spans="1:3">
      <c r="A105" s="35" t="s">
        <v>331</v>
      </c>
      <c r="B105" s="35" t="s">
        <v>332</v>
      </c>
      <c r="C105" s="54">
        <v>2.9</v>
      </c>
    </row>
    <row r="106" spans="1:3">
      <c r="A106" s="35" t="s">
        <v>230</v>
      </c>
      <c r="B106" s="35" t="s">
        <v>230</v>
      </c>
      <c r="C106" s="54">
        <v>2.8</v>
      </c>
    </row>
    <row r="107" spans="1:3">
      <c r="A107" s="35" t="s">
        <v>257</v>
      </c>
      <c r="B107" s="35" t="s">
        <v>257</v>
      </c>
      <c r="C107" s="54">
        <v>2.63</v>
      </c>
    </row>
    <row r="108" spans="1:3">
      <c r="A108" s="35" t="s">
        <v>195</v>
      </c>
      <c r="B108" s="35" t="s">
        <v>196</v>
      </c>
      <c r="C108" s="54">
        <v>2.5</v>
      </c>
    </row>
    <row r="109" spans="1:3">
      <c r="A109" s="35" t="s">
        <v>317</v>
      </c>
      <c r="B109" s="35" t="s">
        <v>318</v>
      </c>
      <c r="C109" s="54">
        <v>2.4</v>
      </c>
    </row>
    <row r="110" spans="1:3">
      <c r="A110" s="35" t="s">
        <v>319</v>
      </c>
      <c r="B110" s="35" t="s">
        <v>320</v>
      </c>
      <c r="C110" s="54">
        <v>2.2999999999999998</v>
      </c>
    </row>
    <row r="111" spans="1:3">
      <c r="A111" s="35" t="s">
        <v>243</v>
      </c>
      <c r="B111" s="35" t="s">
        <v>243</v>
      </c>
      <c r="C111" s="54">
        <v>2.1</v>
      </c>
    </row>
    <row r="112" spans="1:3">
      <c r="A112" s="35" t="s">
        <v>277</v>
      </c>
      <c r="B112" s="35" t="s">
        <v>277</v>
      </c>
      <c r="C112" s="54">
        <v>2</v>
      </c>
    </row>
    <row r="113" spans="1:3">
      <c r="A113" s="35" t="s">
        <v>268</v>
      </c>
      <c r="B113" s="35" t="s">
        <v>269</v>
      </c>
      <c r="C113" s="54">
        <v>2</v>
      </c>
    </row>
    <row r="114" spans="1:3">
      <c r="A114" s="35" t="s">
        <v>287</v>
      </c>
      <c r="B114" s="35" t="s">
        <v>288</v>
      </c>
      <c r="C114" s="54">
        <v>2</v>
      </c>
    </row>
    <row r="115" spans="1:3">
      <c r="A115" s="35" t="s">
        <v>388</v>
      </c>
      <c r="B115" s="35" t="s">
        <v>388</v>
      </c>
      <c r="C115" s="54">
        <v>1.8</v>
      </c>
    </row>
    <row r="116" spans="1:3">
      <c r="A116" s="35" t="s">
        <v>189</v>
      </c>
      <c r="B116" s="35" t="s">
        <v>190</v>
      </c>
      <c r="C116" s="54">
        <v>1.8</v>
      </c>
    </row>
    <row r="117" spans="1:3">
      <c r="A117" s="35" t="s">
        <v>224</v>
      </c>
      <c r="B117" s="35" t="s">
        <v>225</v>
      </c>
      <c r="C117" s="54">
        <v>1.8</v>
      </c>
    </row>
    <row r="118" spans="1:3">
      <c r="A118" s="35" t="s">
        <v>235</v>
      </c>
      <c r="B118" s="35" t="s">
        <v>236</v>
      </c>
      <c r="C118" s="54">
        <v>1.8</v>
      </c>
    </row>
    <row r="119" spans="1:3">
      <c r="A119" s="35" t="s">
        <v>255</v>
      </c>
      <c r="B119" s="35" t="s">
        <v>256</v>
      </c>
      <c r="C119" s="54">
        <v>1.8</v>
      </c>
    </row>
    <row r="120" spans="1:3">
      <c r="A120" s="35" t="s">
        <v>296</v>
      </c>
      <c r="B120" s="35" t="s">
        <v>297</v>
      </c>
      <c r="C120" s="54">
        <v>1.8</v>
      </c>
    </row>
    <row r="121" spans="1:3">
      <c r="A121" s="35" t="s">
        <v>344</v>
      </c>
      <c r="B121" s="35" t="s">
        <v>345</v>
      </c>
      <c r="C121" s="54">
        <v>1.8</v>
      </c>
    </row>
    <row r="122" spans="1:3">
      <c r="A122" s="35" t="s">
        <v>348</v>
      </c>
      <c r="B122" s="35" t="s">
        <v>349</v>
      </c>
      <c r="C122" s="54">
        <v>1.8</v>
      </c>
    </row>
    <row r="123" spans="1:3">
      <c r="A123" s="35" t="s">
        <v>382</v>
      </c>
      <c r="B123" s="35" t="s">
        <v>383</v>
      </c>
      <c r="C123" s="54">
        <v>1.8</v>
      </c>
    </row>
    <row r="124" spans="1:3">
      <c r="A124" s="35" t="s">
        <v>369</v>
      </c>
      <c r="B124" s="35" t="s">
        <v>370</v>
      </c>
      <c r="C124" s="54">
        <v>1.8</v>
      </c>
    </row>
    <row r="125" spans="1:3">
      <c r="A125" s="35" t="s">
        <v>252</v>
      </c>
      <c r="B125" s="35" t="s">
        <v>253</v>
      </c>
      <c r="C125" s="54">
        <v>1.6</v>
      </c>
    </row>
    <row r="126" spans="1:3">
      <c r="A126" s="35" t="s">
        <v>338</v>
      </c>
      <c r="B126" s="35" t="s">
        <v>339</v>
      </c>
      <c r="C126" s="54">
        <v>1.6</v>
      </c>
    </row>
    <row r="127" spans="1:3">
      <c r="A127" s="35" t="s">
        <v>197</v>
      </c>
      <c r="B127" s="35" t="s">
        <v>198</v>
      </c>
      <c r="C127" s="54">
        <v>1.5</v>
      </c>
    </row>
    <row r="128" spans="1:3">
      <c r="A128" s="35" t="s">
        <v>300</v>
      </c>
      <c r="B128" s="35" t="s">
        <v>301</v>
      </c>
      <c r="C128" s="54">
        <v>1.5</v>
      </c>
    </row>
    <row r="129" spans="1:3">
      <c r="A129" s="35" t="s">
        <v>373</v>
      </c>
      <c r="B129" s="35" t="s">
        <v>374</v>
      </c>
      <c r="C129" s="54">
        <v>1.5</v>
      </c>
    </row>
    <row r="130" spans="1:3">
      <c r="A130" s="35" t="s">
        <v>350</v>
      </c>
      <c r="B130" s="35" t="s">
        <v>350</v>
      </c>
      <c r="C130" s="54">
        <v>1.42</v>
      </c>
    </row>
    <row r="131" spans="1:3">
      <c r="A131" s="35" t="s">
        <v>227</v>
      </c>
      <c r="B131" s="35" t="s">
        <v>228</v>
      </c>
      <c r="C131" s="54">
        <v>1.4</v>
      </c>
    </row>
    <row r="132" spans="1:3">
      <c r="A132" s="35" t="s">
        <v>185</v>
      </c>
      <c r="B132" s="35" t="s">
        <v>186</v>
      </c>
      <c r="C132" s="54">
        <v>1.3</v>
      </c>
    </row>
    <row r="133" spans="1:3">
      <c r="A133" s="35" t="s">
        <v>191</v>
      </c>
      <c r="B133" s="35" t="s">
        <v>191</v>
      </c>
      <c r="C133" s="54">
        <v>1.2</v>
      </c>
    </row>
    <row r="134" spans="1:3">
      <c r="A134" s="35" t="s">
        <v>231</v>
      </c>
      <c r="B134" s="35" t="s">
        <v>231</v>
      </c>
      <c r="C134" s="54">
        <v>1.2</v>
      </c>
    </row>
    <row r="135" spans="1:3">
      <c r="A135" s="35" t="s">
        <v>284</v>
      </c>
      <c r="B135" s="35" t="s">
        <v>284</v>
      </c>
      <c r="C135" s="54">
        <v>1.2</v>
      </c>
    </row>
    <row r="136" spans="1:3">
      <c r="A136" s="35" t="s">
        <v>282</v>
      </c>
      <c r="B136" s="35" t="s">
        <v>283</v>
      </c>
      <c r="C136" s="54">
        <v>1.2</v>
      </c>
    </row>
    <row r="137" spans="1:3">
      <c r="A137" s="35" t="s">
        <v>340</v>
      </c>
      <c r="B137" s="35" t="s">
        <v>341</v>
      </c>
      <c r="C137" s="54">
        <v>1.2</v>
      </c>
    </row>
    <row r="138" spans="1:3">
      <c r="A138" s="35" t="s">
        <v>380</v>
      </c>
      <c r="B138" s="35" t="s">
        <v>381</v>
      </c>
      <c r="C138" s="54">
        <v>1.2</v>
      </c>
    </row>
    <row r="139" spans="1:3">
      <c r="A139" s="35" t="s">
        <v>201</v>
      </c>
      <c r="B139" s="35" t="s">
        <v>202</v>
      </c>
      <c r="C139" s="54">
        <v>1.1000000000000001</v>
      </c>
    </row>
    <row r="140" spans="1:3">
      <c r="A140" s="35" t="s">
        <v>384</v>
      </c>
      <c r="B140" s="35" t="s">
        <v>385</v>
      </c>
      <c r="C140" s="54">
        <v>1</v>
      </c>
    </row>
    <row r="141" spans="1:3">
      <c r="A141" s="35" t="s">
        <v>218</v>
      </c>
      <c r="B141" s="35" t="s">
        <v>219</v>
      </c>
      <c r="C141" s="54">
        <v>1</v>
      </c>
    </row>
    <row r="142" spans="1:3">
      <c r="A142" s="35" t="s">
        <v>251</v>
      </c>
      <c r="B142" s="35" t="s">
        <v>251</v>
      </c>
      <c r="C142" s="54">
        <v>1</v>
      </c>
    </row>
    <row r="143" spans="1:3">
      <c r="A143" s="35" t="s">
        <v>306</v>
      </c>
      <c r="B143" s="35" t="s">
        <v>307</v>
      </c>
      <c r="C143" s="54">
        <v>1</v>
      </c>
    </row>
    <row r="144" spans="1:3">
      <c r="A144" s="35" t="s">
        <v>264</v>
      </c>
      <c r="B144" s="35" t="s">
        <v>265</v>
      </c>
      <c r="C144" s="54">
        <v>0.9</v>
      </c>
    </row>
    <row r="145" spans="1:4">
      <c r="A145" s="35" t="s">
        <v>315</v>
      </c>
      <c r="B145" s="35" t="s">
        <v>316</v>
      </c>
      <c r="C145" s="54">
        <v>0.9</v>
      </c>
    </row>
    <row r="146" spans="1:4">
      <c r="A146" s="35" t="s">
        <v>368</v>
      </c>
      <c r="B146" s="35" t="s">
        <v>368</v>
      </c>
      <c r="C146" s="54">
        <v>0.75</v>
      </c>
    </row>
    <row r="147" spans="1:4">
      <c r="A147" s="35" t="s">
        <v>346</v>
      </c>
      <c r="B147" s="35" t="s">
        <v>347</v>
      </c>
      <c r="C147" s="54">
        <v>0.7</v>
      </c>
    </row>
    <row r="149" spans="1:4">
      <c r="A149" s="35" t="s">
        <v>401</v>
      </c>
      <c r="C149" s="6">
        <f>SUM(C11:C147)</f>
        <v>3232.7000000000021</v>
      </c>
    </row>
    <row r="150" spans="1:4">
      <c r="A150" s="35" t="s">
        <v>391</v>
      </c>
      <c r="C150" s="6">
        <f>SUM(C11:C19)</f>
        <v>1254.7</v>
      </c>
      <c r="D150" s="11">
        <f>C150/$C$149</f>
        <v>0.38812757137996079</v>
      </c>
    </row>
    <row r="151" spans="1:4">
      <c r="A151" s="35" t="s">
        <v>817</v>
      </c>
      <c r="C151" s="6">
        <f>SUM(C11:C30)</f>
        <v>2035.6000000000001</v>
      </c>
      <c r="D151" s="11">
        <f>C151/$C$149</f>
        <v>0.62969035171837751</v>
      </c>
    </row>
    <row r="152" spans="1:4">
      <c r="A152" s="35" t="s">
        <v>395</v>
      </c>
      <c r="C152" s="6">
        <f>SUM(C11:C52)</f>
        <v>2730.7000000000007</v>
      </c>
      <c r="D152" s="11">
        <f>C152/$C$149</f>
        <v>0.84471185077489375</v>
      </c>
    </row>
    <row r="153" spans="1:4">
      <c r="A153" s="35" t="s">
        <v>392</v>
      </c>
      <c r="C153" s="6">
        <f>SUM(C11:C69)</f>
        <v>2969.7000000000003</v>
      </c>
      <c r="D153" s="11">
        <f>C153/$C$149</f>
        <v>0.91864385807529259</v>
      </c>
    </row>
    <row r="154" spans="1:4">
      <c r="A154" s="35" t="s">
        <v>402</v>
      </c>
      <c r="C154" s="6">
        <f>C153-C64</f>
        <v>2957.7000000000003</v>
      </c>
      <c r="D154" s="11">
        <f>C154/$C$149</f>
        <v>0.91493179076313869</v>
      </c>
    </row>
  </sheetData>
  <autoFilter ref="A10:E147" xr:uid="{E5B824A2-270A-41FB-A39C-974F5EE4A6C1}">
    <sortState xmlns:xlrd2="http://schemas.microsoft.com/office/spreadsheetml/2017/richdata2" ref="A11:E147">
      <sortCondition descending="1" ref="C10:C147"/>
    </sortState>
  </autoFilter>
  <sortState xmlns:xlrd2="http://schemas.microsoft.com/office/spreadsheetml/2017/richdata2" ref="M11:O147">
    <sortCondition ref="M11:M147"/>
  </sortState>
  <mergeCells count="2">
    <mergeCell ref="A9:C9"/>
    <mergeCell ref="D9:E9"/>
  </mergeCells>
  <hyperlinks>
    <hyperlink ref="B2" r:id="rId1" display="https://energiavirasto.fi/toimitusvarmuus" xr:uid="{57BA0B50-E2D3-4E17-8CF2-2A245B4FD1BD}"/>
  </hyperlinks>
  <pageMargins left="0.7" right="0.7" top="0.75" bottom="0.75" header="0.3" footer="0.3"/>
  <tableParts count="2">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0EE52-27A3-419F-AA10-D99200E12D7C}">
  <sheetPr>
    <tabColor rgb="FF00CC00"/>
  </sheetPr>
  <dimension ref="A1:S85"/>
  <sheetViews>
    <sheetView topLeftCell="F1" zoomScaleNormal="100" workbookViewId="0">
      <selection activeCell="O29" sqref="O29"/>
    </sheetView>
  </sheetViews>
  <sheetFormatPr defaultColWidth="8.88671875" defaultRowHeight="14.4"/>
  <cols>
    <col min="1" max="1" width="13.6640625" style="1" customWidth="1"/>
    <col min="2" max="2" width="9.5546875" style="1" customWidth="1"/>
    <col min="3" max="3" width="18.33203125" style="1" bestFit="1" customWidth="1"/>
    <col min="4" max="4" width="10.6640625" style="35" bestFit="1" customWidth="1"/>
    <col min="5" max="6" width="14.109375" style="35" customWidth="1"/>
    <col min="7" max="7" width="14.109375" style="1" customWidth="1"/>
    <col min="8" max="8" width="8.88671875" style="100"/>
    <col min="9" max="9" width="3.33203125" style="1" customWidth="1"/>
    <col min="10" max="10" width="19.88671875" style="1" customWidth="1"/>
    <col min="11" max="11" width="11.44140625" style="1" customWidth="1"/>
    <col min="12" max="12" width="9.44140625" style="1" customWidth="1"/>
    <col min="13" max="13" width="5.44140625" style="1" bestFit="1" customWidth="1"/>
    <col min="14" max="14" width="20.33203125" style="1" customWidth="1"/>
    <col min="15" max="15" width="9.44140625" style="1" customWidth="1"/>
    <col min="16" max="16" width="8.88671875" style="1"/>
    <col min="17" max="17" width="8.88671875" style="1" customWidth="1"/>
    <col min="18" max="18" width="3.44140625" style="1" customWidth="1"/>
    <col min="19" max="16384" width="8.88671875" style="1"/>
  </cols>
  <sheetData>
    <row r="1" spans="1:19">
      <c r="A1" s="65" t="s">
        <v>1177</v>
      </c>
      <c r="B1" s="36" t="s">
        <v>859</v>
      </c>
      <c r="C1" s="36"/>
      <c r="D1" s="36"/>
      <c r="E1" s="97"/>
      <c r="F1" s="97" t="s">
        <v>175</v>
      </c>
      <c r="G1" s="36"/>
      <c r="H1" s="134"/>
      <c r="I1" s="36"/>
      <c r="J1" s="36"/>
      <c r="K1" s="36"/>
      <c r="L1" s="36"/>
      <c r="N1" s="65" t="s">
        <v>1178</v>
      </c>
      <c r="O1" s="65" t="s">
        <v>1159</v>
      </c>
      <c r="P1" s="36"/>
      <c r="Q1" s="36"/>
      <c r="S1" s="216" t="s">
        <v>1392</v>
      </c>
    </row>
    <row r="2" spans="1:19">
      <c r="A2" s="98" t="s">
        <v>396</v>
      </c>
      <c r="B2" s="98" t="s">
        <v>1132</v>
      </c>
      <c r="C2" s="45"/>
      <c r="D2" s="98"/>
      <c r="E2" s="98"/>
      <c r="F2" s="98"/>
      <c r="G2" s="45"/>
      <c r="H2" s="46"/>
      <c r="I2" s="45"/>
      <c r="J2" s="45"/>
      <c r="K2" s="45"/>
      <c r="L2" s="45"/>
      <c r="N2" s="14" t="s">
        <v>1191</v>
      </c>
      <c r="O2" s="14" t="s">
        <v>1160</v>
      </c>
      <c r="P2" s="14" t="s">
        <v>1158</v>
      </c>
      <c r="Q2" s="14" t="s">
        <v>1157</v>
      </c>
      <c r="S2" s="1" t="s">
        <v>1391</v>
      </c>
    </row>
    <row r="3" spans="1:19">
      <c r="A3" s="45" t="s">
        <v>397</v>
      </c>
      <c r="B3" s="45" t="s">
        <v>1133</v>
      </c>
      <c r="C3" s="45"/>
      <c r="D3" s="98"/>
      <c r="E3" s="98"/>
      <c r="F3" s="98"/>
      <c r="G3" s="45"/>
      <c r="H3" s="46"/>
      <c r="I3" s="45"/>
      <c r="J3" s="45"/>
      <c r="K3" s="45"/>
      <c r="L3" s="45"/>
      <c r="N3" s="1" t="s">
        <v>894</v>
      </c>
      <c r="O3" s="9">
        <v>7056.656097907563</v>
      </c>
      <c r="P3" s="10">
        <v>2822.6624391630253</v>
      </c>
      <c r="Q3" s="9">
        <v>4233.9936587445382</v>
      </c>
    </row>
    <row r="4" spans="1:19">
      <c r="N4" s="1" t="s">
        <v>895</v>
      </c>
      <c r="O4" s="9">
        <v>357.53724229398318</v>
      </c>
      <c r="P4" s="10">
        <v>143.01489691759329</v>
      </c>
      <c r="Q4" s="9">
        <v>214.52234537638995</v>
      </c>
    </row>
    <row r="5" spans="1:19">
      <c r="A5" s="14" t="s">
        <v>177</v>
      </c>
      <c r="B5" s="14" t="s">
        <v>178</v>
      </c>
      <c r="C5" s="14" t="s">
        <v>24</v>
      </c>
      <c r="D5" s="127" t="s">
        <v>58</v>
      </c>
      <c r="E5" s="127" t="s">
        <v>1012</v>
      </c>
      <c r="F5" s="101" t="s">
        <v>1013</v>
      </c>
      <c r="G5" s="101" t="s">
        <v>1014</v>
      </c>
      <c r="H5" s="127" t="s">
        <v>1134</v>
      </c>
      <c r="J5" s="45" t="s">
        <v>1138</v>
      </c>
      <c r="K5" s="45" t="s">
        <v>1139</v>
      </c>
      <c r="L5" s="45"/>
      <c r="P5" s="6">
        <f>P3+P4</f>
        <v>2965.6773360806187</v>
      </c>
    </row>
    <row r="6" spans="1:19">
      <c r="A6" s="35" t="s">
        <v>962</v>
      </c>
      <c r="B6" s="1" t="s">
        <v>962</v>
      </c>
      <c r="C6" s="107" t="s">
        <v>119</v>
      </c>
      <c r="D6" s="138">
        <v>280</v>
      </c>
      <c r="E6" s="100" t="s">
        <v>1024</v>
      </c>
      <c r="G6" s="131" t="s">
        <v>1137</v>
      </c>
      <c r="H6" s="135" t="str">
        <f>IF(ISNUMBER(MATCH(P_ind[[#This Row],[Main fuel]],$J$29:$J$42,0)),"RE","non-RE")</f>
        <v>RE</v>
      </c>
      <c r="I6" s="130"/>
      <c r="J6" s="98" t="s">
        <v>1162</v>
      </c>
      <c r="K6" s="45"/>
      <c r="L6" s="45"/>
    </row>
    <row r="7" spans="1:19">
      <c r="A7" s="35" t="s">
        <v>898</v>
      </c>
      <c r="B7" s="1" t="s">
        <v>965</v>
      </c>
      <c r="C7" s="107" t="s">
        <v>121</v>
      </c>
      <c r="D7" s="138">
        <v>240</v>
      </c>
      <c r="E7" s="100" t="s">
        <v>1015</v>
      </c>
      <c r="F7" s="35" t="s">
        <v>1018</v>
      </c>
      <c r="G7" s="35" t="s">
        <v>1016</v>
      </c>
      <c r="H7" s="135" t="str">
        <f>IF(ISNUMBER(MATCH(P_ind[[#This Row],[Main fuel]],$J$29:$J$42,0)),"RE","non-RE")</f>
        <v>RE</v>
      </c>
      <c r="I7" s="130"/>
      <c r="J7" s="35" t="str" cm="1">
        <f t="array" ref="J7:J26">_xlfn.UNIQUE(_xlfn.TOCOL(P_ind[[Main fuel]:[Standby fuel 2]], 1))</f>
        <v>Black liquor and concentrated liquors</v>
      </c>
      <c r="K7" s="102" t="s">
        <v>393</v>
      </c>
      <c r="N7" s="14" t="s">
        <v>1193</v>
      </c>
      <c r="O7" s="14"/>
      <c r="P7" s="22">
        <v>1.61</v>
      </c>
    </row>
    <row r="8" spans="1:19">
      <c r="A8" s="35" t="s">
        <v>919</v>
      </c>
      <c r="B8" s="1" t="s">
        <v>918</v>
      </c>
      <c r="C8" s="107" t="s">
        <v>125</v>
      </c>
      <c r="D8" s="138">
        <v>228</v>
      </c>
      <c r="E8" s="100" t="s">
        <v>1024</v>
      </c>
      <c r="F8" s="35" t="s">
        <v>1027</v>
      </c>
      <c r="G8" s="35"/>
      <c r="H8" s="135" t="str">
        <f>IF(ISNUMBER(MATCH(P_ind[[#This Row],[Main fuel]],$J$29:$J$42,0)),"RE","non-RE")</f>
        <v>RE</v>
      </c>
      <c r="I8" s="130"/>
      <c r="J8" s="35" t="str">
        <v/>
      </c>
      <c r="K8" s="102" t="s">
        <v>1131</v>
      </c>
      <c r="N8" s="14" t="s">
        <v>1393</v>
      </c>
      <c r="O8" s="14"/>
      <c r="P8" s="22">
        <v>0.4</v>
      </c>
    </row>
    <row r="9" spans="1:19">
      <c r="A9" s="35" t="s">
        <v>184</v>
      </c>
      <c r="B9" s="1" t="s">
        <v>966</v>
      </c>
      <c r="C9" s="107" t="s">
        <v>9</v>
      </c>
      <c r="D9" s="138">
        <v>160.5</v>
      </c>
      <c r="E9" s="100" t="s">
        <v>1016</v>
      </c>
      <c r="F9" s="131" t="s">
        <v>1137</v>
      </c>
      <c r="G9" s="35"/>
      <c r="H9" s="135" t="str">
        <f>IF(ISNUMBER(MATCH(P_ind[[#This Row],[Main fuel]],$J$29:$J$42,0)),"RE","non-RE")</f>
        <v>RE</v>
      </c>
      <c r="I9" s="130"/>
      <c r="J9" s="35" t="str">
        <v>Peat</v>
      </c>
      <c r="K9" s="102" t="s">
        <v>1131</v>
      </c>
    </row>
    <row r="10" spans="1:19">
      <c r="A10" s="35" t="s">
        <v>915</v>
      </c>
      <c r="B10" s="1" t="s">
        <v>915</v>
      </c>
      <c r="C10" s="107" t="s">
        <v>118</v>
      </c>
      <c r="D10" s="138">
        <v>134</v>
      </c>
      <c r="E10" s="100" t="s">
        <v>1024</v>
      </c>
      <c r="F10" s="35" t="s">
        <v>1016</v>
      </c>
      <c r="G10" s="35" t="s">
        <v>1023</v>
      </c>
      <c r="H10" s="135" t="str">
        <f>IF(ISNUMBER(MATCH(P_ind[[#This Row],[Main fuel]],$J$29:$J$42,0)),"RE","non-RE")</f>
        <v>RE</v>
      </c>
      <c r="I10" s="130"/>
      <c r="J10" s="35" t="str">
        <v>Hard coal and anthracite</v>
      </c>
      <c r="K10" s="102" t="s">
        <v>394</v>
      </c>
      <c r="N10" s="14" t="s">
        <v>3218</v>
      </c>
      <c r="O10" s="14"/>
      <c r="P10" s="104">
        <f>D_heat!V8/0.00876</f>
        <v>72.651177863348281</v>
      </c>
    </row>
    <row r="11" spans="1:19" ht="15" customHeight="1">
      <c r="A11" s="35" t="s">
        <v>922</v>
      </c>
      <c r="B11" s="1" t="s">
        <v>985</v>
      </c>
      <c r="C11" s="107" t="s">
        <v>3</v>
      </c>
      <c r="D11" s="138">
        <v>128</v>
      </c>
      <c r="E11" s="100" t="s">
        <v>1023</v>
      </c>
      <c r="F11" s="35" t="s">
        <v>1020</v>
      </c>
      <c r="G11" s="131" t="s">
        <v>1137</v>
      </c>
      <c r="H11" s="135" t="str">
        <f>IF(ISNUMBER(MATCH(P_ind[[#This Row],[Main fuel]],$J$29:$J$42,0)),"RE","non-RE")</f>
        <v>non-RE</v>
      </c>
      <c r="I11" s="130"/>
      <c r="J11" s="35" t="str">
        <v>Industrial wood residues</v>
      </c>
      <c r="K11" s="102" t="s">
        <v>393</v>
      </c>
    </row>
    <row r="12" spans="1:19">
      <c r="A12" s="35" t="s">
        <v>933</v>
      </c>
      <c r="B12" s="1" t="s">
        <v>933</v>
      </c>
      <c r="C12" s="107" t="s">
        <v>124</v>
      </c>
      <c r="D12" s="138">
        <v>105</v>
      </c>
      <c r="E12" s="100" t="s">
        <v>1024</v>
      </c>
      <c r="F12" s="35" t="s">
        <v>1016</v>
      </c>
      <c r="G12" s="35" t="s">
        <v>1015</v>
      </c>
      <c r="H12" s="135" t="str">
        <f>IF(ISNUMBER(MATCH(P_ind[[#This Row],[Main fuel]],$J$29:$J$42,0)),"RE","non-RE")</f>
        <v>RE</v>
      </c>
      <c r="I12" s="130"/>
      <c r="J12" s="35" t="str">
        <v>By-products from wood processing industry</v>
      </c>
      <c r="K12" s="102" t="s">
        <v>393</v>
      </c>
    </row>
    <row r="13" spans="1:19">
      <c r="A13" s="35" t="s">
        <v>954</v>
      </c>
      <c r="B13" s="1" t="s">
        <v>1005</v>
      </c>
      <c r="C13" s="107" t="s">
        <v>122</v>
      </c>
      <c r="D13" s="138">
        <v>105</v>
      </c>
      <c r="E13" s="100" t="s">
        <v>1024</v>
      </c>
      <c r="F13" s="35" t="s">
        <v>1016</v>
      </c>
      <c r="G13" s="35" t="s">
        <v>1017</v>
      </c>
      <c r="H13" s="135" t="str">
        <f>IF(ISNUMBER(MATCH(P_ind[[#This Row],[Main fuel]],$J$29:$J$42,0)),"RE","non-RE")</f>
        <v>RE</v>
      </c>
      <c r="I13" s="130"/>
      <c r="J13" s="35" t="str">
        <v>Natural gas</v>
      </c>
      <c r="K13" s="102" t="s">
        <v>394</v>
      </c>
      <c r="N13" s="65" t="s">
        <v>1180</v>
      </c>
      <c r="O13" s="36"/>
      <c r="P13" s="36"/>
      <c r="Q13" s="36"/>
    </row>
    <row r="14" spans="1:19">
      <c r="A14" s="35" t="s">
        <v>934</v>
      </c>
      <c r="B14" s="1" t="s">
        <v>994</v>
      </c>
      <c r="C14" s="107" t="s">
        <v>121</v>
      </c>
      <c r="D14" s="138">
        <v>95</v>
      </c>
      <c r="E14" s="100" t="s">
        <v>1024</v>
      </c>
      <c r="F14" s="35" t="s">
        <v>1017</v>
      </c>
      <c r="G14" s="35" t="s">
        <v>1028</v>
      </c>
      <c r="H14" s="135" t="str">
        <f>IF(ISNUMBER(MATCH(P_ind[[#This Row],[Main fuel]],$J$29:$J$42,0)),"RE","non-RE")</f>
        <v>RE</v>
      </c>
      <c r="I14" s="130"/>
      <c r="J14" s="35" t="str">
        <v>Medium heavy distillates</v>
      </c>
      <c r="K14" s="102" t="s">
        <v>394</v>
      </c>
      <c r="N14" s="98" t="s">
        <v>1165</v>
      </c>
      <c r="O14" s="98"/>
      <c r="P14" s="98"/>
      <c r="Q14" s="98"/>
    </row>
    <row r="15" spans="1:19" ht="15" customHeight="1">
      <c r="A15" s="35" t="s">
        <v>939</v>
      </c>
      <c r="B15" s="1" t="s">
        <v>939</v>
      </c>
      <c r="C15" s="107" t="s">
        <v>124</v>
      </c>
      <c r="D15" s="138">
        <v>94</v>
      </c>
      <c r="E15" s="100" t="s">
        <v>1029</v>
      </c>
      <c r="F15" s="35" t="s">
        <v>1030</v>
      </c>
      <c r="G15" s="35" t="s">
        <v>1023</v>
      </c>
      <c r="H15" s="135" t="str">
        <f>IF(ISNUMBER(MATCH(P_ind[[#This Row],[Main fuel]],$J$29:$J$42,0)),"RE","non-RE")</f>
        <v>RE</v>
      </c>
      <c r="I15" s="130"/>
      <c r="J15" s="35" t="str">
        <v>Heavy distillates</v>
      </c>
      <c r="K15" s="102" t="s">
        <v>394</v>
      </c>
      <c r="N15" s="98" t="s">
        <v>1163</v>
      </c>
      <c r="O15" s="98"/>
      <c r="P15" s="98"/>
      <c r="Q15" s="98"/>
    </row>
    <row r="16" spans="1:19">
      <c r="A16" s="35" t="s">
        <v>929</v>
      </c>
      <c r="B16" s="1" t="s">
        <v>990</v>
      </c>
      <c r="C16" s="107" t="s">
        <v>9</v>
      </c>
      <c r="D16" s="138">
        <v>87</v>
      </c>
      <c r="E16" s="100" t="s">
        <v>1024</v>
      </c>
      <c r="F16" s="35" t="s">
        <v>1023</v>
      </c>
      <c r="G16" s="35" t="s">
        <v>1017</v>
      </c>
      <c r="H16" s="135" t="str">
        <f>IF(ISNUMBER(MATCH(P_ind[[#This Row],[Main fuel]],$J$29:$J$42,0)),"RE","non-RE")</f>
        <v>RE</v>
      </c>
      <c r="I16" s="130"/>
      <c r="J16" s="35" t="str">
        <v>Bioliquids</v>
      </c>
      <c r="K16" s="102" t="s">
        <v>393</v>
      </c>
      <c r="N16" s="98" t="s">
        <v>1166</v>
      </c>
      <c r="O16" s="98"/>
      <c r="P16" s="98"/>
      <c r="Q16" s="98"/>
    </row>
    <row r="17" spans="1:17">
      <c r="A17" s="35" t="s">
        <v>909</v>
      </c>
      <c r="B17" s="1" t="s">
        <v>975</v>
      </c>
      <c r="C17" s="107" t="s">
        <v>118</v>
      </c>
      <c r="D17" s="138">
        <v>85</v>
      </c>
      <c r="E17" s="100" t="s">
        <v>1024</v>
      </c>
      <c r="F17" s="35" t="s">
        <v>1023</v>
      </c>
      <c r="G17" s="35"/>
      <c r="H17" s="135" t="str">
        <f>IF(ISNUMBER(MATCH(P_ind[[#This Row],[Main fuel]],$J$29:$J$42,0)),"RE","non-RE")</f>
        <v>RE</v>
      </c>
      <c r="I17" s="130"/>
      <c r="J17" s="35" t="str">
        <v>Blast furnace gas</v>
      </c>
      <c r="K17" s="102" t="s">
        <v>1131</v>
      </c>
      <c r="N17" s="344" t="s">
        <v>1164</v>
      </c>
      <c r="O17" s="344"/>
      <c r="P17" s="344"/>
      <c r="Q17" s="344"/>
    </row>
    <row r="18" spans="1:17" ht="14.4" customHeight="1">
      <c r="A18" s="35" t="s">
        <v>936</v>
      </c>
      <c r="B18" s="1" t="s">
        <v>996</v>
      </c>
      <c r="C18" s="107" t="s">
        <v>5</v>
      </c>
      <c r="D18" s="138">
        <v>81.400000000000006</v>
      </c>
      <c r="E18" s="143" t="s">
        <v>1137</v>
      </c>
      <c r="G18" s="35"/>
      <c r="H18" s="135" t="str">
        <f>IF(ISNUMBER(MATCH(P_ind[[#This Row],[Main fuel]],$J$29:$J$42,0)),"RE","non-RE")</f>
        <v>RE</v>
      </c>
      <c r="I18" s="130"/>
      <c r="J18" s="35" t="str">
        <v>Coke oven gas</v>
      </c>
      <c r="K18" s="102" t="s">
        <v>1131</v>
      </c>
      <c r="N18" s="344"/>
      <c r="O18" s="344"/>
      <c r="P18" s="344"/>
      <c r="Q18" s="344"/>
    </row>
    <row r="19" spans="1:17">
      <c r="A19" s="35" t="s">
        <v>917</v>
      </c>
      <c r="B19" s="1" t="s">
        <v>917</v>
      </c>
      <c r="C19" s="107" t="s">
        <v>19</v>
      </c>
      <c r="D19" s="138">
        <v>79.2</v>
      </c>
      <c r="E19" s="100" t="s">
        <v>1015</v>
      </c>
      <c r="F19" s="35" t="s">
        <v>1016</v>
      </c>
      <c r="G19" s="35" t="s">
        <v>1022</v>
      </c>
      <c r="H19" s="135" t="str">
        <f>IF(ISNUMBER(MATCH(P_ind[[#This Row],[Main fuel]],$J$29:$J$42,0)),"RE","non-RE")</f>
        <v>RE</v>
      </c>
      <c r="I19" s="130"/>
      <c r="J19" s="35" t="str">
        <v>Forest fuelwood</v>
      </c>
      <c r="K19" s="102" t="s">
        <v>393</v>
      </c>
      <c r="N19" s="344"/>
      <c r="O19" s="344"/>
      <c r="P19" s="344"/>
      <c r="Q19" s="344"/>
    </row>
    <row r="20" spans="1:17">
      <c r="A20" s="35" t="s">
        <v>928</v>
      </c>
      <c r="B20" s="1" t="s">
        <v>238</v>
      </c>
      <c r="C20" s="107" t="s">
        <v>9</v>
      </c>
      <c r="D20" s="138">
        <v>76</v>
      </c>
      <c r="E20" s="100" t="s">
        <v>1016</v>
      </c>
      <c r="F20" s="35" t="s">
        <v>1023</v>
      </c>
      <c r="G20" s="35" t="s">
        <v>1017</v>
      </c>
      <c r="H20" s="135" t="str">
        <f>IF(ISNUMBER(MATCH(P_ind[[#This Row],[Main fuel]],$J$29:$J$42,0)),"RE","non-RE")</f>
        <v>RE</v>
      </c>
      <c r="I20" s="130"/>
      <c r="J20" s="35" t="str">
        <v>Mixed fuels</v>
      </c>
      <c r="K20" s="102" t="s">
        <v>1131</v>
      </c>
      <c r="N20" s="125" t="s">
        <v>1167</v>
      </c>
      <c r="O20" s="125"/>
      <c r="P20" s="125"/>
      <c r="Q20" s="125"/>
    </row>
    <row r="21" spans="1:17">
      <c r="A21" s="35" t="s">
        <v>941</v>
      </c>
      <c r="B21" s="1" t="s">
        <v>997</v>
      </c>
      <c r="C21" s="107" t="s">
        <v>5</v>
      </c>
      <c r="D21" s="138">
        <v>75</v>
      </c>
      <c r="E21" s="100" t="s">
        <v>1024</v>
      </c>
      <c r="F21" s="35" t="s">
        <v>1017</v>
      </c>
      <c r="G21" s="131" t="s">
        <v>1137</v>
      </c>
      <c r="H21" s="135" t="str">
        <f>IF(ISNUMBER(MATCH(P_ind[[#This Row],[Main fuel]],$J$29:$J$42,0)),"RE","non-RE")</f>
        <v>RE</v>
      </c>
      <c r="I21" s="130"/>
      <c r="J21" s="35" t="str">
        <v>Other by-products and wastes used as fuel</v>
      </c>
      <c r="K21" s="102" t="s">
        <v>1131</v>
      </c>
      <c r="N21" s="345" t="s">
        <v>1168</v>
      </c>
      <c r="O21" s="345"/>
      <c r="P21" s="345"/>
      <c r="Q21" s="345"/>
    </row>
    <row r="22" spans="1:17">
      <c r="A22" s="35" t="s">
        <v>938</v>
      </c>
      <c r="B22" s="1" t="s">
        <v>938</v>
      </c>
      <c r="C22" s="107" t="s">
        <v>3</v>
      </c>
      <c r="D22" s="138">
        <v>72.599999999999994</v>
      </c>
      <c r="E22" s="100" t="s">
        <v>1023</v>
      </c>
      <c r="F22" s="35" t="s">
        <v>1020</v>
      </c>
      <c r="G22" s="35"/>
      <c r="H22" s="135" t="str">
        <f>IF(ISNUMBER(MATCH(P_ind[[#This Row],[Main fuel]],$J$29:$J$42,0)),"RE","non-RE")</f>
        <v>non-RE</v>
      </c>
      <c r="I22" s="130"/>
      <c r="J22" s="35" t="str">
        <v>Exothermic heat from industry</v>
      </c>
      <c r="K22" s="102" t="s">
        <v>1131</v>
      </c>
      <c r="N22" s="345"/>
      <c r="O22" s="345"/>
      <c r="P22" s="345"/>
      <c r="Q22" s="345"/>
    </row>
    <row r="23" spans="1:17">
      <c r="A23" s="35" t="s">
        <v>924</v>
      </c>
      <c r="B23" s="1" t="s">
        <v>924</v>
      </c>
      <c r="C23" s="107" t="s">
        <v>9</v>
      </c>
      <c r="D23" s="138">
        <v>72</v>
      </c>
      <c r="E23" s="100" t="s">
        <v>1024</v>
      </c>
      <c r="F23" s="35" t="s">
        <v>1023</v>
      </c>
      <c r="G23" s="35"/>
      <c r="H23" s="135" t="str">
        <f>IF(ISNUMBER(MATCH(P_ind[[#This Row],[Main fuel]],$J$29:$J$42,0)),"RE","non-RE")</f>
        <v>RE</v>
      </c>
      <c r="I23" s="130"/>
      <c r="J23" s="35" t="str">
        <v>Petroleum gases</v>
      </c>
      <c r="K23" s="102" t="s">
        <v>394</v>
      </c>
      <c r="N23" s="14" t="s">
        <v>1191</v>
      </c>
      <c r="O23" s="14" t="s">
        <v>1136</v>
      </c>
      <c r="P23" s="14" t="s">
        <v>1135</v>
      </c>
      <c r="Q23" s="121"/>
    </row>
    <row r="24" spans="1:17">
      <c r="A24" s="35" t="s">
        <v>932</v>
      </c>
      <c r="B24" s="1" t="s">
        <v>993</v>
      </c>
      <c r="C24" s="107" t="s">
        <v>7</v>
      </c>
      <c r="D24" s="138">
        <v>72</v>
      </c>
      <c r="E24" s="100" t="s">
        <v>1023</v>
      </c>
      <c r="F24" s="35" t="s">
        <v>1020</v>
      </c>
      <c r="G24" s="131" t="s">
        <v>1137</v>
      </c>
      <c r="H24" s="135" t="str">
        <f>IF(ISNUMBER(MATCH(P_ind[[#This Row],[Main fuel]],$J$29:$J$42,0)),"RE","non-RE")</f>
        <v>non-RE</v>
      </c>
      <c r="I24" s="130"/>
      <c r="J24" s="35" t="str">
        <v>Other non-specified energy sources</v>
      </c>
      <c r="K24" s="102" t="s">
        <v>1131</v>
      </c>
      <c r="N24" s="1" t="s">
        <v>28</v>
      </c>
      <c r="O24" s="206">
        <f>M66-P24</f>
        <v>501.3</v>
      </c>
      <c r="P24" s="172">
        <v>0</v>
      </c>
    </row>
    <row r="25" spans="1:17">
      <c r="A25" s="35" t="s">
        <v>941</v>
      </c>
      <c r="B25" s="1" t="s">
        <v>941</v>
      </c>
      <c r="C25" s="107" t="s">
        <v>5</v>
      </c>
      <c r="D25" s="138">
        <v>71.5</v>
      </c>
      <c r="E25" s="100" t="s">
        <v>1016</v>
      </c>
      <c r="F25" s="35" t="s">
        <v>1022</v>
      </c>
      <c r="G25" s="35" t="s">
        <v>1019</v>
      </c>
      <c r="H25" s="135" t="str">
        <f>IF(ISNUMBER(MATCH(P_ind[[#This Row],[Main fuel]],$J$29:$J$42,0)),"RE","non-RE")</f>
        <v>RE</v>
      </c>
      <c r="I25" s="130"/>
      <c r="J25" s="35" t="str">
        <v>Biogas</v>
      </c>
      <c r="K25" s="102" t="s">
        <v>393</v>
      </c>
      <c r="N25" s="1" t="s">
        <v>29</v>
      </c>
      <c r="O25" s="206">
        <f>M67-P25</f>
        <v>652.9</v>
      </c>
      <c r="P25" s="172">
        <v>0</v>
      </c>
    </row>
    <row r="26" spans="1:17">
      <c r="A26" s="35" t="s">
        <v>914</v>
      </c>
      <c r="B26" s="1" t="s">
        <v>980</v>
      </c>
      <c r="C26" s="107" t="s">
        <v>118</v>
      </c>
      <c r="D26" s="138">
        <v>67.3</v>
      </c>
      <c r="E26" s="100" t="s">
        <v>1024</v>
      </c>
      <c r="F26" s="35" t="s">
        <v>1023</v>
      </c>
      <c r="G26" s="35"/>
      <c r="H26" s="135" t="str">
        <f>IF(ISNUMBER(MATCH(P_ind[[#This Row],[Main fuel]],$J$29:$J$42,0)),"RE","non-RE")</f>
        <v>RE</v>
      </c>
      <c r="I26" s="130"/>
      <c r="J26" s="35" t="str">
        <v>Light distillates</v>
      </c>
      <c r="K26" s="102" t="s">
        <v>394</v>
      </c>
      <c r="N26" s="1" t="s">
        <v>31</v>
      </c>
      <c r="O26" s="206">
        <f>M68-P26</f>
        <v>528.5</v>
      </c>
      <c r="P26" s="172">
        <v>0</v>
      </c>
    </row>
    <row r="27" spans="1:17">
      <c r="A27" s="35" t="s">
        <v>956</v>
      </c>
      <c r="B27" s="1" t="s">
        <v>1007</v>
      </c>
      <c r="C27" s="107" t="s">
        <v>165</v>
      </c>
      <c r="D27" s="138">
        <v>51.8</v>
      </c>
      <c r="E27" s="100" t="s">
        <v>1024</v>
      </c>
      <c r="F27" s="35" t="s">
        <v>1022</v>
      </c>
      <c r="G27" s="35" t="s">
        <v>1026</v>
      </c>
      <c r="H27" s="135" t="str">
        <f>IF(ISNUMBER(MATCH(P_ind[[#This Row],[Main fuel]],$J$29:$J$42,0)),"RE","non-RE")</f>
        <v>RE</v>
      </c>
      <c r="I27" s="130"/>
      <c r="J27" s="45" t="s">
        <v>1140</v>
      </c>
      <c r="K27" s="45"/>
      <c r="L27" s="45"/>
      <c r="N27" s="1" t="s">
        <v>32</v>
      </c>
      <c r="O27" s="206">
        <f>M69-P27</f>
        <v>281.60000000000002</v>
      </c>
      <c r="P27" s="172">
        <v>0</v>
      </c>
    </row>
    <row r="28" spans="1:17">
      <c r="A28" s="35" t="s">
        <v>937</v>
      </c>
      <c r="B28" s="1" t="s">
        <v>937</v>
      </c>
      <c r="C28" s="107" t="s">
        <v>3</v>
      </c>
      <c r="D28" s="138">
        <v>48</v>
      </c>
      <c r="E28" s="100" t="s">
        <v>1023</v>
      </c>
      <c r="F28" s="35" t="s">
        <v>1020</v>
      </c>
      <c r="G28" s="35"/>
      <c r="H28" s="135" t="str">
        <f>IF(ISNUMBER(MATCH(P_ind[[#This Row],[Main fuel]],$J$29:$J$42,0)),"RE","non-RE")</f>
        <v>non-RE</v>
      </c>
      <c r="I28" s="130"/>
      <c r="J28" s="98" t="s">
        <v>1161</v>
      </c>
      <c r="K28" s="45"/>
      <c r="L28" s="45"/>
      <c r="M28" s="130" t="s">
        <v>1137</v>
      </c>
      <c r="N28" s="1" t="s">
        <v>33</v>
      </c>
      <c r="O28" s="206">
        <f>P10/P7+5</f>
        <v>50.12495519462626</v>
      </c>
      <c r="P28" s="172">
        <v>0</v>
      </c>
    </row>
    <row r="29" spans="1:17">
      <c r="A29" s="35" t="s">
        <v>904</v>
      </c>
      <c r="B29" s="1" t="s">
        <v>971</v>
      </c>
      <c r="C29" s="107" t="s">
        <v>9</v>
      </c>
      <c r="D29" s="138">
        <v>45</v>
      </c>
      <c r="E29" s="100" t="s">
        <v>1023</v>
      </c>
      <c r="F29" s="35" t="s">
        <v>1020</v>
      </c>
      <c r="G29" s="131" t="s">
        <v>1137</v>
      </c>
      <c r="H29" s="135" t="str">
        <f>IF(ISNUMBER(MATCH(P_ind[[#This Row],[Main fuel]],$J$29:$J$42,0)),"RE","non-RE")</f>
        <v>non-RE</v>
      </c>
      <c r="I29" s="130"/>
      <c r="J29" s="35" t="s">
        <v>1024</v>
      </c>
      <c r="M29" s="130" t="s">
        <v>1137</v>
      </c>
      <c r="N29" s="1" t="s">
        <v>34</v>
      </c>
      <c r="O29" s="206">
        <f>M71-P29</f>
        <v>765.40000000000009</v>
      </c>
      <c r="P29" s="172">
        <v>0</v>
      </c>
    </row>
    <row r="30" spans="1:17">
      <c r="A30" s="35" t="s">
        <v>910</v>
      </c>
      <c r="B30" s="1" t="s">
        <v>976</v>
      </c>
      <c r="C30" s="107" t="s">
        <v>119</v>
      </c>
      <c r="D30" s="138">
        <v>43</v>
      </c>
      <c r="E30" s="143" t="s">
        <v>1137</v>
      </c>
      <c r="G30" s="35"/>
      <c r="H30" s="135" t="str">
        <f>IF(ISNUMBER(MATCH(P_ind[[#This Row],[Main fuel]],$J$29:$J$42,0)),"RE","non-RE")</f>
        <v>RE</v>
      </c>
      <c r="I30" s="130"/>
      <c r="J30" s="35" t="s">
        <v>1137</v>
      </c>
      <c r="M30" s="130" t="s">
        <v>1137</v>
      </c>
      <c r="N30" s="1" t="s">
        <v>3</v>
      </c>
      <c r="O30" s="206">
        <f>M72-P30</f>
        <v>146.58510308240673</v>
      </c>
      <c r="P30" s="206">
        <f>P4</f>
        <v>143.01489691759329</v>
      </c>
    </row>
    <row r="31" spans="1:17">
      <c r="A31" s="35" t="s">
        <v>921</v>
      </c>
      <c r="B31" s="1" t="s">
        <v>984</v>
      </c>
      <c r="C31" s="107" t="s">
        <v>3</v>
      </c>
      <c r="D31" s="138">
        <v>41</v>
      </c>
      <c r="E31" s="100" t="s">
        <v>1017</v>
      </c>
      <c r="F31" s="35" t="s">
        <v>1017</v>
      </c>
      <c r="G31" s="35" t="s">
        <v>1023</v>
      </c>
      <c r="H31" s="135" t="str">
        <f>IF(ISNUMBER(MATCH(P_ind[[#This Row],[Main fuel]],$J$29:$J$42,0)),"RE","non-RE")</f>
        <v>non-RE</v>
      </c>
      <c r="I31" s="130"/>
      <c r="J31" s="35" t="s">
        <v>1015</v>
      </c>
      <c r="M31" s="130" t="s">
        <v>1137</v>
      </c>
      <c r="O31" s="215"/>
      <c r="P31" s="99"/>
    </row>
    <row r="32" spans="1:17">
      <c r="A32" s="35" t="s">
        <v>953</v>
      </c>
      <c r="B32" s="1" t="s">
        <v>1004</v>
      </c>
      <c r="C32" s="107" t="s">
        <v>125</v>
      </c>
      <c r="D32" s="138">
        <v>39.299999999999997</v>
      </c>
      <c r="E32" s="100" t="s">
        <v>1015</v>
      </c>
      <c r="F32" s="35" t="s">
        <v>1022</v>
      </c>
      <c r="G32" s="35" t="s">
        <v>1019</v>
      </c>
      <c r="H32" s="135" t="str">
        <f>IF(ISNUMBER(MATCH(P_ind[[#This Row],[Main fuel]],$J$29:$J$42,0)),"RE","non-RE")</f>
        <v>RE</v>
      </c>
      <c r="I32" s="130"/>
      <c r="J32" s="35" t="s">
        <v>1016</v>
      </c>
      <c r="M32" s="130" t="s">
        <v>1137</v>
      </c>
      <c r="O32" s="215"/>
      <c r="P32" s="99"/>
    </row>
    <row r="33" spans="1:16">
      <c r="A33" s="35" t="s">
        <v>961</v>
      </c>
      <c r="B33" s="1" t="s">
        <v>1011</v>
      </c>
      <c r="C33" s="107" t="s">
        <v>119</v>
      </c>
      <c r="D33" s="138">
        <v>35</v>
      </c>
      <c r="E33" s="100" t="s">
        <v>1016</v>
      </c>
      <c r="F33" s="35" t="s">
        <v>1022</v>
      </c>
      <c r="G33" s="35" t="s">
        <v>1015</v>
      </c>
      <c r="H33" s="135" t="str">
        <f>IF(ISNUMBER(MATCH(P_ind[[#This Row],[Main fuel]],$J$29:$J$42,0)),"RE","non-RE")</f>
        <v>RE</v>
      </c>
      <c r="I33" s="130"/>
      <c r="J33" s="35" t="s">
        <v>1027</v>
      </c>
      <c r="M33" s="130" t="s">
        <v>1137</v>
      </c>
      <c r="O33" s="215"/>
      <c r="P33" s="99"/>
    </row>
    <row r="34" spans="1:16">
      <c r="A34" s="35" t="s">
        <v>897</v>
      </c>
      <c r="B34" s="1" t="s">
        <v>964</v>
      </c>
      <c r="C34" s="107" t="s">
        <v>121</v>
      </c>
      <c r="D34" s="138">
        <v>30</v>
      </c>
      <c r="E34" s="100" t="s">
        <v>1016</v>
      </c>
      <c r="G34" s="35" t="s">
        <v>1017</v>
      </c>
      <c r="H34" s="135" t="str">
        <f>IF(ISNUMBER(MATCH(P_ind[[#This Row],[Main fuel]],$J$29:$J$42,0)),"RE","non-RE")</f>
        <v>RE</v>
      </c>
      <c r="I34" s="130"/>
      <c r="J34" s="35" t="s">
        <v>1028</v>
      </c>
      <c r="M34" s="130" t="s">
        <v>1137</v>
      </c>
      <c r="O34" s="215"/>
      <c r="P34" s="99"/>
    </row>
    <row r="35" spans="1:16">
      <c r="A35" s="35" t="s">
        <v>923</v>
      </c>
      <c r="B35" s="1" t="s">
        <v>986</v>
      </c>
      <c r="C35" s="107" t="s">
        <v>123</v>
      </c>
      <c r="D35" s="138">
        <v>27</v>
      </c>
      <c r="E35" s="100" t="s">
        <v>1015</v>
      </c>
      <c r="F35" s="35" t="s">
        <v>1022</v>
      </c>
      <c r="G35" s="35" t="s">
        <v>1016</v>
      </c>
      <c r="H35" s="135" t="str">
        <f>IF(ISNUMBER(MATCH(P_ind[[#This Row],[Main fuel]],$J$29:$J$42,0)),"RE","non-RE")</f>
        <v>RE</v>
      </c>
      <c r="I35" s="130"/>
      <c r="J35" s="35" t="s">
        <v>1029</v>
      </c>
      <c r="M35" s="130" t="s">
        <v>1137</v>
      </c>
      <c r="O35" s="215"/>
      <c r="P35" s="215"/>
    </row>
    <row r="36" spans="1:16">
      <c r="A36" s="35" t="s">
        <v>944</v>
      </c>
      <c r="B36" s="1" t="s">
        <v>999</v>
      </c>
      <c r="C36" s="107" t="s">
        <v>165</v>
      </c>
      <c r="D36" s="138">
        <v>25.1</v>
      </c>
      <c r="E36" s="100" t="s">
        <v>1031</v>
      </c>
      <c r="F36" s="35" t="s">
        <v>1017</v>
      </c>
      <c r="G36" s="35"/>
      <c r="H36" s="135" t="str">
        <f>IF(ISNUMBER(MATCH(P_ind[[#This Row],[Main fuel]],$J$29:$J$42,0)),"RE","non-RE")</f>
        <v>RE</v>
      </c>
      <c r="I36" s="130"/>
      <c r="J36" s="35" t="s">
        <v>1030</v>
      </c>
      <c r="M36" s="130" t="s">
        <v>1137</v>
      </c>
    </row>
    <row r="37" spans="1:16">
      <c r="A37" s="35" t="s">
        <v>912</v>
      </c>
      <c r="B37" s="1" t="s">
        <v>978</v>
      </c>
      <c r="C37" s="107" t="s">
        <v>119</v>
      </c>
      <c r="D37" s="138">
        <v>25</v>
      </c>
      <c r="E37" s="100" t="s">
        <v>1019</v>
      </c>
      <c r="F37" s="35" t="s">
        <v>1026</v>
      </c>
      <c r="G37" s="35" t="s">
        <v>1016</v>
      </c>
      <c r="H37" s="135" t="str">
        <f>IF(ISNUMBER(MATCH(P_ind[[#This Row],[Main fuel]],$J$29:$J$42,0)),"RE","non-RE")</f>
        <v>RE</v>
      </c>
      <c r="I37" s="130"/>
      <c r="J37" s="35" t="s">
        <v>1022</v>
      </c>
      <c r="M37" s="130" t="s">
        <v>1137</v>
      </c>
      <c r="O37" s="215"/>
      <c r="P37" s="99"/>
    </row>
    <row r="38" spans="1:16">
      <c r="A38" s="35" t="s">
        <v>950</v>
      </c>
      <c r="B38" s="1" t="s">
        <v>1002</v>
      </c>
      <c r="C38" s="107" t="s">
        <v>7</v>
      </c>
      <c r="D38" s="138">
        <v>25</v>
      </c>
      <c r="E38" s="100" t="s">
        <v>1022</v>
      </c>
      <c r="F38" s="35" t="s">
        <v>1016</v>
      </c>
      <c r="G38" s="35" t="s">
        <v>1023</v>
      </c>
      <c r="H38" s="135" t="str">
        <f>IF(ISNUMBER(MATCH(P_ind[[#This Row],[Main fuel]],$J$29:$J$42,0)),"RE","non-RE")</f>
        <v>RE</v>
      </c>
      <c r="I38" s="130"/>
      <c r="J38" s="35" t="s">
        <v>1019</v>
      </c>
      <c r="M38" s="130" t="s">
        <v>1137</v>
      </c>
      <c r="O38" s="215"/>
      <c r="P38" s="99"/>
    </row>
    <row r="39" spans="1:16">
      <c r="A39" s="35" t="s">
        <v>958</v>
      </c>
      <c r="B39" s="1" t="s">
        <v>958</v>
      </c>
      <c r="C39" s="107" t="s">
        <v>125</v>
      </c>
      <c r="D39" s="138">
        <v>25</v>
      </c>
      <c r="E39" s="100" t="s">
        <v>1024</v>
      </c>
      <c r="F39" s="35" t="s">
        <v>1016</v>
      </c>
      <c r="G39" s="35" t="s">
        <v>1015</v>
      </c>
      <c r="H39" s="135" t="str">
        <f>IF(ISNUMBER(MATCH(P_ind[[#This Row],[Main fuel]],$J$29:$J$42,0)),"RE","non-RE")</f>
        <v>RE</v>
      </c>
      <c r="I39" s="130"/>
      <c r="J39" s="35" t="s">
        <v>1026</v>
      </c>
      <c r="M39" s="130" t="s">
        <v>1137</v>
      </c>
      <c r="O39" s="215"/>
      <c r="P39" s="99"/>
    </row>
    <row r="40" spans="1:16">
      <c r="A40" s="35" t="s">
        <v>927</v>
      </c>
      <c r="B40" s="1" t="s">
        <v>989</v>
      </c>
      <c r="C40" s="107" t="s">
        <v>165</v>
      </c>
      <c r="D40" s="138">
        <v>20.5</v>
      </c>
      <c r="E40" s="100" t="s">
        <v>1024</v>
      </c>
      <c r="F40" s="35" t="s">
        <v>1015</v>
      </c>
      <c r="G40" s="35" t="s">
        <v>1016</v>
      </c>
      <c r="H40" s="135" t="str">
        <f>IF(ISNUMBER(MATCH(P_ind[[#This Row],[Main fuel]],$J$29:$J$42,0)),"RE","non-RE")</f>
        <v>RE</v>
      </c>
      <c r="I40" s="130"/>
      <c r="J40" s="35" t="s">
        <v>1031</v>
      </c>
      <c r="M40" s="130" t="s">
        <v>1137</v>
      </c>
      <c r="O40" s="215"/>
      <c r="P40" s="99"/>
    </row>
    <row r="41" spans="1:16">
      <c r="A41" s="35" t="s">
        <v>906</v>
      </c>
      <c r="B41" s="1" t="s">
        <v>972</v>
      </c>
      <c r="C41" s="107" t="s">
        <v>7</v>
      </c>
      <c r="D41" s="138">
        <v>20</v>
      </c>
      <c r="E41" s="100" t="s">
        <v>1022</v>
      </c>
      <c r="F41" s="35" t="s">
        <v>1023</v>
      </c>
      <c r="G41" s="35"/>
      <c r="H41" s="135" t="str">
        <f>IF(ISNUMBER(MATCH(P_ind[[#This Row],[Main fuel]],$J$29:$J$42,0)),"RE","non-RE")</f>
        <v>RE</v>
      </c>
      <c r="I41" s="130"/>
      <c r="J41" s="35" t="s">
        <v>1025</v>
      </c>
      <c r="M41" s="130" t="s">
        <v>1137</v>
      </c>
      <c r="O41" s="215"/>
      <c r="P41" s="99"/>
    </row>
    <row r="42" spans="1:16">
      <c r="A42" s="35" t="s">
        <v>945</v>
      </c>
      <c r="B42" s="1" t="s">
        <v>945</v>
      </c>
      <c r="C42" s="107" t="s">
        <v>118</v>
      </c>
      <c r="D42" s="138">
        <v>19.600000000000001</v>
      </c>
      <c r="E42" s="100" t="s">
        <v>1016</v>
      </c>
      <c r="F42" s="35" t="s">
        <v>1017</v>
      </c>
      <c r="G42" s="131" t="s">
        <v>1137</v>
      </c>
      <c r="H42" s="135" t="str">
        <f>IF(ISNUMBER(MATCH(P_ind[[#This Row],[Main fuel]],$J$29:$J$42,0)),"RE","non-RE")</f>
        <v>RE</v>
      </c>
      <c r="I42" s="130"/>
      <c r="J42" s="35" t="s">
        <v>1033</v>
      </c>
      <c r="M42" s="130" t="s">
        <v>1137</v>
      </c>
      <c r="O42" s="215"/>
      <c r="P42" s="99"/>
    </row>
    <row r="43" spans="1:16">
      <c r="A43" s="35" t="s">
        <v>903</v>
      </c>
      <c r="B43" s="1" t="s">
        <v>970</v>
      </c>
      <c r="C43" s="107" t="s">
        <v>8</v>
      </c>
      <c r="D43" s="138">
        <v>19</v>
      </c>
      <c r="E43" s="100" t="s">
        <v>1015</v>
      </c>
      <c r="F43" s="35" t="s">
        <v>1016</v>
      </c>
      <c r="G43" s="35" t="s">
        <v>1024</v>
      </c>
      <c r="H43" s="135" t="str">
        <f>IF(ISNUMBER(MATCH(P_ind[[#This Row],[Main fuel]],$J$29:$J$42,0)),"RE","non-RE")</f>
        <v>RE</v>
      </c>
      <c r="I43" s="130"/>
      <c r="L43" s="130" t="s">
        <v>1137</v>
      </c>
      <c r="O43" s="215"/>
      <c r="P43" s="215"/>
    </row>
    <row r="44" spans="1:16">
      <c r="A44" s="35" t="s">
        <v>916</v>
      </c>
      <c r="B44" s="1" t="s">
        <v>981</v>
      </c>
      <c r="C44" s="107" t="s">
        <v>5</v>
      </c>
      <c r="D44" s="138">
        <v>19</v>
      </c>
      <c r="E44" s="100" t="s">
        <v>1015</v>
      </c>
      <c r="G44" s="35"/>
      <c r="H44" s="135" t="str">
        <f>IF(ISNUMBER(MATCH(P_ind[[#This Row],[Main fuel]],$J$29:$J$42,0)),"RE","non-RE")</f>
        <v>RE</v>
      </c>
      <c r="I44" s="130"/>
      <c r="J44" s="1" t="s">
        <v>24</v>
      </c>
      <c r="K44" s="1" t="s">
        <v>1136</v>
      </c>
      <c r="L44" s="1" t="s">
        <v>1135</v>
      </c>
    </row>
    <row r="45" spans="1:16">
      <c r="A45" s="35" t="s">
        <v>948</v>
      </c>
      <c r="B45" s="1" t="s">
        <v>1000</v>
      </c>
      <c r="C45" s="107" t="s">
        <v>7</v>
      </c>
      <c r="D45" s="138">
        <v>16.5</v>
      </c>
      <c r="E45" s="100" t="s">
        <v>1023</v>
      </c>
      <c r="F45" s="35" t="s">
        <v>1017</v>
      </c>
      <c r="G45" s="35"/>
      <c r="H45" s="135" t="str">
        <f>IF(ISNUMBER(MATCH(P_ind[[#This Row],[Main fuel]],$J$29:$J$42,0)),"RE","non-RE")</f>
        <v>non-RE</v>
      </c>
      <c r="I45" s="130"/>
      <c r="J45" s="2" t="s">
        <v>3</v>
      </c>
      <c r="K45" s="24">
        <f>SUMIFS(P_ind[Capacity], P_ind[Unit type], K$44, P_ind[Region], P_chp_ind14[[#This Row],[Region]])</f>
        <v>0</v>
      </c>
      <c r="L45" s="24">
        <f>SUMIFS(P_ind[Capacity], P_ind[Unit type], L$44, P_ind[Region], P_chp_ind14[[#This Row],[Region]])</f>
        <v>289.60000000000002</v>
      </c>
      <c r="M45" s="99">
        <f>SUM(P_chp_ind14[[#This Row],[RE]:[non-RE]])</f>
        <v>289.60000000000002</v>
      </c>
    </row>
    <row r="46" spans="1:16">
      <c r="A46" s="35" t="s">
        <v>955</v>
      </c>
      <c r="B46" s="1" t="s">
        <v>1006</v>
      </c>
      <c r="C46" s="107" t="s">
        <v>167</v>
      </c>
      <c r="D46" s="138">
        <v>14.2</v>
      </c>
      <c r="E46" s="100" t="s">
        <v>1031</v>
      </c>
      <c r="F46" s="35" t="s">
        <v>1017</v>
      </c>
      <c r="G46" s="35"/>
      <c r="H46" s="135" t="str">
        <f>IF(ISNUMBER(MATCH(P_ind[[#This Row],[Main fuel]],$J$29:$J$42,0)),"RE","non-RE")</f>
        <v>RE</v>
      </c>
      <c r="I46" s="130"/>
      <c r="J46" s="1" t="s">
        <v>167</v>
      </c>
      <c r="K46" s="24">
        <f>SUMIFS(P_ind[Capacity], P_ind[Unit type], K$44, P_ind[Region], P_chp_ind14[[#This Row],[Region]])</f>
        <v>14.2</v>
      </c>
      <c r="L46" s="24">
        <f>SUMIFS(P_ind[Capacity], P_ind[Unit type], L$44, P_ind[Region], P_chp_ind14[[#This Row],[Region]])</f>
        <v>0</v>
      </c>
      <c r="M46" s="99">
        <f>SUM(P_chp_ind14[[#This Row],[RE]:[non-RE]])</f>
        <v>14.2</v>
      </c>
    </row>
    <row r="47" spans="1:16">
      <c r="A47" s="35" t="s">
        <v>896</v>
      </c>
      <c r="B47" s="1" t="s">
        <v>963</v>
      </c>
      <c r="C47" s="107" t="s">
        <v>5</v>
      </c>
      <c r="D47" s="138">
        <v>14</v>
      </c>
      <c r="E47" s="100" t="s">
        <v>1015</v>
      </c>
      <c r="F47" s="35" t="s">
        <v>1016</v>
      </c>
      <c r="G47" s="35" t="s">
        <v>1016</v>
      </c>
      <c r="H47" s="135" t="str">
        <f>IF(ISNUMBER(MATCH(P_ind[[#This Row],[Main fuel]],$J$29:$J$42,0)),"RE","non-RE")</f>
        <v>RE</v>
      </c>
      <c r="I47" s="130"/>
      <c r="J47" s="2" t="s">
        <v>5</v>
      </c>
      <c r="K47" s="24">
        <f>SUMIFS(P_ind[Capacity], P_ind[Unit type], K$44, P_ind[Region], P_chp_ind14[[#This Row],[Region]])</f>
        <v>260.89999999999998</v>
      </c>
      <c r="L47" s="24">
        <f>SUMIFS(P_ind[Capacity], P_ind[Unit type], L$44, P_ind[Region], P_chp_ind14[[#This Row],[Region]])</f>
        <v>0</v>
      </c>
      <c r="M47" s="99">
        <f>SUM(P_chp_ind14[[#This Row],[RE]:[non-RE]])</f>
        <v>260.89999999999998</v>
      </c>
    </row>
    <row r="48" spans="1:16">
      <c r="A48" s="35" t="s">
        <v>920</v>
      </c>
      <c r="B48" s="1" t="s">
        <v>983</v>
      </c>
      <c r="C48" s="107" t="s">
        <v>6</v>
      </c>
      <c r="D48" s="138">
        <v>13.5</v>
      </c>
      <c r="E48" s="100" t="s">
        <v>1022</v>
      </c>
      <c r="F48" s="35" t="s">
        <v>1019</v>
      </c>
      <c r="G48" s="35" t="s">
        <v>1016</v>
      </c>
      <c r="H48" s="135" t="str">
        <f>IF(ISNUMBER(MATCH(P_ind[[#This Row],[Main fuel]],$J$29:$J$42,0)),"RE","non-RE")</f>
        <v>RE</v>
      </c>
      <c r="I48" s="130"/>
      <c r="J48" s="2" t="s">
        <v>6</v>
      </c>
      <c r="K48" s="24">
        <f>SUMIFS(P_ind[Capacity], P_ind[Unit type], K$44, P_ind[Region], P_chp_ind14[[#This Row],[Region]])</f>
        <v>13.5</v>
      </c>
      <c r="L48" s="24">
        <f>SUMIFS(P_ind[Capacity], P_ind[Unit type], L$44, P_ind[Region], P_chp_ind14[[#This Row],[Region]])</f>
        <v>11.4</v>
      </c>
      <c r="M48" s="99">
        <f>SUM(P_chp_ind14[[#This Row],[RE]:[non-RE]])</f>
        <v>24.9</v>
      </c>
    </row>
    <row r="49" spans="1:13">
      <c r="A49" s="35" t="s">
        <v>931</v>
      </c>
      <c r="B49" s="1" t="s">
        <v>992</v>
      </c>
      <c r="C49" s="107" t="s">
        <v>7</v>
      </c>
      <c r="D49" s="138">
        <v>12</v>
      </c>
      <c r="E49" s="100" t="s">
        <v>1015</v>
      </c>
      <c r="F49" s="35" t="s">
        <v>1022</v>
      </c>
      <c r="G49" s="35" t="s">
        <v>1017</v>
      </c>
      <c r="H49" s="135" t="str">
        <f>IF(ISNUMBER(MATCH(P_ind[[#This Row],[Main fuel]],$J$29:$J$42,0)),"RE","non-RE")</f>
        <v>RE</v>
      </c>
      <c r="I49" s="130"/>
      <c r="J49" s="2" t="s">
        <v>7</v>
      </c>
      <c r="K49" s="24">
        <f>SUMIFS(P_ind[Capacity], P_ind[Unit type], K$44, P_ind[Region], P_chp_ind14[[#This Row],[Region]])</f>
        <v>57</v>
      </c>
      <c r="L49" s="24">
        <f>SUMIFS(P_ind[Capacity], P_ind[Unit type], L$44, P_ind[Region], P_chp_ind14[[#This Row],[Region]])</f>
        <v>88.5</v>
      </c>
      <c r="M49" s="99">
        <f>SUM(P_chp_ind14[[#This Row],[RE]:[non-RE]])</f>
        <v>145.5</v>
      </c>
    </row>
    <row r="50" spans="1:13">
      <c r="A50" s="35" t="s">
        <v>949</v>
      </c>
      <c r="B50" s="1" t="s">
        <v>1001</v>
      </c>
      <c r="C50" s="107" t="s">
        <v>6</v>
      </c>
      <c r="D50" s="138">
        <v>11.4</v>
      </c>
      <c r="E50" s="100" t="s">
        <v>1023</v>
      </c>
      <c r="F50" s="35" t="s">
        <v>1017</v>
      </c>
      <c r="G50" s="35"/>
      <c r="H50" s="135" t="str">
        <f>IF(ISNUMBER(MATCH(P_ind[[#This Row],[Main fuel]],$J$29:$J$42,0)),"RE","non-RE")</f>
        <v>non-RE</v>
      </c>
      <c r="I50" s="130"/>
      <c r="J50" s="2" t="s">
        <v>8</v>
      </c>
      <c r="K50" s="24">
        <f>SUMIFS(P_ind[Capacity], P_ind[Unit type], K$44, P_ind[Region], P_chp_ind14[[#This Row],[Region]])</f>
        <v>19</v>
      </c>
      <c r="L50" s="24">
        <f>SUMIFS(P_ind[Capacity], P_ind[Unit type], L$44, P_ind[Region], P_chp_ind14[[#This Row],[Region]])</f>
        <v>0</v>
      </c>
      <c r="M50" s="99">
        <f>SUM(P_chp_ind14[[#This Row],[RE]:[non-RE]])</f>
        <v>19</v>
      </c>
    </row>
    <row r="51" spans="1:13">
      <c r="A51" s="35" t="s">
        <v>899</v>
      </c>
      <c r="B51" s="1" t="s">
        <v>967</v>
      </c>
      <c r="C51" s="107" t="s">
        <v>124</v>
      </c>
      <c r="D51" s="138">
        <v>10</v>
      </c>
      <c r="E51" s="100" t="s">
        <v>1019</v>
      </c>
      <c r="F51" s="35" t="s">
        <v>1020</v>
      </c>
      <c r="G51" s="35" t="s">
        <v>1021</v>
      </c>
      <c r="H51" s="135" t="str">
        <f>IF(ISNUMBER(MATCH(P_ind[[#This Row],[Main fuel]],$J$29:$J$42,0)),"RE","non-RE")</f>
        <v>RE</v>
      </c>
      <c r="I51" s="130"/>
      <c r="J51" s="2" t="s">
        <v>9</v>
      </c>
      <c r="K51" s="24">
        <f>SUMIFS(P_ind[Capacity], P_ind[Unit type], K$44, P_ind[Region], P_chp_ind14[[#This Row],[Region]])</f>
        <v>395.5</v>
      </c>
      <c r="L51" s="24">
        <f>SUMIFS(P_ind[Capacity], P_ind[Unit type], L$44, P_ind[Region], P_chp_ind14[[#This Row],[Region]])</f>
        <v>45</v>
      </c>
      <c r="M51" s="99">
        <f>SUM(P_chp_ind14[[#This Row],[RE]:[non-RE]])</f>
        <v>440.5</v>
      </c>
    </row>
    <row r="52" spans="1:13">
      <c r="A52" s="129" t="s">
        <v>947</v>
      </c>
      <c r="B52" s="129" t="s">
        <v>947</v>
      </c>
      <c r="C52" s="133" t="s">
        <v>1137</v>
      </c>
      <c r="D52" s="55">
        <v>8.8000000000000007</v>
      </c>
      <c r="E52" s="35" t="s">
        <v>1017</v>
      </c>
      <c r="F52" s="131" t="s">
        <v>1137</v>
      </c>
      <c r="G52" s="35"/>
      <c r="H52" s="135" t="str">
        <f>IF(ISNUMBER(MATCH(P_ind[[#This Row],[Main fuel]],$J$29:$J$42,0)),"RE","non-RE")</f>
        <v>non-RE</v>
      </c>
      <c r="I52" s="130"/>
      <c r="J52" s="1" t="s">
        <v>118</v>
      </c>
      <c r="K52" s="24">
        <f>SUMIFS(P_ind[Capacity], P_ind[Unit type], K$44, P_ind[Region], P_chp_ind14[[#This Row],[Region]])</f>
        <v>305.90000000000003</v>
      </c>
      <c r="L52" s="24">
        <f>SUMIFS(P_ind[Capacity], P_ind[Unit type], L$44, P_ind[Region], P_chp_ind14[[#This Row],[Region]])</f>
        <v>0</v>
      </c>
      <c r="M52" s="99">
        <f>SUM(P_chp_ind14[[#This Row],[RE]:[non-RE]])</f>
        <v>305.90000000000003</v>
      </c>
    </row>
    <row r="53" spans="1:13">
      <c r="A53" s="129" t="s">
        <v>943</v>
      </c>
      <c r="B53" s="129" t="s">
        <v>943</v>
      </c>
      <c r="C53" s="133" t="s">
        <v>1137</v>
      </c>
      <c r="D53" s="55">
        <v>8.5</v>
      </c>
      <c r="E53" s="35" t="s">
        <v>1016</v>
      </c>
      <c r="F53" s="35" t="s">
        <v>1017</v>
      </c>
      <c r="G53" s="35"/>
      <c r="H53" s="135" t="str">
        <f>IF(ISNUMBER(MATCH(P_ind[[#This Row],[Main fuel]],$J$29:$J$42,0)),"RE","non-RE")</f>
        <v>RE</v>
      </c>
      <c r="I53" s="130"/>
      <c r="J53" s="1" t="s">
        <v>166</v>
      </c>
      <c r="K53" s="24">
        <f>SUMIFS(P_ind[Capacity], P_ind[Unit type], K$44, P_ind[Region], P_chp_ind14[[#This Row],[Region]])</f>
        <v>0</v>
      </c>
      <c r="L53" s="24">
        <f>SUMIFS(P_ind[Capacity], P_ind[Unit type], L$44, P_ind[Region], P_chp_ind14[[#This Row],[Region]])</f>
        <v>0</v>
      </c>
      <c r="M53" s="99">
        <f>SUM(P_chp_ind14[[#This Row],[RE]:[non-RE]])</f>
        <v>0</v>
      </c>
    </row>
    <row r="54" spans="1:13">
      <c r="A54" s="129" t="s">
        <v>905</v>
      </c>
      <c r="B54" s="129" t="s">
        <v>905</v>
      </c>
      <c r="C54" s="133" t="s">
        <v>1137</v>
      </c>
      <c r="D54" s="55">
        <v>7</v>
      </c>
      <c r="E54" s="131" t="s">
        <v>1137</v>
      </c>
      <c r="F54" s="35" t="s">
        <v>1023</v>
      </c>
      <c r="G54" s="35"/>
      <c r="H54" s="135" t="str">
        <f>IF(ISNUMBER(MATCH(P_ind[[#This Row],[Main fuel]],$J$29:$J$42,0)),"RE","non-RE")</f>
        <v>RE</v>
      </c>
      <c r="I54" s="130"/>
      <c r="J54" s="1" t="s">
        <v>165</v>
      </c>
      <c r="K54" s="24">
        <f>SUMIFS(P_ind[Capacity], P_ind[Unit type], K$44, P_ind[Region], P_chp_ind14[[#This Row],[Region]])</f>
        <v>97.4</v>
      </c>
      <c r="L54" s="24">
        <f>SUMIFS(P_ind[Capacity], P_ind[Unit type], L$44, P_ind[Region], P_chp_ind14[[#This Row],[Region]])</f>
        <v>0</v>
      </c>
      <c r="M54" s="99">
        <f>SUM(P_chp_ind14[[#This Row],[RE]:[non-RE]])</f>
        <v>97.4</v>
      </c>
    </row>
    <row r="55" spans="1:13">
      <c r="A55" s="129" t="s">
        <v>930</v>
      </c>
      <c r="B55" s="129" t="s">
        <v>991</v>
      </c>
      <c r="C55" s="133" t="s">
        <v>1137</v>
      </c>
      <c r="D55" s="55">
        <v>7</v>
      </c>
      <c r="E55" s="35" t="s">
        <v>1016</v>
      </c>
      <c r="F55" s="35" t="s">
        <v>1022</v>
      </c>
      <c r="G55" s="35"/>
      <c r="H55" s="135" t="str">
        <f>IF(ISNUMBER(MATCH(P_ind[[#This Row],[Main fuel]],$J$29:$J$42,0)),"RE","non-RE")</f>
        <v>RE</v>
      </c>
      <c r="I55" s="130"/>
      <c r="J55" s="1" t="s">
        <v>122</v>
      </c>
      <c r="K55" s="24">
        <f>SUMIFS(P_ind[Capacity], P_ind[Unit type], K$44, P_ind[Region], P_chp_ind14[[#This Row],[Region]])</f>
        <v>105</v>
      </c>
      <c r="L55" s="24">
        <f>SUMIFS(P_ind[Capacity], P_ind[Unit type], L$44, P_ind[Region], P_chp_ind14[[#This Row],[Region]])</f>
        <v>0</v>
      </c>
      <c r="M55" s="99">
        <f>SUM(P_chp_ind14[[#This Row],[RE]:[non-RE]])</f>
        <v>105</v>
      </c>
    </row>
    <row r="56" spans="1:13">
      <c r="A56" s="129" t="s">
        <v>907</v>
      </c>
      <c r="B56" s="129" t="s">
        <v>973</v>
      </c>
      <c r="C56" s="133" t="s">
        <v>1137</v>
      </c>
      <c r="D56" s="55">
        <v>6</v>
      </c>
      <c r="E56" s="35" t="s">
        <v>1023</v>
      </c>
      <c r="G56" s="35"/>
      <c r="H56" s="135" t="str">
        <f>IF(ISNUMBER(MATCH(P_ind[[#This Row],[Main fuel]],$J$29:$J$42,0)),"RE","non-RE")</f>
        <v>non-RE</v>
      </c>
      <c r="I56" s="130"/>
      <c r="J56" s="1" t="s">
        <v>119</v>
      </c>
      <c r="K56" s="24">
        <f>SUMIFS(P_ind[Capacity], P_ind[Unit type], K$44, P_ind[Region], P_chp_ind14[[#This Row],[Region]])</f>
        <v>383</v>
      </c>
      <c r="L56" s="24">
        <f>SUMIFS(P_ind[Capacity], P_ind[Unit type], L$44, P_ind[Region], P_chp_ind14[[#This Row],[Region]])</f>
        <v>0</v>
      </c>
      <c r="M56" s="99">
        <f>SUM(P_chp_ind14[[#This Row],[RE]:[non-RE]])</f>
        <v>383</v>
      </c>
    </row>
    <row r="57" spans="1:13">
      <c r="A57" s="129" t="s">
        <v>925</v>
      </c>
      <c r="B57" s="129" t="s">
        <v>987</v>
      </c>
      <c r="C57" s="133" t="s">
        <v>1137</v>
      </c>
      <c r="D57" s="55">
        <v>4</v>
      </c>
      <c r="E57" s="35" t="s">
        <v>1016</v>
      </c>
      <c r="F57" s="35" t="s">
        <v>1016</v>
      </c>
      <c r="G57" s="35" t="s">
        <v>1015</v>
      </c>
      <c r="H57" s="135" t="str">
        <f>IF(ISNUMBER(MATCH(P_ind[[#This Row],[Main fuel]],$J$29:$J$42,0)),"RE","non-RE")</f>
        <v>RE</v>
      </c>
      <c r="I57" s="130"/>
      <c r="J57" s="1" t="s">
        <v>120</v>
      </c>
      <c r="K57" s="24">
        <f>SUMIFS(P_ind[Capacity], P_ind[Unit type], K$44, P_ind[Region], P_chp_ind14[[#This Row],[Region]])</f>
        <v>0</v>
      </c>
      <c r="L57" s="24">
        <f>SUMIFS(P_ind[Capacity], P_ind[Unit type], L$44, P_ind[Region], P_chp_ind14[[#This Row],[Region]])</f>
        <v>0</v>
      </c>
      <c r="M57" s="99">
        <f>SUM(P_chp_ind14[[#This Row],[RE]:[non-RE]])</f>
        <v>0</v>
      </c>
    </row>
    <row r="58" spans="1:13">
      <c r="A58" s="129" t="s">
        <v>909</v>
      </c>
      <c r="B58" s="129" t="s">
        <v>909</v>
      </c>
      <c r="C58" s="133" t="s">
        <v>1137</v>
      </c>
      <c r="D58" s="55">
        <v>3.9</v>
      </c>
      <c r="E58" s="35" t="s">
        <v>1025</v>
      </c>
      <c r="G58" s="35"/>
      <c r="H58" s="135" t="str">
        <f>IF(ISNUMBER(MATCH(P_ind[[#This Row],[Main fuel]],$J$29:$J$42,0)),"RE","non-RE")</f>
        <v>RE</v>
      </c>
      <c r="I58" s="130"/>
      <c r="J58" s="1" t="s">
        <v>121</v>
      </c>
      <c r="K58" s="24">
        <f>SUMIFS(P_ind[Capacity], P_ind[Unit type], K$44, P_ind[Region], P_chp_ind14[[#This Row],[Region]])</f>
        <v>365</v>
      </c>
      <c r="L58" s="24">
        <f>SUMIFS(P_ind[Capacity], P_ind[Unit type], L$44, P_ind[Region], P_chp_ind14[[#This Row],[Region]])</f>
        <v>0</v>
      </c>
      <c r="M58" s="99">
        <f>SUM(P_chp_ind14[[#This Row],[RE]:[non-RE]])</f>
        <v>365</v>
      </c>
    </row>
    <row r="59" spans="1:13">
      <c r="A59" s="129" t="s">
        <v>960</v>
      </c>
      <c r="B59" s="129" t="s">
        <v>1010</v>
      </c>
      <c r="C59" s="133" t="s">
        <v>1137</v>
      </c>
      <c r="D59" s="55">
        <v>2.9</v>
      </c>
      <c r="E59" s="35" t="s">
        <v>1016</v>
      </c>
      <c r="F59" s="35" t="s">
        <v>1016</v>
      </c>
      <c r="G59" s="35"/>
      <c r="H59" s="135" t="str">
        <f>IF(ISNUMBER(MATCH(P_ind[[#This Row],[Main fuel]],$J$29:$J$42,0)),"RE","non-RE")</f>
        <v>RE</v>
      </c>
      <c r="I59" s="130"/>
      <c r="J59" s="1" t="s">
        <v>123</v>
      </c>
      <c r="K59" s="24">
        <f>SUMIFS(P_ind[Capacity], P_ind[Unit type], K$44, P_ind[Region], P_chp_ind14[[#This Row],[Region]])</f>
        <v>27</v>
      </c>
      <c r="L59" s="24">
        <f>SUMIFS(P_ind[Capacity], P_ind[Unit type], L$44, P_ind[Region], P_chp_ind14[[#This Row],[Region]])</f>
        <v>0</v>
      </c>
      <c r="M59" s="99">
        <f>SUM(P_chp_ind14[[#This Row],[RE]:[non-RE]])</f>
        <v>27</v>
      </c>
    </row>
    <row r="60" spans="1:13">
      <c r="A60" s="129" t="s">
        <v>908</v>
      </c>
      <c r="B60" s="129" t="s">
        <v>974</v>
      </c>
      <c r="C60" s="133" t="s">
        <v>1137</v>
      </c>
      <c r="D60" s="55">
        <v>2.8</v>
      </c>
      <c r="E60" s="35" t="s">
        <v>1015</v>
      </c>
      <c r="F60" s="35" t="s">
        <v>1020</v>
      </c>
      <c r="G60" s="35" t="s">
        <v>1022</v>
      </c>
      <c r="H60" s="135" t="str">
        <f>IF(ISNUMBER(MATCH(P_ind[[#This Row],[Main fuel]],$J$29:$J$42,0)),"RE","non-RE")</f>
        <v>RE</v>
      </c>
      <c r="I60" s="130"/>
      <c r="J60" s="1" t="s">
        <v>124</v>
      </c>
      <c r="K60" s="24">
        <f>SUMIFS(P_ind[Capacity], P_ind[Unit type], K$44, P_ind[Region], P_chp_ind14[[#This Row],[Region]])</f>
        <v>209</v>
      </c>
      <c r="L60" s="24">
        <f>SUMIFS(P_ind[Capacity], P_ind[Unit type], L$44, P_ind[Region], P_chp_ind14[[#This Row],[Region]])</f>
        <v>0</v>
      </c>
      <c r="M60" s="99">
        <f>SUM(P_chp_ind14[[#This Row],[RE]:[non-RE]])</f>
        <v>209</v>
      </c>
    </row>
    <row r="61" spans="1:13">
      <c r="A61" s="129" t="s">
        <v>900</v>
      </c>
      <c r="B61" s="129" t="s">
        <v>900</v>
      </c>
      <c r="C61" s="133" t="s">
        <v>1137</v>
      </c>
      <c r="D61" s="55">
        <v>2.7</v>
      </c>
      <c r="E61" s="35" t="s">
        <v>1016</v>
      </c>
      <c r="F61" s="35" t="s">
        <v>1022</v>
      </c>
      <c r="G61" s="35" t="s">
        <v>1015</v>
      </c>
      <c r="H61" s="135" t="str">
        <f>IF(ISNUMBER(MATCH(P_ind[[#This Row],[Main fuel]],$J$29:$J$42,0)),"RE","non-RE")</f>
        <v>RE</v>
      </c>
      <c r="I61" s="130"/>
      <c r="J61" s="2" t="s">
        <v>19</v>
      </c>
      <c r="K61" s="24">
        <f>SUMIFS(P_ind[Capacity], P_ind[Unit type], K$44, P_ind[Region], P_chp_ind14[[#This Row],[Region]])</f>
        <v>79.2</v>
      </c>
      <c r="L61" s="24">
        <f>SUMIFS(P_ind[Capacity], P_ind[Unit type], L$44, P_ind[Region], P_chp_ind14[[#This Row],[Region]])</f>
        <v>0</v>
      </c>
      <c r="M61" s="99">
        <f>SUM(P_chp_ind14[[#This Row],[RE]:[non-RE]])</f>
        <v>79.2</v>
      </c>
    </row>
    <row r="62" spans="1:13">
      <c r="A62" s="129" t="s">
        <v>959</v>
      </c>
      <c r="B62" s="129" t="s">
        <v>1009</v>
      </c>
      <c r="C62" s="133" t="s">
        <v>1137</v>
      </c>
      <c r="D62" s="55">
        <v>2.7</v>
      </c>
      <c r="E62" s="35" t="s">
        <v>1033</v>
      </c>
      <c r="F62" s="35" t="s">
        <v>1020</v>
      </c>
      <c r="G62" s="35"/>
      <c r="H62" s="135" t="str">
        <f>IF(ISNUMBER(MATCH(P_ind[[#This Row],[Main fuel]],$J$29:$J$42,0)),"RE","non-RE")</f>
        <v>RE</v>
      </c>
      <c r="I62" s="130"/>
      <c r="J62" s="106" t="s">
        <v>125</v>
      </c>
      <c r="K62" s="24">
        <f>SUMIFS(P_ind[Capacity], P_ind[Unit type], K$44, P_ind[Region], P_chp_ind14[[#This Row],[Region]])</f>
        <v>292.3</v>
      </c>
      <c r="L62" s="24">
        <f>SUMIFS(P_ind[Capacity], P_ind[Unit type], L$44, P_ind[Region], P_chp_ind14[[#This Row],[Region]])</f>
        <v>0</v>
      </c>
      <c r="M62" s="99">
        <f>SUM(P_chp_ind14[[#This Row],[RE]:[non-RE]])</f>
        <v>292.3</v>
      </c>
    </row>
    <row r="63" spans="1:13">
      <c r="A63" s="129" t="s">
        <v>926</v>
      </c>
      <c r="B63" s="129" t="s">
        <v>988</v>
      </c>
      <c r="C63" s="133" t="s">
        <v>1137</v>
      </c>
      <c r="D63" s="55">
        <v>2.5</v>
      </c>
      <c r="E63" s="35" t="s">
        <v>1016</v>
      </c>
      <c r="G63" s="35"/>
      <c r="H63" s="135" t="str">
        <f>IF(ISNUMBER(MATCH(P_ind[[#This Row],[Main fuel]],$J$29:$J$42,0)),"RE","non-RE")</f>
        <v>RE</v>
      </c>
      <c r="I63" s="130"/>
      <c r="K63" s="6">
        <f>SUM(P_chp_ind14[RE])</f>
        <v>2623.9</v>
      </c>
      <c r="L63" s="6">
        <f>SUM(P_chp_ind14[non-RE])</f>
        <v>434.5</v>
      </c>
      <c r="M63" s="6">
        <f>SUM(M45:M62)</f>
        <v>3058.4</v>
      </c>
    </row>
    <row r="64" spans="1:13">
      <c r="A64" s="129" t="s">
        <v>911</v>
      </c>
      <c r="B64" s="129" t="s">
        <v>977</v>
      </c>
      <c r="C64" s="133" t="s">
        <v>1137</v>
      </c>
      <c r="D64" s="55">
        <v>1.6</v>
      </c>
      <c r="E64" s="35" t="s">
        <v>1016</v>
      </c>
      <c r="F64" s="35" t="s">
        <v>1022</v>
      </c>
      <c r="G64" s="35" t="s">
        <v>1017</v>
      </c>
      <c r="H64" s="135" t="str">
        <f>IF(ISNUMBER(MATCH(P_ind[[#This Row],[Main fuel]],$J$29:$J$42,0)),"RE","non-RE")</f>
        <v>RE</v>
      </c>
      <c r="I64" s="130"/>
    </row>
    <row r="65" spans="1:13">
      <c r="A65" s="129" t="s">
        <v>901</v>
      </c>
      <c r="B65" s="129" t="s">
        <v>968</v>
      </c>
      <c r="C65" s="133" t="s">
        <v>1137</v>
      </c>
      <c r="D65" s="55">
        <v>1.5</v>
      </c>
      <c r="E65" s="35" t="s">
        <v>1023</v>
      </c>
      <c r="G65" s="35"/>
      <c r="H65" s="135" t="str">
        <f>IF(ISNUMBER(MATCH(P_ind[[#This Row],[Main fuel]],$J$29:$J$42,0)),"RE","non-RE")</f>
        <v>non-RE</v>
      </c>
      <c r="I65" s="130"/>
      <c r="J65" s="14" t="s">
        <v>24</v>
      </c>
      <c r="K65" s="14" t="s">
        <v>1136</v>
      </c>
      <c r="L65" s="14" t="s">
        <v>1135</v>
      </c>
    </row>
    <row r="66" spans="1:13">
      <c r="A66" s="129" t="s">
        <v>957</v>
      </c>
      <c r="B66" s="129" t="s">
        <v>1008</v>
      </c>
      <c r="C66" s="133" t="s">
        <v>1137</v>
      </c>
      <c r="D66" s="55">
        <v>1.4</v>
      </c>
      <c r="E66" s="35" t="s">
        <v>1033</v>
      </c>
      <c r="G66" s="35"/>
      <c r="H66" s="135" t="str">
        <f>IF(ISNUMBER(MATCH(P_ind[[#This Row],[Main fuel]],$J$29:$J$42,0)),"RE","non-RE")</f>
        <v>RE</v>
      </c>
      <c r="I66" s="130"/>
      <c r="J66" s="1" t="s">
        <v>28</v>
      </c>
      <c r="K66" s="6" cm="1">
        <f t="array" ref="K66">SUM(_xlfn._xlws.FILTER(P_chp_ind14[RE],ISNUMBER(MATCH(P_chp_ind14[Region],_xlfn._xlws.FILTER(Region[Administrative],Region[Model]=P_chp_ind216[[#This Row],[Region]]),0))))</f>
        <v>501.3</v>
      </c>
      <c r="L66" s="6" cm="1">
        <f t="array" ref="L66">SUM(_xlfn._xlws.FILTER(P_chp_ind14[non-RE],ISNUMBER(MATCH(P_chp_ind14[Region],_xlfn._xlws.FILTER(Region[Administrative],Region[Model]=P_chp_ind216[[#This Row],[Region]]),0))))</f>
        <v>0</v>
      </c>
      <c r="M66" s="24">
        <f>SUM(P_chp_ind216[[#This Row],[RE]:[non-RE]])</f>
        <v>501.3</v>
      </c>
    </row>
    <row r="67" spans="1:13">
      <c r="A67" s="129" t="s">
        <v>942</v>
      </c>
      <c r="B67" s="129" t="s">
        <v>998</v>
      </c>
      <c r="C67" s="133" t="s">
        <v>1137</v>
      </c>
      <c r="D67" s="55">
        <v>1.3</v>
      </c>
      <c r="E67" s="35" t="s">
        <v>1016</v>
      </c>
      <c r="F67" s="35" t="s">
        <v>1016</v>
      </c>
      <c r="G67" s="131" t="s">
        <v>1137</v>
      </c>
      <c r="H67" s="135" t="str">
        <f>IF(ISNUMBER(MATCH(P_ind[[#This Row],[Main fuel]],$J$29:$J$42,0)),"RE","non-RE")</f>
        <v>RE</v>
      </c>
      <c r="I67" s="130"/>
      <c r="J67" s="1" t="s">
        <v>29</v>
      </c>
      <c r="K67" s="6" cm="1">
        <f t="array" ref="K67">SUM(_xlfn._xlws.FILTER(P_chp_ind14[RE],ISNUMBER(MATCH(P_chp_ind14[Region],_xlfn._xlws.FILTER(Region[Administrative],Region[Model]=P_chp_ind216[[#This Row],[Region]]),0))))</f>
        <v>652.9</v>
      </c>
      <c r="L67" s="6" cm="1">
        <f t="array" ref="L67">SUM(_xlfn._xlws.FILTER(P_chp_ind14[non-RE],ISNUMBER(MATCH(P_chp_ind14[Region],_xlfn._xlws.FILTER(Region[Administrative],Region[Model]=P_chp_ind216[[#This Row],[Region]]),0))))</f>
        <v>0</v>
      </c>
      <c r="M67" s="24">
        <f>SUM(P_chp_ind216[[#This Row],[RE]:[non-RE]])</f>
        <v>652.9</v>
      </c>
    </row>
    <row r="68" spans="1:13">
      <c r="A68" s="129" t="s">
        <v>946</v>
      </c>
      <c r="B68" s="129" t="s">
        <v>946</v>
      </c>
      <c r="C68" s="133" t="s">
        <v>1137</v>
      </c>
      <c r="D68" s="55">
        <v>1.3</v>
      </c>
      <c r="E68" s="35" t="s">
        <v>1015</v>
      </c>
      <c r="F68" s="35" t="s">
        <v>1016</v>
      </c>
      <c r="G68" s="35" t="s">
        <v>1022</v>
      </c>
      <c r="H68" s="135" t="str">
        <f>IF(ISNUMBER(MATCH(P_ind[[#This Row],[Main fuel]],$J$29:$J$42,0)),"RE","non-RE")</f>
        <v>RE</v>
      </c>
      <c r="I68" s="130"/>
      <c r="J68" s="1" t="s">
        <v>31</v>
      </c>
      <c r="K68" s="6" cm="1">
        <f t="array" ref="K68">SUM(_xlfn._xlws.FILTER(P_chp_ind14[RE],ISNUMBER(MATCH(P_chp_ind14[Region],_xlfn._xlws.FILTER(Region[Administrative],Region[Model]=P_chp_ind216[[#This Row],[Region]]),0))))</f>
        <v>440</v>
      </c>
      <c r="L68" s="6" cm="1">
        <f t="array" ref="L68">SUM(_xlfn._xlws.FILTER(P_chp_ind14[non-RE],ISNUMBER(MATCH(P_chp_ind14[Region],_xlfn._xlws.FILTER(Region[Administrative],Region[Model]=P_chp_ind216[[#This Row],[Region]]),0))))</f>
        <v>88.5</v>
      </c>
      <c r="M68" s="24">
        <f>SUM(P_chp_ind216[[#This Row],[RE]:[non-RE]])</f>
        <v>528.5</v>
      </c>
    </row>
    <row r="69" spans="1:13">
      <c r="A69" s="129" t="s">
        <v>951</v>
      </c>
      <c r="B69" s="129" t="s">
        <v>1003</v>
      </c>
      <c r="C69" s="133" t="s">
        <v>1137</v>
      </c>
      <c r="D69" s="55">
        <v>1</v>
      </c>
      <c r="E69" s="35" t="s">
        <v>1032</v>
      </c>
      <c r="G69" s="35"/>
      <c r="H69" s="135" t="str">
        <f>IF(ISNUMBER(MATCH(P_ind[[#This Row],[Main fuel]],$J$29:$J$42,0)),"RE","non-RE")</f>
        <v>non-RE</v>
      </c>
      <c r="I69" s="130"/>
      <c r="J69" s="1" t="s">
        <v>32</v>
      </c>
      <c r="K69" s="6" cm="1">
        <f t="array" ref="K69">SUM(_xlfn._xlws.FILTER(P_chp_ind14[RE],ISNUMBER(MATCH(P_chp_ind14[Region],_xlfn._xlws.FILTER(Region[Administrative],Region[Model]=P_chp_ind216[[#This Row],[Region]]),0))))</f>
        <v>281.60000000000002</v>
      </c>
      <c r="L69" s="6" cm="1">
        <f t="array" ref="L69">SUM(_xlfn._xlws.FILTER(P_chp_ind14[non-RE],ISNUMBER(MATCH(P_chp_ind14[Region],_xlfn._xlws.FILTER(Region[Administrative],Region[Model]=P_chp_ind216[[#This Row],[Region]]),0))))</f>
        <v>0</v>
      </c>
      <c r="M69" s="24">
        <f>SUM(P_chp_ind216[[#This Row],[RE]:[non-RE]])</f>
        <v>281.60000000000002</v>
      </c>
    </row>
    <row r="70" spans="1:13">
      <c r="A70" s="129" t="s">
        <v>952</v>
      </c>
      <c r="B70" s="129" t="s">
        <v>952</v>
      </c>
      <c r="C70" s="133" t="s">
        <v>1137</v>
      </c>
      <c r="D70" s="55">
        <v>0.8</v>
      </c>
      <c r="E70" s="35" t="s">
        <v>1033</v>
      </c>
      <c r="F70" s="35" t="s">
        <v>1033</v>
      </c>
      <c r="G70" s="35"/>
      <c r="H70" s="135" t="str">
        <f>IF(ISNUMBER(MATCH(P_ind[[#This Row],[Main fuel]],$J$29:$J$42,0)),"RE","non-RE")</f>
        <v>RE</v>
      </c>
      <c r="I70" s="130"/>
      <c r="J70" s="1" t="s">
        <v>33</v>
      </c>
      <c r="K70" s="6" cm="1">
        <f t="array" ref="K70">SUM(_xlfn._xlws.FILTER(P_chp_ind14[RE],ISNUMBER(MATCH(P_chp_ind14[Region],_xlfn._xlws.FILTER(Region[Administrative],Region[Model]=P_chp_ind216[[#This Row],[Region]]),0))))</f>
        <v>27.7</v>
      </c>
      <c r="L70" s="6" cm="1">
        <f t="array" ref="L70">SUM(_xlfn._xlws.FILTER(P_chp_ind14[non-RE],ISNUMBER(MATCH(P_chp_ind14[Region],_xlfn._xlws.FILTER(Region[Administrative],Region[Model]=P_chp_ind216[[#This Row],[Region]]),0))))</f>
        <v>11.4</v>
      </c>
      <c r="M70" s="24">
        <f>SUM(P_chp_ind216[[#This Row],[RE]:[non-RE]])</f>
        <v>39.1</v>
      </c>
    </row>
    <row r="71" spans="1:13">
      <c r="A71" s="129" t="s">
        <v>902</v>
      </c>
      <c r="B71" s="129" t="s">
        <v>969</v>
      </c>
      <c r="C71" s="133" t="s">
        <v>1137</v>
      </c>
      <c r="D71" s="55">
        <v>0</v>
      </c>
      <c r="E71" s="35" t="s">
        <v>1016</v>
      </c>
      <c r="F71" s="35" t="s">
        <v>1020</v>
      </c>
      <c r="G71" s="35" t="s">
        <v>1021</v>
      </c>
      <c r="H71" s="135" t="str">
        <f>IF(ISNUMBER(MATCH(P_ind[[#This Row],[Main fuel]],$J$29:$J$42,0)),"RE","non-RE")</f>
        <v>RE</v>
      </c>
      <c r="I71" s="130"/>
      <c r="J71" s="1" t="s">
        <v>34</v>
      </c>
      <c r="K71" s="6" cm="1">
        <f t="array" ref="K71">SUM(_xlfn._xlws.FILTER(P_chp_ind14[RE],ISNUMBER(MATCH(P_chp_ind14[Region],_xlfn._xlws.FILTER(Region[Administrative],Region[Model]=P_chp_ind216[[#This Row],[Region]]),0))))</f>
        <v>720.40000000000009</v>
      </c>
      <c r="L71" s="6" cm="1">
        <f t="array" ref="L71">SUM(_xlfn._xlws.FILTER(P_chp_ind14[non-RE],ISNUMBER(MATCH(P_chp_ind14[Region],_xlfn._xlws.FILTER(Region[Administrative],Region[Model]=P_chp_ind216[[#This Row],[Region]]),0))))</f>
        <v>45</v>
      </c>
      <c r="M71" s="24">
        <f>SUM(P_chp_ind216[[#This Row],[RE]:[non-RE]])</f>
        <v>765.40000000000009</v>
      </c>
    </row>
    <row r="72" spans="1:13">
      <c r="A72" s="129" t="s">
        <v>913</v>
      </c>
      <c r="B72" s="129" t="s">
        <v>979</v>
      </c>
      <c r="C72" s="133" t="s">
        <v>1137</v>
      </c>
      <c r="D72" s="55">
        <v>0</v>
      </c>
      <c r="E72" s="35" t="s">
        <v>1024</v>
      </c>
      <c r="F72" s="35" t="s">
        <v>1017</v>
      </c>
      <c r="G72" s="35" t="s">
        <v>1016</v>
      </c>
      <c r="H72" s="135" t="str">
        <f>IF(ISNUMBER(MATCH(P_ind[[#This Row],[Main fuel]],$J$29:$J$42,0)),"RE","non-RE")</f>
        <v>RE</v>
      </c>
      <c r="I72" s="130"/>
      <c r="J72" s="106" t="s">
        <v>3</v>
      </c>
      <c r="K72" s="6" cm="1">
        <f t="array" ref="K72">SUM(_xlfn._xlws.FILTER(P_chp_ind14[RE],ISNUMBER(MATCH(P_chp_ind14[Region],_xlfn._xlws.FILTER(Region[Administrative],Region[Model]=P_chp_ind216[[#This Row],[Region]]),0))))</f>
        <v>0</v>
      </c>
      <c r="L72" s="6" cm="1">
        <f t="array" ref="L72">SUM(_xlfn._xlws.FILTER(P_chp_ind14[non-RE],ISNUMBER(MATCH(P_chp_ind14[Region],_xlfn._xlws.FILTER(Region[Administrative],Region[Model]=P_chp_ind216[[#This Row],[Region]]),0))))</f>
        <v>289.60000000000002</v>
      </c>
      <c r="M72" s="24">
        <f>SUM(P_chp_ind216[[#This Row],[RE]:[non-RE]])</f>
        <v>289.60000000000002</v>
      </c>
    </row>
    <row r="73" spans="1:13">
      <c r="A73" s="129" t="s">
        <v>918</v>
      </c>
      <c r="B73" s="129" t="s">
        <v>982</v>
      </c>
      <c r="C73" s="133" t="s">
        <v>1137</v>
      </c>
      <c r="D73" s="55">
        <v>0</v>
      </c>
      <c r="E73" s="35" t="s">
        <v>1024</v>
      </c>
      <c r="F73" s="35" t="s">
        <v>1016</v>
      </c>
      <c r="G73" s="35" t="s">
        <v>1017</v>
      </c>
      <c r="H73" s="135" t="str">
        <f>IF(ISNUMBER(MATCH(P_ind[[#This Row],[Main fuel]],$J$29:$J$42,0)),"RE","non-RE")</f>
        <v>RE</v>
      </c>
      <c r="I73" s="130"/>
      <c r="K73" s="6">
        <f>SUM(P_chp_ind216[RE])</f>
        <v>2623.9000000000005</v>
      </c>
      <c r="L73" s="6">
        <f>SUM(P_chp_ind216[non-RE])</f>
        <v>434.5</v>
      </c>
      <c r="M73" s="6">
        <f>SUM(K73:L73)</f>
        <v>3058.4000000000005</v>
      </c>
    </row>
    <row r="74" spans="1:13">
      <c r="A74" s="129" t="s">
        <v>935</v>
      </c>
      <c r="B74" s="129" t="s">
        <v>995</v>
      </c>
      <c r="C74" s="133" t="s">
        <v>1137</v>
      </c>
      <c r="D74" s="55">
        <v>0</v>
      </c>
      <c r="E74" s="35" t="s">
        <v>1016</v>
      </c>
      <c r="F74" s="35" t="s">
        <v>1017</v>
      </c>
      <c r="G74" s="131" t="s">
        <v>1137</v>
      </c>
      <c r="H74" s="135" t="str">
        <f>IF(ISNUMBER(MATCH(P_ind[[#This Row],[Main fuel]],$J$29:$J$42,0)),"RE","non-RE")</f>
        <v>RE</v>
      </c>
      <c r="I74" s="130"/>
    </row>
    <row r="75" spans="1:13">
      <c r="A75" s="129" t="s">
        <v>940</v>
      </c>
      <c r="B75" s="129" t="s">
        <v>940</v>
      </c>
      <c r="C75" s="133" t="s">
        <v>1137</v>
      </c>
      <c r="D75" s="55">
        <v>0</v>
      </c>
      <c r="E75" s="35" t="s">
        <v>1017</v>
      </c>
      <c r="G75" s="35"/>
      <c r="H75" s="135" t="str">
        <f>IF(ISNUMBER(MATCH(P_ind[[#This Row],[Main fuel]],$J$29:$J$42,0)),"RE","non-RE")</f>
        <v>non-RE</v>
      </c>
      <c r="I75" s="130"/>
    </row>
    <row r="76" spans="1:13">
      <c r="A76" s="35"/>
      <c r="C76" s="107"/>
      <c r="D76" s="138"/>
      <c r="G76" s="35"/>
      <c r="H76" s="135"/>
      <c r="I76" s="130"/>
    </row>
    <row r="77" spans="1:13">
      <c r="A77" s="35"/>
      <c r="B77" s="101"/>
      <c r="C77" s="101" t="s">
        <v>109</v>
      </c>
      <c r="D77" s="101" t="s">
        <v>58</v>
      </c>
      <c r="E77" s="101" t="s">
        <v>816</v>
      </c>
      <c r="I77" s="130"/>
    </row>
    <row r="78" spans="1:13">
      <c r="B78" s="101" t="s">
        <v>2</v>
      </c>
      <c r="C78" s="35">
        <f>COUNT(P_ind[Capacity])</f>
        <v>70</v>
      </c>
      <c r="D78" s="7">
        <f>SUM(P_ind[Capacity])</f>
        <v>3126.1000000000013</v>
      </c>
      <c r="F78" s="1"/>
      <c r="H78" s="1"/>
    </row>
    <row r="79" spans="1:13">
      <c r="B79" s="101" t="s">
        <v>392</v>
      </c>
      <c r="C79" s="35">
        <f>COUNT(D6:D51)</f>
        <v>46</v>
      </c>
      <c r="D79" s="7">
        <f>SUM(D6:D51)</f>
        <v>3058.4000000000005</v>
      </c>
      <c r="E79" s="119">
        <f>D79/$D$78</f>
        <v>0.97834362304468803</v>
      </c>
      <c r="F79" s="1"/>
      <c r="H79" s="1"/>
    </row>
    <row r="80" spans="1:13">
      <c r="B80" s="101" t="s">
        <v>818</v>
      </c>
      <c r="C80" s="35">
        <f>COUNT(D6:D42)</f>
        <v>37</v>
      </c>
      <c r="D80" s="7">
        <f>SUM(D6:D42)</f>
        <v>2928.8000000000006</v>
      </c>
      <c r="E80" s="119">
        <f>D80/$D$78</f>
        <v>0.93688621605194955</v>
      </c>
      <c r="F80" s="1"/>
      <c r="H80" s="1"/>
    </row>
    <row r="81" spans="2:8">
      <c r="B81" s="101" t="s">
        <v>817</v>
      </c>
      <c r="C81" s="35">
        <f>COUNT(D6:D27)</f>
        <v>22</v>
      </c>
      <c r="D81" s="7">
        <f>SUM(D6:D27)</f>
        <v>2460.3000000000006</v>
      </c>
      <c r="E81" s="119">
        <f>D81/$D$78</f>
        <v>0.78701896932279825</v>
      </c>
      <c r="F81" s="1"/>
      <c r="H81" s="1"/>
    </row>
    <row r="82" spans="2:8">
      <c r="B82" s="101" t="s">
        <v>391</v>
      </c>
      <c r="C82" s="35">
        <f>COUNT(D6:D13)</f>
        <v>8</v>
      </c>
      <c r="D82" s="7">
        <f>SUM(D6:D13)</f>
        <v>1380.5</v>
      </c>
      <c r="E82" s="119">
        <f>D82/$D$78</f>
        <v>0.4416045551965706</v>
      </c>
      <c r="F82" s="1"/>
      <c r="H82" s="1"/>
    </row>
    <row r="83" spans="2:8">
      <c r="B83" s="101" t="s">
        <v>832</v>
      </c>
      <c r="C83" s="35">
        <f>COUNT(D6:D8)</f>
        <v>3</v>
      </c>
      <c r="D83" s="7">
        <f>SUM(D6:D8)</f>
        <v>748</v>
      </c>
      <c r="E83" s="119">
        <f>D83/$D$78</f>
        <v>0.23927577492722552</v>
      </c>
      <c r="F83" s="1"/>
      <c r="H83" s="1"/>
    </row>
    <row r="84" spans="2:8">
      <c r="D84" s="1"/>
      <c r="E84" s="1"/>
    </row>
    <row r="85" spans="2:8">
      <c r="D85" s="1"/>
      <c r="E85" s="1"/>
    </row>
  </sheetData>
  <mergeCells count="2">
    <mergeCell ref="N17:Q19"/>
    <mergeCell ref="N21:Q22"/>
  </mergeCells>
  <hyperlinks>
    <hyperlink ref="F1" r:id="rId1" display="https://energiavirasto.fi/toimitusvarmuus" xr:uid="{AB8D404B-BBC6-48A9-86E9-E79E8D526C8B}"/>
  </hyperlinks>
  <pageMargins left="0.7" right="0.7" top="0.75" bottom="0.75" header="0.3" footer="0.3"/>
  <legacyDrawing r:id="rId2"/>
  <tableParts count="4">
    <tablePart r:id="rId3"/>
    <tablePart r:id="rId4"/>
    <tablePart r:id="rId5"/>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1B3BA-EF67-4547-9141-46A2C7B3FBE9}">
  <sheetPr>
    <tabColor rgb="FF00CC00"/>
  </sheetPr>
  <dimension ref="A1:AV79"/>
  <sheetViews>
    <sheetView topLeftCell="M10" zoomScaleNormal="100" workbookViewId="0">
      <selection activeCell="P17" sqref="P17:AC30"/>
    </sheetView>
  </sheetViews>
  <sheetFormatPr defaultColWidth="8.88671875" defaultRowHeight="14.4"/>
  <cols>
    <col min="1" max="1" width="13.6640625" style="1" customWidth="1"/>
    <col min="2" max="2" width="9.5546875" style="1" customWidth="1"/>
    <col min="3" max="3" width="19.88671875" style="1" bestFit="1" customWidth="1"/>
    <col min="4" max="4" width="8.44140625" style="35" bestFit="1" customWidth="1"/>
    <col min="5" max="6" width="14.109375" style="35" customWidth="1"/>
    <col min="7" max="7" width="14.109375" style="1" customWidth="1"/>
    <col min="8" max="8" width="8.88671875" style="100"/>
    <col min="9" max="9" width="8.88671875" style="1" customWidth="1"/>
    <col min="10" max="10" width="19.88671875" style="1" customWidth="1"/>
    <col min="11" max="11" width="11.44140625" style="1" customWidth="1"/>
    <col min="12" max="13" width="9.44140625" style="1" customWidth="1"/>
    <col min="14" max="15" width="9.33203125" style="1" customWidth="1"/>
    <col min="16" max="16" width="11.109375" style="1" customWidth="1"/>
    <col min="17" max="30" width="8.88671875" style="1"/>
    <col min="31" max="31" width="10.6640625" style="1" customWidth="1"/>
    <col min="32" max="32" width="10.77734375" style="1" customWidth="1"/>
    <col min="33" max="34" width="8.88671875" style="1"/>
    <col min="35" max="35" width="11.109375" style="1" customWidth="1"/>
    <col min="36" max="16384" width="8.88671875" style="1"/>
  </cols>
  <sheetData>
    <row r="1" spans="1:38">
      <c r="A1" s="65" t="s">
        <v>1177</v>
      </c>
      <c r="B1" s="36"/>
      <c r="C1" s="36" t="s">
        <v>859</v>
      </c>
      <c r="D1" s="128"/>
      <c r="E1" s="128"/>
      <c r="F1" s="97" t="s">
        <v>175</v>
      </c>
      <c r="G1" s="36"/>
      <c r="H1" s="134"/>
      <c r="I1" s="36"/>
      <c r="J1" s="36"/>
      <c r="K1" s="36"/>
      <c r="L1" s="36"/>
      <c r="M1" s="36"/>
      <c r="P1" s="65" t="s">
        <v>1178</v>
      </c>
      <c r="Q1" s="65" t="s">
        <v>1159</v>
      </c>
      <c r="R1" s="36"/>
      <c r="S1" s="36"/>
      <c r="T1" s="36"/>
      <c r="U1" s="36"/>
      <c r="V1" s="36"/>
      <c r="W1" s="36"/>
      <c r="X1" s="36"/>
      <c r="Y1" s="36"/>
      <c r="Z1" s="36"/>
      <c r="AA1" s="36"/>
      <c r="AE1" s="65" t="s">
        <v>1179</v>
      </c>
      <c r="AF1" s="36"/>
      <c r="AG1" s="36"/>
      <c r="AH1" s="36"/>
      <c r="AI1" s="36"/>
      <c r="AJ1" s="36"/>
      <c r="AL1" s="115"/>
    </row>
    <row r="2" spans="1:38">
      <c r="A2" s="98" t="s">
        <v>396</v>
      </c>
      <c r="B2" s="45"/>
      <c r="C2" s="98" t="s">
        <v>1132</v>
      </c>
      <c r="D2" s="98"/>
      <c r="E2" s="98"/>
      <c r="F2" s="98"/>
      <c r="G2" s="45"/>
      <c r="H2" s="46"/>
      <c r="I2" s="45"/>
      <c r="J2" s="45"/>
      <c r="K2" s="45"/>
      <c r="L2" s="45"/>
      <c r="M2" s="45"/>
      <c r="P2" s="101" t="s">
        <v>1412</v>
      </c>
      <c r="Q2" s="14"/>
      <c r="R2" s="14"/>
      <c r="S2" s="14"/>
      <c r="T2" s="14"/>
      <c r="U2" s="14"/>
      <c r="V2" s="14"/>
      <c r="W2" s="14"/>
      <c r="X2" s="14"/>
      <c r="Y2" s="14"/>
      <c r="Z2" s="14"/>
      <c r="AA2" s="14"/>
      <c r="AL2" s="115"/>
    </row>
    <row r="3" spans="1:38">
      <c r="A3" s="45" t="s">
        <v>397</v>
      </c>
      <c r="B3" s="45"/>
      <c r="C3" s="45" t="s">
        <v>1133</v>
      </c>
      <c r="D3" s="98"/>
      <c r="E3" s="98"/>
      <c r="F3" s="98"/>
      <c r="G3" s="45"/>
      <c r="H3" s="46"/>
      <c r="I3" s="45"/>
      <c r="J3" s="45"/>
      <c r="K3" s="45"/>
      <c r="L3" s="45"/>
      <c r="M3" s="45"/>
      <c r="P3" s="101" t="s">
        <v>1413</v>
      </c>
      <c r="Q3" s="14"/>
      <c r="R3" s="14"/>
      <c r="S3" s="14"/>
      <c r="T3" s="14"/>
      <c r="U3" s="14"/>
      <c r="V3" s="14"/>
      <c r="W3" s="14"/>
      <c r="X3" s="14"/>
      <c r="Y3" s="14"/>
      <c r="Z3" s="14"/>
      <c r="AA3" s="14"/>
      <c r="AE3" s="45" t="s">
        <v>1408</v>
      </c>
      <c r="AF3" s="45"/>
      <c r="AG3" s="45"/>
      <c r="AH3" s="45"/>
      <c r="AI3" s="45"/>
      <c r="AJ3" s="45"/>
      <c r="AL3" s="115"/>
    </row>
    <row r="4" spans="1:38">
      <c r="A4" s="45" t="s">
        <v>1173</v>
      </c>
      <c r="B4" s="45"/>
      <c r="C4" s="45" t="s">
        <v>1174</v>
      </c>
      <c r="D4" s="98"/>
      <c r="E4" s="98"/>
      <c r="F4" s="98"/>
      <c r="G4" s="45"/>
      <c r="H4" s="46"/>
      <c r="I4" s="45"/>
      <c r="J4" s="45"/>
      <c r="K4" s="45"/>
      <c r="L4" s="45"/>
      <c r="M4" s="45"/>
      <c r="AE4" s="14"/>
      <c r="AF4" s="14" t="s">
        <v>1170</v>
      </c>
      <c r="AG4" s="14" t="s">
        <v>1172</v>
      </c>
      <c r="AH4" s="14" t="s">
        <v>1171</v>
      </c>
      <c r="AL4" s="115"/>
    </row>
    <row r="5" spans="1:38">
      <c r="A5" s="45"/>
      <c r="B5" s="45"/>
      <c r="C5" s="98" t="s">
        <v>1175</v>
      </c>
      <c r="D5" s="98"/>
      <c r="E5" s="98"/>
      <c r="F5" s="98"/>
      <c r="G5" s="45"/>
      <c r="H5" s="46"/>
      <c r="I5" s="45"/>
      <c r="J5" s="45"/>
      <c r="K5" s="45"/>
      <c r="L5" s="45"/>
      <c r="M5" s="45"/>
      <c r="P5" s="45" t="s">
        <v>1410</v>
      </c>
      <c r="Q5" s="45"/>
      <c r="R5" s="45"/>
      <c r="S5" s="45"/>
      <c r="T5" s="45"/>
      <c r="W5" s="45" t="s">
        <v>1411</v>
      </c>
      <c r="X5" s="45"/>
      <c r="Y5" s="45"/>
      <c r="Z5" s="45"/>
      <c r="AA5" s="45"/>
      <c r="AE5" s="14" t="s">
        <v>87</v>
      </c>
      <c r="AF5" s="118">
        <f>(R15+Q15)/K53</f>
        <v>1.0136465324384787</v>
      </c>
      <c r="AG5" s="118">
        <f>S15/L53</f>
        <v>1.3586578695384131</v>
      </c>
      <c r="AH5" s="118">
        <f>T15/M53</f>
        <v>2.6215864759427832</v>
      </c>
      <c r="AL5" s="115"/>
    </row>
    <row r="6" spans="1:38">
      <c r="P6" s="14"/>
      <c r="Q6" s="14" t="s">
        <v>1190</v>
      </c>
      <c r="R6" s="14" t="s">
        <v>1189</v>
      </c>
      <c r="S6" s="14" t="s">
        <v>1172</v>
      </c>
      <c r="T6" s="14" t="s">
        <v>1171</v>
      </c>
      <c r="W6" s="14"/>
      <c r="X6" s="14"/>
      <c r="Y6" s="127" t="s">
        <v>1189</v>
      </c>
      <c r="Z6" s="127" t="s">
        <v>1172</v>
      </c>
      <c r="AA6" s="127" t="s">
        <v>1171</v>
      </c>
      <c r="AL6" s="115"/>
    </row>
    <row r="7" spans="1:38">
      <c r="A7" s="14" t="s">
        <v>177</v>
      </c>
      <c r="B7" s="14" t="s">
        <v>178</v>
      </c>
      <c r="C7" s="14" t="s">
        <v>24</v>
      </c>
      <c r="D7" s="127" t="s">
        <v>58</v>
      </c>
      <c r="E7" s="127" t="s">
        <v>1012</v>
      </c>
      <c r="F7" s="101" t="s">
        <v>1013</v>
      </c>
      <c r="G7" s="101" t="s">
        <v>1014</v>
      </c>
      <c r="H7" s="127" t="s">
        <v>1134</v>
      </c>
      <c r="J7" s="14" t="s">
        <v>1138</v>
      </c>
      <c r="K7" s="14" t="s">
        <v>1169</v>
      </c>
      <c r="P7" s="14" t="s">
        <v>87</v>
      </c>
      <c r="Q7" s="137" t="s">
        <v>1137</v>
      </c>
      <c r="R7" s="10">
        <v>211.3</v>
      </c>
      <c r="S7" s="10">
        <v>1426.6</v>
      </c>
      <c r="T7" s="10">
        <v>113.2</v>
      </c>
      <c r="U7" s="6">
        <f t="shared" ref="U7:U14" si="0">SUM(Q7:T7)</f>
        <v>1751.1</v>
      </c>
      <c r="W7" s="171" t="s">
        <v>127</v>
      </c>
      <c r="X7" s="14"/>
      <c r="Y7" s="10">
        <f>R7</f>
        <v>211.3</v>
      </c>
      <c r="Z7" s="10">
        <f>S7</f>
        <v>1426.6</v>
      </c>
      <c r="AA7" s="10">
        <f>T7</f>
        <v>113.2</v>
      </c>
      <c r="AE7" s="45" t="s">
        <v>1188</v>
      </c>
      <c r="AF7" s="45"/>
      <c r="AG7" s="45"/>
      <c r="AH7" s="45"/>
      <c r="AI7" s="45"/>
      <c r="AJ7" s="45"/>
      <c r="AL7" s="115"/>
    </row>
    <row r="8" spans="1:38">
      <c r="A8" s="35" t="s">
        <v>1086</v>
      </c>
      <c r="B8" s="1" t="s">
        <v>1123</v>
      </c>
      <c r="C8" s="107" t="s">
        <v>3</v>
      </c>
      <c r="D8" s="138">
        <v>485</v>
      </c>
      <c r="E8" s="100" t="s">
        <v>1023</v>
      </c>
      <c r="F8" s="35" t="s">
        <v>1020</v>
      </c>
      <c r="G8" s="131" t="s">
        <v>1137</v>
      </c>
      <c r="H8" s="135" t="str">
        <f>_xlfn.XLOOKUP(P_dh_chp[[#This Row],[Main fuel]],$J$7:$J$21,$K$7:$K$21)</f>
        <v>Gas</v>
      </c>
      <c r="I8" s="130"/>
      <c r="J8" s="100" t="str" cm="1">
        <f t="array" ref="J8:J21">_xlfn.UNIQUE(_xlfn.TOCOL(P_dh_chp[[Main fuel]:[Standby fuel 2]], 1))</f>
        <v>Natural gas</v>
      </c>
      <c r="K8" s="146" t="s">
        <v>1170</v>
      </c>
      <c r="P8" s="14" t="s">
        <v>86</v>
      </c>
      <c r="Q8" s="22"/>
      <c r="R8" s="22"/>
      <c r="S8" s="10">
        <v>250</v>
      </c>
      <c r="T8" s="22"/>
      <c r="U8" s="6">
        <f t="shared" si="0"/>
        <v>250</v>
      </c>
      <c r="W8" s="171" t="s">
        <v>1157</v>
      </c>
      <c r="X8" s="14"/>
      <c r="Y8" s="10">
        <v>356.6</v>
      </c>
      <c r="Z8" s="10">
        <v>3099.2999999999997</v>
      </c>
      <c r="AA8" s="10">
        <v>345</v>
      </c>
      <c r="AE8" s="98" t="s">
        <v>1176</v>
      </c>
      <c r="AF8" s="45"/>
      <c r="AG8" s="45"/>
      <c r="AH8" s="45"/>
      <c r="AI8" s="45"/>
      <c r="AJ8" s="45"/>
      <c r="AL8" s="115"/>
    </row>
    <row r="9" spans="1:38">
      <c r="A9" s="35" t="s">
        <v>1074</v>
      </c>
      <c r="B9" s="1" t="s">
        <v>1074</v>
      </c>
      <c r="C9" s="107" t="s">
        <v>3</v>
      </c>
      <c r="D9" s="138">
        <v>276</v>
      </c>
      <c r="E9" s="100" t="s">
        <v>1023</v>
      </c>
      <c r="F9" s="35" t="s">
        <v>1020</v>
      </c>
      <c r="G9" s="131" t="s">
        <v>1137</v>
      </c>
      <c r="H9" s="135" t="str">
        <f>_xlfn.XLOOKUP(P_dh_chp[[#This Row],[Main fuel]],$J$7:$J$21,$K$7:$K$21)</f>
        <v>Gas</v>
      </c>
      <c r="I9" s="130"/>
      <c r="J9" s="100" t="str">
        <v>Medium heavy distillates</v>
      </c>
      <c r="K9" s="146" t="s">
        <v>1170</v>
      </c>
      <c r="P9" s="14" t="s">
        <v>83</v>
      </c>
      <c r="Q9" s="22"/>
      <c r="R9" s="22"/>
      <c r="S9" s="10">
        <v>160</v>
      </c>
      <c r="T9" s="22"/>
      <c r="U9" s="6">
        <f t="shared" si="0"/>
        <v>160</v>
      </c>
      <c r="W9" s="171" t="s">
        <v>1409</v>
      </c>
      <c r="X9" s="14"/>
      <c r="Y9" s="151">
        <f>Y8/R7</f>
        <v>1.6876478939895883</v>
      </c>
      <c r="Z9" s="151">
        <f>Z8/S7</f>
        <v>2.1725080611243515</v>
      </c>
      <c r="AA9" s="151">
        <f>AA8/T7</f>
        <v>3.047703180212014</v>
      </c>
      <c r="AE9" s="346" t="s">
        <v>1186</v>
      </c>
      <c r="AF9" s="346"/>
      <c r="AG9" s="346"/>
      <c r="AH9" s="346"/>
      <c r="AI9" s="346"/>
      <c r="AJ9" s="346"/>
      <c r="AL9" s="115"/>
    </row>
    <row r="10" spans="1:38">
      <c r="A10" s="35" t="s">
        <v>1083</v>
      </c>
      <c r="B10" s="1" t="s">
        <v>1120</v>
      </c>
      <c r="C10" s="107" t="s">
        <v>121</v>
      </c>
      <c r="D10" s="138">
        <v>230</v>
      </c>
      <c r="E10" s="100" t="s">
        <v>1018</v>
      </c>
      <c r="F10" s="35" t="s">
        <v>1017</v>
      </c>
      <c r="G10" s="131" t="s">
        <v>1137</v>
      </c>
      <c r="H10" s="135" t="str">
        <f>_xlfn.XLOOKUP(P_dh_chp[[#This Row],[Main fuel]],$J$7:$J$21,$K$7:$K$21)</f>
        <v>Gas</v>
      </c>
      <c r="I10" s="130"/>
      <c r="J10" s="100" t="str">
        <v/>
      </c>
      <c r="K10" s="147" t="s">
        <v>1172</v>
      </c>
      <c r="P10" s="14" t="s">
        <v>85</v>
      </c>
      <c r="Q10" s="22"/>
      <c r="R10" s="22"/>
      <c r="S10" s="10">
        <v>152</v>
      </c>
      <c r="T10" s="22"/>
      <c r="U10" s="6">
        <f t="shared" si="0"/>
        <v>152</v>
      </c>
      <c r="AE10" s="346"/>
      <c r="AF10" s="346"/>
      <c r="AG10" s="346"/>
      <c r="AH10" s="346"/>
      <c r="AI10" s="346"/>
      <c r="AJ10" s="346"/>
      <c r="AL10" s="115"/>
    </row>
    <row r="11" spans="1:38">
      <c r="A11" s="35" t="s">
        <v>1043</v>
      </c>
      <c r="B11" s="1" t="s">
        <v>1095</v>
      </c>
      <c r="C11" s="107" t="s">
        <v>119</v>
      </c>
      <c r="D11" s="138">
        <v>190</v>
      </c>
      <c r="E11" s="100" t="s">
        <v>1015</v>
      </c>
      <c r="F11" s="35" t="s">
        <v>1022</v>
      </c>
      <c r="G11" s="35" t="s">
        <v>1016</v>
      </c>
      <c r="H11" s="135" t="str">
        <f>_xlfn.XLOOKUP(P_dh_chp[[#This Row],[Main fuel]],$J$7:$J$21,$K$7:$K$21)</f>
        <v>Bio</v>
      </c>
      <c r="I11" s="130"/>
      <c r="J11" s="100" t="str">
        <v>Hard coal and anthracite</v>
      </c>
      <c r="K11" s="146" t="s">
        <v>1170</v>
      </c>
      <c r="P11" s="14" t="s">
        <v>84</v>
      </c>
      <c r="Q11" s="22"/>
      <c r="R11" s="10">
        <v>147</v>
      </c>
      <c r="S11" s="10">
        <v>55</v>
      </c>
      <c r="T11" s="10">
        <v>12</v>
      </c>
      <c r="U11" s="6">
        <f t="shared" si="0"/>
        <v>214</v>
      </c>
      <c r="AE11" s="98" t="s">
        <v>1185</v>
      </c>
      <c r="AF11" s="45"/>
      <c r="AG11" s="45"/>
      <c r="AH11" s="45"/>
      <c r="AI11" s="45"/>
      <c r="AJ11" s="45"/>
      <c r="AL11" s="115"/>
    </row>
    <row r="12" spans="1:38">
      <c r="A12" s="35" t="s">
        <v>1085</v>
      </c>
      <c r="B12" s="1" t="s">
        <v>1122</v>
      </c>
      <c r="C12" s="107" t="s">
        <v>3</v>
      </c>
      <c r="D12" s="138">
        <v>163</v>
      </c>
      <c r="E12" s="100" t="s">
        <v>1023</v>
      </c>
      <c r="F12" s="35" t="s">
        <v>1020</v>
      </c>
      <c r="G12" s="35"/>
      <c r="H12" s="135" t="str">
        <f>_xlfn.XLOOKUP(P_dh_chp[[#This Row],[Main fuel]],$J$7:$J$21,$K$7:$K$21)</f>
        <v>Gas</v>
      </c>
      <c r="I12" s="130"/>
      <c r="J12" s="100" t="str">
        <v>Heavy distillates</v>
      </c>
      <c r="K12" s="146" t="s">
        <v>1170</v>
      </c>
      <c r="P12" s="14" t="s">
        <v>82</v>
      </c>
      <c r="Q12" s="22"/>
      <c r="R12" s="10">
        <v>88</v>
      </c>
      <c r="S12" s="10">
        <v>28</v>
      </c>
      <c r="T12" s="10">
        <v>76.400000000000006</v>
      </c>
      <c r="U12" s="6">
        <f t="shared" si="0"/>
        <v>192.4</v>
      </c>
      <c r="AE12" s="14" t="s">
        <v>24</v>
      </c>
      <c r="AF12" s="14" t="s">
        <v>1189</v>
      </c>
      <c r="AG12" s="14" t="s">
        <v>1172</v>
      </c>
      <c r="AH12" s="14" t="s">
        <v>1171</v>
      </c>
      <c r="AL12" s="115"/>
    </row>
    <row r="13" spans="1:38">
      <c r="A13" s="35" t="s">
        <v>1056</v>
      </c>
      <c r="B13" s="1" t="s">
        <v>1056</v>
      </c>
      <c r="C13" s="107" t="s">
        <v>7</v>
      </c>
      <c r="D13" s="138">
        <v>142</v>
      </c>
      <c r="E13" s="100" t="s">
        <v>1023</v>
      </c>
      <c r="F13" s="35" t="s">
        <v>1020</v>
      </c>
      <c r="G13" s="131" t="s">
        <v>1137</v>
      </c>
      <c r="H13" s="135" t="str">
        <f>_xlfn.XLOOKUP(P_dh_chp[[#This Row],[Main fuel]],$J$7:$J$21,$K$7:$K$21)</f>
        <v>Gas</v>
      </c>
      <c r="I13" s="130"/>
      <c r="J13" s="100" t="str">
        <v>Peat</v>
      </c>
      <c r="K13" s="146" t="s">
        <v>1172</v>
      </c>
      <c r="P13" s="14" t="s">
        <v>81</v>
      </c>
      <c r="Q13" s="10">
        <v>49</v>
      </c>
      <c r="R13" s="10">
        <v>234</v>
      </c>
      <c r="S13" s="22"/>
      <c r="T13" s="22"/>
      <c r="U13" s="6">
        <f t="shared" si="0"/>
        <v>283</v>
      </c>
      <c r="AE13" s="14" t="s">
        <v>28</v>
      </c>
      <c r="AF13" s="206">
        <f>MAX(K46*AF$5-R10,0)</f>
        <v>0</v>
      </c>
      <c r="AG13" s="206">
        <f>MAX(L46*AG$5-S10,0)</f>
        <v>112.25895562522135</v>
      </c>
      <c r="AH13" s="206">
        <f>MAX(M46*AH$5-T10,0)</f>
        <v>0</v>
      </c>
      <c r="AI13" s="6">
        <f t="shared" ref="AI13:AI19" si="1">SUM(AF13:AH13)</f>
        <v>112.25895562522135</v>
      </c>
      <c r="AL13" s="115"/>
    </row>
    <row r="14" spans="1:38">
      <c r="A14" s="35" t="s">
        <v>1058</v>
      </c>
      <c r="B14" s="1" t="s">
        <v>1106</v>
      </c>
      <c r="C14" s="107" t="s">
        <v>167</v>
      </c>
      <c r="D14" s="138">
        <v>130</v>
      </c>
      <c r="E14" s="100" t="s">
        <v>1022</v>
      </c>
      <c r="F14" s="35" t="s">
        <v>1016</v>
      </c>
      <c r="G14" s="35" t="s">
        <v>1018</v>
      </c>
      <c r="H14" s="135" t="str">
        <f>_xlfn.XLOOKUP(P_dh_chp[[#This Row],[Main fuel]],$J$7:$J$21,$K$7:$K$21)</f>
        <v>Bio</v>
      </c>
      <c r="I14" s="130"/>
      <c r="J14" s="100" t="str">
        <v>Forest fuelwood</v>
      </c>
      <c r="K14" s="146" t="s">
        <v>1172</v>
      </c>
      <c r="P14" s="14" t="s">
        <v>80</v>
      </c>
      <c r="Q14" s="22"/>
      <c r="R14" s="10">
        <v>630</v>
      </c>
      <c r="S14" s="22"/>
      <c r="T14" s="22"/>
      <c r="U14" s="6">
        <f t="shared" si="0"/>
        <v>630</v>
      </c>
      <c r="AE14" s="14" t="s">
        <v>29</v>
      </c>
      <c r="AF14" s="206">
        <f>MAX(K47*AF$5,0)</f>
        <v>233.13870246085008</v>
      </c>
      <c r="AG14" s="206">
        <f>MAX(L47*AG$5,0)</f>
        <v>207.46705667851566</v>
      </c>
      <c r="AH14" s="206">
        <f>MAX(M47*AH$5,0)</f>
        <v>0</v>
      </c>
      <c r="AI14" s="6">
        <f t="shared" si="1"/>
        <v>440.60575913936577</v>
      </c>
      <c r="AL14" s="115"/>
    </row>
    <row r="15" spans="1:38">
      <c r="A15" s="35" t="s">
        <v>1073</v>
      </c>
      <c r="B15" s="1" t="s">
        <v>1114</v>
      </c>
      <c r="C15" s="107" t="s">
        <v>120</v>
      </c>
      <c r="D15" s="138">
        <v>120</v>
      </c>
      <c r="E15" s="100" t="s">
        <v>1015</v>
      </c>
      <c r="F15" s="35" t="s">
        <v>1017</v>
      </c>
      <c r="G15" s="35" t="s">
        <v>1020</v>
      </c>
      <c r="H15" s="135" t="str">
        <f>_xlfn.XLOOKUP(P_dh_chp[[#This Row],[Main fuel]],$J$7:$J$21,$K$7:$K$21)</f>
        <v>Bio</v>
      </c>
      <c r="I15" s="130"/>
      <c r="J15" s="100" t="str">
        <v>Industrial wood residues</v>
      </c>
      <c r="K15" s="146" t="s">
        <v>1172</v>
      </c>
      <c r="Q15" s="6">
        <f>SUM(Q7:Q14)</f>
        <v>49</v>
      </c>
      <c r="R15" s="6">
        <f>SUM(R7:R14)</f>
        <v>1310.3</v>
      </c>
      <c r="S15" s="6">
        <f>SUM(S7:S14)</f>
        <v>2071.6</v>
      </c>
      <c r="T15" s="6">
        <f>SUM(T7:T14)</f>
        <v>201.60000000000002</v>
      </c>
      <c r="U15" s="6">
        <f>SUM(U7:U14)</f>
        <v>3632.5</v>
      </c>
      <c r="AE15" s="14" t="s">
        <v>31</v>
      </c>
      <c r="AF15" s="206">
        <f>MAX(K48*AF$5-R8-R11,0)</f>
        <v>0</v>
      </c>
      <c r="AG15" s="206">
        <f>MAX(L48*AG$5-S8-S11,0)</f>
        <v>34.664467384603256</v>
      </c>
      <c r="AH15" s="206">
        <f>MAX(M48*AH$5-T8-T11,0)</f>
        <v>20.245513654096236</v>
      </c>
      <c r="AI15" s="6">
        <f t="shared" si="1"/>
        <v>54.909981038699492</v>
      </c>
      <c r="AL15" s="115"/>
    </row>
    <row r="16" spans="1:38" ht="14.4" customHeight="1">
      <c r="A16" s="35" t="s">
        <v>1052</v>
      </c>
      <c r="C16" s="107" t="s">
        <v>118</v>
      </c>
      <c r="D16" s="138">
        <v>119</v>
      </c>
      <c r="E16" s="100" t="s">
        <v>1016</v>
      </c>
      <c r="F16" s="35" t="s">
        <v>1023</v>
      </c>
      <c r="G16" s="35"/>
      <c r="H16" s="135" t="str">
        <f>_xlfn.XLOOKUP(P_dh_chp[[#This Row],[Main fuel]],$J$7:$J$21,$K$7:$K$21)</f>
        <v>Bio</v>
      </c>
      <c r="I16" s="130"/>
      <c r="J16" s="100" t="str">
        <v>Mixed fuels</v>
      </c>
      <c r="K16" s="147" t="s">
        <v>1172</v>
      </c>
      <c r="AE16" s="14" t="s">
        <v>32</v>
      </c>
      <c r="AF16" s="206">
        <f>MAX(K49*AF$5,0)</f>
        <v>0</v>
      </c>
      <c r="AG16" s="206">
        <f>MAX(L49*AG$5,0)</f>
        <v>473.3564017471831</v>
      </c>
      <c r="AH16" s="206">
        <f>MAX(M49*AH$5,0)</f>
        <v>0</v>
      </c>
      <c r="AI16" s="6">
        <f t="shared" si="1"/>
        <v>473.3564017471831</v>
      </c>
      <c r="AL16" s="115"/>
    </row>
    <row r="17" spans="1:38" ht="14.4" customHeight="1">
      <c r="A17" s="35" t="s">
        <v>1036</v>
      </c>
      <c r="B17" s="1" t="s">
        <v>1091</v>
      </c>
      <c r="C17" s="107" t="s">
        <v>165</v>
      </c>
      <c r="D17" s="138">
        <v>118.1</v>
      </c>
      <c r="E17" s="100" t="s">
        <v>1015</v>
      </c>
      <c r="F17" s="35" t="s">
        <v>1017</v>
      </c>
      <c r="G17" s="35" t="s">
        <v>1022</v>
      </c>
      <c r="H17" s="135" t="str">
        <f>_xlfn.XLOOKUP(P_dh_chp[[#This Row],[Main fuel]],$J$7:$J$21,$K$7:$K$21)</f>
        <v>Bio</v>
      </c>
      <c r="I17" s="130"/>
      <c r="J17" s="100" t="str">
        <v>Gasified waste</v>
      </c>
      <c r="K17" s="146" t="s">
        <v>1171</v>
      </c>
      <c r="P17" s="98" t="s">
        <v>1192</v>
      </c>
      <c r="Q17" s="45"/>
      <c r="R17" s="45"/>
      <c r="S17" s="45"/>
      <c r="T17" s="45"/>
      <c r="U17" s="45"/>
      <c r="V17" s="45"/>
      <c r="W17" s="45"/>
      <c r="X17" s="45"/>
      <c r="Y17" s="45"/>
      <c r="Z17" s="45"/>
      <c r="AA17" s="45"/>
      <c r="AB17" s="45"/>
      <c r="AE17" s="14" t="s">
        <v>33</v>
      </c>
      <c r="AF17" s="206">
        <f>MAX(K50*AF$5-R9,0)</f>
        <v>0</v>
      </c>
      <c r="AG17" s="206">
        <f>MAX(L50*AG$5-S9,0)</f>
        <v>123.28016579875913</v>
      </c>
      <c r="AH17" s="206">
        <f>MAX(M50*AH$5-T9,0)</f>
        <v>51.383094928478556</v>
      </c>
      <c r="AI17" s="6">
        <f t="shared" si="1"/>
        <v>174.66326072723768</v>
      </c>
      <c r="AL17" s="115"/>
    </row>
    <row r="18" spans="1:38">
      <c r="A18" s="35" t="s">
        <v>1080</v>
      </c>
      <c r="B18" s="1" t="s">
        <v>1118</v>
      </c>
      <c r="C18" s="107" t="s">
        <v>124</v>
      </c>
      <c r="D18" s="138">
        <v>98</v>
      </c>
      <c r="E18" s="100" t="s">
        <v>1015</v>
      </c>
      <c r="F18" s="35" t="s">
        <v>1016</v>
      </c>
      <c r="G18" s="35" t="s">
        <v>1017</v>
      </c>
      <c r="H18" s="135" t="str">
        <f>_xlfn.XLOOKUP(P_dh_chp[[#This Row],[Main fuel]],$J$7:$J$21,$K$7:$K$21)</f>
        <v>Bio</v>
      </c>
      <c r="I18" s="130"/>
      <c r="J18" s="100" t="str">
        <v>Other by-products and wastes used as fuel</v>
      </c>
      <c r="K18" s="146" t="s">
        <v>1171</v>
      </c>
      <c r="P18" s="101"/>
      <c r="Q18" s="347" t="s">
        <v>1141</v>
      </c>
      <c r="R18" s="347" t="s">
        <v>1152</v>
      </c>
      <c r="S18" s="347" t="s">
        <v>1143</v>
      </c>
      <c r="T18" s="347" t="s">
        <v>1142</v>
      </c>
      <c r="U18" s="347" t="s">
        <v>1144</v>
      </c>
      <c r="V18" s="347" t="s">
        <v>1146</v>
      </c>
      <c r="W18" s="347" t="s">
        <v>1147</v>
      </c>
      <c r="X18" s="347" t="s">
        <v>1148</v>
      </c>
      <c r="Y18" s="347" t="s">
        <v>1149</v>
      </c>
      <c r="Z18" s="347" t="s">
        <v>1150</v>
      </c>
      <c r="AA18" s="347" t="s">
        <v>1155</v>
      </c>
      <c r="AB18" s="347" t="s">
        <v>1156</v>
      </c>
      <c r="AE18" s="14" t="s">
        <v>34</v>
      </c>
      <c r="AF18" s="206">
        <f>MAX(K51*AF$5,0)</f>
        <v>45.614093959731541</v>
      </c>
      <c r="AG18" s="206">
        <f>MAX(L51*AG$5,0)</f>
        <v>223.49921953906895</v>
      </c>
      <c r="AH18" s="206">
        <f>MAX(M51*AH$5,0)</f>
        <v>117.97139141742524</v>
      </c>
      <c r="AI18" s="6">
        <f t="shared" si="1"/>
        <v>387.08470491622575</v>
      </c>
      <c r="AL18" s="115"/>
    </row>
    <row r="19" spans="1:38">
      <c r="A19" s="35" t="s">
        <v>1081</v>
      </c>
      <c r="B19" s="1" t="s">
        <v>1119</v>
      </c>
      <c r="C19" s="107" t="s">
        <v>3</v>
      </c>
      <c r="D19" s="138">
        <v>81.400000000000006</v>
      </c>
      <c r="E19" s="100" t="s">
        <v>1019</v>
      </c>
      <c r="F19" s="35" t="s">
        <v>1023</v>
      </c>
      <c r="G19" s="35" t="s">
        <v>1020</v>
      </c>
      <c r="H19" s="135" t="str">
        <f>_xlfn.XLOOKUP(P_dh_chp[[#This Row],[Main fuel]],$J$7:$J$21,$K$7:$K$21)</f>
        <v>Bio</v>
      </c>
      <c r="I19" s="130"/>
      <c r="J19" s="100" t="str">
        <v>Vegetable-based fuels and other field biomass</v>
      </c>
      <c r="K19" s="146" t="s">
        <v>1172</v>
      </c>
      <c r="P19" s="101"/>
      <c r="Q19" s="347"/>
      <c r="R19" s="347"/>
      <c r="S19" s="347"/>
      <c r="T19" s="347"/>
      <c r="U19" s="347"/>
      <c r="V19" s="347"/>
      <c r="W19" s="347"/>
      <c r="X19" s="347"/>
      <c r="Y19" s="347"/>
      <c r="Z19" s="347"/>
      <c r="AA19" s="347"/>
      <c r="AB19" s="347"/>
      <c r="AE19" s="14" t="s">
        <v>3</v>
      </c>
      <c r="AF19" s="206">
        <f>MAX(K52*AF$5-SUM(R12:R14),0)</f>
        <v>0</v>
      </c>
      <c r="AG19" s="206">
        <f>MAX(L52*AG$5-SUM(S12:S14),0)</f>
        <v>252.07373322664847</v>
      </c>
      <c r="AH19" s="206">
        <f>MAX(M52*AH$5-SUM(T12:T14),0)</f>
        <v>0</v>
      </c>
      <c r="AI19" s="6">
        <f t="shared" si="1"/>
        <v>252.07373322664847</v>
      </c>
      <c r="AL19" s="115"/>
    </row>
    <row r="20" spans="1:38">
      <c r="A20" s="35" t="s">
        <v>1067</v>
      </c>
      <c r="B20" s="1" t="s">
        <v>1067</v>
      </c>
      <c r="C20" s="107" t="s">
        <v>165</v>
      </c>
      <c r="D20" s="138">
        <v>80</v>
      </c>
      <c r="E20" s="100" t="s">
        <v>1015</v>
      </c>
      <c r="F20" s="35" t="s">
        <v>1016</v>
      </c>
      <c r="G20" s="35" t="s">
        <v>1022</v>
      </c>
      <c r="H20" s="135" t="str">
        <f>_xlfn.XLOOKUP(P_dh_chp[[#This Row],[Main fuel]],$J$7:$J$21,$K$7:$K$21)</f>
        <v>Bio</v>
      </c>
      <c r="I20" s="130"/>
      <c r="J20" s="100" t="str">
        <v>Biogas</v>
      </c>
      <c r="K20" s="146" t="s">
        <v>1172</v>
      </c>
      <c r="P20" s="101"/>
      <c r="Q20" s="347"/>
      <c r="R20" s="347"/>
      <c r="S20" s="347"/>
      <c r="T20" s="347"/>
      <c r="U20" s="347"/>
      <c r="V20" s="347"/>
      <c r="W20" s="347"/>
      <c r="X20" s="347"/>
      <c r="Y20" s="347"/>
      <c r="Z20" s="347"/>
      <c r="AA20" s="347"/>
      <c r="AB20" s="347"/>
      <c r="AE20" s="35" t="s">
        <v>87</v>
      </c>
      <c r="AF20" s="99">
        <f>SUM(AF13:AF19)</f>
        <v>278.7527964205816</v>
      </c>
      <c r="AG20" s="99">
        <f>SUM(AG13:AG19)</f>
        <v>1426.6</v>
      </c>
      <c r="AH20" s="99">
        <f>SUM(AH13:AH19)</f>
        <v>189.60000000000002</v>
      </c>
      <c r="AI20" s="99">
        <f>SUM(AI13:AI19)</f>
        <v>1894.9527964205818</v>
      </c>
      <c r="AL20" s="115"/>
    </row>
    <row r="21" spans="1:38">
      <c r="A21" s="35" t="s">
        <v>1051</v>
      </c>
      <c r="B21" s="1" t="s">
        <v>1103</v>
      </c>
      <c r="C21" s="107" t="s">
        <v>124</v>
      </c>
      <c r="D21" s="138">
        <v>66.5</v>
      </c>
      <c r="E21" s="100" t="s">
        <v>1022</v>
      </c>
      <c r="F21" s="35" t="s">
        <v>1016</v>
      </c>
      <c r="G21" s="35" t="s">
        <v>1019</v>
      </c>
      <c r="H21" s="135" t="str">
        <f>_xlfn.XLOOKUP(P_dh_chp[[#This Row],[Main fuel]],$J$7:$J$21,$K$7:$K$21)</f>
        <v>Bio</v>
      </c>
      <c r="I21" s="130"/>
      <c r="J21" s="100" t="str">
        <v>Recovered wood</v>
      </c>
      <c r="K21" s="146" t="s">
        <v>1172</v>
      </c>
      <c r="P21" s="101"/>
      <c r="Q21" s="347"/>
      <c r="R21" s="347"/>
      <c r="S21" s="347"/>
      <c r="T21" s="347"/>
      <c r="U21" s="347"/>
      <c r="V21" s="347"/>
      <c r="W21" s="347"/>
      <c r="X21" s="347"/>
      <c r="Y21" s="347"/>
      <c r="Z21" s="347"/>
      <c r="AA21" s="347"/>
      <c r="AB21" s="347"/>
      <c r="AF21" s="218"/>
      <c r="AG21" s="218"/>
      <c r="AH21" s="218"/>
      <c r="AI21" s="6"/>
      <c r="AL21" s="115"/>
    </row>
    <row r="22" spans="1:38">
      <c r="A22" s="35" t="s">
        <v>1039</v>
      </c>
      <c r="B22" s="1" t="s">
        <v>1039</v>
      </c>
      <c r="C22" s="107" t="s">
        <v>6</v>
      </c>
      <c r="D22" s="138">
        <v>65</v>
      </c>
      <c r="E22" s="100" t="s">
        <v>1022</v>
      </c>
      <c r="F22" s="35" t="s">
        <v>1015</v>
      </c>
      <c r="G22" s="35" t="s">
        <v>1023</v>
      </c>
      <c r="H22" s="135" t="str">
        <f>_xlfn.XLOOKUP(P_dh_chp[[#This Row],[Main fuel]],$J$7:$J$21,$K$7:$K$21)</f>
        <v>Bio</v>
      </c>
      <c r="I22" s="130"/>
      <c r="J22" s="35"/>
      <c r="K22" s="102"/>
      <c r="P22" s="150" t="s">
        <v>87</v>
      </c>
      <c r="Q22" s="9">
        <v>3520.3000000000006</v>
      </c>
      <c r="R22" s="9">
        <v>10</v>
      </c>
      <c r="S22" s="9">
        <v>2701.9000000000005</v>
      </c>
      <c r="T22" s="9">
        <v>1849.9999999999998</v>
      </c>
      <c r="U22" s="9">
        <v>148.80000000000001</v>
      </c>
      <c r="V22" s="9">
        <v>1042.8999999999999</v>
      </c>
      <c r="W22" s="9">
        <v>625.5</v>
      </c>
      <c r="X22" s="9">
        <v>625.5</v>
      </c>
      <c r="Y22" s="9">
        <v>170</v>
      </c>
      <c r="Z22" s="9">
        <v>170</v>
      </c>
      <c r="AA22" s="148" t="s">
        <v>1137</v>
      </c>
      <c r="AB22" s="148" t="s">
        <v>1137</v>
      </c>
      <c r="AC22" s="6">
        <f>SUM(Q22:AB22)</f>
        <v>10864.9</v>
      </c>
      <c r="AE22" s="45" t="s">
        <v>1187</v>
      </c>
      <c r="AF22" s="45"/>
      <c r="AG22" s="45"/>
      <c r="AH22" s="45"/>
      <c r="AI22" s="45"/>
      <c r="AJ22" s="45"/>
      <c r="AL22" s="115"/>
    </row>
    <row r="23" spans="1:38">
      <c r="A23" s="35" t="s">
        <v>1060</v>
      </c>
      <c r="B23" s="1" t="s">
        <v>1060</v>
      </c>
      <c r="C23" s="107" t="s">
        <v>7</v>
      </c>
      <c r="D23" s="138">
        <v>60</v>
      </c>
      <c r="E23" s="100" t="s">
        <v>1022</v>
      </c>
      <c r="F23" s="35" t="s">
        <v>1015</v>
      </c>
      <c r="G23" s="35" t="s">
        <v>1023</v>
      </c>
      <c r="H23" s="135" t="str">
        <f>_xlfn.XLOOKUP(P_dh_chp[[#This Row],[Main fuel]],$J$7:$J$21,$K$7:$K$21)</f>
        <v>Bio</v>
      </c>
      <c r="I23" s="130"/>
      <c r="J23" s="1" t="s">
        <v>24</v>
      </c>
      <c r="K23" s="1" t="s">
        <v>1170</v>
      </c>
      <c r="L23" s="1" t="s">
        <v>1172</v>
      </c>
      <c r="M23" s="1" t="s">
        <v>1171</v>
      </c>
      <c r="P23" s="150" t="s">
        <v>86</v>
      </c>
      <c r="Q23" s="9">
        <v>200</v>
      </c>
      <c r="R23" s="54"/>
      <c r="S23" s="9">
        <v>26.8</v>
      </c>
      <c r="T23" s="9">
        <v>3.1</v>
      </c>
      <c r="U23" s="9">
        <v>45</v>
      </c>
      <c r="V23" s="9">
        <v>120</v>
      </c>
      <c r="W23" s="9">
        <v>80</v>
      </c>
      <c r="X23" s="9">
        <v>80</v>
      </c>
      <c r="Y23" s="54"/>
      <c r="Z23" s="54"/>
      <c r="AA23" s="54"/>
      <c r="AB23" s="54"/>
      <c r="AC23" s="6">
        <f t="shared" ref="AC23:AC29" si="2">SUM(Q23:AB23)</f>
        <v>554.9</v>
      </c>
      <c r="AE23" s="14" t="s">
        <v>24</v>
      </c>
      <c r="AF23" s="14" t="s">
        <v>1189</v>
      </c>
      <c r="AG23" s="14" t="s">
        <v>1172</v>
      </c>
      <c r="AH23" s="14" t="s">
        <v>1171</v>
      </c>
      <c r="AL23" s="115"/>
    </row>
    <row r="24" spans="1:38">
      <c r="A24" s="35" t="s">
        <v>1041</v>
      </c>
      <c r="B24" s="1" t="s">
        <v>1093</v>
      </c>
      <c r="C24" s="107" t="s">
        <v>122</v>
      </c>
      <c r="D24" s="138">
        <v>47</v>
      </c>
      <c r="E24" s="100" t="s">
        <v>1015</v>
      </c>
      <c r="F24" s="35" t="s">
        <v>1022</v>
      </c>
      <c r="G24" s="35" t="s">
        <v>1016</v>
      </c>
      <c r="H24" s="135" t="str">
        <f>_xlfn.XLOOKUP(P_dh_chp[[#This Row],[Main fuel]],$J$7:$J$21,$K$7:$K$21)</f>
        <v>Bio</v>
      </c>
      <c r="I24" s="130"/>
      <c r="J24" s="2" t="s">
        <v>3</v>
      </c>
      <c r="K24" s="24">
        <f>SUMIFS(P_dh_chp[Capacity], P_dh_chp[Unit type], K$23, P_dh_chp[Region], P_dh_chp_2[[#This Row],[Region]])</f>
        <v>924</v>
      </c>
      <c r="L24" s="24">
        <f>SUMIFS(P_dh_chp[Capacity], P_dh_chp[Unit type], L$23, P_dh_chp[Region], P_dh_chp_2[[#This Row],[Region]])</f>
        <v>206.14000000000001</v>
      </c>
      <c r="M24" s="24">
        <f>SUMIFS(P_dh_chp[Capacity], P_dh_chp[Unit type], M$23, P_dh_chp[Region], P_dh_chp_2[[#This Row],[Region]])</f>
        <v>0</v>
      </c>
      <c r="N24" s="99">
        <f>SUM(P_dh_chp_2[[#This Row],[Gas]:[Waste]])</f>
        <v>1130.1400000000001</v>
      </c>
      <c r="O24" s="99"/>
      <c r="P24" s="150" t="s">
        <v>83</v>
      </c>
      <c r="Q24" s="9">
        <v>624</v>
      </c>
      <c r="R24" s="54"/>
      <c r="S24" s="9">
        <v>106.8</v>
      </c>
      <c r="T24" s="54"/>
      <c r="U24" s="9">
        <v>64.400000000000006</v>
      </c>
      <c r="V24" s="9">
        <v>50</v>
      </c>
      <c r="W24" s="9">
        <v>75</v>
      </c>
      <c r="X24" s="9">
        <v>75</v>
      </c>
      <c r="Y24" s="54"/>
      <c r="Z24" s="54"/>
      <c r="AA24" s="54"/>
      <c r="AB24" s="54"/>
      <c r="AC24" s="6">
        <f t="shared" si="2"/>
        <v>995.19999999999993</v>
      </c>
      <c r="AE24" s="14" t="s">
        <v>28</v>
      </c>
      <c r="AF24" s="215">
        <f t="shared" ref="AF24:AH30" si="3">AF13*Y$9</f>
        <v>0</v>
      </c>
      <c r="AG24" s="215">
        <f t="shared" si="3"/>
        <v>243.88348602919424</v>
      </c>
      <c r="AH24" s="215">
        <f t="shared" si="3"/>
        <v>0</v>
      </c>
      <c r="AI24" s="6">
        <f t="shared" ref="AI24:AI30" si="4">SUM(AF24:AH24)</f>
        <v>243.88348602919424</v>
      </c>
      <c r="AL24" s="115"/>
    </row>
    <row r="25" spans="1:38">
      <c r="A25" s="35" t="s">
        <v>1038</v>
      </c>
      <c r="B25" s="1" t="s">
        <v>1038</v>
      </c>
      <c r="C25" s="107" t="s">
        <v>9</v>
      </c>
      <c r="D25" s="138">
        <v>45.5</v>
      </c>
      <c r="E25" s="143" t="s">
        <v>1137</v>
      </c>
      <c r="G25" s="35" t="s">
        <v>1023</v>
      </c>
      <c r="H25" s="135" t="str">
        <f>_xlfn.XLOOKUP(P_dh_chp[[#This Row],[Main fuel]],$J$7:$J$21,$K$7:$K$21)</f>
        <v>Bio</v>
      </c>
      <c r="I25" s="130"/>
      <c r="J25" s="1" t="s">
        <v>167</v>
      </c>
      <c r="K25" s="24">
        <f>SUMIFS(P_dh_chp[Capacity], P_dh_chp[Unit type], K$23, P_dh_chp[Region], P_dh_chp_2[[#This Row],[Region]])</f>
        <v>0</v>
      </c>
      <c r="L25" s="24">
        <f>SUMIFS(P_dh_chp[Capacity], P_dh_chp[Unit type], L$23, P_dh_chp[Region], P_dh_chp_2[[#This Row],[Region]])</f>
        <v>143.5</v>
      </c>
      <c r="M25" s="24">
        <f>SUMIFS(P_dh_chp[Capacity], P_dh_chp[Unit type], M$23, P_dh_chp[Region], P_dh_chp_2[[#This Row],[Region]])</f>
        <v>0</v>
      </c>
      <c r="N25" s="99">
        <f>SUM(P_dh_chp_2[[#This Row],[Gas]:[Waste]])</f>
        <v>143.5</v>
      </c>
      <c r="O25" s="99"/>
      <c r="P25" s="150" t="s">
        <v>85</v>
      </c>
      <c r="Q25" s="9">
        <v>348</v>
      </c>
      <c r="R25" s="54"/>
      <c r="S25" s="54"/>
      <c r="T25" s="54"/>
      <c r="U25" s="9">
        <v>2.1</v>
      </c>
      <c r="V25" s="9">
        <v>140</v>
      </c>
      <c r="W25" s="9">
        <v>55</v>
      </c>
      <c r="X25" s="9">
        <v>55</v>
      </c>
      <c r="Y25" s="9">
        <v>80</v>
      </c>
      <c r="Z25" s="9">
        <v>80</v>
      </c>
      <c r="AA25" s="54"/>
      <c r="AB25" s="54"/>
      <c r="AC25" s="6">
        <f t="shared" si="2"/>
        <v>760.1</v>
      </c>
      <c r="AE25" s="14" t="s">
        <v>29</v>
      </c>
      <c r="AF25" s="215">
        <f t="shared" si="3"/>
        <v>393.4560402155189</v>
      </c>
      <c r="AG25" s="215">
        <f t="shared" si="3"/>
        <v>450.72385305181797</v>
      </c>
      <c r="AH25" s="215">
        <f t="shared" si="3"/>
        <v>0</v>
      </c>
      <c r="AI25" s="6">
        <f t="shared" si="4"/>
        <v>844.17989326733687</v>
      </c>
      <c r="AL25" s="115"/>
    </row>
    <row r="26" spans="1:38">
      <c r="A26" s="35" t="s">
        <v>1049</v>
      </c>
      <c r="B26" s="1" t="s">
        <v>1101</v>
      </c>
      <c r="C26" s="107" t="s">
        <v>8</v>
      </c>
      <c r="D26" s="138">
        <v>45</v>
      </c>
      <c r="E26" s="100" t="s">
        <v>1018</v>
      </c>
      <c r="F26" s="35" t="s">
        <v>1023</v>
      </c>
      <c r="G26" s="35" t="s">
        <v>1129</v>
      </c>
      <c r="H26" s="135" t="str">
        <f>_xlfn.XLOOKUP(P_dh_chp[[#This Row],[Main fuel]],$J$7:$J$21,$K$7:$K$21)</f>
        <v>Gas</v>
      </c>
      <c r="I26" s="130"/>
      <c r="J26" s="2" t="s">
        <v>5</v>
      </c>
      <c r="K26" s="24">
        <f>SUMIFS(P_dh_chp[Capacity], P_dh_chp[Unit type], K$23, P_dh_chp[Region], P_dh_chp_2[[#This Row],[Region]])</f>
        <v>0</v>
      </c>
      <c r="L26" s="24">
        <f>SUMIFS(P_dh_chp[Capacity], P_dh_chp[Unit type], L$23, P_dh_chp[Region], P_dh_chp_2[[#This Row],[Region]])</f>
        <v>0</v>
      </c>
      <c r="M26" s="24">
        <f>SUMIFS(P_dh_chp[Capacity], P_dh_chp[Unit type], M$23, P_dh_chp[Region], P_dh_chp_2[[#This Row],[Region]])</f>
        <v>0</v>
      </c>
      <c r="N26" s="99">
        <f>SUM(P_dh_chp_2[[#This Row],[Gas]:[Waste]])</f>
        <v>0</v>
      </c>
      <c r="O26" s="99"/>
      <c r="P26" s="150" t="s">
        <v>84</v>
      </c>
      <c r="Q26" s="9">
        <v>305</v>
      </c>
      <c r="R26" s="54"/>
      <c r="S26" s="9">
        <v>92</v>
      </c>
      <c r="T26" s="9">
        <v>235</v>
      </c>
      <c r="U26" s="54"/>
      <c r="V26" s="9">
        <v>145</v>
      </c>
      <c r="W26" s="9">
        <v>100</v>
      </c>
      <c r="X26" s="9">
        <v>100</v>
      </c>
      <c r="Y26" s="54"/>
      <c r="Z26" s="54"/>
      <c r="AA26" s="54"/>
      <c r="AB26" s="54"/>
      <c r="AC26" s="6">
        <f t="shared" si="2"/>
        <v>977</v>
      </c>
      <c r="AE26" s="14" t="s">
        <v>31</v>
      </c>
      <c r="AF26" s="215">
        <f t="shared" si="3"/>
        <v>0</v>
      </c>
      <c r="AG26" s="215">
        <f t="shared" si="3"/>
        <v>75.308834827632737</v>
      </c>
      <c r="AH26" s="215">
        <f t="shared" si="3"/>
        <v>61.70231634861485</v>
      </c>
      <c r="AI26" s="6">
        <f t="shared" si="4"/>
        <v>137.01115117624758</v>
      </c>
      <c r="AL26" s="115"/>
    </row>
    <row r="27" spans="1:38">
      <c r="A27" s="35" t="s">
        <v>1050</v>
      </c>
      <c r="B27" s="1" t="s">
        <v>1102</v>
      </c>
      <c r="C27" s="107" t="s">
        <v>8</v>
      </c>
      <c r="D27" s="138">
        <v>45</v>
      </c>
      <c r="E27" s="100" t="s">
        <v>1129</v>
      </c>
      <c r="F27" s="35" t="s">
        <v>1023</v>
      </c>
      <c r="G27" s="35"/>
      <c r="H27" s="135" t="str">
        <f>_xlfn.XLOOKUP(P_dh_chp[[#This Row],[Main fuel]],$J$7:$J$21,$K$7:$K$21)</f>
        <v>Waste</v>
      </c>
      <c r="I27" s="130"/>
      <c r="J27" s="2" t="s">
        <v>6</v>
      </c>
      <c r="K27" s="24">
        <f>SUMIFS(P_dh_chp[Capacity], P_dh_chp[Unit type], K$23, P_dh_chp[Region], P_dh_chp_2[[#This Row],[Region]])</f>
        <v>0</v>
      </c>
      <c r="L27" s="24">
        <f>SUMIFS(P_dh_chp[Capacity], P_dh_chp[Unit type], L$23, P_dh_chp[Region], P_dh_chp_2[[#This Row],[Region]])</f>
        <v>65</v>
      </c>
      <c r="M27" s="24">
        <f>SUMIFS(P_dh_chp[Capacity], P_dh_chp[Unit type], M$23, P_dh_chp[Region], P_dh_chp_2[[#This Row],[Region]])</f>
        <v>19.600000000000001</v>
      </c>
      <c r="N27" s="99">
        <f>SUM(P_dh_chp_2[[#This Row],[Gas]:[Waste]])</f>
        <v>84.6</v>
      </c>
      <c r="O27" s="99"/>
      <c r="P27" s="150" t="s">
        <v>82</v>
      </c>
      <c r="Q27" s="9">
        <v>92</v>
      </c>
      <c r="R27" s="9">
        <v>80</v>
      </c>
      <c r="S27" s="9">
        <v>23</v>
      </c>
      <c r="T27" s="9">
        <v>427</v>
      </c>
      <c r="U27" s="9">
        <v>35</v>
      </c>
      <c r="V27" s="9">
        <v>180</v>
      </c>
      <c r="W27" s="9">
        <v>180</v>
      </c>
      <c r="X27" s="9">
        <v>180</v>
      </c>
      <c r="Y27" s="54"/>
      <c r="Z27" s="54"/>
      <c r="AA27" s="9">
        <v>200</v>
      </c>
      <c r="AB27" s="9">
        <v>200</v>
      </c>
      <c r="AC27" s="6">
        <f t="shared" si="2"/>
        <v>1597</v>
      </c>
      <c r="AE27" s="14" t="s">
        <v>32</v>
      </c>
      <c r="AF27" s="215">
        <f t="shared" si="3"/>
        <v>0</v>
      </c>
      <c r="AG27" s="215">
        <f t="shared" si="3"/>
        <v>1028.3705985805723</v>
      </c>
      <c r="AH27" s="215">
        <f t="shared" si="3"/>
        <v>0</v>
      </c>
      <c r="AI27" s="6">
        <f t="shared" si="4"/>
        <v>1028.3705985805723</v>
      </c>
      <c r="AL27" s="115"/>
    </row>
    <row r="28" spans="1:38">
      <c r="A28" s="35" t="s">
        <v>1057</v>
      </c>
      <c r="B28" s="1" t="s">
        <v>1057</v>
      </c>
      <c r="C28" s="107" t="s">
        <v>3</v>
      </c>
      <c r="D28" s="138">
        <v>37.1</v>
      </c>
      <c r="E28" s="143" t="s">
        <v>1137</v>
      </c>
      <c r="G28" s="35"/>
      <c r="H28" s="135" t="str">
        <f>_xlfn.XLOOKUP(P_dh_chp[[#This Row],[Main fuel]],$J$7:$J$21,$K$7:$K$21)</f>
        <v>Bio</v>
      </c>
      <c r="I28" s="130"/>
      <c r="J28" s="2" t="s">
        <v>7</v>
      </c>
      <c r="K28" s="24">
        <f>SUMIFS(P_dh_chp[Capacity], P_dh_chp[Unit type], K$23, P_dh_chp[Region], P_dh_chp_2[[#This Row],[Region]])</f>
        <v>142</v>
      </c>
      <c r="L28" s="24">
        <f>SUMIFS(P_dh_chp[Capacity], P_dh_chp[Unit type], L$23, P_dh_chp[Region], P_dh_chp_2[[#This Row],[Region]])</f>
        <v>60</v>
      </c>
      <c r="M28" s="24">
        <f>SUMIFS(P_dh_chp[Capacity], P_dh_chp[Unit type], M$23, P_dh_chp[Region], P_dh_chp_2[[#This Row],[Region]])</f>
        <v>12.3</v>
      </c>
      <c r="N28" s="99">
        <f>SUM(P_dh_chp_2[[#This Row],[Gas]:[Waste]])</f>
        <v>214.3</v>
      </c>
      <c r="O28" s="99"/>
      <c r="P28" s="150" t="s">
        <v>81</v>
      </c>
      <c r="Q28" s="9">
        <v>88</v>
      </c>
      <c r="R28" s="54"/>
      <c r="S28" s="9">
        <v>139</v>
      </c>
      <c r="T28" s="9">
        <v>757.4</v>
      </c>
      <c r="U28" s="9">
        <v>295</v>
      </c>
      <c r="V28" s="9">
        <v>150</v>
      </c>
      <c r="W28" s="9">
        <v>280</v>
      </c>
      <c r="X28" s="9">
        <v>280</v>
      </c>
      <c r="Y28" s="54"/>
      <c r="Z28" s="54"/>
      <c r="AA28" s="54"/>
      <c r="AB28" s="54"/>
      <c r="AC28" s="6">
        <f t="shared" si="2"/>
        <v>1989.4</v>
      </c>
      <c r="AE28" s="14" t="s">
        <v>33</v>
      </c>
      <c r="AF28" s="215">
        <f t="shared" si="3"/>
        <v>0</v>
      </c>
      <c r="AG28" s="215">
        <f t="shared" si="3"/>
        <v>267.82715397455075</v>
      </c>
      <c r="AH28" s="215">
        <f t="shared" si="3"/>
        <v>156.60042182265991</v>
      </c>
      <c r="AI28" s="6">
        <f t="shared" si="4"/>
        <v>424.42757579721069</v>
      </c>
      <c r="AL28" s="115"/>
    </row>
    <row r="29" spans="1:38">
      <c r="A29" s="35" t="s">
        <v>1075</v>
      </c>
      <c r="B29" s="1" t="s">
        <v>1115</v>
      </c>
      <c r="C29" s="107" t="s">
        <v>125</v>
      </c>
      <c r="D29" s="138">
        <v>30</v>
      </c>
      <c r="E29" s="100" t="s">
        <v>1015</v>
      </c>
      <c r="F29" s="35" t="s">
        <v>1016</v>
      </c>
      <c r="G29" s="35" t="s">
        <v>1022</v>
      </c>
      <c r="H29" s="135" t="str">
        <f>_xlfn.XLOOKUP(P_dh_chp[[#This Row],[Main fuel]],$J$7:$J$21,$K$7:$K$21)</f>
        <v>Bio</v>
      </c>
      <c r="I29" s="130"/>
      <c r="J29" s="2" t="s">
        <v>8</v>
      </c>
      <c r="K29" s="24">
        <f>SUMIFS(P_dh_chp[Capacity], P_dh_chp[Unit type], K$23, P_dh_chp[Region], P_dh_chp_2[[#This Row],[Region]])</f>
        <v>45</v>
      </c>
      <c r="L29" s="24">
        <f>SUMIFS(P_dh_chp[Capacity], P_dh_chp[Unit type], L$23, P_dh_chp[Region], P_dh_chp_2[[#This Row],[Region]])</f>
        <v>0</v>
      </c>
      <c r="M29" s="24">
        <f>SUMIFS(P_dh_chp[Capacity], P_dh_chp[Unit type], M$23, P_dh_chp[Region], P_dh_chp_2[[#This Row],[Region]])</f>
        <v>45</v>
      </c>
      <c r="N29" s="99">
        <f>SUM(P_dh_chp_2[[#This Row],[Gas]:[Waste]])</f>
        <v>90</v>
      </c>
      <c r="O29" s="99"/>
      <c r="P29" s="150" t="s">
        <v>80</v>
      </c>
      <c r="Q29" s="9">
        <v>671</v>
      </c>
      <c r="R29" s="54"/>
      <c r="S29" s="9">
        <v>527</v>
      </c>
      <c r="T29" s="9">
        <v>912</v>
      </c>
      <c r="U29" s="9">
        <v>343.2</v>
      </c>
      <c r="V29" s="9">
        <v>540</v>
      </c>
      <c r="W29" s="9">
        <v>340</v>
      </c>
      <c r="X29" s="9">
        <v>340</v>
      </c>
      <c r="Y29" s="9">
        <v>120</v>
      </c>
      <c r="Z29" s="9">
        <v>120</v>
      </c>
      <c r="AA29" s="54"/>
      <c r="AB29" s="54"/>
      <c r="AC29" s="6">
        <f t="shared" si="2"/>
        <v>3913.2</v>
      </c>
      <c r="AE29" s="14" t="s">
        <v>34</v>
      </c>
      <c r="AF29" s="215">
        <f t="shared" si="3"/>
        <v>76.980529607384128</v>
      </c>
      <c r="AG29" s="215">
        <f t="shared" si="3"/>
        <v>485.55385610362845</v>
      </c>
      <c r="AH29" s="215">
        <f t="shared" si="3"/>
        <v>359.5417847969232</v>
      </c>
      <c r="AI29" s="6">
        <f t="shared" si="4"/>
        <v>922.07617050793579</v>
      </c>
      <c r="AL29" s="115"/>
    </row>
    <row r="30" spans="1:38">
      <c r="A30" s="35" t="s">
        <v>1065</v>
      </c>
      <c r="B30" s="1" t="s">
        <v>1111</v>
      </c>
      <c r="C30" s="107" t="s">
        <v>166</v>
      </c>
      <c r="D30" s="138">
        <v>27</v>
      </c>
      <c r="E30" s="100" t="s">
        <v>1022</v>
      </c>
      <c r="F30" s="35" t="s">
        <v>1016</v>
      </c>
      <c r="G30" s="35" t="s">
        <v>1015</v>
      </c>
      <c r="H30" s="135" t="str">
        <f>_xlfn.XLOOKUP(P_dh_chp[[#This Row],[Main fuel]],$J$7:$J$21,$K$7:$K$21)</f>
        <v>Bio</v>
      </c>
      <c r="I30" s="130"/>
      <c r="J30" s="2" t="s">
        <v>9</v>
      </c>
      <c r="K30" s="24">
        <f>SUMIFS(P_dh_chp[Capacity], P_dh_chp[Unit type], K$23, P_dh_chp[Region], P_dh_chp_2[[#This Row],[Region]])</f>
        <v>0</v>
      </c>
      <c r="L30" s="24">
        <f>SUMIFS(P_dh_chp[Capacity], P_dh_chp[Unit type], L$23, P_dh_chp[Region], P_dh_chp_2[[#This Row],[Region]])</f>
        <v>45.5</v>
      </c>
      <c r="M30" s="24">
        <f>SUMIFS(P_dh_chp[Capacity], P_dh_chp[Unit type], M$23, P_dh_chp[Region], P_dh_chp_2[[#This Row],[Region]])</f>
        <v>0</v>
      </c>
      <c r="N30" s="99">
        <f>SUM(P_dh_chp_2[[#This Row],[Gas]:[Waste]])</f>
        <v>45.5</v>
      </c>
      <c r="O30" s="99"/>
      <c r="Q30" s="6">
        <f t="shared" ref="Q30:V30" si="5">SUM(Q22:Q29)</f>
        <v>5848.3000000000011</v>
      </c>
      <c r="R30" s="6">
        <f t="shared" si="5"/>
        <v>90</v>
      </c>
      <c r="S30" s="6">
        <f t="shared" si="5"/>
        <v>3616.5000000000009</v>
      </c>
      <c r="T30" s="6">
        <f t="shared" si="5"/>
        <v>4184.5</v>
      </c>
      <c r="U30" s="6">
        <f t="shared" si="5"/>
        <v>933.5</v>
      </c>
      <c r="V30" s="6">
        <f t="shared" si="5"/>
        <v>2367.8999999999996</v>
      </c>
      <c r="W30" s="6">
        <f t="shared" ref="W30:AB30" si="6">SUM(W22:W29)</f>
        <v>1735.5</v>
      </c>
      <c r="X30" s="6">
        <f t="shared" si="6"/>
        <v>1735.5</v>
      </c>
      <c r="Y30" s="6">
        <f t="shared" si="6"/>
        <v>370</v>
      </c>
      <c r="Z30" s="6">
        <f t="shared" si="6"/>
        <v>370</v>
      </c>
      <c r="AA30" s="6">
        <f t="shared" si="6"/>
        <v>200</v>
      </c>
      <c r="AB30" s="6">
        <f t="shared" si="6"/>
        <v>200</v>
      </c>
      <c r="AC30" s="6">
        <f>SUM(AC22:AC29)</f>
        <v>21651.7</v>
      </c>
      <c r="AE30" s="14" t="s">
        <v>3</v>
      </c>
      <c r="AF30" s="215">
        <f t="shared" si="3"/>
        <v>0</v>
      </c>
      <c r="AG30" s="215">
        <f t="shared" si="3"/>
        <v>547.63221743260306</v>
      </c>
      <c r="AH30" s="215">
        <f t="shared" si="3"/>
        <v>0</v>
      </c>
      <c r="AI30" s="6">
        <f t="shared" si="4"/>
        <v>547.63221743260306</v>
      </c>
      <c r="AL30" s="115"/>
    </row>
    <row r="31" spans="1:38">
      <c r="A31" s="35" t="s">
        <v>1042</v>
      </c>
      <c r="B31" s="1" t="s">
        <v>1094</v>
      </c>
      <c r="C31" s="107" t="s">
        <v>3</v>
      </c>
      <c r="D31" s="138">
        <v>23.8</v>
      </c>
      <c r="E31" s="100" t="s">
        <v>1022</v>
      </c>
      <c r="G31" s="35"/>
      <c r="H31" s="135" t="str">
        <f>_xlfn.XLOOKUP(P_dh_chp[[#This Row],[Main fuel]],$J$7:$J$21,$K$7:$K$21)</f>
        <v>Bio</v>
      </c>
      <c r="I31" s="130"/>
      <c r="J31" s="1" t="s">
        <v>118</v>
      </c>
      <c r="K31" s="24">
        <f>SUMIFS(P_dh_chp[Capacity], P_dh_chp[Unit type], K$23, P_dh_chp[Region], P_dh_chp_2[[#This Row],[Region]])</f>
        <v>0</v>
      </c>
      <c r="L31" s="24">
        <f>SUMIFS(P_dh_chp[Capacity], P_dh_chp[Unit type], L$23, P_dh_chp[Region], P_dh_chp_2[[#This Row],[Region]])</f>
        <v>119</v>
      </c>
      <c r="M31" s="24">
        <f>SUMIFS(P_dh_chp[Capacity], P_dh_chp[Unit type], M$23, P_dh_chp[Region], P_dh_chp_2[[#This Row],[Region]])</f>
        <v>0</v>
      </c>
      <c r="N31" s="99">
        <f>SUM(P_dh_chp_2[[#This Row],[Gas]:[Waste]])</f>
        <v>119</v>
      </c>
      <c r="O31" s="99"/>
      <c r="W31" s="35"/>
      <c r="X31" s="221"/>
      <c r="Y31" s="221"/>
      <c r="Z31" s="221"/>
      <c r="AA31" s="221"/>
      <c r="AE31" s="35" t="s">
        <v>87</v>
      </c>
      <c r="AF31" s="99">
        <f>SUM(AF24:AF30)</f>
        <v>470.43656982290304</v>
      </c>
      <c r="AG31" s="99">
        <f>SUM(AG24:AG30)</f>
        <v>3099.2999999999993</v>
      </c>
      <c r="AH31" s="99">
        <f>SUM(AH24:AH30)</f>
        <v>577.84452296819791</v>
      </c>
      <c r="AI31" s="99">
        <f>SUM(AI24:AI30)</f>
        <v>4147.5810927911007</v>
      </c>
      <c r="AL31" s="115"/>
    </row>
    <row r="32" spans="1:38">
      <c r="A32" s="35" t="s">
        <v>1066</v>
      </c>
      <c r="B32" s="1" t="s">
        <v>1066</v>
      </c>
      <c r="C32" s="107" t="s">
        <v>166</v>
      </c>
      <c r="D32" s="138">
        <v>22</v>
      </c>
      <c r="E32" s="100" t="s">
        <v>1022</v>
      </c>
      <c r="F32" s="35" t="s">
        <v>1016</v>
      </c>
      <c r="G32" s="35" t="s">
        <v>1015</v>
      </c>
      <c r="H32" s="135" t="str">
        <f>_xlfn.XLOOKUP(P_dh_chp[[#This Row],[Main fuel]],$J$7:$J$21,$K$7:$K$21)</f>
        <v>Bio</v>
      </c>
      <c r="I32" s="130"/>
      <c r="J32" s="1" t="s">
        <v>166</v>
      </c>
      <c r="K32" s="24">
        <f>SUMIFS(P_dh_chp[Capacity], P_dh_chp[Unit type], K$23, P_dh_chp[Region], P_dh_chp_2[[#This Row],[Region]])</f>
        <v>0</v>
      </c>
      <c r="L32" s="24">
        <f>SUMIFS(P_dh_chp[Capacity], P_dh_chp[Unit type], L$23, P_dh_chp[Region], P_dh_chp_2[[#This Row],[Region]])</f>
        <v>76.5</v>
      </c>
      <c r="M32" s="24">
        <f>SUMIFS(P_dh_chp[Capacity], P_dh_chp[Unit type], M$23, P_dh_chp[Region], P_dh_chp_2[[#This Row],[Region]])</f>
        <v>0</v>
      </c>
      <c r="N32" s="99">
        <f>SUM(P_dh_chp_2[[#This Row],[Gas]:[Waste]])</f>
        <v>76.5</v>
      </c>
      <c r="O32" s="99"/>
      <c r="W32" s="35"/>
      <c r="X32" s="221"/>
      <c r="Y32" s="221"/>
      <c r="Z32" s="221"/>
      <c r="AA32" s="221"/>
      <c r="AB32" s="10"/>
      <c r="AC32" s="10"/>
      <c r="AD32" s="10"/>
      <c r="AL32" s="115"/>
    </row>
    <row r="33" spans="1:38">
      <c r="A33" s="35" t="s">
        <v>1068</v>
      </c>
      <c r="B33" s="1" t="s">
        <v>1112</v>
      </c>
      <c r="C33" s="107" t="s">
        <v>6</v>
      </c>
      <c r="D33" s="138">
        <v>19.600000000000001</v>
      </c>
      <c r="E33" s="100" t="s">
        <v>1026</v>
      </c>
      <c r="F33" s="35" t="s">
        <v>1017</v>
      </c>
      <c r="G33" s="35" t="s">
        <v>1020</v>
      </c>
      <c r="H33" s="135" t="str">
        <f>_xlfn.XLOOKUP(P_dh_chp[[#This Row],[Main fuel]],$J$7:$J$21,$K$7:$K$21)</f>
        <v>Waste</v>
      </c>
      <c r="I33" s="130"/>
      <c r="J33" s="1" t="s">
        <v>165</v>
      </c>
      <c r="K33" s="24">
        <f>SUMIFS(P_dh_chp[Capacity], P_dh_chp[Unit type], K$23, P_dh_chp[Region], P_dh_chp_2[[#This Row],[Region]])</f>
        <v>0</v>
      </c>
      <c r="L33" s="24">
        <f>SUMIFS(P_dh_chp[Capacity], P_dh_chp[Unit type], L$23, P_dh_chp[Region], P_dh_chp_2[[#This Row],[Region]])</f>
        <v>224.9</v>
      </c>
      <c r="M33" s="24">
        <f>SUMIFS(P_dh_chp[Capacity], P_dh_chp[Unit type], M$23, P_dh_chp[Region], P_dh_chp_2[[#This Row],[Region]])</f>
        <v>0</v>
      </c>
      <c r="N33" s="99">
        <f>SUM(P_dh_chp_2[[#This Row],[Gas]:[Waste]])</f>
        <v>224.9</v>
      </c>
      <c r="O33" s="99"/>
      <c r="P33" s="136"/>
      <c r="Q33" s="22"/>
      <c r="R33" s="22"/>
      <c r="S33" s="22"/>
      <c r="T33" s="22"/>
      <c r="W33" s="35"/>
      <c r="X33" s="221"/>
      <c r="Y33" s="221"/>
      <c r="Z33" s="221"/>
      <c r="AA33" s="221"/>
      <c r="AB33" s="22"/>
      <c r="AC33" s="22"/>
      <c r="AD33" s="22"/>
      <c r="AL33" s="115"/>
    </row>
    <row r="34" spans="1:38">
      <c r="A34" s="35" t="s">
        <v>923</v>
      </c>
      <c r="B34" s="1" t="s">
        <v>1098</v>
      </c>
      <c r="C34" s="107" t="s">
        <v>123</v>
      </c>
      <c r="D34" s="138">
        <v>19.5</v>
      </c>
      <c r="E34" s="100" t="s">
        <v>1016</v>
      </c>
      <c r="F34" s="35" t="s">
        <v>1022</v>
      </c>
      <c r="G34" s="35" t="s">
        <v>1015</v>
      </c>
      <c r="H34" s="135" t="str">
        <f>_xlfn.XLOOKUP(P_dh_chp[[#This Row],[Main fuel]],$J$7:$J$21,$K$7:$K$21)</f>
        <v>Bio</v>
      </c>
      <c r="I34" s="130"/>
      <c r="J34" s="1" t="s">
        <v>122</v>
      </c>
      <c r="K34" s="24">
        <f>SUMIFS(P_dh_chp[Capacity], P_dh_chp[Unit type], K$23, P_dh_chp[Region], P_dh_chp_2[[#This Row],[Region]])</f>
        <v>0</v>
      </c>
      <c r="L34" s="24">
        <f>SUMIFS(P_dh_chp[Capacity], P_dh_chp[Unit type], L$23, P_dh_chp[Region], P_dh_chp_2[[#This Row],[Region]])</f>
        <v>47</v>
      </c>
      <c r="M34" s="24">
        <f>SUMIFS(P_dh_chp[Capacity], P_dh_chp[Unit type], M$23, P_dh_chp[Region], P_dh_chp_2[[#This Row],[Region]])</f>
        <v>0</v>
      </c>
      <c r="N34" s="99">
        <f>SUM(P_dh_chp_2[[#This Row],[Gas]:[Waste]])</f>
        <v>47</v>
      </c>
      <c r="O34" s="99"/>
      <c r="P34" s="136"/>
      <c r="Q34" s="22"/>
      <c r="R34" s="22"/>
      <c r="S34" s="22"/>
      <c r="T34" s="22"/>
      <c r="W34" s="35"/>
      <c r="X34" s="221"/>
      <c r="Y34" s="221"/>
      <c r="Z34" s="221"/>
      <c r="AA34" s="221"/>
      <c r="AB34" s="10"/>
      <c r="AC34" s="10"/>
      <c r="AD34" s="10"/>
      <c r="AL34" s="115"/>
    </row>
    <row r="35" spans="1:38">
      <c r="A35" s="35" t="s">
        <v>1045</v>
      </c>
      <c r="B35" s="1" t="s">
        <v>1097</v>
      </c>
      <c r="C35" s="107" t="s">
        <v>3</v>
      </c>
      <c r="D35" s="138">
        <v>19.04</v>
      </c>
      <c r="E35" s="100" t="s">
        <v>1022</v>
      </c>
      <c r="F35" s="35" t="s">
        <v>1016</v>
      </c>
      <c r="G35" s="35" t="s">
        <v>1128</v>
      </c>
      <c r="H35" s="135" t="str">
        <f>_xlfn.XLOOKUP(P_dh_chp[[#This Row],[Main fuel]],$J$7:$J$21,$K$7:$K$21)</f>
        <v>Bio</v>
      </c>
      <c r="I35" s="130"/>
      <c r="J35" s="1" t="s">
        <v>119</v>
      </c>
      <c r="K35" s="24">
        <f>SUMIFS(P_dh_chp[Capacity], P_dh_chp[Unit type], K$23, P_dh_chp[Region], P_dh_chp_2[[#This Row],[Region]])</f>
        <v>0</v>
      </c>
      <c r="L35" s="24">
        <f>SUMIFS(P_dh_chp[Capacity], P_dh_chp[Unit type], L$23, P_dh_chp[Region], P_dh_chp_2[[#This Row],[Region]])</f>
        <v>190</v>
      </c>
      <c r="M35" s="24">
        <f>SUMIFS(P_dh_chp[Capacity], P_dh_chp[Unit type], M$23, P_dh_chp[Region], P_dh_chp_2[[#This Row],[Region]])</f>
        <v>0</v>
      </c>
      <c r="N35" s="99">
        <f>SUM(P_dh_chp_2[[#This Row],[Gas]:[Waste]])</f>
        <v>190</v>
      </c>
      <c r="O35" s="99"/>
      <c r="P35" s="136"/>
      <c r="Q35" s="22"/>
      <c r="R35" s="22"/>
      <c r="S35" s="22"/>
      <c r="T35" s="22"/>
      <c r="W35" s="35"/>
      <c r="X35" s="221"/>
      <c r="Y35" s="221"/>
      <c r="Z35" s="221"/>
      <c r="AA35" s="221"/>
      <c r="AB35" s="10"/>
      <c r="AC35" s="10"/>
      <c r="AD35" s="10"/>
      <c r="AL35" s="115"/>
    </row>
    <row r="36" spans="1:38">
      <c r="A36" s="35" t="s">
        <v>1078</v>
      </c>
      <c r="B36" s="1" t="s">
        <v>1117</v>
      </c>
      <c r="C36" s="107" t="s">
        <v>3</v>
      </c>
      <c r="D36" s="138">
        <v>17.8</v>
      </c>
      <c r="E36" s="100" t="s">
        <v>1022</v>
      </c>
      <c r="F36" s="35" t="s">
        <v>1020</v>
      </c>
      <c r="G36" s="131" t="s">
        <v>1137</v>
      </c>
      <c r="H36" s="135" t="str">
        <f>_xlfn.XLOOKUP(P_dh_chp[[#This Row],[Main fuel]],$J$7:$J$21,$K$7:$K$21)</f>
        <v>Bio</v>
      </c>
      <c r="I36" s="130"/>
      <c r="J36" s="1" t="s">
        <v>120</v>
      </c>
      <c r="K36" s="24">
        <f>SUMIFS(P_dh_chp[Capacity], P_dh_chp[Unit type], K$23, P_dh_chp[Region], P_dh_chp_2[[#This Row],[Region]])</f>
        <v>0</v>
      </c>
      <c r="L36" s="24">
        <f>SUMIFS(P_dh_chp[Capacity], P_dh_chp[Unit type], L$23, P_dh_chp[Region], P_dh_chp_2[[#This Row],[Region]])</f>
        <v>120</v>
      </c>
      <c r="M36" s="24">
        <f>SUMIFS(P_dh_chp[Capacity], P_dh_chp[Unit type], M$23, P_dh_chp[Region], P_dh_chp_2[[#This Row],[Region]])</f>
        <v>0</v>
      </c>
      <c r="N36" s="99">
        <f>SUM(P_dh_chp_2[[#This Row],[Gas]:[Waste]])</f>
        <v>120</v>
      </c>
      <c r="O36" s="99"/>
      <c r="P36" s="136"/>
      <c r="Q36" s="22"/>
      <c r="R36" s="22"/>
      <c r="S36" s="22"/>
      <c r="T36" s="22"/>
      <c r="U36" s="6"/>
      <c r="V36" s="6"/>
      <c r="W36" s="35"/>
      <c r="X36" s="221"/>
      <c r="Y36" s="221"/>
      <c r="Z36" s="221"/>
      <c r="AA36" s="221"/>
      <c r="AB36" s="6"/>
      <c r="AC36" s="6"/>
      <c r="AD36" s="6"/>
      <c r="AL36" s="115"/>
    </row>
    <row r="37" spans="1:38">
      <c r="A37" s="35" t="s">
        <v>1072</v>
      </c>
      <c r="B37" s="1" t="s">
        <v>1072</v>
      </c>
      <c r="C37" s="107" t="s">
        <v>166</v>
      </c>
      <c r="D37" s="138">
        <v>17.5</v>
      </c>
      <c r="E37" s="100" t="s">
        <v>1016</v>
      </c>
      <c r="F37" s="35" t="s">
        <v>1022</v>
      </c>
      <c r="G37" s="35" t="s">
        <v>1015</v>
      </c>
      <c r="H37" s="135" t="str">
        <f>_xlfn.XLOOKUP(P_dh_chp[[#This Row],[Main fuel]],$J$7:$J$21,$K$7:$K$21)</f>
        <v>Bio</v>
      </c>
      <c r="I37" s="130"/>
      <c r="J37" s="1" t="s">
        <v>121</v>
      </c>
      <c r="K37" s="24">
        <f>SUMIFS(P_dh_chp[Capacity], P_dh_chp[Unit type], K$23, P_dh_chp[Region], P_dh_chp_2[[#This Row],[Region]])</f>
        <v>230</v>
      </c>
      <c r="L37" s="24">
        <f>SUMIFS(P_dh_chp[Capacity], P_dh_chp[Unit type], L$23, P_dh_chp[Region], P_dh_chp_2[[#This Row],[Region]])</f>
        <v>13.2</v>
      </c>
      <c r="M37" s="24">
        <f>SUMIFS(P_dh_chp[Capacity], P_dh_chp[Unit type], M$23, P_dh_chp[Region], P_dh_chp_2[[#This Row],[Region]])</f>
        <v>0</v>
      </c>
      <c r="N37" s="99">
        <f>SUM(P_dh_chp_2[[#This Row],[Gas]:[Waste]])</f>
        <v>243.2</v>
      </c>
      <c r="O37" s="99"/>
      <c r="P37" s="136"/>
      <c r="Q37" s="10"/>
      <c r="R37" s="22"/>
      <c r="S37" s="22"/>
      <c r="T37" s="22"/>
      <c r="W37" s="35"/>
      <c r="X37" s="221"/>
      <c r="Y37" s="221"/>
      <c r="Z37" s="221"/>
      <c r="AA37" s="221"/>
      <c r="AB37" s="117"/>
      <c r="AC37" s="117"/>
      <c r="AD37" s="117"/>
      <c r="AL37" s="115"/>
    </row>
    <row r="38" spans="1:38">
      <c r="A38" s="35" t="s">
        <v>1089</v>
      </c>
      <c r="B38" s="1" t="s">
        <v>1126</v>
      </c>
      <c r="C38" s="107" t="s">
        <v>3</v>
      </c>
      <c r="D38" s="138">
        <v>15.700000000000001</v>
      </c>
      <c r="E38" s="100" t="s">
        <v>1033</v>
      </c>
      <c r="G38" s="35"/>
      <c r="H38" s="135" t="str">
        <f>_xlfn.XLOOKUP(P_dh_chp[[#This Row],[Main fuel]],$J$7:$J$21,$K$7:$K$21)</f>
        <v>Bio</v>
      </c>
      <c r="I38" s="130"/>
      <c r="J38" s="1" t="s">
        <v>123</v>
      </c>
      <c r="K38" s="24">
        <f>SUMIFS(P_dh_chp[Capacity], P_dh_chp[Unit type], K$23, P_dh_chp[Region], P_dh_chp_2[[#This Row],[Region]])</f>
        <v>0</v>
      </c>
      <c r="L38" s="24">
        <f>SUMIFS(P_dh_chp[Capacity], P_dh_chp[Unit type], L$23, P_dh_chp[Region], P_dh_chp_2[[#This Row],[Region]])</f>
        <v>19.5</v>
      </c>
      <c r="M38" s="24">
        <f>SUMIFS(P_dh_chp[Capacity], P_dh_chp[Unit type], M$23, P_dh_chp[Region], P_dh_chp_2[[#This Row],[Region]])</f>
        <v>0</v>
      </c>
      <c r="N38" s="99">
        <f>SUM(P_dh_chp_2[[#This Row],[Gas]:[Waste]])</f>
        <v>19.5</v>
      </c>
      <c r="O38" s="99"/>
      <c r="Q38" s="24"/>
      <c r="R38" s="24"/>
      <c r="S38" s="24"/>
      <c r="T38" s="24"/>
      <c r="U38" s="6"/>
      <c r="AB38" s="136"/>
      <c r="AC38" s="136"/>
      <c r="AD38" s="136"/>
      <c r="AG38" s="219"/>
      <c r="AH38" s="220"/>
      <c r="AI38" s="219"/>
      <c r="AJ38" s="6"/>
      <c r="AL38" s="115"/>
    </row>
    <row r="39" spans="1:38">
      <c r="A39" s="35" t="s">
        <v>1040</v>
      </c>
      <c r="B39" s="1" t="s">
        <v>1092</v>
      </c>
      <c r="C39" s="107" t="s">
        <v>165</v>
      </c>
      <c r="D39" s="138">
        <v>15</v>
      </c>
      <c r="E39" s="100" t="s">
        <v>1015</v>
      </c>
      <c r="F39" s="35" t="s">
        <v>1022</v>
      </c>
      <c r="G39" s="35" t="s">
        <v>1016</v>
      </c>
      <c r="H39" s="135" t="str">
        <f>_xlfn.XLOOKUP(P_dh_chp[[#This Row],[Main fuel]],$J$7:$J$21,$K$7:$K$21)</f>
        <v>Bio</v>
      </c>
      <c r="I39" s="130"/>
      <c r="J39" s="1" t="s">
        <v>124</v>
      </c>
      <c r="K39" s="24">
        <f>SUMIFS(P_dh_chp[Capacity], P_dh_chp[Unit type], K$23, P_dh_chp[Region], P_dh_chp_2[[#This Row],[Region]])</f>
        <v>0</v>
      </c>
      <c r="L39" s="24">
        <f>SUMIFS(P_dh_chp[Capacity], P_dh_chp[Unit type], L$23, P_dh_chp[Region], P_dh_chp_2[[#This Row],[Region]])</f>
        <v>164.5</v>
      </c>
      <c r="M39" s="24">
        <f>SUMIFS(P_dh_chp[Capacity], P_dh_chp[Unit type], M$23, P_dh_chp[Region], P_dh_chp_2[[#This Row],[Region]])</f>
        <v>0</v>
      </c>
      <c r="N39" s="99">
        <f>SUM(P_dh_chp_2[[#This Row],[Gas]:[Waste]])</f>
        <v>164.5</v>
      </c>
      <c r="O39" s="99"/>
      <c r="X39" s="100"/>
      <c r="Z39" s="10"/>
      <c r="AA39" s="10"/>
      <c r="AB39" s="10"/>
      <c r="AC39" s="10"/>
      <c r="AD39" s="10"/>
      <c r="AF39" s="215"/>
      <c r="AG39" s="219"/>
      <c r="AH39" s="220"/>
      <c r="AI39" s="219"/>
      <c r="AJ39" s="6"/>
      <c r="AL39" s="115"/>
    </row>
    <row r="40" spans="1:38">
      <c r="A40" s="35" t="s">
        <v>1070</v>
      </c>
      <c r="B40" s="1" t="s">
        <v>1070</v>
      </c>
      <c r="C40" s="107" t="s">
        <v>167</v>
      </c>
      <c r="D40" s="138">
        <v>13.5</v>
      </c>
      <c r="E40" s="100" t="s">
        <v>1022</v>
      </c>
      <c r="F40" s="35" t="s">
        <v>1130</v>
      </c>
      <c r="G40" s="35" t="s">
        <v>1015</v>
      </c>
      <c r="H40" s="135" t="str">
        <f>_xlfn.XLOOKUP(P_dh_chp[[#This Row],[Main fuel]],$J$7:$J$21,$K$7:$K$21)</f>
        <v>Bio</v>
      </c>
      <c r="I40" s="130"/>
      <c r="J40" s="2" t="s">
        <v>19</v>
      </c>
      <c r="K40" s="24">
        <f>SUMIFS(P_dh_chp[Capacity], P_dh_chp[Unit type], K$23, P_dh_chp[Region], P_dh_chp_2[[#This Row],[Region]])</f>
        <v>0</v>
      </c>
      <c r="L40" s="24">
        <f>SUMIFS(P_dh_chp[Capacity], P_dh_chp[Unit type], L$23, P_dh_chp[Region], P_dh_chp_2[[#This Row],[Region]])</f>
        <v>0</v>
      </c>
      <c r="M40" s="24">
        <f>SUMIFS(P_dh_chp[Capacity], P_dh_chp[Unit type], M$23, P_dh_chp[Region], P_dh_chp_2[[#This Row],[Region]])</f>
        <v>0</v>
      </c>
      <c r="N40" s="99">
        <f>SUM(P_dh_chp_2[[#This Row],[Gas]:[Waste]])</f>
        <v>0</v>
      </c>
      <c r="O40" s="99"/>
      <c r="S40" s="22"/>
      <c r="T40" s="22"/>
      <c r="U40" s="22"/>
      <c r="V40" s="22"/>
      <c r="X40" s="81"/>
      <c r="Y40" s="81" t="s">
        <v>1137</v>
      </c>
      <c r="Z40" s="22"/>
      <c r="AA40" s="22"/>
      <c r="AB40" s="22"/>
      <c r="AC40" s="22"/>
      <c r="AD40" s="22"/>
      <c r="AF40" s="215"/>
      <c r="AG40" s="219"/>
      <c r="AH40" s="220"/>
      <c r="AI40" s="219"/>
      <c r="AJ40" s="6"/>
      <c r="AL40" s="115"/>
    </row>
    <row r="41" spans="1:38">
      <c r="A41" s="35" t="s">
        <v>1087</v>
      </c>
      <c r="B41" s="1" t="s">
        <v>1124</v>
      </c>
      <c r="C41" s="107" t="s">
        <v>121</v>
      </c>
      <c r="D41" s="138">
        <v>13.2</v>
      </c>
      <c r="E41" s="100" t="s">
        <v>1019</v>
      </c>
      <c r="G41" s="35"/>
      <c r="H41" s="135" t="str">
        <f>_xlfn.XLOOKUP(P_dh_chp[[#This Row],[Main fuel]],$J$7:$J$21,$K$7:$K$21)</f>
        <v>Bio</v>
      </c>
      <c r="I41" s="130"/>
      <c r="J41" s="106" t="s">
        <v>125</v>
      </c>
      <c r="K41" s="24">
        <f>SUMIFS(P_dh_chp[Capacity], P_dh_chp[Unit type], K$23, P_dh_chp[Region], P_dh_chp_2[[#This Row],[Region]])</f>
        <v>0</v>
      </c>
      <c r="L41" s="24">
        <f>SUMIFS(P_dh_chp[Capacity], P_dh_chp[Unit type], L$23, P_dh_chp[Region], P_dh_chp_2[[#This Row],[Region]])</f>
        <v>30</v>
      </c>
      <c r="M41" s="24">
        <f>SUMIFS(P_dh_chp[Capacity], P_dh_chp[Unit type], M$23, P_dh_chp[Region], P_dh_chp_2[[#This Row],[Region]])</f>
        <v>0</v>
      </c>
      <c r="N41" s="99">
        <f>SUM(P_dh_chp_2[[#This Row],[Gas]:[Waste]])</f>
        <v>30</v>
      </c>
      <c r="O41" s="99"/>
      <c r="S41" s="10"/>
      <c r="T41" s="10"/>
      <c r="U41" s="10"/>
      <c r="V41" s="10"/>
      <c r="W41" s="10"/>
      <c r="X41" s="10"/>
      <c r="Y41" s="10"/>
      <c r="Z41" s="10"/>
      <c r="AA41" s="10"/>
      <c r="AB41" s="10"/>
      <c r="AC41" s="10"/>
      <c r="AD41" s="10"/>
      <c r="AF41" s="215"/>
      <c r="AG41" s="219"/>
      <c r="AH41" s="220"/>
      <c r="AI41" s="220"/>
      <c r="AJ41" s="6"/>
      <c r="AL41" s="115"/>
    </row>
    <row r="42" spans="1:38">
      <c r="A42" s="35" t="s">
        <v>1076</v>
      </c>
      <c r="B42" s="1" t="s">
        <v>1116</v>
      </c>
      <c r="C42" s="107" t="s">
        <v>7</v>
      </c>
      <c r="D42" s="138">
        <v>12.3</v>
      </c>
      <c r="E42" s="100" t="s">
        <v>1026</v>
      </c>
      <c r="F42" s="35" t="s">
        <v>1020</v>
      </c>
      <c r="G42" s="35" t="s">
        <v>1033</v>
      </c>
      <c r="H42" s="135" t="str">
        <f>_xlfn.XLOOKUP(P_dh_chp[[#This Row],[Main fuel]],$J$7:$J$21,$K$7:$K$21)</f>
        <v>Waste</v>
      </c>
      <c r="I42" s="130"/>
      <c r="K42" s="6">
        <f>SUM(P_dh_chp_2[Gas])</f>
        <v>1341</v>
      </c>
      <c r="L42" s="6">
        <f>SUM(P_dh_chp_2[Bio])</f>
        <v>1524.74</v>
      </c>
      <c r="M42" s="6">
        <f>SUM(P_dh_chp_2[Waste])</f>
        <v>76.900000000000006</v>
      </c>
      <c r="N42" s="6">
        <f>SUM(N24:N41)</f>
        <v>2942.64</v>
      </c>
      <c r="O42" s="6"/>
      <c r="R42" s="1" t="s">
        <v>1137</v>
      </c>
      <c r="AF42" s="215"/>
      <c r="AG42" s="219"/>
      <c r="AH42" s="220"/>
      <c r="AI42" s="220"/>
      <c r="AJ42" s="6"/>
      <c r="AL42" s="115"/>
    </row>
    <row r="43" spans="1:38">
      <c r="A43" s="35" t="s">
        <v>1069</v>
      </c>
      <c r="B43" s="1" t="s">
        <v>1069</v>
      </c>
      <c r="C43" s="107" t="s">
        <v>165</v>
      </c>
      <c r="D43" s="138">
        <v>11.8</v>
      </c>
      <c r="E43" s="100" t="s">
        <v>1019</v>
      </c>
      <c r="F43" s="35" t="s">
        <v>1020</v>
      </c>
      <c r="G43" s="35"/>
      <c r="H43" s="135" t="str">
        <f>_xlfn.XLOOKUP(P_dh_chp[[#This Row],[Main fuel]],$J$7:$J$21,$K$7:$K$21)</f>
        <v>Bio</v>
      </c>
      <c r="I43" s="130"/>
      <c r="L43" s="130" t="s">
        <v>1137</v>
      </c>
      <c r="M43" s="130"/>
      <c r="R43" s="1" t="s">
        <v>1137</v>
      </c>
      <c r="AF43" s="215"/>
      <c r="AG43" s="220"/>
      <c r="AH43" s="219"/>
      <c r="AI43" s="219"/>
      <c r="AJ43" s="6"/>
      <c r="AL43" s="115"/>
    </row>
    <row r="44" spans="1:38">
      <c r="A44" s="35" t="s">
        <v>1035</v>
      </c>
      <c r="B44" s="1" t="s">
        <v>1035</v>
      </c>
      <c r="C44" s="107" t="s">
        <v>1131</v>
      </c>
      <c r="D44" s="138">
        <v>11.6</v>
      </c>
      <c r="E44" s="100" t="s">
        <v>1023</v>
      </c>
      <c r="G44" s="35"/>
      <c r="H44" s="135" t="str">
        <f>_xlfn.XLOOKUP(P_dh_chp[[#This Row],[Main fuel]],$J$7:$J$21,$K$7:$K$21)</f>
        <v>Gas</v>
      </c>
      <c r="I44" s="130"/>
      <c r="Y44" s="10"/>
      <c r="AF44" s="215"/>
      <c r="AG44" s="219"/>
      <c r="AH44" s="219"/>
      <c r="AI44" s="219"/>
      <c r="AJ44" s="6"/>
      <c r="AL44" s="115"/>
    </row>
    <row r="45" spans="1:38">
      <c r="A45" s="35" t="s">
        <v>1079</v>
      </c>
      <c r="B45" s="1" t="s">
        <v>1079</v>
      </c>
      <c r="C45" s="107" t="s">
        <v>3</v>
      </c>
      <c r="D45" s="138">
        <v>11.3</v>
      </c>
      <c r="E45" s="100" t="s">
        <v>1022</v>
      </c>
      <c r="F45" s="35" t="s">
        <v>1016</v>
      </c>
      <c r="G45" s="35" t="s">
        <v>1015</v>
      </c>
      <c r="H45" s="135" t="str">
        <f>_xlfn.XLOOKUP(P_dh_chp[[#This Row],[Main fuel]],$J$7:$J$21,$K$7:$K$21)</f>
        <v>Bio</v>
      </c>
      <c r="I45" s="130"/>
      <c r="J45" s="14" t="s">
        <v>24</v>
      </c>
      <c r="K45" s="1" t="s">
        <v>1170</v>
      </c>
      <c r="L45" s="1" t="s">
        <v>1172</v>
      </c>
      <c r="M45" s="14" t="s">
        <v>1171</v>
      </c>
      <c r="AF45" s="215"/>
      <c r="AG45" s="6"/>
      <c r="AH45" s="6"/>
      <c r="AI45" s="6"/>
      <c r="AJ45" s="6"/>
    </row>
    <row r="46" spans="1:38">
      <c r="A46" s="35" t="s">
        <v>1063</v>
      </c>
      <c r="B46" s="1" t="s">
        <v>1109</v>
      </c>
      <c r="C46" s="107" t="s">
        <v>166</v>
      </c>
      <c r="D46" s="138">
        <v>10</v>
      </c>
      <c r="E46" s="100" t="s">
        <v>1015</v>
      </c>
      <c r="F46" s="35" t="s">
        <v>1022</v>
      </c>
      <c r="G46" s="35" t="s">
        <v>1016</v>
      </c>
      <c r="H46" s="135" t="str">
        <f>_xlfn.XLOOKUP(P_dh_chp[[#This Row],[Main fuel]],$J$7:$J$21,$K$7:$K$21)</f>
        <v>Bio</v>
      </c>
      <c r="I46" s="130"/>
      <c r="J46" s="1" t="s">
        <v>28</v>
      </c>
      <c r="K46" s="24" cm="1">
        <f t="array" ref="K46">SUM(_xlfn._xlws.FILTER(P_dh_chp_2[Gas],ISNUMBER(MATCH(P_dh_chp_2[Region],_xlfn._xlws.FILTER(Region[Administrative],Region[Model]=P_chp_ind2[[#This Row],[Region]]),0))))</f>
        <v>0</v>
      </c>
      <c r="L46" s="24" cm="1">
        <f t="array" ref="L46">SUM(_xlfn._xlws.FILTER(P_dh_chp_2[Bio],ISNUMBER(MATCH(P_dh_chp_2[Region],_xlfn._xlws.FILTER(Region[Administrative],Region[Model]=P_chp_ind2[[#This Row],[Region]]),0))))</f>
        <v>194.5</v>
      </c>
      <c r="M46" s="24" cm="1">
        <f t="array" ref="M46">SUM(_xlfn._xlws.FILTER(P_dh_chp_2[Waste],ISNUMBER(MATCH(P_dh_chp_2[Region],_xlfn._xlws.FILTER(Region[Administrative],Region[Model]=P_chp_ind2[[#This Row],[Region]]),0))))</f>
        <v>0</v>
      </c>
      <c r="N46" s="6">
        <f>SUM(P_chp_ind2[[#This Row],[Gas]:[Waste]])</f>
        <v>194.5</v>
      </c>
    </row>
    <row r="47" spans="1:38">
      <c r="A47" s="129" t="s">
        <v>1037</v>
      </c>
      <c r="B47" s="129" t="s">
        <v>1037</v>
      </c>
      <c r="C47" s="133" t="s">
        <v>1137</v>
      </c>
      <c r="D47" s="55">
        <v>9.6</v>
      </c>
      <c r="E47" s="100" t="s">
        <v>1023</v>
      </c>
      <c r="F47" s="35" t="s">
        <v>1020</v>
      </c>
      <c r="G47" s="35"/>
      <c r="H47" s="135" t="str">
        <f>_xlfn.XLOOKUP(P_dh_chp[[#This Row],[Main fuel]],$J$7:$J$21,$K$7:$K$21)</f>
        <v>Gas</v>
      </c>
      <c r="I47" s="130"/>
      <c r="J47" s="1" t="s">
        <v>29</v>
      </c>
      <c r="K47" s="24" cm="1">
        <f t="array" ref="K47">SUM(_xlfn._xlws.FILTER(P_dh_chp_2[Gas],ISNUMBER(MATCH(P_dh_chp_2[Region],_xlfn._xlws.FILTER(Region[Administrative],Region[Model]=P_chp_ind2[[#This Row],[Region]]),0))))</f>
        <v>230</v>
      </c>
      <c r="L47" s="24" cm="1">
        <f t="array" ref="L47">SUM(_xlfn._xlws.FILTER(P_dh_chp_2[Bio],ISNUMBER(MATCH(P_dh_chp_2[Region],_xlfn._xlws.FILTER(Region[Administrative],Region[Model]=P_chp_ind2[[#This Row],[Region]]),0))))</f>
        <v>152.69999999999999</v>
      </c>
      <c r="M47" s="24" cm="1">
        <f t="array" ref="M47">SUM(_xlfn._xlws.FILTER(P_dh_chp_2[Waste],ISNUMBER(MATCH(P_dh_chp_2[Region],_xlfn._xlws.FILTER(Region[Administrative],Region[Model]=P_chp_ind2[[#This Row],[Region]]),0))))</f>
        <v>0</v>
      </c>
      <c r="N47" s="6">
        <f>SUM(P_chp_ind2[[#This Row],[Gas]:[Bio]])</f>
        <v>382.7</v>
      </c>
    </row>
    <row r="48" spans="1:38">
      <c r="A48" s="129" t="s">
        <v>1047</v>
      </c>
      <c r="B48" s="129" t="s">
        <v>1047</v>
      </c>
      <c r="C48" s="133" t="s">
        <v>1137</v>
      </c>
      <c r="D48" s="55">
        <v>9.6</v>
      </c>
      <c r="E48" s="100" t="s">
        <v>1026</v>
      </c>
      <c r="F48" s="35" t="s">
        <v>1020</v>
      </c>
      <c r="G48" s="35"/>
      <c r="H48" s="135" t="str">
        <f>_xlfn.XLOOKUP(P_dh_chp[[#This Row],[Main fuel]],$J$7:$J$21,$K$7:$K$21)</f>
        <v>Waste</v>
      </c>
      <c r="I48" s="130"/>
      <c r="J48" s="1" t="s">
        <v>31</v>
      </c>
      <c r="K48" s="24" cm="1">
        <f t="array" ref="K48">SUM(_xlfn._xlws.FILTER(P_dh_chp_2[Gas],ISNUMBER(MATCH(P_dh_chp_2[Region],_xlfn._xlws.FILTER(Region[Administrative],Region[Model]=P_chp_ind2[[#This Row],[Region]]),0))))</f>
        <v>142</v>
      </c>
      <c r="L48" s="24" cm="1">
        <f t="array" ref="L48">SUM(_xlfn._xlws.FILTER(P_dh_chp_2[Bio],ISNUMBER(MATCH(P_dh_chp_2[Region],_xlfn._xlws.FILTER(Region[Administrative],Region[Model]=P_chp_ind2[[#This Row],[Region]]),0))))</f>
        <v>250</v>
      </c>
      <c r="M48" s="24" cm="1">
        <f t="array" ref="M48">SUM(_xlfn._xlws.FILTER(P_dh_chp_2[Waste],ISNUMBER(MATCH(P_dh_chp_2[Region],_xlfn._xlws.FILTER(Region[Administrative],Region[Model]=P_chp_ind2[[#This Row],[Region]]),0))))</f>
        <v>12.3</v>
      </c>
      <c r="N48" s="6">
        <f>SUM(P_chp_ind2[[#This Row],[Gas]:[Bio]])</f>
        <v>392</v>
      </c>
    </row>
    <row r="49" spans="1:48">
      <c r="A49" s="129" t="s">
        <v>1088</v>
      </c>
      <c r="B49" s="129" t="s">
        <v>1125</v>
      </c>
      <c r="C49" s="133" t="s">
        <v>1137</v>
      </c>
      <c r="D49" s="55">
        <v>6.2</v>
      </c>
      <c r="E49" s="100" t="s">
        <v>1015</v>
      </c>
      <c r="G49" s="35"/>
      <c r="H49" s="135" t="str">
        <f>_xlfn.XLOOKUP(P_dh_chp[[#This Row],[Main fuel]],$J$7:$J$21,$K$7:$K$21)</f>
        <v>Bio</v>
      </c>
      <c r="I49" s="130"/>
      <c r="J49" s="1" t="s">
        <v>32</v>
      </c>
      <c r="K49" s="24" cm="1">
        <f t="array" ref="K49">SUM(_xlfn._xlws.FILTER(P_dh_chp_2[Gas],ISNUMBER(MATCH(P_dh_chp_2[Region],_xlfn._xlws.FILTER(Region[Administrative],Region[Model]=P_chp_ind2[[#This Row],[Region]]),0))))</f>
        <v>0</v>
      </c>
      <c r="L49" s="24" cm="1">
        <f t="array" ref="L49">SUM(_xlfn._xlws.FILTER(P_dh_chp_2[Bio],ISNUMBER(MATCH(P_dh_chp_2[Region],_xlfn._xlws.FILTER(Region[Administrative],Region[Model]=P_chp_ind2[[#This Row],[Region]]),0))))</f>
        <v>348.4</v>
      </c>
      <c r="M49" s="24" cm="1">
        <f t="array" ref="M49">SUM(_xlfn._xlws.FILTER(P_dh_chp_2[Waste],ISNUMBER(MATCH(P_dh_chp_2[Region],_xlfn._xlws.FILTER(Region[Administrative],Region[Model]=P_chp_ind2[[#This Row],[Region]]),0))))</f>
        <v>0</v>
      </c>
      <c r="N49" s="6">
        <f>SUM(P_chp_ind2[[#This Row],[Gas]:[Bio]])</f>
        <v>348.4</v>
      </c>
      <c r="AV49" s="149"/>
    </row>
    <row r="50" spans="1:48">
      <c r="A50" s="129" t="s">
        <v>1048</v>
      </c>
      <c r="B50" s="129" t="s">
        <v>1100</v>
      </c>
      <c r="C50" s="133" t="s">
        <v>1137</v>
      </c>
      <c r="D50" s="55">
        <v>6</v>
      </c>
      <c r="E50" s="100" t="s">
        <v>1016</v>
      </c>
      <c r="F50" s="35" t="s">
        <v>1015</v>
      </c>
      <c r="G50" s="35"/>
      <c r="H50" s="135" t="str">
        <f>_xlfn.XLOOKUP(P_dh_chp[[#This Row],[Main fuel]],$J$7:$J$21,$K$7:$K$21)</f>
        <v>Bio</v>
      </c>
      <c r="I50" s="130"/>
      <c r="J50" s="1" t="s">
        <v>33</v>
      </c>
      <c r="K50" s="24" cm="1">
        <f t="array" ref="K50">SUM(_xlfn._xlws.FILTER(P_dh_chp_2[Gas],ISNUMBER(MATCH(P_dh_chp_2[Region],_xlfn._xlws.FILTER(Region[Administrative],Region[Model]=P_chp_ind2[[#This Row],[Region]]),0))))</f>
        <v>0</v>
      </c>
      <c r="L50" s="24" cm="1">
        <f t="array" ref="L50">SUM(_xlfn._xlws.FILTER(P_dh_chp_2[Bio],ISNUMBER(MATCH(P_dh_chp_2[Region],_xlfn._xlws.FILTER(Region[Administrative],Region[Model]=P_chp_ind2[[#This Row],[Region]]),0))))</f>
        <v>208.5</v>
      </c>
      <c r="M50" s="24" cm="1">
        <f t="array" ref="M50">SUM(_xlfn._xlws.FILTER(P_dh_chp_2[Waste],ISNUMBER(MATCH(P_dh_chp_2[Region],_xlfn._xlws.FILTER(Region[Administrative],Region[Model]=P_chp_ind2[[#This Row],[Region]]),0))))</f>
        <v>19.600000000000001</v>
      </c>
      <c r="N50" s="6">
        <f>SUM(P_chp_ind2[[#This Row],[Gas]:[Bio]])</f>
        <v>208.5</v>
      </c>
    </row>
    <row r="51" spans="1:48">
      <c r="A51" s="129" t="s">
        <v>1061</v>
      </c>
      <c r="B51" s="129" t="s">
        <v>1107</v>
      </c>
      <c r="C51" s="133" t="s">
        <v>1137</v>
      </c>
      <c r="D51" s="55">
        <v>5.4</v>
      </c>
      <c r="E51" s="100" t="s">
        <v>1023</v>
      </c>
      <c r="F51" s="35" t="s">
        <v>1020</v>
      </c>
      <c r="G51" s="35"/>
      <c r="H51" s="135" t="str">
        <f>_xlfn.XLOOKUP(P_dh_chp[[#This Row],[Main fuel]],$J$7:$J$21,$K$7:$K$21)</f>
        <v>Gas</v>
      </c>
      <c r="I51" s="130"/>
      <c r="J51" s="1" t="s">
        <v>34</v>
      </c>
      <c r="K51" s="24" cm="1">
        <f t="array" ref="K51">SUM(_xlfn._xlws.FILTER(P_dh_chp_2[Gas],ISNUMBER(MATCH(P_dh_chp_2[Region],_xlfn._xlws.FILTER(Region[Administrative],Region[Model]=P_chp_ind2[[#This Row],[Region]]),0))))</f>
        <v>45</v>
      </c>
      <c r="L51" s="24" cm="1">
        <f t="array" ref="L51">SUM(_xlfn._xlws.FILTER(P_dh_chp_2[Bio],ISNUMBER(MATCH(P_dh_chp_2[Region],_xlfn._xlws.FILTER(Region[Administrative],Region[Model]=P_chp_ind2[[#This Row],[Region]]),0))))</f>
        <v>164.5</v>
      </c>
      <c r="M51" s="24" cm="1">
        <f t="array" ref="M51">SUM(_xlfn._xlws.FILTER(P_dh_chp_2[Waste],ISNUMBER(MATCH(P_dh_chp_2[Region],_xlfn._xlws.FILTER(Region[Administrative],Region[Model]=P_chp_ind2[[#This Row],[Region]]),0))))</f>
        <v>45</v>
      </c>
      <c r="N51" s="6">
        <f>SUM(P_chp_ind2[[#This Row],[Gas]:[Bio]])</f>
        <v>209.5</v>
      </c>
    </row>
    <row r="52" spans="1:48">
      <c r="A52" s="129" t="s">
        <v>1062</v>
      </c>
      <c r="B52" s="129" t="s">
        <v>1108</v>
      </c>
      <c r="C52" s="133" t="s">
        <v>1137</v>
      </c>
      <c r="D52" s="55">
        <v>5.3</v>
      </c>
      <c r="E52" s="100" t="s">
        <v>1022</v>
      </c>
      <c r="F52" s="35" t="s">
        <v>1017</v>
      </c>
      <c r="G52" s="35"/>
      <c r="H52" s="135" t="str">
        <f>_xlfn.XLOOKUP(P_dh_chp[[#This Row],[Main fuel]],$J$7:$J$21,$K$7:$K$21)</f>
        <v>Bio</v>
      </c>
      <c r="I52" s="130"/>
      <c r="J52" s="106" t="s">
        <v>3</v>
      </c>
      <c r="K52" s="24" cm="1">
        <f t="array" ref="K52">SUM(_xlfn._xlws.FILTER(P_dh_chp_2[Gas],ISNUMBER(MATCH(P_dh_chp_2[Region],_xlfn._xlws.FILTER(Region[Administrative],Region[Model]=P_chp_ind2[[#This Row],[Region]]),0))))</f>
        <v>924</v>
      </c>
      <c r="L52" s="24" cm="1">
        <f t="array" ref="L52">SUM(_xlfn._xlws.FILTER(P_dh_chp_2[Bio],ISNUMBER(MATCH(P_dh_chp_2[Region],_xlfn._xlws.FILTER(Region[Administrative],Region[Model]=P_chp_ind2[[#This Row],[Region]]),0))))</f>
        <v>206.14000000000001</v>
      </c>
      <c r="M52" s="24" cm="1">
        <f t="array" ref="M52">SUM(_xlfn._xlws.FILTER(P_dh_chp_2[Waste],ISNUMBER(MATCH(P_dh_chp_2[Region],_xlfn._xlws.FILTER(Region[Administrative],Region[Model]=P_chp_ind2[[#This Row],[Region]]),0))))</f>
        <v>0</v>
      </c>
      <c r="N52" s="6">
        <f>SUM(P_chp_ind2[[#This Row],[Gas]:[Bio]])</f>
        <v>1130.1400000000001</v>
      </c>
    </row>
    <row r="53" spans="1:48">
      <c r="A53" s="129" t="s">
        <v>1046</v>
      </c>
      <c r="B53" s="129" t="s">
        <v>1099</v>
      </c>
      <c r="C53" s="133" t="s">
        <v>1137</v>
      </c>
      <c r="D53" s="55">
        <v>4.5999999999999996</v>
      </c>
      <c r="E53" s="100" t="s">
        <v>1023</v>
      </c>
      <c r="F53" s="35" t="s">
        <v>1020</v>
      </c>
      <c r="G53" s="35"/>
      <c r="H53" s="135" t="str">
        <f>_xlfn.XLOOKUP(P_dh_chp[[#This Row],[Main fuel]],$J$7:$J$21,$K$7:$K$21)</f>
        <v>Gas</v>
      </c>
      <c r="I53" s="130"/>
      <c r="K53" s="24">
        <f>SUM(P_chp_ind2[Gas])</f>
        <v>1341</v>
      </c>
      <c r="L53" s="24">
        <f>SUM(P_chp_ind2[Bio])</f>
        <v>1524.74</v>
      </c>
      <c r="M53" s="24">
        <f>SUM(P_chp_ind2[Waste])</f>
        <v>76.900000000000006</v>
      </c>
      <c r="N53" s="6">
        <f>SUM(K53:M53)</f>
        <v>2942.64</v>
      </c>
    </row>
    <row r="54" spans="1:48">
      <c r="A54" s="129" t="s">
        <v>1082</v>
      </c>
      <c r="B54" s="129" t="s">
        <v>1082</v>
      </c>
      <c r="C54" s="133" t="s">
        <v>1137</v>
      </c>
      <c r="D54" s="55">
        <v>4.5</v>
      </c>
      <c r="E54" s="100" t="s">
        <v>1022</v>
      </c>
      <c r="F54" s="35" t="s">
        <v>1015</v>
      </c>
      <c r="G54" s="35" t="s">
        <v>1020</v>
      </c>
      <c r="H54" s="135" t="str">
        <f>_xlfn.XLOOKUP(P_dh_chp[[#This Row],[Main fuel]],$J$7:$J$21,$K$7:$K$21)</f>
        <v>Bio</v>
      </c>
      <c r="I54" s="130"/>
    </row>
    <row r="55" spans="1:48">
      <c r="A55" s="129" t="s">
        <v>1044</v>
      </c>
      <c r="B55" s="129" t="s">
        <v>1044</v>
      </c>
      <c r="C55" s="133" t="s">
        <v>1137</v>
      </c>
      <c r="D55" s="55">
        <v>4</v>
      </c>
      <c r="E55" s="100" t="s">
        <v>1022</v>
      </c>
      <c r="F55" s="35" t="s">
        <v>1015</v>
      </c>
      <c r="G55" s="35" t="s">
        <v>1016</v>
      </c>
      <c r="H55" s="135" t="str">
        <f>_xlfn.XLOOKUP(P_dh_chp[[#This Row],[Main fuel]],$J$7:$J$21,$K$7:$K$21)</f>
        <v>Bio</v>
      </c>
      <c r="I55" s="130"/>
    </row>
    <row r="56" spans="1:48">
      <c r="A56" s="129" t="s">
        <v>1053</v>
      </c>
      <c r="B56" s="129" t="s">
        <v>1053</v>
      </c>
      <c r="C56" s="133" t="s">
        <v>1137</v>
      </c>
      <c r="D56" s="55">
        <v>4</v>
      </c>
      <c r="E56" s="100" t="s">
        <v>1015</v>
      </c>
      <c r="F56" s="35" t="s">
        <v>1022</v>
      </c>
      <c r="G56" s="35" t="s">
        <v>1016</v>
      </c>
      <c r="H56" s="135" t="str">
        <f>_xlfn.XLOOKUP(P_dh_chp[[#This Row],[Main fuel]],$J$7:$J$21,$K$7:$K$21)</f>
        <v>Bio</v>
      </c>
      <c r="I56" s="130"/>
      <c r="AD56" s="6"/>
    </row>
    <row r="57" spans="1:48">
      <c r="A57" s="129" t="s">
        <v>1071</v>
      </c>
      <c r="B57" s="129" t="s">
        <v>1113</v>
      </c>
      <c r="C57" s="133" t="s">
        <v>1137</v>
      </c>
      <c r="D57" s="55">
        <v>3.9</v>
      </c>
      <c r="E57" s="100" t="s">
        <v>1023</v>
      </c>
      <c r="G57" s="35"/>
      <c r="H57" s="135" t="str">
        <f>_xlfn.XLOOKUP(P_dh_chp[[#This Row],[Main fuel]],$J$7:$J$21,$K$7:$K$21)</f>
        <v>Gas</v>
      </c>
      <c r="I57" s="130"/>
      <c r="AD57" s="6"/>
    </row>
    <row r="58" spans="1:48">
      <c r="A58" s="129" t="s">
        <v>1034</v>
      </c>
      <c r="B58" s="129" t="s">
        <v>1034</v>
      </c>
      <c r="C58" s="133" t="s">
        <v>1137</v>
      </c>
      <c r="D58" s="55">
        <v>3.7</v>
      </c>
      <c r="E58" s="143" t="s">
        <v>1137</v>
      </c>
      <c r="G58" s="35"/>
      <c r="H58" s="135" t="str">
        <f>_xlfn.XLOOKUP(P_dh_chp[[#This Row],[Main fuel]],$J$7:$J$21,$K$7:$K$21)</f>
        <v>Bio</v>
      </c>
      <c r="I58" s="130"/>
      <c r="AD58" s="6"/>
    </row>
    <row r="59" spans="1:48">
      <c r="A59" s="129" t="s">
        <v>1045</v>
      </c>
      <c r="B59" s="129" t="s">
        <v>1096</v>
      </c>
      <c r="C59" s="133" t="s">
        <v>1137</v>
      </c>
      <c r="D59" s="55">
        <v>3.7</v>
      </c>
      <c r="E59" s="100" t="s">
        <v>1023</v>
      </c>
      <c r="G59" s="35"/>
      <c r="H59" s="135" t="str">
        <f>_xlfn.XLOOKUP(P_dh_chp[[#This Row],[Main fuel]],$J$7:$J$21,$K$7:$K$21)</f>
        <v>Gas</v>
      </c>
      <c r="I59" s="130"/>
      <c r="AD59" s="6"/>
    </row>
    <row r="60" spans="1:48">
      <c r="A60" s="129" t="s">
        <v>1090</v>
      </c>
      <c r="B60" s="129" t="s">
        <v>1127</v>
      </c>
      <c r="C60" s="133" t="s">
        <v>1137</v>
      </c>
      <c r="D60" s="55">
        <v>3.125</v>
      </c>
      <c r="E60" s="100" t="s">
        <v>1033</v>
      </c>
      <c r="G60" s="35"/>
      <c r="H60" s="135" t="str">
        <f>_xlfn.XLOOKUP(P_dh_chp[[#This Row],[Main fuel]],$J$7:$J$21,$K$7:$K$21)</f>
        <v>Bio</v>
      </c>
      <c r="I60" s="130"/>
      <c r="AD60" s="6"/>
    </row>
    <row r="61" spans="1:48">
      <c r="A61" s="129" t="s">
        <v>1054</v>
      </c>
      <c r="B61" s="129" t="s">
        <v>1104</v>
      </c>
      <c r="C61" s="133" t="s">
        <v>1137</v>
      </c>
      <c r="D61" s="55">
        <v>3</v>
      </c>
      <c r="E61" s="100" t="s">
        <v>1023</v>
      </c>
      <c r="G61" s="35"/>
      <c r="H61" s="135" t="str">
        <f>_xlfn.XLOOKUP(P_dh_chp[[#This Row],[Main fuel]],$J$7:$J$21,$K$7:$K$21)</f>
        <v>Gas</v>
      </c>
      <c r="I61" s="130"/>
      <c r="AD61" s="6"/>
    </row>
    <row r="62" spans="1:48">
      <c r="A62" s="129" t="s">
        <v>1055</v>
      </c>
      <c r="B62" s="129" t="s">
        <v>1105</v>
      </c>
      <c r="C62" s="133" t="s">
        <v>1137</v>
      </c>
      <c r="D62" s="55">
        <v>2.4</v>
      </c>
      <c r="E62" s="100" t="s">
        <v>1023</v>
      </c>
      <c r="G62" s="35"/>
      <c r="H62" s="135" t="str">
        <f>_xlfn.XLOOKUP(P_dh_chp[[#This Row],[Main fuel]],$J$7:$J$21,$K$7:$K$21)</f>
        <v>Gas</v>
      </c>
      <c r="I62" s="130"/>
      <c r="AD62" s="6"/>
    </row>
    <row r="63" spans="1:48">
      <c r="A63" s="129" t="s">
        <v>1077</v>
      </c>
      <c r="B63" s="129" t="s">
        <v>1077</v>
      </c>
      <c r="C63" s="133" t="s">
        <v>1137</v>
      </c>
      <c r="D63" s="55">
        <v>1.3</v>
      </c>
      <c r="E63" s="100" t="s">
        <v>1022</v>
      </c>
      <c r="F63" s="35" t="s">
        <v>1016</v>
      </c>
      <c r="G63" s="35" t="s">
        <v>1016</v>
      </c>
      <c r="H63" s="135" t="str">
        <f>_xlfn.XLOOKUP(P_dh_chp[[#This Row],[Main fuel]],$J$7:$J$21,$K$7:$K$21)</f>
        <v>Bio</v>
      </c>
      <c r="I63" s="130"/>
      <c r="AD63" s="6"/>
    </row>
    <row r="64" spans="1:48">
      <c r="A64" s="129" t="s">
        <v>1064</v>
      </c>
      <c r="B64" s="129" t="s">
        <v>1110</v>
      </c>
      <c r="C64" s="133" t="s">
        <v>1137</v>
      </c>
      <c r="D64" s="55">
        <v>0.6</v>
      </c>
      <c r="E64" s="100" t="s">
        <v>1022</v>
      </c>
      <c r="F64" s="35" t="s">
        <v>1022</v>
      </c>
      <c r="G64" s="131" t="s">
        <v>1137</v>
      </c>
      <c r="H64" s="135" t="str">
        <f>_xlfn.XLOOKUP(P_dh_chp[[#This Row],[Main fuel]],$J$7:$J$21,$K$7:$K$21)</f>
        <v>Bio</v>
      </c>
      <c r="I64" s="130"/>
      <c r="AD64" s="6"/>
    </row>
    <row r="65" spans="1:15">
      <c r="A65" s="129" t="s">
        <v>1059</v>
      </c>
      <c r="B65" s="129" t="s">
        <v>1059</v>
      </c>
      <c r="C65" s="133" t="s">
        <v>1137</v>
      </c>
      <c r="D65" s="55">
        <v>0</v>
      </c>
      <c r="E65" s="100" t="s">
        <v>1023</v>
      </c>
      <c r="F65" s="35" t="s">
        <v>1020</v>
      </c>
      <c r="G65" s="35"/>
      <c r="H65" s="135" t="str">
        <f>_xlfn.XLOOKUP(P_dh_chp[[#This Row],[Main fuel]],$J$7:$J$21,$K$7:$K$21)</f>
        <v>Gas</v>
      </c>
      <c r="I65" s="130"/>
    </row>
    <row r="66" spans="1:15">
      <c r="A66" s="139" t="s">
        <v>1084</v>
      </c>
      <c r="B66" s="139" t="s">
        <v>1121</v>
      </c>
      <c r="C66" s="140" t="s">
        <v>1137</v>
      </c>
      <c r="D66" s="141">
        <v>0</v>
      </c>
      <c r="E66" s="144" t="s">
        <v>1017</v>
      </c>
      <c r="F66" s="132"/>
      <c r="G66" s="132"/>
      <c r="H66" s="142" t="str">
        <f>_xlfn.XLOOKUP(P_dh_chp[[#This Row],[Main fuel]],$J$7:$J$21,$K$7:$K$21)</f>
        <v>Gas</v>
      </c>
      <c r="I66" s="130"/>
    </row>
    <row r="67" spans="1:15">
      <c r="A67" s="35"/>
      <c r="C67" s="107"/>
      <c r="D67" s="138"/>
      <c r="G67" s="35"/>
      <c r="H67" s="135"/>
      <c r="I67" s="130"/>
    </row>
    <row r="68" spans="1:15">
      <c r="A68" s="35"/>
      <c r="B68" s="101"/>
      <c r="C68" s="101" t="s">
        <v>109</v>
      </c>
      <c r="D68" s="101" t="s">
        <v>58</v>
      </c>
      <c r="E68" s="101" t="s">
        <v>816</v>
      </c>
      <c r="H68" s="135"/>
      <c r="I68" s="130"/>
    </row>
    <row r="69" spans="1:15">
      <c r="A69" s="35"/>
      <c r="B69" s="101" t="s">
        <v>2</v>
      </c>
      <c r="C69" s="35">
        <f>COUNT(P_dh_chp[Capacity])</f>
        <v>59</v>
      </c>
      <c r="D69" s="7">
        <f>SUM(P_dh_chp[Capacity])</f>
        <v>3035.165</v>
      </c>
      <c r="H69" s="135"/>
      <c r="I69" s="130"/>
    </row>
    <row r="70" spans="1:15">
      <c r="A70" s="35"/>
      <c r="B70" s="101" t="s">
        <v>392</v>
      </c>
      <c r="C70" s="35">
        <f>COUNT(D8:D46)</f>
        <v>39</v>
      </c>
      <c r="D70" s="7">
        <f>SUM(D8:D46)</f>
        <v>2954.2400000000002</v>
      </c>
      <c r="E70" s="119">
        <f>D70/$D$69</f>
        <v>0.97333752860223421</v>
      </c>
      <c r="H70" s="135"/>
      <c r="I70" s="130"/>
    </row>
    <row r="71" spans="1:15">
      <c r="A71" s="35"/>
      <c r="B71" s="101" t="s">
        <v>818</v>
      </c>
      <c r="C71" s="35">
        <f>COUNT(D8:D34)</f>
        <v>27</v>
      </c>
      <c r="D71" s="7">
        <f>SUM(D8:D34)</f>
        <v>2785.5</v>
      </c>
      <c r="E71" s="119">
        <f>D71/$D$69</f>
        <v>0.91774252800094891</v>
      </c>
      <c r="H71" s="135"/>
      <c r="I71" s="130"/>
    </row>
    <row r="72" spans="1:15">
      <c r="A72" s="35"/>
      <c r="B72" s="101" t="s">
        <v>817</v>
      </c>
      <c r="C72" s="35">
        <f>COUNT(D8:D23)</f>
        <v>16</v>
      </c>
      <c r="D72" s="7">
        <f>SUM(D8:D23)</f>
        <v>2424</v>
      </c>
      <c r="E72" s="119">
        <f>D72/$D$69</f>
        <v>0.79863862425930721</v>
      </c>
      <c r="H72" s="135"/>
      <c r="I72" s="130"/>
      <c r="O72" s="24"/>
    </row>
    <row r="73" spans="1:15">
      <c r="A73" s="35"/>
      <c r="B73" s="101" t="s">
        <v>391</v>
      </c>
      <c r="C73" s="35">
        <f>COUNT(D8:D17)</f>
        <v>10</v>
      </c>
      <c r="D73" s="7">
        <f>SUM(D8:D17)</f>
        <v>1973.1</v>
      </c>
      <c r="E73" s="119">
        <f>D73/$D$69</f>
        <v>0.65007997917740878</v>
      </c>
      <c r="H73" s="135"/>
      <c r="I73" s="130"/>
      <c r="O73" s="24"/>
    </row>
    <row r="74" spans="1:15">
      <c r="A74" s="35"/>
      <c r="B74" s="101" t="s">
        <v>832</v>
      </c>
      <c r="C74" s="35">
        <f>COUNT(D8:D10)</f>
        <v>3</v>
      </c>
      <c r="D74" s="7">
        <f>SUM(D8:D10)</f>
        <v>991</v>
      </c>
      <c r="E74" s="119">
        <f>D74/$D$69</f>
        <v>0.32650613722812433</v>
      </c>
      <c r="H74" s="135"/>
      <c r="I74" s="130"/>
      <c r="O74" s="24"/>
    </row>
    <row r="75" spans="1:15">
      <c r="A75" s="35"/>
      <c r="B75" s="35"/>
      <c r="C75" s="35"/>
      <c r="H75" s="135"/>
      <c r="I75" s="130"/>
      <c r="O75" s="24"/>
    </row>
    <row r="76" spans="1:15">
      <c r="A76" s="35"/>
      <c r="B76" s="35"/>
      <c r="H76" s="135"/>
      <c r="I76" s="130"/>
      <c r="O76" s="24"/>
    </row>
    <row r="77" spans="1:15">
      <c r="A77" s="35"/>
      <c r="C77" s="107"/>
      <c r="D77" s="138"/>
      <c r="G77" s="35"/>
      <c r="H77" s="135"/>
      <c r="I77" s="130"/>
      <c r="O77" s="24"/>
    </row>
    <row r="78" spans="1:15">
      <c r="A78" s="35"/>
      <c r="C78" s="107"/>
      <c r="D78" s="138"/>
      <c r="G78" s="35"/>
      <c r="H78" s="135"/>
      <c r="I78" s="130"/>
      <c r="O78" s="24"/>
    </row>
    <row r="79" spans="1:15">
      <c r="A79" s="35"/>
      <c r="C79" s="107"/>
      <c r="D79" s="138"/>
      <c r="G79" s="35"/>
      <c r="H79" s="135"/>
      <c r="I79" s="130"/>
      <c r="O79" s="6"/>
    </row>
  </sheetData>
  <sortState xmlns:xlrd2="http://schemas.microsoft.com/office/spreadsheetml/2017/richdata2" ref="J24:L45">
    <sortCondition ref="K24:K45"/>
  </sortState>
  <mergeCells count="13">
    <mergeCell ref="Q18:Q21"/>
    <mergeCell ref="AB18:AB21"/>
    <mergeCell ref="AA18:AA21"/>
    <mergeCell ref="Y18:Y21"/>
    <mergeCell ref="W18:W21"/>
    <mergeCell ref="U18:U21"/>
    <mergeCell ref="S18:S21"/>
    <mergeCell ref="R18:R21"/>
    <mergeCell ref="AE9:AJ10"/>
    <mergeCell ref="Z18:Z21"/>
    <mergeCell ref="X18:X21"/>
    <mergeCell ref="V18:V21"/>
    <mergeCell ref="T18:T21"/>
  </mergeCells>
  <phoneticPr fontId="22" type="noConversion"/>
  <conditionalFormatting sqref="AF13:AH19 AF20:AI20 AF21:AH21">
    <cfRule type="cellIs" dxfId="3" priority="2" operator="equal">
      <formula>0</formula>
    </cfRule>
  </conditionalFormatting>
  <conditionalFormatting sqref="AF24:AH30 AF39:AF45">
    <cfRule type="cellIs" dxfId="2" priority="3" operator="equal">
      <formula>0</formula>
    </cfRule>
  </conditionalFormatting>
  <conditionalFormatting sqref="AF31:AI31">
    <cfRule type="cellIs" dxfId="1" priority="1" operator="equal">
      <formula>0</formula>
    </cfRule>
  </conditionalFormatting>
  <hyperlinks>
    <hyperlink ref="F1" r:id="rId1" display="https://energiavirasto.fi/toimitusvarmuus" xr:uid="{56FDD8F6-9096-4CEE-A416-5BC96C27D197}"/>
  </hyperlinks>
  <pageMargins left="0.7" right="0.7" top="0.75" bottom="0.75" header="0.3" footer="0.3"/>
  <tableParts count="5">
    <tablePart r:id="rId2"/>
    <tablePart r:id="rId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FDD2B-D246-4F69-A95C-3258DE98C6C2}">
  <sheetPr>
    <tabColor rgb="FF00CC00"/>
  </sheetPr>
  <dimension ref="A1:AF1019"/>
  <sheetViews>
    <sheetView topLeftCell="K1" zoomScale="90" zoomScaleNormal="90" workbookViewId="0">
      <pane ySplit="7" topLeftCell="A8" activePane="bottomLeft" state="frozen"/>
      <selection pane="bottomLeft" activeCell="W13" sqref="W13"/>
    </sheetView>
  </sheetViews>
  <sheetFormatPr defaultRowHeight="14.4"/>
  <cols>
    <col min="1" max="2" width="22.33203125" style="1" customWidth="1"/>
    <col min="3" max="3" width="33.44140625" style="1" customWidth="1"/>
    <col min="4" max="4" width="7.5546875" style="35" customWidth="1"/>
    <col min="5" max="5" width="7.77734375" style="1" bestFit="1" customWidth="1"/>
    <col min="6" max="6" width="9.21875" style="1" bestFit="1" customWidth="1"/>
    <col min="7" max="7" width="10.21875" style="1" bestFit="1" customWidth="1"/>
    <col min="8" max="8" width="8.21875" style="115" bestFit="1" customWidth="1"/>
    <col min="9" max="9" width="17.33203125" style="115" customWidth="1"/>
    <col min="10" max="10" width="11.88671875" style="115" bestFit="1" customWidth="1"/>
    <col min="11" max="11" width="10.21875" style="115" bestFit="1" customWidth="1"/>
    <col min="12" max="12" width="13.109375" style="1" bestFit="1" customWidth="1"/>
    <col min="13" max="13" width="20.5546875" style="1" customWidth="1"/>
    <col min="14" max="14" width="13.44140625" style="1" customWidth="1"/>
    <col min="15" max="15" width="9.6640625" style="1" bestFit="1" customWidth="1"/>
    <col min="16" max="16" width="3.33203125" style="1" customWidth="1"/>
    <col min="17" max="25" width="8.88671875" style="1" customWidth="1"/>
    <col min="26" max="16384" width="8.88671875" style="1"/>
  </cols>
  <sheetData>
    <row r="1" spans="1:32">
      <c r="A1" s="254" t="s">
        <v>2998</v>
      </c>
      <c r="B1" s="36"/>
      <c r="C1" s="36"/>
      <c r="D1" s="128"/>
      <c r="E1" s="36"/>
      <c r="F1" s="36"/>
      <c r="G1" s="36"/>
      <c r="H1" s="191"/>
      <c r="I1" s="254"/>
      <c r="J1" s="191"/>
      <c r="K1" s="191"/>
      <c r="L1" s="36"/>
      <c r="M1" s="36"/>
      <c r="N1" s="36"/>
      <c r="O1" s="36"/>
      <c r="Q1" s="65" t="s">
        <v>2999</v>
      </c>
      <c r="R1" s="65"/>
      <c r="S1" s="65"/>
      <c r="T1" s="65"/>
      <c r="U1" s="65"/>
      <c r="V1" s="65"/>
      <c r="W1" s="65"/>
      <c r="X1" s="65"/>
      <c r="Y1" s="65"/>
      <c r="Z1" s="65"/>
      <c r="AA1" s="65"/>
      <c r="AB1" s="65"/>
      <c r="AC1" s="65"/>
      <c r="AD1" s="36"/>
      <c r="AE1" s="36"/>
      <c r="AF1" s="36"/>
    </row>
    <row r="2" spans="1:32">
      <c r="A2" s="46" t="s">
        <v>853</v>
      </c>
      <c r="B2" s="46" t="s">
        <v>2955</v>
      </c>
      <c r="C2" s="45"/>
      <c r="D2" s="98"/>
      <c r="E2" s="45"/>
      <c r="F2" s="45"/>
      <c r="G2" s="45"/>
      <c r="H2" s="227"/>
      <c r="I2" s="45"/>
      <c r="J2" s="227"/>
      <c r="K2" s="227"/>
      <c r="L2" s="45"/>
      <c r="M2" s="45"/>
      <c r="N2" s="45"/>
      <c r="O2" s="45"/>
    </row>
    <row r="3" spans="1:32">
      <c r="A3" s="46"/>
      <c r="B3" s="277" t="s">
        <v>3060</v>
      </c>
      <c r="C3" s="45"/>
      <c r="D3" s="98"/>
      <c r="E3" s="45"/>
      <c r="F3" s="45"/>
      <c r="G3" s="45"/>
      <c r="H3" s="227"/>
      <c r="I3" s="45"/>
      <c r="J3" s="227"/>
      <c r="K3" s="227"/>
      <c r="L3" s="45"/>
      <c r="M3" s="45"/>
      <c r="N3" s="45"/>
      <c r="O3" s="45"/>
      <c r="Q3" s="250" t="s">
        <v>1187</v>
      </c>
      <c r="R3" s="45"/>
      <c r="S3" s="45"/>
      <c r="T3" s="45"/>
      <c r="U3" s="45"/>
      <c r="V3" s="45"/>
      <c r="W3" s="45"/>
      <c r="X3" s="45"/>
      <c r="Y3" s="45"/>
      <c r="Z3" s="45"/>
      <c r="AA3" s="45"/>
      <c r="AB3" s="45"/>
      <c r="AC3" s="45"/>
      <c r="AD3" s="45"/>
    </row>
    <row r="4" spans="1:32">
      <c r="A4" s="98" t="s">
        <v>2949</v>
      </c>
      <c r="B4" s="98" t="s">
        <v>2993</v>
      </c>
      <c r="C4" s="45"/>
      <c r="D4" s="98"/>
      <c r="E4" s="45"/>
      <c r="F4" s="45"/>
      <c r="G4" s="45"/>
      <c r="H4" s="227"/>
      <c r="I4" s="45"/>
      <c r="J4" s="227"/>
      <c r="K4" s="227"/>
      <c r="L4" s="45"/>
      <c r="M4" s="45"/>
      <c r="N4" s="45"/>
      <c r="O4" s="45"/>
      <c r="Q4" s="250"/>
      <c r="R4" s="45"/>
      <c r="S4" s="45"/>
      <c r="T4" s="45"/>
      <c r="U4" s="45"/>
      <c r="V4" s="45"/>
      <c r="W4" s="45"/>
      <c r="X4" s="45"/>
      <c r="Y4" s="45"/>
      <c r="Z4" s="45"/>
      <c r="AA4" s="45"/>
      <c r="AB4" s="45"/>
      <c r="AC4" s="45"/>
      <c r="AD4" s="45"/>
    </row>
    <row r="5" spans="1:32">
      <c r="A5" s="98" t="s">
        <v>3062</v>
      </c>
      <c r="B5" s="344" t="s">
        <v>3063</v>
      </c>
      <c r="C5" s="344"/>
      <c r="D5" s="344"/>
      <c r="E5" s="344"/>
      <c r="F5" s="344"/>
      <c r="G5" s="344"/>
      <c r="H5" s="344"/>
      <c r="I5" s="344"/>
      <c r="J5" s="344"/>
      <c r="K5" s="344"/>
      <c r="L5" s="344"/>
      <c r="M5" s="344"/>
      <c r="N5" s="344"/>
      <c r="O5" s="344"/>
      <c r="Q5" s="250"/>
      <c r="R5" s="45"/>
      <c r="S5" s="45"/>
      <c r="T5" s="45"/>
      <c r="U5" s="45"/>
      <c r="V5" s="45"/>
      <c r="W5" s="45"/>
      <c r="X5" s="45"/>
      <c r="Y5" s="45"/>
      <c r="Z5" s="45"/>
      <c r="AA5" s="45"/>
      <c r="AB5" s="45"/>
      <c r="AC5" s="45"/>
      <c r="AD5" s="45"/>
    </row>
    <row r="6" spans="1:32">
      <c r="A6" s="98"/>
      <c r="B6" s="344"/>
      <c r="C6" s="344"/>
      <c r="D6" s="344"/>
      <c r="E6" s="344"/>
      <c r="F6" s="344"/>
      <c r="G6" s="344"/>
      <c r="H6" s="344"/>
      <c r="I6" s="344"/>
      <c r="J6" s="344"/>
      <c r="K6" s="344"/>
      <c r="L6" s="344"/>
      <c r="M6" s="344"/>
      <c r="N6" s="344"/>
      <c r="O6" s="344"/>
      <c r="Q6" s="235" t="s">
        <v>24</v>
      </c>
      <c r="R6" s="251" t="s">
        <v>1443</v>
      </c>
      <c r="S6" s="235" t="s">
        <v>2345</v>
      </c>
      <c r="T6" s="235" t="s">
        <v>1153</v>
      </c>
      <c r="U6" s="235" t="s">
        <v>1145</v>
      </c>
      <c r="V6" s="235" t="s">
        <v>1154</v>
      </c>
      <c r="W6" s="235" t="s">
        <v>1141</v>
      </c>
      <c r="X6" s="235" t="s">
        <v>1143</v>
      </c>
      <c r="Y6" s="235" t="s">
        <v>1146</v>
      </c>
      <c r="Z6" s="235" t="s">
        <v>1142</v>
      </c>
      <c r="AA6" s="235" t="s">
        <v>1144</v>
      </c>
      <c r="AB6" s="235" t="s">
        <v>1152</v>
      </c>
      <c r="AC6" s="235" t="s">
        <v>2932</v>
      </c>
      <c r="AD6" s="235" t="s">
        <v>2933</v>
      </c>
      <c r="AE6" s="1" t="s">
        <v>3000</v>
      </c>
    </row>
    <row r="7" spans="1:32">
      <c r="A7" s="14" t="s">
        <v>2485</v>
      </c>
      <c r="B7" s="14" t="s">
        <v>2486</v>
      </c>
      <c r="C7" s="14" t="s">
        <v>2885</v>
      </c>
      <c r="D7" s="101" t="s">
        <v>2954</v>
      </c>
      <c r="E7" s="14" t="s">
        <v>1157</v>
      </c>
      <c r="F7" s="14" t="s">
        <v>1414</v>
      </c>
      <c r="G7" s="14" t="s">
        <v>151</v>
      </c>
      <c r="H7" s="14" t="s">
        <v>864</v>
      </c>
      <c r="I7" s="171" t="s">
        <v>159</v>
      </c>
      <c r="J7" s="235" t="s">
        <v>2877</v>
      </c>
      <c r="K7" s="235" t="s">
        <v>2886</v>
      </c>
      <c r="L7" s="235" t="s">
        <v>2887</v>
      </c>
      <c r="M7" s="235" t="s">
        <v>2888</v>
      </c>
      <c r="N7" s="235" t="s">
        <v>2859</v>
      </c>
      <c r="O7" s="235" t="s">
        <v>24</v>
      </c>
      <c r="P7" s="237"/>
      <c r="Q7" s="115" t="s">
        <v>28</v>
      </c>
      <c r="R7" s="249" cm="1">
        <f t="array" ref="R7">SUMPRODUCT((H_unit[Region]=P_heat[[#This Row],[Region]])*(H_unit[Type]=P_heat[[#Headers],[Excluded]])*IFERROR(_xlfn.NUMBERVALUE(H_unit[Heat]),0))</f>
        <v>150.30000000000001</v>
      </c>
      <c r="S7" s="252" cm="1">
        <f t="array" ref="S7">SUMPRODUCT((H_unit[Region]=P_heat[[#This Row],[Region]])*(H_unit[Type]=P_heat[[#Headers],[Included in industry]])*IFERROR(_xlfn.NUMBERVALUE(H_unit[Heat]),0))</f>
        <v>620</v>
      </c>
      <c r="T7" s="252" cm="1">
        <f t="array" ref="T7">SUMPRODUCT((H_unit[Region]=P_heat[[#This Row],[Region]])*(H_unit[Type]=P_heat[[#Headers],[Bio CHP]])*IFERROR(_xlfn.NUMBERVALUE(H_unit[Heat]),0))</f>
        <v>225</v>
      </c>
      <c r="U7" s="252" cm="1">
        <f t="array" ref="U7">SUMPRODUCT((H_unit[Region]=P_heat[[#This Row],[Region]])*(H_unit[Type]=P_heat[[#Headers],[Gas CCGT CHP]])*IFERROR(_xlfn.NUMBERVALUE(H_unit[Heat]),0))</f>
        <v>0</v>
      </c>
      <c r="V7" s="252" cm="1">
        <f t="array" ref="V7">SUMPRODUCT((H_unit[Region]=P_heat[[#This Row],[Region]])*(H_unit[Type]=P_heat[[#Headers],[Waste CHP]])*IFERROR(_xlfn.NUMBERVALUE(H_unit[Heat]),0))</f>
        <v>0</v>
      </c>
      <c r="W7" s="305" cm="1">
        <f t="array" ref="W7">SUMPRODUCT((H_unit[Region]=P_heat[[#This Row],[Region]])*(H_unit[Type]=P_heat[[#Headers],[Oil HOB]])*IFERROR(_xlfn.NUMBERVALUE(H_unit[Heat]),0))</f>
        <v>406.4</v>
      </c>
      <c r="X7" s="305" cm="1">
        <f t="array" ref="X7">SUMPRODUCT((H_unit[Region]=P_heat[[#This Row],[Region]])*(H_unit[Type]=P_heat[[#Headers],[Bio HOB]])*IFERROR(_xlfn.NUMBERVALUE(H_unit[Heat]),0))</f>
        <v>592.4</v>
      </c>
      <c r="Y7" s="305" cm="1">
        <f t="array" ref="Y7">SUMPRODUCT((H_unit[Region]=P_heat[[#This Row],[Region]])*(H_unit[Type]=P_heat[[#Headers],[Electric boiler]])*IFERROR(_xlfn.NUMBERVALUE(H_unit[Heat]),0))</f>
        <v>60</v>
      </c>
      <c r="Z7" s="252" cm="1">
        <f t="array" ref="Z7">SUMPRODUCT((H_unit[Region]=P_heat[[#This Row],[Region]])*(H_unit[Type]=P_heat[[#Headers],[Gas HOB]])*IFERROR(_xlfn.NUMBERVALUE(H_unit[Heat]),0))</f>
        <v>1</v>
      </c>
      <c r="AA7" s="252" cm="1">
        <f t="array" ref="AA7">SUMPRODUCT((H_unit[Region]=P_heat[[#This Row],[Region]])*(H_unit[Type]=P_heat[[#Headers],[Ground source heat pump]])*IFERROR(_xlfn.NUMBERVALUE(H_unit[Heat]),0))</f>
        <v>5.2</v>
      </c>
      <c r="AB7" s="252" cm="1">
        <f t="array" ref="AB7">SUMPRODUCT((H_unit[Region]=P_heat[[#This Row],[Region]])*(H_unit[Type]=P_heat[[#Headers],[Waste HOB]])*IFERROR(_xlfn.NUMBERVALUE(H_unit[Heat]),0))</f>
        <v>0</v>
      </c>
      <c r="AC7" s="305" cm="1">
        <f t="array" ref="AC7">SUMPRODUCT((H_unit[Region]=P_heat[[#This Row],[Region]])*(H_unit[Type]=P_heat[[#Headers],[Heat storage ]])*IFERROR(_xlfn.NUMBERVALUE(H_unit[Heat]),0))</f>
        <v>61</v>
      </c>
      <c r="AD7" s="252" cm="1">
        <f t="array" ref="AD7">SUMPRODUCT((H_unit[Region]=P_heat[[#This Row],[Region]])*(H_unit[Type]=P_heat[[#Headers],[Large heat storage]])*IFERROR(_xlfn.NUMBERVALUE(H_unit[Heat]),0))</f>
        <v>0</v>
      </c>
      <c r="AE7" s="6">
        <f>SUM(P_heat[#This Row])</f>
        <v>2121.2999999999997</v>
      </c>
    </row>
    <row r="8" spans="1:32">
      <c r="A8" s="238" t="s">
        <v>2395</v>
      </c>
      <c r="B8" s="238" t="s">
        <v>2396</v>
      </c>
      <c r="C8" s="240" t="str" cm="1">
        <f t="array" ref="C8">" "&amp;LOWER(_xlfn.REDUCE(H_unit[[#This Row],[Company]]&amp;" "&amp;H_unit[[#This Row],[Unit]],{",",".","(",")","/"},_xlfn.LAMBDA(_xlpm.txt,_xlpm.delim,SUBSTITUTE(_xlpm.txt,_xlpm.delim," "))))&amp;" "</f>
        <v xml:space="preserve"> stora enso oyj  heinola stora enso </v>
      </c>
      <c r="D8" s="242">
        <v>1961</v>
      </c>
      <c r="E8" s="243" t="s">
        <v>1448</v>
      </c>
      <c r="F8" s="243">
        <v>17</v>
      </c>
      <c r="G8" s="247"/>
      <c r="H8" s="267" t="s">
        <v>1428</v>
      </c>
      <c r="I8" s="248" t="s">
        <v>2345</v>
      </c>
      <c r="J8" s="246" t="str" cm="1">
        <f t="array" ref="J8">_xlfn.XLOOKUP(TRUE,ISNUMBER(SEARCH(" "&amp;Municipality[Municipality]&amp;" ",H_unit[[#This Row],[Info string]])),Municipality[Municipality],"")</f>
        <v>Heinola</v>
      </c>
      <c r="K8" s="246" t="str" cm="1">
        <f t="array" ref="K8">IF(H_unit[[#This Row],[Exact]]&lt;&gt;"","",_xlfn.XLOOKUP(TRUE,ISNUMBER(SEARCH(" "&amp;Municipality[Municipality]&amp;"n ",H_unit[[#This Row],[Info string]])),Municipality[Municipality],""))</f>
        <v/>
      </c>
      <c r="L8" s="246"/>
      <c r="M8" s="244"/>
      <c r="N8" s="246" t="str">
        <f>_xlfn.TEXTJOIN("",TRUE,H_unit[[#This Row],[Exact]],H_unit[[#This Row],[Exact+n]],H_unit[[#This Row],[Copilot]])</f>
        <v>Heinola</v>
      </c>
      <c r="O8" s="246" t="str">
        <f>_xlfn.XLOOKUP(H_unit[[#This Row],[Municipality]],Municipality[Municipality],Municipality[Model],"")</f>
        <v>South East</v>
      </c>
      <c r="P8" s="236"/>
      <c r="Q8" s="115" t="s">
        <v>29</v>
      </c>
      <c r="R8" s="252" cm="1">
        <f t="array" ref="R8">SUMPRODUCT((H_unit[Region]=P_heat[[#This Row],[Region]])*(H_unit[Type]=P_heat[[#Headers],[Excluded]])*IFERROR(_xlfn.NUMBERVALUE(H_unit[Heat]),0))</f>
        <v>17.3</v>
      </c>
      <c r="S8" s="252" cm="1">
        <f t="array" ref="S8">SUMPRODUCT((H_unit[Region]=P_heat[[#This Row],[Region]])*(H_unit[Type]=P_heat[[#Headers],[Included in industry]])*IFERROR(_xlfn.NUMBERVALUE(H_unit[Heat]),0))</f>
        <v>0</v>
      </c>
      <c r="T8" s="252" cm="1">
        <f t="array" ref="T8">SUMPRODUCT((H_unit[Region]=P_heat[[#This Row],[Region]])*(H_unit[Type]=P_heat[[#Headers],[Bio CHP]])*IFERROR(_xlfn.NUMBERVALUE(H_unit[Heat]),0))</f>
        <v>1127</v>
      </c>
      <c r="U8" s="255" cm="1">
        <f t="array" ref="U8">SUMPRODUCT((H_unit[Region]=P_heat[[#This Row],[Region]])*(H_unit[Type]=P_heat[[#Headers],[Gas CCGT CHP]])*IFERROR(_xlfn.NUMBERVALUE(H_unit[Heat]),0))</f>
        <v>0</v>
      </c>
      <c r="V8" s="252" cm="1">
        <f t="array" ref="V8">SUMPRODUCT((H_unit[Region]=P_heat[[#This Row],[Region]])*(H_unit[Type]=P_heat[[#Headers],[Waste CHP]])*IFERROR(_xlfn.NUMBERVALUE(H_unit[Heat]),0))</f>
        <v>52</v>
      </c>
      <c r="W8" s="305" cm="1">
        <f t="array" ref="W8">SUMPRODUCT((H_unit[Region]=P_heat[[#This Row],[Region]])*(H_unit[Type]=P_heat[[#Headers],[Oil HOB]])*IFERROR(_xlfn.NUMBERVALUE(H_unit[Heat]),0))</f>
        <v>832.3</v>
      </c>
      <c r="X8" s="305" cm="1">
        <f t="array" ref="X8">SUMPRODUCT((H_unit[Region]=P_heat[[#This Row],[Region]])*(H_unit[Type]=P_heat[[#Headers],[Bio HOB]])*IFERROR(_xlfn.NUMBERVALUE(H_unit[Heat]),0))</f>
        <v>572.20000000000005</v>
      </c>
      <c r="Y8" s="305" cm="1">
        <f t="array" ref="Y8">SUMPRODUCT((H_unit[Region]=P_heat[[#This Row],[Region]])*(H_unit[Type]=P_heat[[#Headers],[Electric boiler]])*IFERROR(_xlfn.NUMBERVALUE(H_unit[Heat]),0))</f>
        <v>545</v>
      </c>
      <c r="Z8" s="252" cm="1">
        <f t="array" ref="Z8">SUMPRODUCT((H_unit[Region]=P_heat[[#This Row],[Region]])*(H_unit[Type]=P_heat[[#Headers],[Gas HOB]])*IFERROR(_xlfn.NUMBERVALUE(H_unit[Heat]),0))</f>
        <v>0</v>
      </c>
      <c r="AA8" s="305" cm="1">
        <f t="array" ref="AA8">SUMPRODUCT((H_unit[Region]=P_heat[[#This Row],[Region]])*(H_unit[Type]=P_heat[[#Headers],[Ground source heat pump]])*IFERROR(_xlfn.NUMBERVALUE(H_unit[Heat]),0))</f>
        <v>34.700000000000003</v>
      </c>
      <c r="AB8" s="305" cm="1">
        <f t="array" ref="AB8">SUMPRODUCT((H_unit[Region]=P_heat[[#This Row],[Region]])*(H_unit[Type]=P_heat[[#Headers],[Waste HOB]])*IFERROR(_xlfn.NUMBERVALUE(H_unit[Heat]),0))</f>
        <v>10</v>
      </c>
      <c r="AC8" s="305" cm="1">
        <f t="array" ref="AC8">SUMPRODUCT((H_unit[Region]=P_heat[[#This Row],[Region]])*(H_unit[Type]=P_heat[[#Headers],[Heat storage ]])*IFERROR(_xlfn.NUMBERVALUE(H_unit[Heat]),0))</f>
        <v>108</v>
      </c>
      <c r="AD8" s="305" cm="1">
        <f t="array" ref="AD8">SUMPRODUCT((H_unit[Region]=P_heat[[#This Row],[Region]])*(H_unit[Type]=P_heat[[#Headers],[Large heat storage]])*IFERROR(_xlfn.NUMBERVALUE(H_unit[Heat]),0))</f>
        <v>170</v>
      </c>
      <c r="AE8" s="6">
        <f>SUM(P_heat[#This Row])</f>
        <v>3468.5</v>
      </c>
    </row>
    <row r="9" spans="1:32">
      <c r="A9" s="238" t="s">
        <v>2271</v>
      </c>
      <c r="B9" s="238" t="s">
        <v>2272</v>
      </c>
      <c r="C9" s="240" t="str" cm="1">
        <f t="array" ref="C9">" "&amp;LOWER(_xlfn.REDUCE(H_unit[[#This Row],[Company]]&amp;" "&amp;H_unit[[#This Row],[Unit]],{",",".","(",")","/"},_xlfn.LAMBDA(_xlpm.txt,_xlpm.delim,SUBSTITUTE(_xlpm.txt,_xlpm.delim," "))))&amp;" "</f>
        <v xml:space="preserve"> finnsementti oy  lappeenranta finnsementti oy </v>
      </c>
      <c r="D9" s="242">
        <v>1983</v>
      </c>
      <c r="E9" s="243" t="s">
        <v>1448</v>
      </c>
      <c r="F9" s="243"/>
      <c r="G9" s="247"/>
      <c r="H9" s="267" t="s">
        <v>2273</v>
      </c>
      <c r="I9" s="248" t="s">
        <v>1443</v>
      </c>
      <c r="J9" s="246" t="str" cm="1">
        <f t="array" ref="J9">_xlfn.XLOOKUP(TRUE,ISNUMBER(SEARCH(" "&amp;Municipality[Municipality]&amp;" ",H_unit[[#This Row],[Info string]])),Municipality[Municipality],"")</f>
        <v>Lappeenranta</v>
      </c>
      <c r="K9" s="246" t="str" cm="1">
        <f t="array" ref="K9">IF(H_unit[[#This Row],[Exact]]&lt;&gt;"","",_xlfn.XLOOKUP(TRUE,ISNUMBER(SEARCH(" "&amp;Municipality[Municipality]&amp;"n ",H_unit[[#This Row],[Info string]])),Municipality[Municipality],""))</f>
        <v/>
      </c>
      <c r="L9" s="246"/>
      <c r="M9" s="244"/>
      <c r="N9" s="246" t="str">
        <f>_xlfn.TEXTJOIN("",TRUE,H_unit[[#This Row],[Exact]],H_unit[[#This Row],[Exact+n]],H_unit[[#This Row],[Copilot]])</f>
        <v>Lappeenranta</v>
      </c>
      <c r="O9" s="246" t="str">
        <f>_xlfn.XLOOKUP(H_unit[[#This Row],[Municipality]],Municipality[Municipality],Municipality[Model],"")</f>
        <v>South East</v>
      </c>
      <c r="P9" s="236"/>
      <c r="Q9" s="115" t="s">
        <v>31</v>
      </c>
      <c r="R9" s="252" cm="1">
        <f t="array" ref="R9">SUMPRODUCT((H_unit[Region]=P_heat[[#This Row],[Region]])*(H_unit[Type]=P_heat[[#Headers],[Excluded]])*IFERROR(_xlfn.NUMBERVALUE(H_unit[Heat]),0))</f>
        <v>130.69999999999999</v>
      </c>
      <c r="S9" s="252" cm="1">
        <f t="array" ref="S9">SUMPRODUCT((H_unit[Region]=P_heat[[#This Row],[Region]])*(H_unit[Type]=P_heat[[#Headers],[Included in industry]])*IFERROR(_xlfn.NUMBERVALUE(H_unit[Heat]),0))</f>
        <v>65</v>
      </c>
      <c r="T9" s="252" cm="1">
        <f t="array" ref="T9">SUMPRODUCT((H_unit[Region]=P_heat[[#This Row],[Region]])*(H_unit[Type]=P_heat[[#Headers],[Bio CHP]])*IFERROR(_xlfn.NUMBERVALUE(H_unit[Heat]),0))</f>
        <v>130.4</v>
      </c>
      <c r="U9" s="255" cm="1">
        <f t="array" ref="U9">SUMPRODUCT((H_unit[Region]=P_heat[[#This Row],[Region]])*(H_unit[Type]=P_heat[[#Headers],[Gas CCGT CHP]])*IFERROR(_xlfn.NUMBERVALUE(H_unit[Heat]),0))</f>
        <v>13</v>
      </c>
      <c r="V9" s="252" cm="1">
        <f t="array" ref="V9">SUMPRODUCT((H_unit[Region]=P_heat[[#This Row],[Region]])*(H_unit[Type]=P_heat[[#Headers],[Waste CHP]])*IFERROR(_xlfn.NUMBERVALUE(H_unit[Heat]),0))</f>
        <v>0</v>
      </c>
      <c r="W9" s="305" cm="1">
        <f t="array" ref="W9">SUMPRODUCT((H_unit[Region]=P_heat[[#This Row],[Region]])*(H_unit[Type]=P_heat[[#Headers],[Oil HOB]])*IFERROR(_xlfn.NUMBERVALUE(H_unit[Heat]),0))</f>
        <v>226.6</v>
      </c>
      <c r="X9" s="305" cm="1">
        <f t="array" ref="X9">SUMPRODUCT((H_unit[Region]=P_heat[[#This Row],[Region]])*(H_unit[Type]=P_heat[[#Headers],[Bio HOB]])*IFERROR(_xlfn.NUMBERVALUE(H_unit[Heat]),0))</f>
        <v>240.80000000000004</v>
      </c>
      <c r="Y9" s="252" cm="1">
        <f t="array" ref="Y9">SUMPRODUCT((H_unit[Region]=P_heat[[#This Row],[Region]])*(H_unit[Type]=P_heat[[#Headers],[Electric boiler]])*IFERROR(_xlfn.NUMBERVALUE(H_unit[Heat]),0))</f>
        <v>0.3</v>
      </c>
      <c r="Z9" s="305" cm="1">
        <f t="array" ref="Z9">SUMPRODUCT((H_unit[Region]=P_heat[[#This Row],[Region]])*(H_unit[Type]=P_heat[[#Headers],[Gas HOB]])*IFERROR(_xlfn.NUMBERVALUE(H_unit[Heat]),0))</f>
        <v>149.9</v>
      </c>
      <c r="AA9" s="252" cm="1">
        <f t="array" ref="AA9">SUMPRODUCT((H_unit[Region]=P_heat[[#This Row],[Region]])*(H_unit[Type]=P_heat[[#Headers],[Ground source heat pump]])*IFERROR(_xlfn.NUMBERVALUE(H_unit[Heat]),0))</f>
        <v>3.5</v>
      </c>
      <c r="AB9" s="252" cm="1">
        <f t="array" ref="AB9">SUMPRODUCT((H_unit[Region]=P_heat[[#This Row],[Region]])*(H_unit[Type]=P_heat[[#Headers],[Waste HOB]])*IFERROR(_xlfn.NUMBERVALUE(H_unit[Heat]),0))</f>
        <v>0</v>
      </c>
      <c r="AC9" s="252" cm="1">
        <f t="array" ref="AC9">SUMPRODUCT((H_unit[Region]=P_heat[[#This Row],[Region]])*(H_unit[Type]=P_heat[[#Headers],[Heat storage ]])*IFERROR(_xlfn.NUMBERVALUE(H_unit[Heat]),0))</f>
        <v>3.5</v>
      </c>
      <c r="AD9" s="252" cm="1">
        <f t="array" ref="AD9">SUMPRODUCT((H_unit[Region]=P_heat[[#This Row],[Region]])*(H_unit[Type]=P_heat[[#Headers],[Large heat storage]])*IFERROR(_xlfn.NUMBERVALUE(H_unit[Heat]),0))</f>
        <v>0</v>
      </c>
      <c r="AE9" s="6">
        <f>SUM(P_heat[#This Row])</f>
        <v>963.7</v>
      </c>
    </row>
    <row r="10" spans="1:32">
      <c r="A10" s="238" t="s">
        <v>2392</v>
      </c>
      <c r="B10" s="238" t="s">
        <v>2393</v>
      </c>
      <c r="C10" s="240" t="str" cm="1">
        <f t="array" ref="C10">" "&amp;LOWER(_xlfn.REDUCE(H_unit[[#This Row],[Company]]&amp;" "&amp;H_unit[[#This Row],[Unit]],{",",".","(",")","/"},_xlfn.LAMBDA(_xlpm.txt,_xlpm.delim,SUBSTITUTE(_xlpm.txt,_xlpm.delim," "))))&amp;" "</f>
        <v xml:space="preserve"> stora enso oulu oy soodakattila sk7 </v>
      </c>
      <c r="D10" s="242">
        <v>1988</v>
      </c>
      <c r="E10" s="243" t="s">
        <v>1448</v>
      </c>
      <c r="F10" s="243">
        <v>77</v>
      </c>
      <c r="G10" s="247"/>
      <c r="H10" s="267" t="s">
        <v>2344</v>
      </c>
      <c r="I10" s="248" t="s">
        <v>2345</v>
      </c>
      <c r="J10" s="246" t="str" cm="1">
        <f t="array" ref="J10">_xlfn.XLOOKUP(TRUE,ISNUMBER(SEARCH(" "&amp;Municipality[Municipality]&amp;" ",H_unit[[#This Row],[Info string]])),Municipality[Municipality],"")</f>
        <v>Oulu</v>
      </c>
      <c r="K10" s="246" t="str" cm="1">
        <f t="array" ref="K10">IF(H_unit[[#This Row],[Exact]]&lt;&gt;"","",_xlfn.XLOOKUP(TRUE,ISNUMBER(SEARCH(" "&amp;Municipality[Municipality]&amp;"n ",H_unit[[#This Row],[Info string]])),Municipality[Municipality],""))</f>
        <v/>
      </c>
      <c r="L10" s="246"/>
      <c r="M10" s="244"/>
      <c r="N10" s="246" t="str">
        <f>_xlfn.TEXTJOIN("",TRUE,H_unit[[#This Row],[Exact]],H_unit[[#This Row],[Exact+n]],H_unit[[#This Row],[Copilot]])</f>
        <v>Oulu</v>
      </c>
      <c r="O10" s="246" t="str">
        <f>_xlfn.XLOOKUP(H_unit[[#This Row],[Municipality]],Municipality[Municipality],Municipality[Model],"")</f>
        <v>North</v>
      </c>
      <c r="P10" s="236"/>
      <c r="Q10" s="115" t="s">
        <v>32</v>
      </c>
      <c r="R10" s="252" cm="1">
        <f t="array" ref="R10">SUMPRODUCT((H_unit[Region]=P_heat[[#This Row],[Region]])*(H_unit[Type]=P_heat[[#Headers],[Excluded]])*IFERROR(_xlfn.NUMBERVALUE(H_unit[Heat]),0))</f>
        <v>27</v>
      </c>
      <c r="S10" s="252" cm="1">
        <f t="array" ref="S10">SUMPRODUCT((H_unit[Region]=P_heat[[#This Row],[Region]])*(H_unit[Type]=P_heat[[#Headers],[Included in industry]])*IFERROR(_xlfn.NUMBERVALUE(H_unit[Heat]),0))</f>
        <v>79.900000000000006</v>
      </c>
      <c r="T10" s="252" cm="1">
        <f t="array" ref="T10">SUMPRODUCT((H_unit[Region]=P_heat[[#This Row],[Region]])*(H_unit[Type]=P_heat[[#Headers],[Bio CHP]])*IFERROR(_xlfn.NUMBERVALUE(H_unit[Heat]),0))</f>
        <v>905.69999999999993</v>
      </c>
      <c r="U10" s="255" cm="1">
        <f t="array" ref="U10">SUMPRODUCT((H_unit[Region]=P_heat[[#This Row],[Region]])*(H_unit[Type]=P_heat[[#Headers],[Gas CCGT CHP]])*IFERROR(_xlfn.NUMBERVALUE(H_unit[Heat]),0))</f>
        <v>1.6</v>
      </c>
      <c r="V10" s="252" cm="1">
        <f t="array" ref="V10">SUMPRODUCT((H_unit[Region]=P_heat[[#This Row],[Region]])*(H_unit[Type]=P_heat[[#Headers],[Waste CHP]])*IFERROR(_xlfn.NUMBERVALUE(H_unit[Heat]),0))</f>
        <v>0</v>
      </c>
      <c r="W10" s="305" cm="1">
        <f t="array" ref="W10">SUMPRODUCT((H_unit[Region]=P_heat[[#This Row],[Region]])*(H_unit[Type]=P_heat[[#Headers],[Oil HOB]])*IFERROR(_xlfn.NUMBERVALUE(H_unit[Heat]),0))</f>
        <v>1052.4000000000001</v>
      </c>
      <c r="X10" s="305" cm="1">
        <f t="array" ref="X10">SUMPRODUCT((H_unit[Region]=P_heat[[#This Row],[Region]])*(H_unit[Type]=P_heat[[#Headers],[Bio HOB]])*IFERROR(_xlfn.NUMBERVALUE(H_unit[Heat]),0))</f>
        <v>539.30000000000018</v>
      </c>
      <c r="Y10" s="305" cm="1">
        <f t="array" ref="Y10">SUMPRODUCT((H_unit[Region]=P_heat[[#This Row],[Region]])*(H_unit[Type]=P_heat[[#Headers],[Electric boiler]])*IFERROR(_xlfn.NUMBERVALUE(H_unit[Heat]),0))</f>
        <v>195</v>
      </c>
      <c r="Z10" s="305" cm="1">
        <f t="array" ref="Z10">SUMPRODUCT((H_unit[Region]=P_heat[[#This Row],[Region]])*(H_unit[Type]=P_heat[[#Headers],[Gas HOB]])*IFERROR(_xlfn.NUMBERVALUE(H_unit[Heat]),0))</f>
        <v>105</v>
      </c>
      <c r="AA10" s="252" cm="1">
        <f t="array" ref="AA10">SUMPRODUCT((H_unit[Region]=P_heat[[#This Row],[Region]])*(H_unit[Type]=P_heat[[#Headers],[Ground source heat pump]])*IFERROR(_xlfn.NUMBERVALUE(H_unit[Heat]),0))</f>
        <v>5.9</v>
      </c>
      <c r="AB10" s="252" cm="1">
        <f t="array" ref="AB10">SUMPRODUCT((H_unit[Region]=P_heat[[#This Row],[Region]])*(H_unit[Type]=P_heat[[#Headers],[Waste HOB]])*IFERROR(_xlfn.NUMBERVALUE(H_unit[Heat]),0))</f>
        <v>0</v>
      </c>
      <c r="AC10" s="305" cm="1">
        <f t="array" ref="AC10">SUMPRODUCT((H_unit[Region]=P_heat[[#This Row],[Region]])*(H_unit[Type]=P_heat[[#Headers],[Heat storage ]])*IFERROR(_xlfn.NUMBERVALUE(H_unit[Heat]),0))</f>
        <v>155</v>
      </c>
      <c r="AD10" s="252" cm="1">
        <f t="array" ref="AD10">SUMPRODUCT((H_unit[Region]=P_heat[[#This Row],[Region]])*(H_unit[Type]=P_heat[[#Headers],[Large heat storage]])*IFERROR(_xlfn.NUMBERVALUE(H_unit[Heat]),0))</f>
        <v>0</v>
      </c>
      <c r="AE10" s="6">
        <f>SUM(P_heat[#This Row])</f>
        <v>3066.8</v>
      </c>
    </row>
    <row r="11" spans="1:32">
      <c r="A11" s="238" t="s">
        <v>1445</v>
      </c>
      <c r="B11" s="238" t="s">
        <v>1447</v>
      </c>
      <c r="C11" s="240" t="str" cm="1">
        <f t="array" ref="C11">" "&amp;LOWER(_xlfn.REDUCE(H_unit[[#This Row],[Company]]&amp;" "&amp;H_unit[[#This Row],[Unit]],{",",".","(",")","/"},_xlfn.LAMBDA(_xlpm.txt,_xlpm.delim,SUBSTITUTE(_xlpm.txt,_xlpm.delim," "))))&amp;" "</f>
        <v xml:space="preserve"> adven oy  levi savukaasupesuri </v>
      </c>
      <c r="D11" s="242">
        <v>2013</v>
      </c>
      <c r="E11" s="243" t="s">
        <v>1448</v>
      </c>
      <c r="F11" s="243"/>
      <c r="G11" s="247"/>
      <c r="H11" s="267" t="s">
        <v>1417</v>
      </c>
      <c r="I11" s="248"/>
      <c r="J11" s="246" t="str" cm="1">
        <f t="array" ref="J11">_xlfn.XLOOKUP(TRUE,ISNUMBER(SEARCH(" "&amp;Municipality[Municipality]&amp;" ",H_unit[[#This Row],[Info string]])),Municipality[Municipality],"")</f>
        <v/>
      </c>
      <c r="K11" s="246" t="str" cm="1">
        <f t="array" ref="K11">IF(H_unit[[#This Row],[Exact]]&lt;&gt;"","",_xlfn.XLOOKUP(TRUE,ISNUMBER(SEARCH(" "&amp;Municipality[Municipality]&amp;"n ",H_unit[[#This Row],[Info string]])),Municipality[Municipality],""))</f>
        <v/>
      </c>
      <c r="L11" s="246" t="s">
        <v>2596</v>
      </c>
      <c r="M11" s="244" t="s">
        <v>2889</v>
      </c>
      <c r="N11" s="246" t="str">
        <f>_xlfn.TEXTJOIN("",TRUE,H_unit[[#This Row],[Exact]],H_unit[[#This Row],[Exact+n]],H_unit[[#This Row],[Copilot]])</f>
        <v>Kittilä</v>
      </c>
      <c r="O11" s="246" t="str">
        <f>_xlfn.XLOOKUP(H_unit[[#This Row],[Municipality]],Municipality[Municipality],Municipality[Model],"")</f>
        <v>North</v>
      </c>
      <c r="P11" s="236"/>
      <c r="Q11" s="115" t="s">
        <v>33</v>
      </c>
      <c r="R11" s="252" cm="1">
        <f t="array" ref="R11">SUMPRODUCT((H_unit[Region]=P_heat[[#This Row],[Region]])*(H_unit[Type]=P_heat[[#Headers],[Excluded]])*IFERROR(_xlfn.NUMBERVALUE(H_unit[Heat]),0))</f>
        <v>96.5</v>
      </c>
      <c r="S11" s="252" cm="1">
        <f t="array" ref="S11">SUMPRODUCT((H_unit[Region]=P_heat[[#This Row],[Region]])*(H_unit[Type]=P_heat[[#Headers],[Included in industry]])*IFERROR(_xlfn.NUMBERVALUE(H_unit[Heat]),0))</f>
        <v>0</v>
      </c>
      <c r="T11" s="252" cm="1">
        <f t="array" ref="T11">SUMPRODUCT((H_unit[Region]=P_heat[[#This Row],[Region]])*(H_unit[Type]=P_heat[[#Headers],[Bio CHP]])*IFERROR(_xlfn.NUMBERVALUE(H_unit[Heat]),0))</f>
        <v>179</v>
      </c>
      <c r="U11" s="255" cm="1">
        <f t="array" ref="U11">SUMPRODUCT((H_unit[Region]=P_heat[[#This Row],[Region]])*(H_unit[Type]=P_heat[[#Headers],[Gas CCGT CHP]])*IFERROR(_xlfn.NUMBERVALUE(H_unit[Heat]),0))</f>
        <v>65</v>
      </c>
      <c r="V11" s="252" cm="1">
        <f t="array" ref="V11">SUMPRODUCT((H_unit[Region]=P_heat[[#This Row],[Region]])*(H_unit[Type]=P_heat[[#Headers],[Waste CHP]])*IFERROR(_xlfn.NUMBERVALUE(H_unit[Heat]),0))</f>
        <v>143</v>
      </c>
      <c r="W11" s="305" cm="1">
        <f t="array" ref="W11">SUMPRODUCT((H_unit[Region]=P_heat[[#This Row],[Region]])*(H_unit[Type]=P_heat[[#Headers],[Oil HOB]])*IFERROR(_xlfn.NUMBERVALUE(H_unit[Heat]),0))</f>
        <v>475.8</v>
      </c>
      <c r="X11" s="305" cm="1">
        <f t="array" ref="X11">SUMPRODUCT((H_unit[Region]=P_heat[[#This Row],[Region]])*(H_unit[Type]=P_heat[[#Headers],[Bio HOB]])*IFERROR(_xlfn.NUMBERVALUE(H_unit[Heat]),0))</f>
        <v>278.39999999999998</v>
      </c>
      <c r="Y11" s="305" cm="1">
        <f t="array" ref="Y11">SUMPRODUCT((H_unit[Region]=P_heat[[#This Row],[Region]])*(H_unit[Type]=P_heat[[#Headers],[Electric boiler]])*IFERROR(_xlfn.NUMBERVALUE(H_unit[Heat]),0))</f>
        <v>42.6</v>
      </c>
      <c r="Z11" s="305" cm="1">
        <f t="array" ref="Z11">SUMPRODUCT((H_unit[Region]=P_heat[[#This Row],[Region]])*(H_unit[Type]=P_heat[[#Headers],[Gas HOB]])*IFERROR(_xlfn.NUMBERVALUE(H_unit[Heat]),0))</f>
        <v>169.3</v>
      </c>
      <c r="AA11" s="305" cm="1">
        <f t="array" ref="AA11">SUMPRODUCT((H_unit[Region]=P_heat[[#This Row],[Region]])*(H_unit[Type]=P_heat[[#Headers],[Ground source heat pump]])*IFERROR(_xlfn.NUMBERVALUE(H_unit[Heat]),0))</f>
        <v>18.600000000000001</v>
      </c>
      <c r="AB11" s="252" cm="1">
        <f t="array" ref="AB11">SUMPRODUCT((H_unit[Region]=P_heat[[#This Row],[Region]])*(H_unit[Type]=P_heat[[#Headers],[Waste HOB]])*IFERROR(_xlfn.NUMBERVALUE(H_unit[Heat]),0))</f>
        <v>0</v>
      </c>
      <c r="AC11" s="305" cm="1">
        <f t="array" ref="AC11">SUMPRODUCT((H_unit[Region]=P_heat[[#This Row],[Region]])*(H_unit[Type]=P_heat[[#Headers],[Heat storage ]])*IFERROR(_xlfn.NUMBERVALUE(H_unit[Heat]),0))</f>
        <v>58</v>
      </c>
      <c r="AD11" s="252" cm="1">
        <f t="array" ref="AD11">SUMPRODUCT((H_unit[Region]=P_heat[[#This Row],[Region]])*(H_unit[Type]=P_heat[[#Headers],[Large heat storage]])*IFERROR(_xlfn.NUMBERVALUE(H_unit[Heat]),0))</f>
        <v>0</v>
      </c>
      <c r="AE11" s="6">
        <f>SUM(P_heat[#This Row])</f>
        <v>1526.1999999999996</v>
      </c>
    </row>
    <row r="12" spans="1:32">
      <c r="A12" s="238" t="s">
        <v>2211</v>
      </c>
      <c r="B12" s="238" t="s">
        <v>2214</v>
      </c>
      <c r="C12" s="240" t="str" cm="1">
        <f t="array" ref="C12">" "&amp;LOWER(_xlfn.REDUCE(H_unit[[#This Row],[Company]]&amp;" "&amp;H_unit[[#This Row],[Unit]],{",",".","(",")","/"},_xlfn.LAMBDA(_xlpm.txt,_xlpm.delim,SUBSTITUTE(_xlpm.txt,_xlpm.delim," "))))&amp;" "</f>
        <v xml:space="preserve"> vantaan energia keski-uusimaa oy  järvenpää järvenpään voimalaitos </v>
      </c>
      <c r="D12" s="242">
        <v>2013</v>
      </c>
      <c r="E12" s="243" t="s">
        <v>1448</v>
      </c>
      <c r="F12" s="243">
        <v>22</v>
      </c>
      <c r="G12" s="247"/>
      <c r="H12" s="267" t="s">
        <v>1423</v>
      </c>
      <c r="I12" s="248" t="s">
        <v>1153</v>
      </c>
      <c r="J12" s="246" t="str" cm="1">
        <f t="array" ref="J12">_xlfn.XLOOKUP(TRUE,ISNUMBER(SEARCH(" "&amp;Municipality[Municipality]&amp;" ",H_unit[[#This Row],[Info string]])),Municipality[Municipality],"")</f>
        <v>Järvenpää</v>
      </c>
      <c r="K12" s="246" t="str" cm="1">
        <f t="array" ref="K12">IF(H_unit[[#This Row],[Exact]]&lt;&gt;"","",_xlfn.XLOOKUP(TRUE,ISNUMBER(SEARCH(" "&amp;Municipality[Municipality]&amp;"n ",H_unit[[#This Row],[Info string]])),Municipality[Municipality],""))</f>
        <v/>
      </c>
      <c r="L12" s="246"/>
      <c r="M12" s="244"/>
      <c r="N12" s="246" t="str">
        <f>_xlfn.TEXTJOIN("",TRUE,H_unit[[#This Row],[Exact]],H_unit[[#This Row],[Exact+n]],H_unit[[#This Row],[Copilot]])</f>
        <v>Järvenpää</v>
      </c>
      <c r="O12" s="246" t="str">
        <f>_xlfn.XLOOKUP(H_unit[[#This Row],[Municipality]],Municipality[Municipality],Municipality[Model],"")</f>
        <v>Uusimaa</v>
      </c>
      <c r="P12" s="236"/>
      <c r="Q12" s="115" t="s">
        <v>34</v>
      </c>
      <c r="R12" s="252" cm="1">
        <f t="array" ref="R12">SUMPRODUCT((H_unit[Region]=P_heat[[#This Row],[Region]])*(H_unit[Type]=P_heat[[#Headers],[Excluded]])*IFERROR(_xlfn.NUMBERVALUE(H_unit[Heat]),0))</f>
        <v>17</v>
      </c>
      <c r="S12" s="252" cm="1">
        <f t="array" ref="S12">SUMPRODUCT((H_unit[Region]=P_heat[[#This Row],[Region]])*(H_unit[Type]=P_heat[[#Headers],[Included in industry]])*IFERROR(_xlfn.NUMBERVALUE(H_unit[Heat]),0))</f>
        <v>5</v>
      </c>
      <c r="T12" s="252" cm="1">
        <f t="array" ref="T12">SUMPRODUCT((H_unit[Region]=P_heat[[#This Row],[Region]])*(H_unit[Type]=P_heat[[#Headers],[Bio CHP]])*IFERROR(_xlfn.NUMBERVALUE(H_unit[Heat]),0))</f>
        <v>375</v>
      </c>
      <c r="U12" s="255" cm="1">
        <f t="array" ref="U12">SUMPRODUCT((H_unit[Region]=P_heat[[#This Row],[Region]])*(H_unit[Type]=P_heat[[#Headers],[Gas CCGT CHP]])*IFERROR(_xlfn.NUMBERVALUE(H_unit[Heat]),0))</f>
        <v>254</v>
      </c>
      <c r="V12" s="252" cm="1">
        <f t="array" ref="V12">SUMPRODUCT((H_unit[Region]=P_heat[[#This Row],[Region]])*(H_unit[Type]=P_heat[[#Headers],[Waste CHP]])*IFERROR(_xlfn.NUMBERVALUE(H_unit[Heat]),0))</f>
        <v>112</v>
      </c>
      <c r="W12" s="305" cm="1">
        <f t="array" ref="W12">SUMPRODUCT((H_unit[Region]=P_heat[[#This Row],[Region]])*(H_unit[Type]=P_heat[[#Headers],[Oil HOB]])*IFERROR(_xlfn.NUMBERVALUE(H_unit[Heat]),0))</f>
        <v>215.70000000000002</v>
      </c>
      <c r="X12" s="305" cm="1">
        <f t="array" ref="X12">SUMPRODUCT((H_unit[Region]=P_heat[[#This Row],[Region]])*(H_unit[Type]=P_heat[[#Headers],[Bio HOB]])*IFERROR(_xlfn.NUMBERVALUE(H_unit[Heat]),0))</f>
        <v>164.20000000000002</v>
      </c>
      <c r="Y12" s="305" cm="1">
        <f t="array" ref="Y12">SUMPRODUCT((H_unit[Region]=P_heat[[#This Row],[Region]])*(H_unit[Type]=P_heat[[#Headers],[Electric boiler]])*IFERROR(_xlfn.NUMBERVALUE(H_unit[Heat]),0))</f>
        <v>160</v>
      </c>
      <c r="Z12" s="305" cm="1">
        <f t="array" ref="Z12">SUMPRODUCT((H_unit[Region]=P_heat[[#This Row],[Region]])*(H_unit[Type]=P_heat[[#Headers],[Gas HOB]])*IFERROR(_xlfn.NUMBERVALUE(H_unit[Heat]),0))</f>
        <v>914.79999999999984</v>
      </c>
      <c r="AA12" s="305" cm="1">
        <f t="array" ref="AA12">SUMPRODUCT((H_unit[Region]=P_heat[[#This Row],[Region]])*(H_unit[Type]=P_heat[[#Headers],[Ground source heat pump]])*IFERROR(_xlfn.NUMBERVALUE(H_unit[Heat]),0))</f>
        <v>64.8</v>
      </c>
      <c r="AB12" s="252" cm="1">
        <f t="array" ref="AB12">SUMPRODUCT((H_unit[Region]=P_heat[[#This Row],[Region]])*(H_unit[Type]=P_heat[[#Headers],[Waste HOB]])*IFERROR(_xlfn.NUMBERVALUE(H_unit[Heat]),0))</f>
        <v>0</v>
      </c>
      <c r="AC12" s="305" cm="1">
        <f t="array" ref="AC12">SUMPRODUCT((H_unit[Region]=P_heat[[#This Row],[Region]])*(H_unit[Type]=P_heat[[#Headers],[Heat storage ]])*IFERROR(_xlfn.NUMBERVALUE(H_unit[Heat]),0))</f>
        <v>190</v>
      </c>
      <c r="AD12" s="252" cm="1">
        <f t="array" ref="AD12">SUMPRODUCT((H_unit[Region]=P_heat[[#This Row],[Region]])*(H_unit[Type]=P_heat[[#Headers],[Large heat storage]])*IFERROR(_xlfn.NUMBERVALUE(H_unit[Heat]),0))</f>
        <v>0</v>
      </c>
      <c r="AE12" s="6">
        <f>SUM(P_heat[#This Row])</f>
        <v>2472.5</v>
      </c>
    </row>
    <row r="13" spans="1:32">
      <c r="A13" s="238" t="s">
        <v>2401</v>
      </c>
      <c r="B13" s="238" t="s">
        <v>2403</v>
      </c>
      <c r="C13" s="240" t="str" cm="1">
        <f t="array" ref="C13">" "&amp;LOWER(_xlfn.REDUCE(H_unit[[#This Row],[Company]]&amp;" "&amp;H_unit[[#This Row],[Unit]],{",",".","(",")","/"},_xlfn.LAMBDA(_xlpm.txt,_xlpm.delim,SUBSTITUTE(_xlpm.txt,_xlpm.delim," "))))&amp;" "</f>
        <v xml:space="preserve"> suomen teollisuuden energiapalvelut oy  harjavalta boliden harjavalta oyn lämmönsiirtimet </v>
      </c>
      <c r="D13" s="242">
        <v>2018</v>
      </c>
      <c r="E13" s="243" t="s">
        <v>1448</v>
      </c>
      <c r="F13" s="243"/>
      <c r="G13" s="247"/>
      <c r="H13" s="267" t="s">
        <v>1473</v>
      </c>
      <c r="I13" s="248" t="s">
        <v>1443</v>
      </c>
      <c r="J13" s="246" t="str" cm="1">
        <f t="array" ref="J13">_xlfn.XLOOKUP(TRUE,ISNUMBER(SEARCH(" "&amp;Municipality[Municipality]&amp;" ",H_unit[[#This Row],[Info string]])),Municipality[Municipality],"")</f>
        <v>Harjavalta</v>
      </c>
      <c r="K13" s="246" t="str" cm="1">
        <f t="array" ref="K13">IF(H_unit[[#This Row],[Exact]]&lt;&gt;"","",_xlfn.XLOOKUP(TRUE,ISNUMBER(SEARCH(" "&amp;Municipality[Municipality]&amp;"n ",H_unit[[#This Row],[Info string]])),Municipality[Municipality],""))</f>
        <v/>
      </c>
      <c r="L13" s="246"/>
      <c r="M13" s="244"/>
      <c r="N13" s="246" t="str">
        <f>_xlfn.TEXTJOIN("",TRUE,H_unit[[#This Row],[Exact]],H_unit[[#This Row],[Exact+n]],H_unit[[#This Row],[Copilot]])</f>
        <v>Harjavalta</v>
      </c>
      <c r="O13" s="246" t="str">
        <f>_xlfn.XLOOKUP(H_unit[[#This Row],[Municipality]],Municipality[Municipality],Municipality[Model],"")</f>
        <v>West</v>
      </c>
      <c r="P13" s="236"/>
      <c r="Q13" s="115" t="s">
        <v>3</v>
      </c>
      <c r="R13" s="252" cm="1">
        <f t="array" ref="R13">SUMPRODUCT((H_unit[Region]=P_heat[[#This Row],[Region]])*(H_unit[Type]=P_heat[[#Headers],[Excluded]])*IFERROR(_xlfn.NUMBERVALUE(H_unit[Heat]),0))</f>
        <v>3.5</v>
      </c>
      <c r="S13" s="252" cm="1">
        <f t="array" ref="S13">SUMPRODUCT((H_unit[Region]=P_heat[[#This Row],[Region]])*(H_unit[Type]=P_heat[[#Headers],[Included in industry]])*IFERROR(_xlfn.NUMBERVALUE(H_unit[Heat]),0))</f>
        <v>0</v>
      </c>
      <c r="T13" s="252" cm="1">
        <f t="array" ref="T13">SUMPRODUCT((H_unit[Region]=P_heat[[#This Row],[Region]])*(H_unit[Type]=P_heat[[#Headers],[Bio CHP]])*IFERROR(_xlfn.NUMBERVALUE(H_unit[Heat]),0))</f>
        <v>157.19999999999999</v>
      </c>
      <c r="U13" s="255" cm="1">
        <f t="array" ref="U13">SUMPRODUCT((H_unit[Region]=P_heat[[#This Row],[Region]])*(H_unit[Type]=P_heat[[#Headers],[Gas CCGT CHP]])*IFERROR(_xlfn.NUMBERVALUE(H_unit[Heat]),0))</f>
        <v>23</v>
      </c>
      <c r="V13" s="252" cm="1">
        <f t="array" ref="V13">SUMPRODUCT((H_unit[Region]=P_heat[[#This Row],[Region]])*(H_unit[Type]=P_heat[[#Headers],[Waste CHP]])*IFERROR(_xlfn.NUMBERVALUE(H_unit[Heat]),0))</f>
        <v>0</v>
      </c>
      <c r="W13" s="305" cm="1">
        <f t="array" ref="W13">SUMPRODUCT((H_unit[Region]=P_heat[[#This Row],[Region]])*(H_unit[Type]=P_heat[[#Headers],[Oil HOB]])*IFERROR(_xlfn.NUMBERVALUE(H_unit[Heat]),0))</f>
        <v>284.29999999999995</v>
      </c>
      <c r="X13" s="305" cm="1">
        <f t="array" ref="X13">SUMPRODUCT((H_unit[Region]=P_heat[[#This Row],[Region]])*(H_unit[Type]=P_heat[[#Headers],[Bio HOB]])*IFERROR(_xlfn.NUMBERVALUE(H_unit[Heat]),0))</f>
        <v>249.4</v>
      </c>
      <c r="Y13" s="305" cm="1">
        <f t="array" ref="Y13">SUMPRODUCT((H_unit[Region]=P_heat[[#This Row],[Region]])*(H_unit[Type]=P_heat[[#Headers],[Electric boiler]])*IFERROR(_xlfn.NUMBERVALUE(H_unit[Heat]),0))</f>
        <v>40</v>
      </c>
      <c r="Z13" s="305" cm="1">
        <f t="array" ref="Z13">SUMPRODUCT((H_unit[Region]=P_heat[[#This Row],[Region]])*(H_unit[Type]=P_heat[[#Headers],[Gas HOB]])*IFERROR(_xlfn.NUMBERVALUE(H_unit[Heat]),0))</f>
        <v>509.99999999999994</v>
      </c>
      <c r="AA13" s="305" cm="1">
        <f t="array" ref="AA13">SUMPRODUCT((H_unit[Region]=P_heat[[#This Row],[Region]])*(H_unit[Type]=P_heat[[#Headers],[Ground source heat pump]])*IFERROR(_xlfn.NUMBERVALUE(H_unit[Heat]),0))</f>
        <v>14.100000000000001</v>
      </c>
      <c r="AB13" s="252" cm="1">
        <f t="array" ref="AB13">SUMPRODUCT((H_unit[Region]=P_heat[[#This Row],[Region]])*(H_unit[Type]=P_heat[[#Headers],[Waste HOB]])*IFERROR(_xlfn.NUMBERVALUE(H_unit[Heat]),0))</f>
        <v>0</v>
      </c>
      <c r="AC13" s="305" cm="1">
        <f t="array" ref="AC13">SUMPRODUCT((H_unit[Region]=P_heat[[#This Row],[Region]])*(H_unit[Type]=P_heat[[#Headers],[Heat storage ]])*IFERROR(_xlfn.NUMBERVALUE(H_unit[Heat]),0))</f>
        <v>50</v>
      </c>
      <c r="AD13" s="252" cm="1">
        <f t="array" ref="AD13">SUMPRODUCT((H_unit[Region]=P_heat[[#This Row],[Region]])*(H_unit[Type]=P_heat[[#Headers],[Large heat storage]])*IFERROR(_xlfn.NUMBERVALUE(H_unit[Heat]),0))</f>
        <v>0</v>
      </c>
      <c r="AE13" s="6">
        <f>SUM(P_heat[#This Row])</f>
        <v>1331.4999999999998</v>
      </c>
    </row>
    <row r="14" spans="1:32">
      <c r="A14" s="238" t="s">
        <v>1455</v>
      </c>
      <c r="B14" s="238" t="s">
        <v>1460</v>
      </c>
      <c r="C14" s="240" t="str" cm="1">
        <f t="array" ref="C14">" "&amp;LOWER(_xlfn.REDUCE(H_unit[[#This Row],[Company]]&amp;" "&amp;H_unit[[#This Row],[Unit]],{",",".","(",")","/"},_xlfn.LAMBDA(_xlpm.txt,_xlpm.delim,SUBSTITUTE(_xlpm.txt,_xlpm.delim," "))))&amp;" "</f>
        <v xml:space="preserve"> adven oy  nummela nummela </v>
      </c>
      <c r="D14" s="242" t="s">
        <v>1448</v>
      </c>
      <c r="E14" s="243" t="s">
        <v>1448</v>
      </c>
      <c r="F14" s="243"/>
      <c r="G14" s="247"/>
      <c r="H14" s="267" t="s">
        <v>1417</v>
      </c>
      <c r="I14" s="248"/>
      <c r="J14" s="246" t="str" cm="1">
        <f t="array" ref="J14">_xlfn.XLOOKUP(TRUE,ISNUMBER(SEARCH(" "&amp;Municipality[Municipality]&amp;" ",H_unit[[#This Row],[Info string]])),Municipality[Municipality],"")</f>
        <v/>
      </c>
      <c r="K14" s="246" t="str" cm="1">
        <f t="array" ref="K14">IF(H_unit[[#This Row],[Exact]]&lt;&gt;"","",_xlfn.XLOOKUP(TRUE,ISNUMBER(SEARCH(" "&amp;Municipality[Municipality]&amp;"n ",H_unit[[#This Row],[Info string]])),Municipality[Municipality],""))</f>
        <v/>
      </c>
      <c r="L14" s="246" t="s">
        <v>2832</v>
      </c>
      <c r="M14" s="244" t="s">
        <v>2890</v>
      </c>
      <c r="N14" s="246" t="str">
        <f>_xlfn.TEXTJOIN("",TRUE,H_unit[[#This Row],[Exact]],H_unit[[#This Row],[Exact+n]],H_unit[[#This Row],[Copilot]])</f>
        <v>Vihti</v>
      </c>
      <c r="O14" s="246" t="str">
        <f>_xlfn.XLOOKUP(H_unit[[#This Row],[Municipality]],Municipality[Municipality],Municipality[Model],"")</f>
        <v>Uusimaa</v>
      </c>
      <c r="P14" s="236"/>
      <c r="R14" s="6">
        <f>SUM(P_heat[Excluded])</f>
        <v>442.3</v>
      </c>
      <c r="S14" s="6">
        <f>SUM(P_heat[Included in industry])</f>
        <v>769.9</v>
      </c>
      <c r="T14" s="6">
        <f>SUM(P_heat[Bio CHP])</f>
        <v>3099.2999999999997</v>
      </c>
      <c r="U14" s="6">
        <f>SUM(P_heat[Gas CCGT CHP])</f>
        <v>356.6</v>
      </c>
      <c r="V14" s="6">
        <f>SUM(P_heat[Waste CHP])</f>
        <v>307</v>
      </c>
      <c r="W14" s="6">
        <f>SUM(P_heat[Oil HOB])</f>
        <v>3493.5</v>
      </c>
      <c r="X14" s="6">
        <f>SUM(P_heat[Bio HOB])</f>
        <v>2636.7</v>
      </c>
      <c r="Y14" s="6">
        <f>SUM(P_heat[Electric boiler])</f>
        <v>1042.9000000000001</v>
      </c>
      <c r="Z14" s="6">
        <f>SUM(P_heat[Gas HOB])</f>
        <v>1850</v>
      </c>
      <c r="AA14" s="6">
        <f>SUM(P_heat[Ground source heat pump])</f>
        <v>146.79999999999998</v>
      </c>
      <c r="AB14" s="6">
        <f>SUM(P_heat[Waste HOB])</f>
        <v>10</v>
      </c>
      <c r="AC14" s="6">
        <f>SUM(P_heat[[Heat storage ]])</f>
        <v>625.5</v>
      </c>
      <c r="AD14" s="6">
        <f>SUM(P_heat[Large heat storage])</f>
        <v>170</v>
      </c>
      <c r="AE14" s="6">
        <f>SUM(R14:AD14)</f>
        <v>14950.499999999998</v>
      </c>
    </row>
    <row r="15" spans="1:32">
      <c r="A15" s="238" t="s">
        <v>1472</v>
      </c>
      <c r="B15" s="238" t="s">
        <v>999</v>
      </c>
      <c r="C15" s="240" t="str" cm="1">
        <f t="array" ref="C15">" "&amp;LOWER(_xlfn.REDUCE(H_unit[[#This Row],[Company]]&amp;" "&amp;H_unit[[#This Row],[Unit]],{",",".","(",")","/"},_xlfn.LAMBDA(_xlpm.txt,_xlpm.delim,SUBSTITUTE(_xlpm.txt,_xlpm.delim," "))))&amp;" "</f>
        <v xml:space="preserve"> adven oy  siilinjärvi siilinjärvi </v>
      </c>
      <c r="D15" s="242" t="s">
        <v>1448</v>
      </c>
      <c r="E15" s="243" t="s">
        <v>1448</v>
      </c>
      <c r="F15" s="243"/>
      <c r="G15" s="247"/>
      <c r="H15" s="267" t="s">
        <v>1473</v>
      </c>
      <c r="I15" s="248"/>
      <c r="J15" s="246" t="str" cm="1">
        <f t="array" ref="J15">_xlfn.XLOOKUP(TRUE,ISNUMBER(SEARCH(" "&amp;Municipality[Municipality]&amp;" ",H_unit[[#This Row],[Info string]])),Municipality[Municipality],"")</f>
        <v>Siilinjärvi</v>
      </c>
      <c r="K15" s="246" t="str" cm="1">
        <f t="array" ref="K15">IF(H_unit[[#This Row],[Exact]]&lt;&gt;"","",_xlfn.XLOOKUP(TRUE,ISNUMBER(SEARCH(" "&amp;Municipality[Municipality]&amp;"n ",H_unit[[#This Row],[Info string]])),Municipality[Municipality],""))</f>
        <v/>
      </c>
      <c r="L15" s="246"/>
      <c r="M15" s="244"/>
      <c r="N15" s="246" t="str">
        <f>_xlfn.TEXTJOIN("",TRUE,H_unit[[#This Row],[Exact]],H_unit[[#This Row],[Exact+n]],H_unit[[#This Row],[Copilot]])</f>
        <v>Siilinjärvi</v>
      </c>
      <c r="O15" s="246" t="str">
        <f>_xlfn.XLOOKUP(H_unit[[#This Row],[Municipality]],Municipality[Municipality],Municipality[Model],"")</f>
        <v>East</v>
      </c>
      <c r="P15" s="236"/>
    </row>
    <row r="16" spans="1:32">
      <c r="A16" s="238" t="s">
        <v>1919</v>
      </c>
      <c r="B16" s="238" t="s">
        <v>1448</v>
      </c>
      <c r="C16" s="240" t="str" cm="1">
        <f t="array" ref="C16">" "&amp;LOWER(_xlfn.REDUCE(H_unit[[#This Row],[Company]]&amp;" "&amp;H_unit[[#This Row],[Unit]],{",",".","(",")","/"},_xlfn.LAMBDA(_xlpm.txt,_xlpm.delim,SUBSTITUTE(_xlpm.txt,_xlpm.delim," "))))&amp;" "</f>
        <v xml:space="preserve"> nevel oy  kemi    </v>
      </c>
      <c r="D16" s="242" t="s">
        <v>1448</v>
      </c>
      <c r="E16" s="243" t="s">
        <v>1448</v>
      </c>
      <c r="F16" s="243"/>
      <c r="G16" s="247"/>
      <c r="H16" s="267" t="s">
        <v>1448</v>
      </c>
      <c r="I16" s="248" t="s">
        <v>1443</v>
      </c>
      <c r="J16" s="246" t="str" cm="1">
        <f t="array" ref="J16">_xlfn.XLOOKUP(TRUE,ISNUMBER(SEARCH(" "&amp;Municipality[Municipality]&amp;" ",H_unit[[#This Row],[Info string]])),Municipality[Municipality],"")</f>
        <v>Kemi</v>
      </c>
      <c r="K16" s="246" t="str" cm="1">
        <f t="array" ref="K16">IF(H_unit[[#This Row],[Exact]]&lt;&gt;"","",_xlfn.XLOOKUP(TRUE,ISNUMBER(SEARCH(" "&amp;Municipality[Municipality]&amp;"n ",H_unit[[#This Row],[Info string]])),Municipality[Municipality],""))</f>
        <v/>
      </c>
      <c r="L16" s="246"/>
      <c r="M16" s="244"/>
      <c r="N16" s="246" t="str">
        <f>_xlfn.TEXTJOIN("",TRUE,H_unit[[#This Row],[Exact]],H_unit[[#This Row],[Exact+n]],H_unit[[#This Row],[Copilot]])</f>
        <v>Kemi</v>
      </c>
      <c r="O16" s="246" t="str">
        <f>_xlfn.XLOOKUP(H_unit[[#This Row],[Municipality]],Municipality[Municipality],Municipality[Model],"")</f>
        <v>North</v>
      </c>
      <c r="P16" s="236"/>
      <c r="Q16" s="250" t="s">
        <v>1191</v>
      </c>
      <c r="R16" s="45"/>
      <c r="S16" s="45"/>
      <c r="T16" s="45"/>
      <c r="U16" s="45"/>
      <c r="V16" s="45"/>
      <c r="Y16" s="45" t="s">
        <v>2943</v>
      </c>
      <c r="Z16" s="45"/>
      <c r="AA16" s="45"/>
    </row>
    <row r="17" spans="1:32">
      <c r="A17" s="238" t="s">
        <v>2044</v>
      </c>
      <c r="B17" s="238" t="s">
        <v>2052</v>
      </c>
      <c r="C17" s="240" t="str" cm="1">
        <f t="array" ref="C17">" "&amp;LOWER(_xlfn.REDUCE(H_unit[[#This Row],[Company]]&amp;" "&amp;H_unit[[#This Row],[Unit]],{",",".","(",")","/"},_xlfn.LAMBDA(_xlpm.txt,_xlpm.delim,SUBSTITUTE(_xlpm.txt,_xlpm.delim," "))))&amp;" "</f>
        <v xml:space="preserve"> pori energia oy  pori aurubis lämmönsiirtimet </v>
      </c>
      <c r="D17" s="242" t="s">
        <v>1448</v>
      </c>
      <c r="E17" s="243" t="s">
        <v>1448</v>
      </c>
      <c r="F17" s="243"/>
      <c r="G17" s="247"/>
      <c r="H17" s="267" t="s">
        <v>1473</v>
      </c>
      <c r="I17" s="248" t="s">
        <v>1443</v>
      </c>
      <c r="J17" s="246" t="str" cm="1">
        <f t="array" ref="J17">_xlfn.XLOOKUP(TRUE,ISNUMBER(SEARCH(" "&amp;Municipality[Municipality]&amp;" ",H_unit[[#This Row],[Info string]])),Municipality[Municipality],"")</f>
        <v>Pori</v>
      </c>
      <c r="K17" s="246" t="str" cm="1">
        <f t="array" ref="K17">IF(H_unit[[#This Row],[Exact]]&lt;&gt;"","",_xlfn.XLOOKUP(TRUE,ISNUMBER(SEARCH(" "&amp;Municipality[Municipality]&amp;"n ",H_unit[[#This Row],[Info string]])),Municipality[Municipality],""))</f>
        <v/>
      </c>
      <c r="L17" s="246"/>
      <c r="M17" s="244"/>
      <c r="N17" s="246" t="str">
        <f>_xlfn.TEXTJOIN("",TRUE,H_unit[[#This Row],[Exact]],H_unit[[#This Row],[Exact+n]],H_unit[[#This Row],[Copilot]])</f>
        <v>Pori</v>
      </c>
      <c r="O17" s="246" t="str">
        <f>_xlfn.XLOOKUP(H_unit[[#This Row],[Municipality]],Municipality[Municipality],Municipality[Model],"")</f>
        <v>West</v>
      </c>
      <c r="P17" s="236"/>
      <c r="Q17" s="235" t="s">
        <v>24</v>
      </c>
      <c r="R17" s="251" t="s">
        <v>1443</v>
      </c>
      <c r="S17" s="235" t="s">
        <v>1153</v>
      </c>
      <c r="T17" s="235" t="s">
        <v>1145</v>
      </c>
      <c r="U17" s="235" t="s">
        <v>1154</v>
      </c>
      <c r="V17" s="235" t="s">
        <v>2345</v>
      </c>
      <c r="W17" s="1" t="s">
        <v>3000</v>
      </c>
      <c r="Y17" s="253" t="s">
        <v>24</v>
      </c>
      <c r="Z17" s="253" t="s">
        <v>2932</v>
      </c>
      <c r="AA17" s="253" t="s">
        <v>2933</v>
      </c>
      <c r="AB17" s="1" t="s">
        <v>3000</v>
      </c>
    </row>
    <row r="18" spans="1:32">
      <c r="A18" s="238" t="s">
        <v>2270</v>
      </c>
      <c r="B18" s="238" t="s">
        <v>2270</v>
      </c>
      <c r="C18" s="240" t="str" cm="1">
        <f t="array" ref="C18">" "&amp;LOWER(_xlfn.REDUCE(H_unit[[#This Row],[Company]]&amp;" "&amp;H_unit[[#This Row],[Unit]],{",",".","(",")","/"},_xlfn.LAMBDA(_xlpm.txt,_xlpm.delim,SUBSTITUTE(_xlpm.txt,_xlpm.delim," "))))&amp;" "</f>
        <v xml:space="preserve"> biolinja oy uusikaupunki biolinja oy uusikaupunki </v>
      </c>
      <c r="D18" s="242" t="s">
        <v>1448</v>
      </c>
      <c r="E18" s="243" t="s">
        <v>1448</v>
      </c>
      <c r="F18" s="243"/>
      <c r="G18" s="247"/>
      <c r="H18" s="267" t="s">
        <v>1529</v>
      </c>
      <c r="I18" s="248" t="s">
        <v>1443</v>
      </c>
      <c r="J18" s="246" t="str" cm="1">
        <f t="array" ref="J18">_xlfn.XLOOKUP(TRUE,ISNUMBER(SEARCH(" "&amp;Municipality[Municipality]&amp;" ",H_unit[[#This Row],[Info string]])),Municipality[Municipality],"")</f>
        <v>Uusikaupunki</v>
      </c>
      <c r="K18" s="246" t="str" cm="1">
        <f t="array" ref="K18">IF(H_unit[[#This Row],[Exact]]&lt;&gt;"","",_xlfn.XLOOKUP(TRUE,ISNUMBER(SEARCH(" "&amp;Municipality[Municipality]&amp;"n ",H_unit[[#This Row],[Info string]])),Municipality[Municipality],""))</f>
        <v/>
      </c>
      <c r="L18" s="246"/>
      <c r="M18" s="244"/>
      <c r="N18" s="246" t="str">
        <f>_xlfn.TEXTJOIN("",TRUE,H_unit[[#This Row],[Exact]],H_unit[[#This Row],[Exact+n]],H_unit[[#This Row],[Copilot]])</f>
        <v>Uusikaupunki</v>
      </c>
      <c r="O18" s="246" t="str">
        <f>_xlfn.XLOOKUP(H_unit[[#This Row],[Municipality]],Municipality[Municipality],Municipality[Model],"")</f>
        <v>South West</v>
      </c>
      <c r="P18" s="236"/>
      <c r="Q18" s="115" t="s">
        <v>28</v>
      </c>
      <c r="R18" s="252" cm="1">
        <f t="array" ref="R18">SUMPRODUCT((H_unit[Region]=P_heat2[[#This Row],[Region]])*(H_unit[Type]=P_heat2[[#Headers],[Excluded]])*IFERROR(_xlfn.NUMBERVALUE(H_unit[Power]),0))</f>
        <v>175</v>
      </c>
      <c r="S18" s="252" cm="1">
        <f t="array" ref="S18">SUMPRODUCT((H_unit[Region]=P_heat2[[#This Row],[Region]])*(H_unit[Type]=P_heat2[[#Headers],[Bio CHP]])*IFERROR(_xlfn.NUMBERVALUE(H_unit[Power]),0))</f>
        <v>53.3</v>
      </c>
      <c r="T18" s="252" cm="1">
        <f t="array" ref="T18">SUMPRODUCT((H_unit[Region]=P_heat2[[#This Row],[Region]])*(H_unit[Type]=P_heat2[[#Headers],[Gas CCGT CHP]])*IFERROR(_xlfn.NUMBERVALUE(H_unit[Power]),0))</f>
        <v>0</v>
      </c>
      <c r="U18" s="252" cm="1">
        <f t="array" ref="U18">SUMPRODUCT((H_unit[Region]=P_heat2[[#This Row],[Region]])*(H_unit[Type]=P_heat2[[#Headers],[Waste CHP]])*IFERROR(_xlfn.NUMBERVALUE(H_unit[Power]),0))</f>
        <v>0</v>
      </c>
      <c r="V18" s="252" cm="1">
        <f t="array" ref="V18">SUMPRODUCT((H_unit[Region]=P_heat2[[#This Row],[Region]])*(H_unit[Type]=P_heat2[[#Headers],[Included in industry]])*IFERROR(_xlfn.NUMBERVALUE(H_unit[Power]),0))</f>
        <v>357</v>
      </c>
      <c r="W18" s="6">
        <f t="shared" ref="W18:W25" si="0">SUM(R18:V18)</f>
        <v>585.29999999999995</v>
      </c>
      <c r="Y18" s="1" t="s">
        <v>28</v>
      </c>
      <c r="Z18" s="206" cm="1">
        <f t="array" ref="Z18">SUMPRODUCT((H_unit[Region]=P_heat3[[#This Row],[Region]])*(H_unit[Type]=P_heat3[[#Headers],[Heat storage ]])*IFERROR(_xlfn.NUMBERVALUE(H_unit[Storage]),0))</f>
        <v>610</v>
      </c>
      <c r="AA18" s="6" cm="1">
        <f t="array" ref="AA18">SUMPRODUCT((H_unit[Region]=P_heat3[[#This Row],[Region]])*(H_unit[Type]=P_heat3[[#Headers],[Large heat storage]])*IFERROR(_xlfn.NUMBERVALUE(H_unit[Storage]),0))</f>
        <v>0</v>
      </c>
      <c r="AB18" s="6">
        <f t="shared" ref="AB18:AB25" si="1">Z18+AA18</f>
        <v>610</v>
      </c>
    </row>
    <row r="19" spans="1:32">
      <c r="A19" s="238" t="s">
        <v>2357</v>
      </c>
      <c r="B19" s="238" t="s">
        <v>2358</v>
      </c>
      <c r="C19" s="240" t="str" cm="1">
        <f t="array" ref="C19">" "&amp;LOWER(_xlfn.REDUCE(H_unit[[#This Row],[Company]]&amp;" "&amp;H_unit[[#This Row],[Unit]],{",",".","(",")","/"},_xlfn.LAMBDA(_xlpm.txt,_xlpm.delim,SUBSTITUTE(_xlpm.txt,_xlpm.delim," "))))&amp;" "</f>
        <v xml:space="preserve"> nordic soya oy  uusikaupunki nordic soya oy </v>
      </c>
      <c r="D19" s="242" t="s">
        <v>1448</v>
      </c>
      <c r="E19" s="243" t="s">
        <v>1448</v>
      </c>
      <c r="F19" s="243"/>
      <c r="G19" s="247"/>
      <c r="H19" s="267" t="s">
        <v>2273</v>
      </c>
      <c r="I19" s="248" t="s">
        <v>1443</v>
      </c>
      <c r="J19" s="246" t="str" cm="1">
        <f t="array" ref="J19">_xlfn.XLOOKUP(TRUE,ISNUMBER(SEARCH(" "&amp;Municipality[Municipality]&amp;" ",H_unit[[#This Row],[Info string]])),Municipality[Municipality],"")</f>
        <v>Uusikaupunki</v>
      </c>
      <c r="K19" s="246" t="str" cm="1">
        <f t="array" ref="K19">IF(H_unit[[#This Row],[Exact]]&lt;&gt;"","",_xlfn.XLOOKUP(TRUE,ISNUMBER(SEARCH(" "&amp;Municipality[Municipality]&amp;"n ",H_unit[[#This Row],[Info string]])),Municipality[Municipality],""))</f>
        <v/>
      </c>
      <c r="L19" s="246"/>
      <c r="M19" s="244"/>
      <c r="N19" s="246" t="str">
        <f>_xlfn.TEXTJOIN("",TRUE,H_unit[[#This Row],[Exact]],H_unit[[#This Row],[Exact+n]],H_unit[[#This Row],[Copilot]])</f>
        <v>Uusikaupunki</v>
      </c>
      <c r="O19" s="246" t="str">
        <f>_xlfn.XLOOKUP(H_unit[[#This Row],[Municipality]],Municipality[Municipality],Municipality[Model],"")</f>
        <v>South West</v>
      </c>
      <c r="P19" s="236"/>
      <c r="Q19" s="115" t="s">
        <v>29</v>
      </c>
      <c r="R19" s="252" cm="1">
        <f t="array" ref="R19">SUMPRODUCT((H_unit[Region]=P_heat2[[#This Row],[Region]])*(H_unit[Type]=P_heat2[[#Headers],[Excluded]])*IFERROR(_xlfn.NUMBERVALUE(H_unit[Power]),0))</f>
        <v>0.1</v>
      </c>
      <c r="S19" s="252" cm="1">
        <f t="array" ref="S19">SUMPRODUCT((H_unit[Region]=P_heat2[[#This Row],[Region]])*(H_unit[Type]=P_heat2[[#Headers],[Bio CHP]])*IFERROR(_xlfn.NUMBERVALUE(H_unit[Power]),0))</f>
        <v>754.19999999999993</v>
      </c>
      <c r="T19" s="252" cm="1">
        <f t="array" ref="T19">SUMPRODUCT((H_unit[Region]=P_heat2[[#This Row],[Region]])*(H_unit[Type]=P_heat2[[#Headers],[Gas CCGT CHP]])*IFERROR(_xlfn.NUMBERVALUE(H_unit[Power]),0))</f>
        <v>0</v>
      </c>
      <c r="U19" s="252" cm="1">
        <f t="array" ref="U19">SUMPRODUCT((H_unit[Region]=P_heat2[[#This Row],[Region]])*(H_unit[Type]=P_heat2[[#Headers],[Waste CHP]])*IFERROR(_xlfn.NUMBERVALUE(H_unit[Power]),0))</f>
        <v>15</v>
      </c>
      <c r="V19" s="252" cm="1">
        <f t="array" ref="V19">SUMPRODUCT((H_unit[Region]=P_heat2[[#This Row],[Region]])*(H_unit[Type]=P_heat2[[#Headers],[Included in industry]])*IFERROR(_xlfn.NUMBERVALUE(H_unit[Power]),0))</f>
        <v>0</v>
      </c>
      <c r="W19" s="6">
        <f t="shared" si="0"/>
        <v>769.3</v>
      </c>
      <c r="Y19" s="1" t="s">
        <v>29</v>
      </c>
      <c r="Z19" s="206" cm="1">
        <f t="array" ref="Z19">SUMPRODUCT((H_unit[Region]=P_heat3[[#This Row],[Region]])*(H_unit[Type]=P_heat3[[#Headers],[Heat storage ]])*IFERROR(_xlfn.NUMBERVALUE(H_unit[Storage]),0))</f>
        <v>1080</v>
      </c>
      <c r="AA19" s="206" cm="1">
        <f t="array" ref="AA19">SUMPRODUCT((H_unit[Region]=P_heat3[[#This Row],[Region]])*(H_unit[Type]=P_heat3[[#Headers],[Large heat storage]])*IFERROR(_xlfn.NUMBERVALUE(H_unit[Storage]),0))</f>
        <v>17000</v>
      </c>
      <c r="AB19" s="6">
        <f t="shared" si="1"/>
        <v>18080</v>
      </c>
    </row>
    <row r="20" spans="1:32" ht="14.4" customHeight="1">
      <c r="A20" s="238" t="s">
        <v>2366</v>
      </c>
      <c r="B20" s="238" t="s">
        <v>2367</v>
      </c>
      <c r="C20" s="240" t="str" cm="1">
        <f t="array" ref="C20">" "&amp;LOWER(_xlfn.REDUCE(H_unit[[#This Row],[Company]]&amp;" "&amp;H_unit[[#This Row],[Unit]],{",",".","(",")","/"},_xlfn.LAMBDA(_xlpm.txt,_xlpm.delim,SUBSTITUTE(_xlpm.txt,_xlpm.delim," "))))&amp;" "</f>
        <v xml:space="preserve"> parkanon listatehdas parkanon listatehdas lk </v>
      </c>
      <c r="D20" s="242" t="s">
        <v>1448</v>
      </c>
      <c r="E20" s="243" t="s">
        <v>1448</v>
      </c>
      <c r="F20" s="243"/>
      <c r="G20" s="247"/>
      <c r="H20" s="267" t="s">
        <v>1439</v>
      </c>
      <c r="I20" s="248" t="s">
        <v>1443</v>
      </c>
      <c r="J20" s="246" t="str" cm="1">
        <f t="array" ref="J20">_xlfn.XLOOKUP(TRUE,ISNUMBER(SEARCH(" "&amp;Municipality[Municipality]&amp;" ",H_unit[[#This Row],[Info string]])),Municipality[Municipality],"")</f>
        <v/>
      </c>
      <c r="K20" s="246" t="str" cm="1">
        <f t="array" ref="K20">IF(H_unit[[#This Row],[Exact]]&lt;&gt;"","",_xlfn.XLOOKUP(TRUE,ISNUMBER(SEARCH(" "&amp;Municipality[Municipality]&amp;"n ",H_unit[[#This Row],[Info string]])),Municipality[Municipality],""))</f>
        <v>Parkano</v>
      </c>
      <c r="L20" s="246"/>
      <c r="M20" s="244"/>
      <c r="N20" s="246" t="str">
        <f>_xlfn.TEXTJOIN("",TRUE,H_unit[[#This Row],[Exact]],H_unit[[#This Row],[Exact+n]],H_unit[[#This Row],[Copilot]])</f>
        <v>Parkano</v>
      </c>
      <c r="O20" s="246" t="str">
        <f>_xlfn.XLOOKUP(H_unit[[#This Row],[Municipality]],Municipality[Municipality],Municipality[Model],"")</f>
        <v>Center</v>
      </c>
      <c r="P20" s="236"/>
      <c r="Q20" s="115" t="s">
        <v>31</v>
      </c>
      <c r="R20" s="252" cm="1">
        <f t="array" ref="R20">SUMPRODUCT((H_unit[Region]=P_heat2[[#This Row],[Region]])*(H_unit[Type]=P_heat2[[#Headers],[Excluded]])*IFERROR(_xlfn.NUMBERVALUE(H_unit[Power]),0))</f>
        <v>6</v>
      </c>
      <c r="S20" s="252" cm="1">
        <f t="array" ref="S20">SUMPRODUCT((H_unit[Region]=P_heat2[[#This Row],[Region]])*(H_unit[Type]=P_heat2[[#Headers],[Bio CHP]])*IFERROR(_xlfn.NUMBERVALUE(H_unit[Power]),0))</f>
        <v>65.900000000000006</v>
      </c>
      <c r="T20" s="252" cm="1">
        <f t="array" ref="T20">SUMPRODUCT((H_unit[Region]=P_heat2[[#This Row],[Region]])*(H_unit[Type]=P_heat2[[#Headers],[Gas CCGT CHP]])*IFERROR(_xlfn.NUMBERVALUE(H_unit[Power]),0))</f>
        <v>12</v>
      </c>
      <c r="U20" s="252" cm="1">
        <f t="array" ref="U20">SUMPRODUCT((H_unit[Region]=P_heat2[[#This Row],[Region]])*(H_unit[Type]=P_heat2[[#Headers],[Waste CHP]])*IFERROR(_xlfn.NUMBERVALUE(H_unit[Power]),0))</f>
        <v>0</v>
      </c>
      <c r="V20" s="252" cm="1">
        <f t="array" ref="V20">SUMPRODUCT((H_unit[Region]=P_heat2[[#This Row],[Region]])*(H_unit[Type]=P_heat2[[#Headers],[Included in industry]])*IFERROR(_xlfn.NUMBERVALUE(H_unit[Power]),0))</f>
        <v>321.7</v>
      </c>
      <c r="W20" s="6">
        <f t="shared" si="0"/>
        <v>405.6</v>
      </c>
      <c r="Y20" s="1" t="s">
        <v>31</v>
      </c>
      <c r="Z20" s="206" cm="1">
        <f t="array" ref="Z20">SUMPRODUCT((H_unit[Region]=P_heat3[[#This Row],[Region]])*(H_unit[Type]=P_heat3[[#Headers],[Heat storage ]])*IFERROR(_xlfn.NUMBERVALUE(H_unit[Storage]),0))</f>
        <v>35</v>
      </c>
      <c r="AA20" s="6" cm="1">
        <f t="array" ref="AA20">SUMPRODUCT((H_unit[Region]=P_heat3[[#This Row],[Region]])*(H_unit[Type]=P_heat3[[#Headers],[Large heat storage]])*IFERROR(_xlfn.NUMBERVALUE(H_unit[Storage]),0))</f>
        <v>0</v>
      </c>
      <c r="AB20" s="6">
        <f t="shared" si="1"/>
        <v>35</v>
      </c>
    </row>
    <row r="21" spans="1:32">
      <c r="A21" s="238" t="s">
        <v>2413</v>
      </c>
      <c r="B21" s="238" t="s">
        <v>2414</v>
      </c>
      <c r="C21" s="240" t="str" cm="1">
        <f t="array" ref="C21">" "&amp;LOWER(_xlfn.REDUCE(H_unit[[#This Row],[Company]]&amp;" "&amp;H_unit[[#This Row],[Unit]],{",",".","(",")","/"},_xlfn.LAMBDA(_xlpm.txt,_xlpm.delim,SUBSTITUTE(_xlpm.txt,_xlpm.delim," "))))&amp;" "</f>
        <v xml:space="preserve"> upm-kymmene oyj  lappeenranta upm-kymmene  kaukas </v>
      </c>
      <c r="D21" s="242" t="s">
        <v>1448</v>
      </c>
      <c r="E21" s="243" t="s">
        <v>1448</v>
      </c>
      <c r="F21" s="243"/>
      <c r="G21" s="247"/>
      <c r="H21" s="267" t="s">
        <v>2344</v>
      </c>
      <c r="I21" s="248" t="s">
        <v>1443</v>
      </c>
      <c r="J21" s="246" t="str" cm="1">
        <f t="array" ref="J21">_xlfn.XLOOKUP(TRUE,ISNUMBER(SEARCH(" "&amp;Municipality[Municipality]&amp;" ",H_unit[[#This Row],[Info string]])),Municipality[Municipality],"")</f>
        <v>Lappeenranta</v>
      </c>
      <c r="K21" s="246" t="str" cm="1">
        <f t="array" ref="K21">IF(H_unit[[#This Row],[Exact]]&lt;&gt;"","",_xlfn.XLOOKUP(TRUE,ISNUMBER(SEARCH(" "&amp;Municipality[Municipality]&amp;"n ",H_unit[[#This Row],[Info string]])),Municipality[Municipality],""))</f>
        <v/>
      </c>
      <c r="L21" s="246"/>
      <c r="M21" s="244"/>
      <c r="N21" s="246" t="str">
        <f>_xlfn.TEXTJOIN("",TRUE,H_unit[[#This Row],[Exact]],H_unit[[#This Row],[Exact+n]],H_unit[[#This Row],[Copilot]])</f>
        <v>Lappeenranta</v>
      </c>
      <c r="O21" s="246" t="str">
        <f>_xlfn.XLOOKUP(H_unit[[#This Row],[Municipality]],Municipality[Municipality],Municipality[Model],"")</f>
        <v>South East</v>
      </c>
      <c r="P21" s="236"/>
      <c r="Q21" s="115" t="s">
        <v>32</v>
      </c>
      <c r="R21" s="252" cm="1">
        <f t="array" ref="R21">SUMPRODUCT((H_unit[Region]=P_heat2[[#This Row],[Region]])*(H_unit[Type]=P_heat2[[#Headers],[Excluded]])*IFERROR(_xlfn.NUMBERVALUE(H_unit[Power]),0))</f>
        <v>2</v>
      </c>
      <c r="S21" s="252" cm="1">
        <f t="array" ref="S21">SUMPRODUCT((H_unit[Region]=P_heat2[[#This Row],[Region]])*(H_unit[Type]=P_heat2[[#Headers],[Bio CHP]])*IFERROR(_xlfn.NUMBERVALUE(H_unit[Power]),0))</f>
        <v>298.89999999999998</v>
      </c>
      <c r="T21" s="252" cm="1">
        <f t="array" ref="T21">SUMPRODUCT((H_unit[Region]=P_heat2[[#This Row],[Region]])*(H_unit[Type]=P_heat2[[#Headers],[Gas CCGT CHP]])*IFERROR(_xlfn.NUMBERVALUE(H_unit[Power]),0))</f>
        <v>1.6</v>
      </c>
      <c r="U21" s="252" cm="1">
        <f t="array" ref="U21">SUMPRODUCT((H_unit[Region]=P_heat2[[#This Row],[Region]])*(H_unit[Type]=P_heat2[[#Headers],[Waste CHP]])*IFERROR(_xlfn.NUMBERVALUE(H_unit[Power]),0))</f>
        <v>0</v>
      </c>
      <c r="V21" s="252" cm="1">
        <f t="array" ref="V21">SUMPRODUCT((H_unit[Region]=P_heat2[[#This Row],[Region]])*(H_unit[Type]=P_heat2[[#Headers],[Included in industry]])*IFERROR(_xlfn.NUMBERVALUE(H_unit[Power]),0))</f>
        <v>13.5</v>
      </c>
      <c r="W21" s="6">
        <f t="shared" si="0"/>
        <v>316</v>
      </c>
      <c r="Y21" s="1" t="s">
        <v>32</v>
      </c>
      <c r="Z21" s="206" cm="1">
        <f t="array" ref="Z21">SUMPRODUCT((H_unit[Region]=P_heat3[[#This Row],[Region]])*(H_unit[Type]=P_heat3[[#Headers],[Heat storage ]])*IFERROR(_xlfn.NUMBERVALUE(H_unit[Storage]),0))</f>
        <v>1550</v>
      </c>
      <c r="AA21" s="6" cm="1">
        <f t="array" ref="AA21">SUMPRODUCT((H_unit[Region]=P_heat3[[#This Row],[Region]])*(H_unit[Type]=P_heat3[[#Headers],[Large heat storage]])*IFERROR(_xlfn.NUMBERVALUE(H_unit[Storage]),0))</f>
        <v>0</v>
      </c>
      <c r="AB21" s="6">
        <f t="shared" si="1"/>
        <v>1550</v>
      </c>
    </row>
    <row r="22" spans="1:32">
      <c r="A22" s="238" t="s">
        <v>2432</v>
      </c>
      <c r="B22" s="238" t="s">
        <v>2433</v>
      </c>
      <c r="C22" s="240" t="str" cm="1">
        <f t="array" ref="C22">" "&amp;LOWER(_xlfn.REDUCE(H_unit[[#This Row],[Company]]&amp;" "&amp;H_unit[[#This Row],[Unit]],{",",".","(",")","/"},_xlfn.LAMBDA(_xlpm.txt,_xlpm.delim,SUBSTITUTE(_xlpm.txt,_xlpm.delim," "))))&amp;" "</f>
        <v xml:space="preserve"> yara suomi oy  uudenkaupungin tehtaat yara suomi oy  uusikaupunki </v>
      </c>
      <c r="D22" s="242" t="s">
        <v>1448</v>
      </c>
      <c r="E22" s="243" t="s">
        <v>1448</v>
      </c>
      <c r="F22" s="243"/>
      <c r="G22" s="247"/>
      <c r="H22" s="267" t="s">
        <v>2273</v>
      </c>
      <c r="I22" s="248" t="s">
        <v>1443</v>
      </c>
      <c r="J22" s="246" t="str" cm="1">
        <f t="array" ref="J22">_xlfn.XLOOKUP(TRUE,ISNUMBER(SEARCH(" "&amp;Municipality[Municipality]&amp;" ",H_unit[[#This Row],[Info string]])),Municipality[Municipality],"")</f>
        <v>Uusikaupunki</v>
      </c>
      <c r="K22" s="246" t="str" cm="1">
        <f t="array" ref="K22">IF(H_unit[[#This Row],[Exact]]&lt;&gt;"","",_xlfn.XLOOKUP(TRUE,ISNUMBER(SEARCH(" "&amp;Municipality[Municipality]&amp;"n ",H_unit[[#This Row],[Info string]])),Municipality[Municipality],""))</f>
        <v/>
      </c>
      <c r="L22" s="246"/>
      <c r="M22" s="244"/>
      <c r="N22" s="246" t="str">
        <f>_xlfn.TEXTJOIN("",TRUE,H_unit[[#This Row],[Exact]],H_unit[[#This Row],[Exact+n]],H_unit[[#This Row],[Copilot]])</f>
        <v>Uusikaupunki</v>
      </c>
      <c r="O22" s="246" t="str">
        <f>_xlfn.XLOOKUP(H_unit[[#This Row],[Municipality]],Municipality[Municipality],Municipality[Model],"")</f>
        <v>South West</v>
      </c>
      <c r="P22" s="236"/>
      <c r="Q22" s="115" t="s">
        <v>33</v>
      </c>
      <c r="R22" s="252" cm="1">
        <f t="array" ref="R22">SUMPRODUCT((H_unit[Region]=P_heat2[[#This Row],[Region]])*(H_unit[Type]=P_heat2[[#Headers],[Excluded]])*IFERROR(_xlfn.NUMBERVALUE(H_unit[Power]),0))</f>
        <v>8</v>
      </c>
      <c r="S22" s="252" cm="1">
        <f t="array" ref="S22">SUMPRODUCT((H_unit[Region]=P_heat2[[#This Row],[Region]])*(H_unit[Type]=P_heat2[[#Headers],[Bio CHP]])*IFERROR(_xlfn.NUMBERVALUE(H_unit[Power]),0))</f>
        <v>45.300000000000004</v>
      </c>
      <c r="T22" s="252" cm="1">
        <f t="array" ref="T22">SUMPRODUCT((H_unit[Region]=P_heat2[[#This Row],[Region]])*(H_unit[Type]=P_heat2[[#Headers],[Gas CCGT CHP]])*IFERROR(_xlfn.NUMBERVALUE(H_unit[Power]),0))</f>
        <v>40</v>
      </c>
      <c r="U22" s="252" cm="1">
        <f t="array" ref="U22">SUMPRODUCT((H_unit[Region]=P_heat2[[#This Row],[Region]])*(H_unit[Type]=P_heat2[[#Headers],[Waste CHP]])*IFERROR(_xlfn.NUMBERVALUE(H_unit[Power]),0))</f>
        <v>25</v>
      </c>
      <c r="V22" s="252" cm="1">
        <f t="array" ref="V22">SUMPRODUCT((H_unit[Region]=P_heat2[[#This Row],[Region]])*(H_unit[Type]=P_heat2[[#Headers],[Included in industry]])*IFERROR(_xlfn.NUMBERVALUE(H_unit[Power]),0))</f>
        <v>0</v>
      </c>
      <c r="W22" s="6">
        <f t="shared" si="0"/>
        <v>118.30000000000001</v>
      </c>
      <c r="Y22" s="1" t="s">
        <v>33</v>
      </c>
      <c r="Z22" s="206" cm="1">
        <f t="array" ref="Z22">SUMPRODUCT((H_unit[Region]=P_heat3[[#This Row],[Region]])*(H_unit[Type]=P_heat3[[#Headers],[Heat storage ]])*IFERROR(_xlfn.NUMBERVALUE(H_unit[Storage]),0))</f>
        <v>580</v>
      </c>
      <c r="AA22" s="6" cm="1">
        <f t="array" ref="AA22">SUMPRODUCT((H_unit[Region]=P_heat3[[#This Row],[Region]])*(H_unit[Type]=P_heat3[[#Headers],[Large heat storage]])*IFERROR(_xlfn.NUMBERVALUE(H_unit[Storage]),0))</f>
        <v>0</v>
      </c>
      <c r="AB22" s="6">
        <f t="shared" si="1"/>
        <v>580</v>
      </c>
    </row>
    <row r="23" spans="1:32">
      <c r="A23" s="238" t="s">
        <v>1790</v>
      </c>
      <c r="B23" s="238" t="s">
        <v>1795</v>
      </c>
      <c r="C23" s="240" t="str" cm="1">
        <f t="array" ref="C23">" "&amp;LOWER(_xlfn.REDUCE(H_unit[[#This Row],[Company]]&amp;" "&amp;H_unit[[#This Row],[Unit]],{",",".","(",")","/"},_xlfn.LAMBDA(_xlpm.txt,_xlpm.delim,SUBSTITUTE(_xlpm.txt,_xlpm.delim," "))))&amp;" "</f>
        <v xml:space="preserve"> leppäkosken lämpö oy  ikaalinen maakaasulaitos </v>
      </c>
      <c r="D23" s="242">
        <v>1997</v>
      </c>
      <c r="E23" s="243" t="s">
        <v>1417</v>
      </c>
      <c r="F23" s="243">
        <v>6</v>
      </c>
      <c r="G23" s="247"/>
      <c r="H23" s="267" t="s">
        <v>1453</v>
      </c>
      <c r="I23" s="248" t="s">
        <v>1443</v>
      </c>
      <c r="J23" s="246" t="str" cm="1">
        <f t="array" ref="J23">_xlfn.XLOOKUP(TRUE,ISNUMBER(SEARCH(" "&amp;Municipality[Municipality]&amp;" ",H_unit[[#This Row],[Info string]])),Municipality[Municipality],"")</f>
        <v>Ikaalinen</v>
      </c>
      <c r="K23" s="246" t="str" cm="1">
        <f t="array" ref="K23">IF(H_unit[[#This Row],[Exact]]&lt;&gt;"","",_xlfn.XLOOKUP(TRUE,ISNUMBER(SEARCH(" "&amp;Municipality[Municipality]&amp;"n ",H_unit[[#This Row],[Info string]])),Municipality[Municipality],""))</f>
        <v/>
      </c>
      <c r="L23" s="246"/>
      <c r="M23" s="244"/>
      <c r="N23" s="246" t="str">
        <f>_xlfn.TEXTJOIN("",TRUE,H_unit[[#This Row],[Exact]],H_unit[[#This Row],[Exact+n]],H_unit[[#This Row],[Copilot]])</f>
        <v>Ikaalinen</v>
      </c>
      <c r="O23" s="246" t="str">
        <f>_xlfn.XLOOKUP(H_unit[[#This Row],[Municipality]],Municipality[Municipality],Municipality[Model],"")</f>
        <v>Center</v>
      </c>
      <c r="P23" s="236"/>
      <c r="Q23" s="115" t="s">
        <v>34</v>
      </c>
      <c r="R23" s="252" cm="1">
        <f t="array" ref="R23">SUMPRODUCT((H_unit[Region]=P_heat2[[#This Row],[Region]])*(H_unit[Type]=P_heat2[[#Headers],[Excluded]])*IFERROR(_xlfn.NUMBERVALUE(H_unit[Power]),0))</f>
        <v>4.5</v>
      </c>
      <c r="S23" s="252" cm="1">
        <f t="array" ref="S23">SUMPRODUCT((H_unit[Region]=P_heat2[[#This Row],[Region]])*(H_unit[Type]=P_heat2[[#Headers],[Bio CHP]])*IFERROR(_xlfn.NUMBERVALUE(H_unit[Power]),0))</f>
        <v>140</v>
      </c>
      <c r="T23" s="252" cm="1">
        <f t="array" ref="T23">SUMPRODUCT((H_unit[Region]=P_heat2[[#This Row],[Region]])*(H_unit[Type]=P_heat2[[#Headers],[Gas CCGT CHP]])*IFERROR(_xlfn.NUMBERVALUE(H_unit[Power]),0))</f>
        <v>144</v>
      </c>
      <c r="U23" s="252" cm="1">
        <f t="array" ref="U23">SUMPRODUCT((H_unit[Region]=P_heat2[[#This Row],[Region]])*(H_unit[Type]=P_heat2[[#Headers],[Waste CHP]])*IFERROR(_xlfn.NUMBERVALUE(H_unit[Power]),0))</f>
        <v>58</v>
      </c>
      <c r="V23" s="252" cm="1">
        <f t="array" ref="V23">SUMPRODUCT((H_unit[Region]=P_heat2[[#This Row],[Region]])*(H_unit[Type]=P_heat2[[#Headers],[Included in industry]])*IFERROR(_xlfn.NUMBERVALUE(H_unit[Power]),0))</f>
        <v>185</v>
      </c>
      <c r="W23" s="6">
        <f t="shared" si="0"/>
        <v>531.5</v>
      </c>
      <c r="Y23" s="1" t="s">
        <v>34</v>
      </c>
      <c r="Z23" s="206" cm="1">
        <f t="array" ref="Z23">SUMPRODUCT((H_unit[Region]=P_heat3[[#This Row],[Region]])*(H_unit[Type]=P_heat3[[#Headers],[Heat storage ]])*IFERROR(_xlfn.NUMBERVALUE(H_unit[Storage]),0))</f>
        <v>1900</v>
      </c>
      <c r="AA23" s="6" cm="1">
        <f t="array" ref="AA23">SUMPRODUCT((H_unit[Region]=P_heat3[[#This Row],[Region]])*(H_unit[Type]=P_heat3[[#Headers],[Large heat storage]])*IFERROR(_xlfn.NUMBERVALUE(H_unit[Storage]),0))</f>
        <v>0</v>
      </c>
      <c r="AB23" s="6">
        <f t="shared" si="1"/>
        <v>1900</v>
      </c>
    </row>
    <row r="24" spans="1:32">
      <c r="A24" s="238" t="s">
        <v>2028</v>
      </c>
      <c r="B24" s="238" t="s">
        <v>2032</v>
      </c>
      <c r="C24" s="240" t="str" cm="1">
        <f t="array" ref="C24">" "&amp;LOWER(_xlfn.REDUCE(H_unit[[#This Row],[Company]]&amp;" "&amp;H_unit[[#This Row],[Unit]],{",",".","(",")","/"},_xlfn.LAMBDA(_xlpm.txt,_xlpm.delim,SUBSTITUTE(_xlpm.txt,_xlpm.delim," "))))&amp;" "</f>
        <v xml:space="preserve"> paimion lämpökeskus oy savukaasulämpöpumppupesuri </v>
      </c>
      <c r="D24" s="242">
        <v>2017</v>
      </c>
      <c r="E24" s="243" t="s">
        <v>1417</v>
      </c>
      <c r="F24" s="243"/>
      <c r="G24" s="247"/>
      <c r="H24" s="267" t="s">
        <v>1417</v>
      </c>
      <c r="I24" s="248" t="s">
        <v>1443</v>
      </c>
      <c r="J24" s="246" t="str" cm="1">
        <f t="array" ref="J24">_xlfn.XLOOKUP(TRUE,ISNUMBER(SEARCH(" "&amp;Municipality[Municipality]&amp;" ",H_unit[[#This Row],[Info string]])),Municipality[Municipality],"")</f>
        <v/>
      </c>
      <c r="K24" s="246" t="str" cm="1">
        <f t="array" ref="K24">IF(H_unit[[#This Row],[Exact]]&lt;&gt;"","",_xlfn.XLOOKUP(TRUE,ISNUMBER(SEARCH(" "&amp;Municipality[Municipality]&amp;"n ",H_unit[[#This Row],[Info string]])),Municipality[Municipality],""))</f>
        <v>Paimio</v>
      </c>
      <c r="L24" s="246"/>
      <c r="M24" s="244"/>
      <c r="N24" s="246" t="str">
        <f>_xlfn.TEXTJOIN("",TRUE,H_unit[[#This Row],[Exact]],H_unit[[#This Row],[Exact+n]],H_unit[[#This Row],[Copilot]])</f>
        <v>Paimio</v>
      </c>
      <c r="O24" s="246" t="str">
        <f>_xlfn.XLOOKUP(H_unit[[#This Row],[Municipality]],Municipality[Municipality],Municipality[Model],"")</f>
        <v>South West</v>
      </c>
      <c r="P24" s="236"/>
      <c r="Q24" s="115" t="s">
        <v>3</v>
      </c>
      <c r="R24" s="252" cm="1">
        <f t="array" ref="R24">SUMPRODUCT((H_unit[Region]=P_heat2[[#This Row],[Region]])*(H_unit[Type]=P_heat2[[#Headers],[Excluded]])*IFERROR(_xlfn.NUMBERVALUE(H_unit[Power]),0))</f>
        <v>0</v>
      </c>
      <c r="S24" s="252" cm="1">
        <f t="array" ref="S24">SUMPRODUCT((H_unit[Region]=P_heat2[[#This Row],[Region]])*(H_unit[Type]=P_heat2[[#Headers],[Bio CHP]])*IFERROR(_xlfn.NUMBERVALUE(H_unit[Power]),0))</f>
        <v>69</v>
      </c>
      <c r="T24" s="252" cm="1">
        <f t="array" ref="T24">SUMPRODUCT((H_unit[Region]=P_heat2[[#This Row],[Region]])*(H_unit[Type]=P_heat2[[#Headers],[Gas CCGT CHP]])*IFERROR(_xlfn.NUMBERVALUE(H_unit[Power]),0))</f>
        <v>13.7</v>
      </c>
      <c r="U24" s="252" cm="1">
        <f t="array" ref="U24">SUMPRODUCT((H_unit[Region]=P_heat2[[#This Row],[Region]])*(H_unit[Type]=P_heat2[[#Headers],[Waste CHP]])*IFERROR(_xlfn.NUMBERVALUE(H_unit[Power]),0))</f>
        <v>0</v>
      </c>
      <c r="V24" s="252" cm="1">
        <f t="array" ref="V24">SUMPRODUCT((H_unit[Region]=P_heat2[[#This Row],[Region]])*(H_unit[Type]=P_heat2[[#Headers],[Included in industry]])*IFERROR(_xlfn.NUMBERVALUE(H_unit[Power]),0))</f>
        <v>0</v>
      </c>
      <c r="W24" s="6">
        <f t="shared" si="0"/>
        <v>82.7</v>
      </c>
      <c r="Y24" s="106" t="s">
        <v>3</v>
      </c>
      <c r="Z24" s="206" cm="1">
        <f t="array" ref="Z24">SUMPRODUCT((H_unit[Region]=P_heat3[[#This Row],[Region]])*(H_unit[Type]=P_heat3[[#Headers],[Heat storage ]])*IFERROR(_xlfn.NUMBERVALUE(H_unit[Storage]),0))</f>
        <v>500</v>
      </c>
      <c r="AA24" s="6" cm="1">
        <f t="array" ref="AA24">SUMPRODUCT((H_unit[Region]=P_heat3[[#This Row],[Region]])*(H_unit[Type]=P_heat3[[#Headers],[Large heat storage]])*IFERROR(_xlfn.NUMBERVALUE(H_unit[Storage]),0))</f>
        <v>0</v>
      </c>
      <c r="AB24" s="6">
        <f t="shared" si="1"/>
        <v>500</v>
      </c>
    </row>
    <row r="25" spans="1:32">
      <c r="A25" s="238" t="s">
        <v>2028</v>
      </c>
      <c r="B25" s="238" t="s">
        <v>2033</v>
      </c>
      <c r="C25" s="240" t="str" cm="1">
        <f t="array" ref="C25">" "&amp;LOWER(_xlfn.REDUCE(H_unit[[#This Row],[Company]]&amp;" "&amp;H_unit[[#This Row],[Unit]],{",",".","(",")","/"},_xlfn.LAMBDA(_xlpm.txt,_xlpm.delim,SUBSTITUTE(_xlpm.txt,_xlpm.delim," "))))&amp;" "</f>
        <v xml:space="preserve"> paimion lämpökeskus oy aurinkovoimalaitos </v>
      </c>
      <c r="D25" s="242">
        <v>2019</v>
      </c>
      <c r="E25" s="243" t="s">
        <v>1417</v>
      </c>
      <c r="F25" s="243"/>
      <c r="G25" s="247"/>
      <c r="H25" s="267" t="s">
        <v>2019</v>
      </c>
      <c r="I25" s="248" t="s">
        <v>1443</v>
      </c>
      <c r="J25" s="246" t="str" cm="1">
        <f t="array" ref="J25">_xlfn.XLOOKUP(TRUE,ISNUMBER(SEARCH(" "&amp;Municipality[Municipality]&amp;" ",H_unit[[#This Row],[Info string]])),Municipality[Municipality],"")</f>
        <v/>
      </c>
      <c r="K25" s="246" t="str" cm="1">
        <f t="array" ref="K25">IF(H_unit[[#This Row],[Exact]]&lt;&gt;"","",_xlfn.XLOOKUP(TRUE,ISNUMBER(SEARCH(" "&amp;Municipality[Municipality]&amp;"n ",H_unit[[#This Row],[Info string]])),Municipality[Municipality],""))</f>
        <v>Paimio</v>
      </c>
      <c r="L25" s="246"/>
      <c r="M25" s="244"/>
      <c r="N25" s="246" t="str">
        <f>_xlfn.TEXTJOIN("",TRUE,H_unit[[#This Row],[Exact]],H_unit[[#This Row],[Exact+n]],H_unit[[#This Row],[Copilot]])</f>
        <v>Paimio</v>
      </c>
      <c r="O25" s="246" t="str">
        <f>_xlfn.XLOOKUP(H_unit[[#This Row],[Municipality]],Municipality[Municipality],Municipality[Model],"")</f>
        <v>South West</v>
      </c>
      <c r="P25" s="236"/>
      <c r="R25" s="6">
        <f>SUM(P_heat2[Excluded])</f>
        <v>195.6</v>
      </c>
      <c r="S25" s="6">
        <f>SUM(P_heat2[Bio CHP])</f>
        <v>1426.5999999999997</v>
      </c>
      <c r="T25" s="6">
        <f>SUM(P_heat2[Gas CCGT CHP])</f>
        <v>211.29999999999998</v>
      </c>
      <c r="U25" s="6">
        <f>SUM(P_heat2[Waste CHP])</f>
        <v>98</v>
      </c>
      <c r="V25" s="6">
        <f>SUM(P_heat2[Included in industry])</f>
        <v>877.2</v>
      </c>
      <c r="W25" s="6">
        <f t="shared" si="0"/>
        <v>2808.7</v>
      </c>
      <c r="Z25" s="6">
        <f>SUM(P_heat3[[Heat storage ]])</f>
        <v>6255</v>
      </c>
      <c r="AA25" s="6">
        <f>SUM(P_heat3[Large heat storage])</f>
        <v>17000</v>
      </c>
      <c r="AB25" s="6">
        <f t="shared" si="1"/>
        <v>23255</v>
      </c>
    </row>
    <row r="26" spans="1:32">
      <c r="A26" s="238" t="s">
        <v>2342</v>
      </c>
      <c r="B26" s="238" t="s">
        <v>2343</v>
      </c>
      <c r="C26" s="240" t="str" cm="1">
        <f t="array" ref="C26">" "&amp;LOWER(_xlfn.REDUCE(H_unit[[#This Row],[Company]]&amp;" "&amp;H_unit[[#This Row],[Unit]],{",",".","(",")","/"},_xlfn.LAMBDA(_xlpm.txt,_xlpm.delim,SUBSTITUTE(_xlpm.txt,_xlpm.delim," "))))&amp;" "</f>
        <v xml:space="preserve"> metsä fibre oy  kemi soodakattila sk2 </v>
      </c>
      <c r="D26" s="242">
        <v>2023</v>
      </c>
      <c r="E26" s="243">
        <v>500</v>
      </c>
      <c r="F26" s="243">
        <v>250</v>
      </c>
      <c r="G26" s="247"/>
      <c r="H26" s="267" t="s">
        <v>2344</v>
      </c>
      <c r="I26" s="248" t="s">
        <v>2345</v>
      </c>
      <c r="J26" s="246" t="str" cm="1">
        <f t="array" ref="J26">_xlfn.XLOOKUP(TRUE,ISNUMBER(SEARCH(" "&amp;Municipality[Municipality]&amp;" ",H_unit[[#This Row],[Info string]])),Municipality[Municipality],"")</f>
        <v>Kemi</v>
      </c>
      <c r="K26" s="246" t="str" cm="1">
        <f t="array" ref="K26">IF(H_unit[[#This Row],[Exact]]&lt;&gt;"","",_xlfn.XLOOKUP(TRUE,ISNUMBER(SEARCH(" "&amp;Municipality[Municipality]&amp;"n ",H_unit[[#This Row],[Info string]])),Municipality[Municipality],""))</f>
        <v/>
      </c>
      <c r="L26" s="246"/>
      <c r="M26" s="244"/>
      <c r="N26" s="246" t="str">
        <f>_xlfn.TEXTJOIN("",TRUE,H_unit[[#This Row],[Exact]],H_unit[[#This Row],[Exact+n]],H_unit[[#This Row],[Copilot]])</f>
        <v>Kemi</v>
      </c>
      <c r="O26" s="246" t="str">
        <f>_xlfn.XLOOKUP(H_unit[[#This Row],[Municipality]],Municipality[Municipality],Municipality[Model],"")</f>
        <v>North</v>
      </c>
      <c r="P26" s="236"/>
    </row>
    <row r="27" spans="1:32">
      <c r="A27" s="238" t="s">
        <v>1678</v>
      </c>
      <c r="B27" s="238" t="s">
        <v>1692</v>
      </c>
      <c r="C27" s="240" t="str" cm="1">
        <f t="array" ref="C27">" "&amp;LOWER(_xlfn.REDUCE(H_unit[[#This Row],[Company]]&amp;" "&amp;H_unit[[#This Row],[Unit]],{",",".","(",")","/"},_xlfn.LAMBDA(_xlpm.txt,_xlpm.delim,SUBSTITUTE(_xlpm.txt,_xlpm.delim," "))))&amp;" "</f>
        <v xml:space="preserve"> kuopion energia oy haapaniemi 2 ja 3  hp2 savukaasupesuri 46 mw v  2015  </v>
      </c>
      <c r="D27" s="242">
        <v>1982</v>
      </c>
      <c r="E27" s="243">
        <v>296</v>
      </c>
      <c r="F27" s="243">
        <v>100</v>
      </c>
      <c r="G27" s="247"/>
      <c r="H27" s="267" t="s">
        <v>1428</v>
      </c>
      <c r="I27" s="248" t="s">
        <v>1153</v>
      </c>
      <c r="J27" s="246" t="str" cm="1">
        <f t="array" ref="J27">_xlfn.XLOOKUP(TRUE,ISNUMBER(SEARCH(" "&amp;Municipality[Municipality]&amp;" ",H_unit[[#This Row],[Info string]])),Municipality[Municipality],"")</f>
        <v/>
      </c>
      <c r="K27" s="246" t="str" cm="1">
        <f t="array" ref="K27">IF(H_unit[[#This Row],[Exact]]&lt;&gt;"","",_xlfn.XLOOKUP(TRUE,ISNUMBER(SEARCH(" "&amp;Municipality[Municipality]&amp;"n ",H_unit[[#This Row],[Info string]])),Municipality[Municipality],""))</f>
        <v>Kuopio</v>
      </c>
      <c r="L27" s="246"/>
      <c r="M27" s="244"/>
      <c r="N27" s="246" t="str">
        <f>_xlfn.TEXTJOIN("",TRUE,H_unit[[#This Row],[Exact]],H_unit[[#This Row],[Exact+n]],H_unit[[#This Row],[Copilot]])</f>
        <v>Kuopio</v>
      </c>
      <c r="O27" s="246" t="str">
        <f>_xlfn.XLOOKUP(H_unit[[#This Row],[Municipality]],Municipality[Municipality],Municipality[Model],"")</f>
        <v>East</v>
      </c>
      <c r="P27" s="236"/>
      <c r="Q27" s="65" t="s">
        <v>3061</v>
      </c>
      <c r="R27" s="65"/>
      <c r="S27" s="65"/>
      <c r="T27" s="65"/>
      <c r="U27" s="65"/>
      <c r="V27" s="65"/>
      <c r="W27" s="65"/>
      <c r="X27" s="65"/>
      <c r="Y27" s="65"/>
      <c r="Z27" s="65"/>
      <c r="AA27" s="65"/>
      <c r="AB27" s="65"/>
      <c r="AC27" s="65"/>
      <c r="AD27" s="36"/>
      <c r="AE27" s="36"/>
      <c r="AF27" s="36"/>
    </row>
    <row r="28" spans="1:32" ht="14.4" customHeight="1">
      <c r="A28" s="238" t="s">
        <v>1728</v>
      </c>
      <c r="B28" s="238" t="s">
        <v>1743</v>
      </c>
      <c r="C28" s="240" t="str" cm="1">
        <f t="array" ref="C28">" "&amp;LOWER(_xlfn.REDUCE(H_unit[[#This Row],[Company]]&amp;" "&amp;H_unit[[#This Row],[Unit]],{",",".","(",")","/"},_xlfn.LAMBDA(_xlpm.txt,_xlpm.delim,SUBSTITUTE(_xlpm.txt,_xlpm.delim," "))))&amp;" "</f>
        <v xml:space="preserve"> lahti energia oy  lahti kymijärvi 3  höyrykattila </v>
      </c>
      <c r="D28" s="242">
        <v>2019</v>
      </c>
      <c r="E28" s="243">
        <v>200</v>
      </c>
      <c r="F28" s="243">
        <v>50</v>
      </c>
      <c r="G28" s="247"/>
      <c r="H28" s="267" t="s">
        <v>1423</v>
      </c>
      <c r="I28" s="248" t="s">
        <v>1153</v>
      </c>
      <c r="J28" s="246" t="str" cm="1">
        <f t="array" ref="J28">_xlfn.XLOOKUP(TRUE,ISNUMBER(SEARCH(" "&amp;Municipality[Municipality]&amp;" ",H_unit[[#This Row],[Info string]])),Municipality[Municipality],"")</f>
        <v>Lahti</v>
      </c>
      <c r="K28" s="246" t="str" cm="1">
        <f t="array" ref="K28">IF(H_unit[[#This Row],[Exact]]&lt;&gt;"","",_xlfn.XLOOKUP(TRUE,ISNUMBER(SEARCH(" "&amp;Municipality[Municipality]&amp;"n ",H_unit[[#This Row],[Info string]])),Municipality[Municipality],""))</f>
        <v/>
      </c>
      <c r="L28" s="246"/>
      <c r="M28" s="244"/>
      <c r="N28" s="246" t="str">
        <f>_xlfn.TEXTJOIN("",TRUE,H_unit[[#This Row],[Exact]],H_unit[[#This Row],[Exact+n]],H_unit[[#This Row],[Copilot]])</f>
        <v>Lahti</v>
      </c>
      <c r="O28" s="246" t="str">
        <f>_xlfn.XLOOKUP(H_unit[[#This Row],[Municipality]],Municipality[Municipality],Municipality[Model],"")</f>
        <v>South East</v>
      </c>
      <c r="P28" s="236"/>
    </row>
    <row r="29" spans="1:32">
      <c r="A29" s="238" t="s">
        <v>2415</v>
      </c>
      <c r="B29" s="238" t="s">
        <v>1083</v>
      </c>
      <c r="C29" s="240" t="str" cm="1">
        <f t="array" ref="C29">" "&amp;LOWER(_xlfn.REDUCE(H_unit[[#This Row],[Company]]&amp;" "&amp;H_unit[[#This Row],[Unit]],{",",".","(",")","/"},_xlfn.LAMBDA(_xlpm.txt,_xlpm.delim,SUBSTITUTE(_xlpm.txt,_xlpm.delim," "))))&amp;" "</f>
        <v xml:space="preserve"> vaasan voima oy vaskiluoto 2 </v>
      </c>
      <c r="D29" s="242">
        <v>1998</v>
      </c>
      <c r="E29" s="243">
        <v>175</v>
      </c>
      <c r="F29" s="243">
        <v>210</v>
      </c>
      <c r="G29" s="247"/>
      <c r="H29" s="267" t="s">
        <v>1423</v>
      </c>
      <c r="I29" s="248" t="s">
        <v>1153</v>
      </c>
      <c r="J29" s="246" t="str" cm="1">
        <f t="array" ref="J29">_xlfn.XLOOKUP(TRUE,ISNUMBER(SEARCH(" "&amp;Municipality[Municipality]&amp;" ",H_unit[[#This Row],[Info string]])),Municipality[Municipality],"")</f>
        <v/>
      </c>
      <c r="K29" s="246" t="str" cm="1">
        <f t="array" ref="K29">IF(H_unit[[#This Row],[Exact]]&lt;&gt;"","",_xlfn.XLOOKUP(TRUE,ISNUMBER(SEARCH(" "&amp;Municipality[Municipality]&amp;"n ",H_unit[[#This Row],[Info string]])),Municipality[Municipality],""))</f>
        <v>Vaasa</v>
      </c>
      <c r="L29" s="246"/>
      <c r="M29" s="244"/>
      <c r="N29" s="246" t="str">
        <f>_xlfn.TEXTJOIN("",TRUE,H_unit[[#This Row],[Exact]],H_unit[[#This Row],[Exact+n]],H_unit[[#This Row],[Copilot]])</f>
        <v>Vaasa</v>
      </c>
      <c r="O29" s="246" t="str">
        <f>_xlfn.XLOOKUP(H_unit[[#This Row],[Municipality]],Municipality[Municipality],Municipality[Model],"")</f>
        <v>West</v>
      </c>
      <c r="P29" s="236"/>
      <c r="Q29" s="45" t="s">
        <v>2995</v>
      </c>
      <c r="R29" s="45"/>
      <c r="S29" s="45"/>
      <c r="T29" s="45"/>
      <c r="U29" s="45"/>
      <c r="V29" s="45"/>
      <c r="W29" s="45"/>
      <c r="Y29" s="98" t="s">
        <v>2996</v>
      </c>
      <c r="Z29" s="45"/>
      <c r="AA29" s="45"/>
      <c r="AB29" s="45"/>
      <c r="AC29" s="45"/>
      <c r="AD29" s="45"/>
      <c r="AE29" s="45"/>
      <c r="AF29" s="45"/>
    </row>
    <row r="30" spans="1:32">
      <c r="A30" s="238" t="s">
        <v>2300</v>
      </c>
      <c r="B30" s="238" t="s">
        <v>2301</v>
      </c>
      <c r="C30" s="240" t="str" cm="1">
        <f t="array" ref="C30">" "&amp;LOWER(_xlfn.REDUCE(H_unit[[#This Row],[Company]]&amp;" "&amp;H_unit[[#This Row],[Unit]],{",",".","(",")","/"},_xlfn.LAMBDA(_xlpm.txt,_xlpm.delim,SUBSTITUTE(_xlpm.txt,_xlpm.delim," "))))&amp;" "</f>
        <v xml:space="preserve"> kainuun voima oy  kajaani kainuun voima </v>
      </c>
      <c r="D30" s="242">
        <v>1989</v>
      </c>
      <c r="E30" s="243">
        <v>163</v>
      </c>
      <c r="F30" s="243">
        <v>45</v>
      </c>
      <c r="G30" s="247"/>
      <c r="H30" s="267" t="s">
        <v>1423</v>
      </c>
      <c r="I30" s="248" t="s">
        <v>1153</v>
      </c>
      <c r="J30" s="246" t="str" cm="1">
        <f t="array" ref="J30">_xlfn.XLOOKUP(TRUE,ISNUMBER(SEARCH(" "&amp;Municipality[Municipality]&amp;" ",H_unit[[#This Row],[Info string]])),Municipality[Municipality],"")</f>
        <v>Kajaani</v>
      </c>
      <c r="K30" s="246" t="str" cm="1">
        <f t="array" ref="K30">IF(H_unit[[#This Row],[Exact]]&lt;&gt;"","",_xlfn.XLOOKUP(TRUE,ISNUMBER(SEARCH(" "&amp;Municipality[Municipality]&amp;"n ",H_unit[[#This Row],[Info string]])),Municipality[Municipality],""))</f>
        <v/>
      </c>
      <c r="L30" s="246"/>
      <c r="M30" s="244"/>
      <c r="N30" s="246" t="str">
        <f>_xlfn.TEXTJOIN("",TRUE,H_unit[[#This Row],[Exact]],H_unit[[#This Row],[Exact+n]],H_unit[[#This Row],[Copilot]])</f>
        <v>Kajaani</v>
      </c>
      <c r="O30" s="246" t="str">
        <f>_xlfn.XLOOKUP(H_unit[[#This Row],[Municipality]],Municipality[Municipality],Municipality[Model],"")</f>
        <v>East</v>
      </c>
      <c r="P30" s="236"/>
      <c r="Q30" s="127"/>
      <c r="R30" s="348" t="s">
        <v>406</v>
      </c>
      <c r="S30" s="348"/>
      <c r="T30" s="348" t="s">
        <v>1187</v>
      </c>
      <c r="U30" s="348"/>
      <c r="V30" s="348" t="s">
        <v>2994</v>
      </c>
      <c r="W30" s="348"/>
      <c r="Y30" s="101" t="s">
        <v>2488</v>
      </c>
      <c r="Z30" s="14"/>
      <c r="AA30" s="249" t="s">
        <v>1417</v>
      </c>
      <c r="AB30" s="172">
        <v>0</v>
      </c>
      <c r="AC30" s="172">
        <v>10</v>
      </c>
      <c r="AD30" s="172">
        <v>20</v>
      </c>
      <c r="AE30" s="172">
        <v>40</v>
      </c>
      <c r="AF30" s="172">
        <v>100</v>
      </c>
    </row>
    <row r="31" spans="1:32">
      <c r="A31" s="238" t="s">
        <v>2044</v>
      </c>
      <c r="B31" s="238" t="s">
        <v>2053</v>
      </c>
      <c r="C31" s="240" t="str" cm="1">
        <f t="array" ref="C31">" "&amp;LOWER(_xlfn.REDUCE(H_unit[[#This Row],[Company]]&amp;" "&amp;H_unit[[#This Row],[Unit]],{",",".","(",")","/"},_xlfn.LAMBDA(_xlpm.txt,_xlpm.delim,SUBSTITUTE(_xlpm.txt,_xlpm.delim," "))))&amp;" "</f>
        <v xml:space="preserve"> pori energia oy  pori aittaluoto  rt-kattila </v>
      </c>
      <c r="D31" s="242">
        <v>1981</v>
      </c>
      <c r="E31" s="243">
        <v>155</v>
      </c>
      <c r="F31" s="243">
        <v>12</v>
      </c>
      <c r="G31" s="247"/>
      <c r="H31" s="267" t="s">
        <v>1428</v>
      </c>
      <c r="I31" s="248" t="s">
        <v>1153</v>
      </c>
      <c r="J31" s="246" t="str" cm="1">
        <f t="array" ref="J31">_xlfn.XLOOKUP(TRUE,ISNUMBER(SEARCH(" "&amp;Municipality[Municipality]&amp;" ",H_unit[[#This Row],[Info string]])),Municipality[Municipality],"")</f>
        <v>Pori</v>
      </c>
      <c r="K31" s="246" t="str" cm="1">
        <f t="array" ref="K31">IF(H_unit[[#This Row],[Exact]]&lt;&gt;"","",_xlfn.XLOOKUP(TRUE,ISNUMBER(SEARCH(" "&amp;Municipality[Municipality]&amp;"n ",H_unit[[#This Row],[Info string]])),Municipality[Municipality],""))</f>
        <v/>
      </c>
      <c r="L31" s="246"/>
      <c r="M31" s="244"/>
      <c r="N31" s="246" t="str">
        <f>_xlfn.TEXTJOIN("",TRUE,H_unit[[#This Row],[Exact]],H_unit[[#This Row],[Exact+n]],H_unit[[#This Row],[Copilot]])</f>
        <v>Pori</v>
      </c>
      <c r="O31" s="246" t="str">
        <f>_xlfn.XLOOKUP(H_unit[[#This Row],[Municipality]],Municipality[Municipality],Municipality[Model],"")</f>
        <v>West</v>
      </c>
      <c r="P31" s="236"/>
      <c r="Q31" s="35" t="s">
        <v>401</v>
      </c>
      <c r="R31" s="172">
        <f>COUNTIF(H_unit[Unit],"?*")</f>
        <v>915</v>
      </c>
      <c r="T31" s="6">
        <f>SUM(H_unit[Heat])</f>
        <v>15086.299999999985</v>
      </c>
      <c r="V31" s="6">
        <f>SUM(H_unit[Power])</f>
        <v>2823.8999999999992</v>
      </c>
      <c r="Y31" s="101" t="s">
        <v>2487</v>
      </c>
      <c r="Z31" s="14"/>
      <c r="AA31" s="172">
        <v>858</v>
      </c>
      <c r="AB31" s="172">
        <f>COUNTIF(P_heat!$E$6:$E$920,"&gt;"&amp;AB30)</f>
        <v>895</v>
      </c>
      <c r="AC31" s="172">
        <f>COUNTIF(P_heat!$E$6:$E$920,"&gt;"&amp;AC30)</f>
        <v>334</v>
      </c>
      <c r="AD31" s="172">
        <f>COUNTIF(P_heat!$E$6:$E$920,"&gt;"&amp;AD30)</f>
        <v>181</v>
      </c>
      <c r="AE31" s="172">
        <f>COUNTIF(P_heat!$E$6:$E$920,"&gt;"&amp;AE30)</f>
        <v>79</v>
      </c>
      <c r="AF31" s="172">
        <f>COUNTIF(P_heat!$E$6:$E$920,"&gt;"&amp;AF30)</f>
        <v>22</v>
      </c>
    </row>
    <row r="32" spans="1:32">
      <c r="A32" s="238" t="s">
        <v>2044</v>
      </c>
      <c r="B32" s="238" t="s">
        <v>2055</v>
      </c>
      <c r="C32" s="240" t="str" cm="1">
        <f t="array" ref="C32">" "&amp;LOWER(_xlfn.REDUCE(H_unit[[#This Row],[Company]]&amp;" "&amp;H_unit[[#This Row],[Unit]],{",",".","(",")","/"},_xlfn.LAMBDA(_xlpm.txt,_xlpm.delim,SUBSTITUTE(_xlpm.txt,_xlpm.delim," "))))&amp;" "</f>
        <v xml:space="preserve"> pori energia oy  pori porin prosessivoima </v>
      </c>
      <c r="D32" s="242">
        <v>2008</v>
      </c>
      <c r="E32" s="243">
        <v>150</v>
      </c>
      <c r="F32" s="243">
        <v>65</v>
      </c>
      <c r="G32" s="247"/>
      <c r="H32" s="267" t="s">
        <v>1428</v>
      </c>
      <c r="I32" s="248" t="s">
        <v>1153</v>
      </c>
      <c r="J32" s="246" t="str" cm="1">
        <f t="array" ref="J32">_xlfn.XLOOKUP(TRUE,ISNUMBER(SEARCH(" "&amp;Municipality[Municipality]&amp;" ",H_unit[[#This Row],[Info string]])),Municipality[Municipality],"")</f>
        <v>Pori</v>
      </c>
      <c r="K32" s="246" t="str" cm="1">
        <f t="array" ref="K32">IF(H_unit[[#This Row],[Exact]]&lt;&gt;"","",_xlfn.XLOOKUP(TRUE,ISNUMBER(SEARCH(" "&amp;Municipality[Municipality]&amp;"n ",H_unit[[#This Row],[Info string]])),Municipality[Municipality],""))</f>
        <v/>
      </c>
      <c r="L32" s="246"/>
      <c r="M32" s="244"/>
      <c r="N32" s="246" t="str">
        <f>_xlfn.TEXTJOIN("",TRUE,H_unit[[#This Row],[Exact]],H_unit[[#This Row],[Exact+n]],H_unit[[#This Row],[Copilot]])</f>
        <v>Pori</v>
      </c>
      <c r="O32" s="246" t="str">
        <f>_xlfn.XLOOKUP(H_unit[[#This Row],[Municipality]],Municipality[Municipality],Municipality[Model],"")</f>
        <v>West</v>
      </c>
      <c r="P32" s="236"/>
      <c r="Q32" s="35" t="s">
        <v>3001</v>
      </c>
      <c r="R32" s="172">
        <f>COUNTIF(H_unit[Municipality],"")</f>
        <v>32</v>
      </c>
      <c r="S32" s="95">
        <f>R32/$R$31</f>
        <v>3.4972677595628415E-2</v>
      </c>
      <c r="T32" s="6" cm="1">
        <f t="array" ref="T32">SUM(_xlfn._xlws.FILTER(H_unit[Heat],LEN(H_unit[Municipality])=0))</f>
        <v>135.80000000000001</v>
      </c>
      <c r="U32" s="95">
        <f>T32/$AA$32</f>
        <v>9.051945368376859E-3</v>
      </c>
      <c r="V32" s="6" cm="1">
        <f t="array" ref="V32">SUM(_xlfn._xlws.FILTER(H_unit[Power],LEN(H_unit[Municipality])=0))</f>
        <v>15.2</v>
      </c>
      <c r="W32" s="95">
        <f>V32/$V$31</f>
        <v>5.3826268635574926E-3</v>
      </c>
      <c r="Y32" s="101" t="s">
        <v>1187</v>
      </c>
      <c r="Z32" s="14"/>
      <c r="AA32" s="6">
        <f>SUM(P_heat!$E$6:$E$920)</f>
        <v>15002.299999999985</v>
      </c>
      <c r="AB32" s="6">
        <f>SUMIF(P_heat!$E$6:$E$920,"&gt;"&amp;AB30)</f>
        <v>15002.299999999985</v>
      </c>
      <c r="AC32" s="6">
        <f>SUMIF(P_heat!$E$6:$E$920,"&gt;"&amp;AC30)</f>
        <v>12551.999999999995</v>
      </c>
      <c r="AD32" s="6">
        <f>SUMIF(P_heat!$E$6:$E$920,"&gt;"&amp;AD30)</f>
        <v>10322.799999999999</v>
      </c>
      <c r="AE32" s="6">
        <f>SUMIF(P_heat!$E$6:$E$920,"&gt;"&amp;AE30)</f>
        <v>7002.0999999999995</v>
      </c>
      <c r="AF32" s="6">
        <f>SUMIF(P_heat!$E$6:$E$920,"&gt;"&amp;AF30)</f>
        <v>3481.7</v>
      </c>
    </row>
    <row r="33" spans="1:32">
      <c r="A33" s="238" t="s">
        <v>1897</v>
      </c>
      <c r="B33" s="238" t="s">
        <v>1898</v>
      </c>
      <c r="C33" s="240" t="str" cm="1">
        <f t="array" ref="C33">" "&amp;LOWER(_xlfn.REDUCE(H_unit[[#This Row],[Company]]&amp;" "&amp;H_unit[[#This Row],[Unit]],{",",".","(",")","/"},_xlfn.LAMBDA(_xlpm.txt,_xlpm.delim,SUBSTITUTE(_xlpm.txt,_xlpm.delim," "))))&amp;" "</f>
        <v xml:space="preserve"> neve oy  rovaniemi kantaverkko </v>
      </c>
      <c r="D33" s="242">
        <v>1980</v>
      </c>
      <c r="E33" s="243">
        <v>144.69999999999999</v>
      </c>
      <c r="F33" s="243"/>
      <c r="G33" s="247"/>
      <c r="H33" s="267" t="s">
        <v>1430</v>
      </c>
      <c r="I33" s="248" t="s">
        <v>1141</v>
      </c>
      <c r="J33" s="246" t="str" cm="1">
        <f t="array" ref="J33">_xlfn.XLOOKUP(TRUE,ISNUMBER(SEARCH(" "&amp;Municipality[Municipality]&amp;" ",H_unit[[#This Row],[Info string]])),Municipality[Municipality],"")</f>
        <v>Rovaniemi</v>
      </c>
      <c r="K33" s="246" t="str" cm="1">
        <f t="array" ref="K33">IF(H_unit[[#This Row],[Exact]]&lt;&gt;"","",_xlfn.XLOOKUP(TRUE,ISNUMBER(SEARCH(" "&amp;Municipality[Municipality]&amp;"n ",H_unit[[#This Row],[Info string]])),Municipality[Municipality],""))</f>
        <v/>
      </c>
      <c r="L33" s="246"/>
      <c r="M33" s="244"/>
      <c r="N33" s="246" t="str">
        <f>_xlfn.TEXTJOIN("",TRUE,H_unit[[#This Row],[Exact]],H_unit[[#This Row],[Exact+n]],H_unit[[#This Row],[Copilot]])</f>
        <v>Rovaniemi</v>
      </c>
      <c r="O33" s="246" t="str">
        <f>_xlfn.XLOOKUP(H_unit[[#This Row],[Municipality]],Municipality[Municipality],Municipality[Model],"")</f>
        <v>North</v>
      </c>
      <c r="P33" s="236"/>
      <c r="Q33" s="35" t="s">
        <v>2877</v>
      </c>
      <c r="R33" s="172">
        <f>COUNTIF(H_unit[Exact],"?*")</f>
        <v>485</v>
      </c>
      <c r="S33" s="11">
        <f>R33/$R$31</f>
        <v>0.5300546448087432</v>
      </c>
      <c r="T33" s="6" cm="1">
        <f t="array" ref="T33">SUM(_xlfn._xlws.FILTER(H_unit[Heat],LEN(H_unit[Exact])&gt;0))</f>
        <v>8955.6999999999989</v>
      </c>
      <c r="U33" s="11">
        <f>T33/$AA$32</f>
        <v>0.59695513354619012</v>
      </c>
      <c r="V33" s="6" cm="1">
        <f t="array" ref="V33">SUM(_xlfn._xlws.FILTER(H_unit[Power],LEN(H_unit[Exact])&gt;0))</f>
        <v>1712.8999999999999</v>
      </c>
      <c r="W33" s="11">
        <f>V33/$V$31</f>
        <v>0.60657247069655451</v>
      </c>
      <c r="Y33" s="101" t="s">
        <v>1187</v>
      </c>
      <c r="Z33" s="14"/>
      <c r="AA33" s="172"/>
      <c r="AB33" s="172"/>
      <c r="AC33" s="11">
        <f>AC32/$AC$32</f>
        <v>1</v>
      </c>
      <c r="AD33" s="11">
        <f>AD32/$AC$32</f>
        <v>0.82240280433397095</v>
      </c>
      <c r="AE33" s="11">
        <f>AE32/$AC$32</f>
        <v>0.55784735500318694</v>
      </c>
      <c r="AF33" s="11">
        <f>AF32/$AC$32</f>
        <v>0.27738209050350554</v>
      </c>
    </row>
    <row r="34" spans="1:32">
      <c r="A34" s="238" t="s">
        <v>2382</v>
      </c>
      <c r="B34" s="238" t="s">
        <v>2383</v>
      </c>
      <c r="C34" s="240" t="str" cm="1">
        <f t="array" ref="C34">" "&amp;LOWER(_xlfn.REDUCE(H_unit[[#This Row],[Company]]&amp;" "&amp;H_unit[[#This Row],[Unit]],{",",".","(",")","/"},_xlfn.LAMBDA(_xlpm.txt,_xlpm.delim,SUBSTITUTE(_xlpm.txt,_xlpm.delim," "))))&amp;" "</f>
        <v xml:space="preserve"> seinäjoen voima oy  seinäjoki kapernaumin lämpölaitos </v>
      </c>
      <c r="D34" s="242">
        <v>1982</v>
      </c>
      <c r="E34" s="243">
        <v>143</v>
      </c>
      <c r="F34" s="243"/>
      <c r="G34" s="247"/>
      <c r="H34" s="267" t="s">
        <v>1423</v>
      </c>
      <c r="I34" s="248" t="s">
        <v>1143</v>
      </c>
      <c r="J34" s="246" t="str" cm="1">
        <f t="array" ref="J34">_xlfn.XLOOKUP(TRUE,ISNUMBER(SEARCH(" "&amp;Municipality[Municipality]&amp;" ",H_unit[[#This Row],[Info string]])),Municipality[Municipality],"")</f>
        <v>Seinäjoki</v>
      </c>
      <c r="K34" s="246" t="str" cm="1">
        <f t="array" ref="K34">IF(H_unit[[#This Row],[Exact]]&lt;&gt;"","",_xlfn.XLOOKUP(TRUE,ISNUMBER(SEARCH(" "&amp;Municipality[Municipality]&amp;"n ",H_unit[[#This Row],[Info string]])),Municipality[Municipality],""))</f>
        <v/>
      </c>
      <c r="L34" s="246"/>
      <c r="M34" s="244"/>
      <c r="N34" s="246" t="str">
        <f>_xlfn.TEXTJOIN("",TRUE,H_unit[[#This Row],[Exact]],H_unit[[#This Row],[Exact+n]],H_unit[[#This Row],[Copilot]])</f>
        <v>Seinäjoki</v>
      </c>
      <c r="O34" s="246" t="str">
        <f>_xlfn.XLOOKUP(H_unit[[#This Row],[Municipality]],Municipality[Municipality],Municipality[Model],"")</f>
        <v>West</v>
      </c>
      <c r="P34" s="236"/>
      <c r="Q34" s="35" t="s">
        <v>2886</v>
      </c>
      <c r="R34" s="172">
        <f>COUNTIF(H_unit[Exact+n],"?*")</f>
        <v>195</v>
      </c>
      <c r="S34" s="11">
        <f>R34/$R$31</f>
        <v>0.21311475409836064</v>
      </c>
      <c r="T34" s="6" cm="1">
        <f t="array" ref="T34">SUM(_xlfn._xlws.FILTER(H_unit[Heat],LEN(H_unit[Exact+n])&gt;0))</f>
        <v>3491.1999999999989</v>
      </c>
      <c r="U34" s="11">
        <f>T34/$AA$32</f>
        <v>0.23271098431573842</v>
      </c>
      <c r="V34" s="6" cm="1">
        <f t="array" ref="V34">SUM(_xlfn._xlws.FILTER(H_unit[Power],LEN(H_unit[Exact+n])&gt;0))</f>
        <v>654.30000000000007</v>
      </c>
      <c r="W34" s="11">
        <f>V34/$V$31</f>
        <v>0.23170083926484658</v>
      </c>
      <c r="Y34" s="35" t="s">
        <v>2997</v>
      </c>
    </row>
    <row r="35" spans="1:32">
      <c r="A35" s="238" t="s">
        <v>2044</v>
      </c>
      <c r="B35" s="238" t="s">
        <v>2054</v>
      </c>
      <c r="C35" s="240" t="str" cm="1">
        <f t="array" ref="C35">" "&amp;LOWER(_xlfn.REDUCE(H_unit[[#This Row],[Company]]&amp;" "&amp;H_unit[[#This Row],[Unit]],{",",".","(",")","/"},_xlfn.LAMBDA(_xlpm.txt,_xlpm.delim,SUBSTITUTE(_xlpm.txt,_xlpm.delim," "))))&amp;" "</f>
        <v xml:space="preserve"> pori energia oy  pori aittaluoto  a-kattila </v>
      </c>
      <c r="D35" s="242">
        <v>2020</v>
      </c>
      <c r="E35" s="243">
        <v>140</v>
      </c>
      <c r="F35" s="243">
        <v>12</v>
      </c>
      <c r="G35" s="247"/>
      <c r="H35" s="267" t="s">
        <v>1428</v>
      </c>
      <c r="I35" s="248" t="s">
        <v>1153</v>
      </c>
      <c r="J35" s="246" t="str" cm="1">
        <f t="array" ref="J35">_xlfn.XLOOKUP(TRUE,ISNUMBER(SEARCH(" "&amp;Municipality[Municipality]&amp;" ",H_unit[[#This Row],[Info string]])),Municipality[Municipality],"")</f>
        <v>Pori</v>
      </c>
      <c r="K35" s="246" t="str" cm="1">
        <f t="array" ref="K35">IF(H_unit[[#This Row],[Exact]]&lt;&gt;"","",_xlfn.XLOOKUP(TRUE,ISNUMBER(SEARCH(" "&amp;Municipality[Municipality]&amp;"n ",H_unit[[#This Row],[Info string]])),Municipality[Municipality],""))</f>
        <v/>
      </c>
      <c r="L35" s="246"/>
      <c r="M35" s="244"/>
      <c r="N35" s="246" t="str">
        <f>_xlfn.TEXTJOIN("",TRUE,H_unit[[#This Row],[Exact]],H_unit[[#This Row],[Exact+n]],H_unit[[#This Row],[Copilot]])</f>
        <v>Pori</v>
      </c>
      <c r="O35" s="246" t="str">
        <f>_xlfn.XLOOKUP(H_unit[[#This Row],[Municipality]],Municipality[Municipality],Municipality[Model],"")</f>
        <v>West</v>
      </c>
      <c r="P35" s="236"/>
      <c r="Q35" s="35" t="s">
        <v>2887</v>
      </c>
      <c r="R35" s="172">
        <f>COUNTIF(H_unit[Copilot],"?*")</f>
        <v>203</v>
      </c>
      <c r="S35" s="11">
        <f>R35/$R$31</f>
        <v>0.22185792349726777</v>
      </c>
      <c r="T35" s="6" cm="1">
        <f t="array" ref="T35">SUM(_xlfn._xlws.FILTER(H_unit[Heat],LEN(H_unit[Copilot])&gt;0))</f>
        <v>2503.6000000000008</v>
      </c>
      <c r="U35" s="11">
        <f>T35/$AA$32</f>
        <v>0.16688107823467091</v>
      </c>
      <c r="V35" s="6" cm="1">
        <f t="array" ref="V35">SUM(_xlfn._xlws.FILTER(H_unit[Power],LEN(H_unit[Copilot])&gt;0))</f>
        <v>441.5</v>
      </c>
      <c r="W35" s="11">
        <f>V35/$V$31</f>
        <v>0.15634406317504165</v>
      </c>
    </row>
    <row r="36" spans="1:32">
      <c r="A36" s="238" t="s">
        <v>1897</v>
      </c>
      <c r="B36" s="238" t="s">
        <v>1075</v>
      </c>
      <c r="C36" s="240" t="str" cm="1">
        <f t="array" ref="C36">" "&amp;LOWER(_xlfn.REDUCE(H_unit[[#This Row],[Company]]&amp;" "&amp;H_unit[[#This Row],[Unit]],{",",".","(",")","/"},_xlfn.LAMBDA(_xlpm.txt,_xlpm.delim,SUBSTITUTE(_xlpm.txt,_xlpm.delim," "))))&amp;" "</f>
        <v xml:space="preserve"> neve oy  rovaniemi suosiola </v>
      </c>
      <c r="D36" s="242">
        <v>1995</v>
      </c>
      <c r="E36" s="243">
        <v>135</v>
      </c>
      <c r="F36" s="243">
        <v>32.4</v>
      </c>
      <c r="G36" s="247"/>
      <c r="H36" s="267" t="s">
        <v>1423</v>
      </c>
      <c r="I36" s="248" t="s">
        <v>1153</v>
      </c>
      <c r="J36" s="246" t="str" cm="1">
        <f t="array" ref="J36">_xlfn.XLOOKUP(TRUE,ISNUMBER(SEARCH(" "&amp;Municipality[Municipality]&amp;" ",H_unit[[#This Row],[Info string]])),Municipality[Municipality],"")</f>
        <v>Rovaniemi</v>
      </c>
      <c r="K36" s="246" t="str" cm="1">
        <f t="array" ref="K36">IF(H_unit[[#This Row],[Exact]]&lt;&gt;"","",_xlfn.XLOOKUP(TRUE,ISNUMBER(SEARCH(" "&amp;Municipality[Municipality]&amp;"n ",H_unit[[#This Row],[Info string]])),Municipality[Municipality],""))</f>
        <v/>
      </c>
      <c r="L36" s="246"/>
      <c r="M36" s="244"/>
      <c r="N36" s="246" t="str">
        <f>_xlfn.TEXTJOIN("",TRUE,H_unit[[#This Row],[Exact]],H_unit[[#This Row],[Exact+n]],H_unit[[#This Row],[Copilot]])</f>
        <v>Rovaniemi</v>
      </c>
      <c r="O36" s="246" t="str">
        <f>_xlfn.XLOOKUP(H_unit[[#This Row],[Municipality]],Municipality[Municipality],Municipality[Model],"")</f>
        <v>North</v>
      </c>
      <c r="P36" s="236"/>
    </row>
    <row r="37" spans="1:32">
      <c r="A37" s="238" t="s">
        <v>2113</v>
      </c>
      <c r="B37" s="238" t="s">
        <v>2124</v>
      </c>
      <c r="C37" s="240" t="str" cm="1">
        <f t="array" ref="C37">" "&amp;LOWER(_xlfn.REDUCE(H_unit[[#This Row],[Company]]&amp;" "&amp;H_unit[[#This Row],[Unit]],{",",".","(",")","/"},_xlfn.LAMBDA(_xlpm.txt,_xlpm.delim,SUBSTITUTE(_xlpm.txt,_xlpm.delim," "))))&amp;" "</f>
        <v xml:space="preserve"> savon voima oyj  joensuu joensuu chp </v>
      </c>
      <c r="D37" s="242">
        <v>1986</v>
      </c>
      <c r="E37" s="243">
        <v>130</v>
      </c>
      <c r="F37" s="243">
        <v>50</v>
      </c>
      <c r="G37" s="247"/>
      <c r="H37" s="267" t="s">
        <v>2125</v>
      </c>
      <c r="I37" s="248" t="s">
        <v>1153</v>
      </c>
      <c r="J37" s="246" t="str" cm="1">
        <f t="array" ref="J37">_xlfn.XLOOKUP(TRUE,ISNUMBER(SEARCH(" "&amp;Municipality[Municipality]&amp;" ",H_unit[[#This Row],[Info string]])),Municipality[Municipality],"")</f>
        <v>Joensuu</v>
      </c>
      <c r="K37" s="246" t="str" cm="1">
        <f t="array" ref="K37">IF(H_unit[[#This Row],[Exact]]&lt;&gt;"","",_xlfn.XLOOKUP(TRUE,ISNUMBER(SEARCH(" "&amp;Municipality[Municipality]&amp;"n ",H_unit[[#This Row],[Info string]])),Municipality[Municipality],""))</f>
        <v/>
      </c>
      <c r="L37" s="246"/>
      <c r="M37" s="244"/>
      <c r="N37" s="246" t="str">
        <f>_xlfn.TEXTJOIN("",TRUE,H_unit[[#This Row],[Exact]],H_unit[[#This Row],[Exact+n]],H_unit[[#This Row],[Copilot]])</f>
        <v>Joensuu</v>
      </c>
      <c r="O37" s="246" t="str">
        <f>_xlfn.XLOOKUP(H_unit[[#This Row],[Municipality]],Municipality[Municipality],Municipality[Model],"")</f>
        <v>East</v>
      </c>
      <c r="P37" s="236"/>
      <c r="Q37" s="98" t="s">
        <v>2946</v>
      </c>
      <c r="R37" s="98"/>
      <c r="S37" s="98"/>
      <c r="T37" s="98"/>
      <c r="U37" s="98"/>
      <c r="V37" s="98"/>
      <c r="W37" s="98"/>
      <c r="X37" s="98"/>
      <c r="Y37" s="98"/>
      <c r="Z37" s="98"/>
      <c r="AA37" s="98"/>
      <c r="AB37" s="98"/>
      <c r="AC37" s="98"/>
      <c r="AD37" s="98"/>
      <c r="AE37" s="98"/>
      <c r="AF37" s="98"/>
    </row>
    <row r="38" spans="1:32">
      <c r="A38" s="238" t="s">
        <v>1655</v>
      </c>
      <c r="B38" s="238" t="s">
        <v>1038</v>
      </c>
      <c r="C38" s="240" t="str" cm="1">
        <f t="array" ref="C38">" "&amp;LOWER(_xlfn.REDUCE(H_unit[[#This Row],[Company]]&amp;" "&amp;H_unit[[#This Row],[Unit]],{",",".","(",")","/"},_xlfn.LAMBDA(_xlpm.txt,_xlpm.delim,SUBSTITUTE(_xlpm.txt,_xlpm.delim," "))))&amp;" "</f>
        <v xml:space="preserve"> kotkan energia oy hovinsaari </v>
      </c>
      <c r="D38" s="242">
        <v>1997</v>
      </c>
      <c r="E38" s="243">
        <v>120</v>
      </c>
      <c r="F38" s="243">
        <v>50</v>
      </c>
      <c r="G38" s="247"/>
      <c r="H38" s="267" t="s">
        <v>1453</v>
      </c>
      <c r="I38" s="248" t="s">
        <v>1145</v>
      </c>
      <c r="J38" s="246" t="str" cm="1">
        <f t="array" ref="J38">_xlfn.XLOOKUP(TRUE,ISNUMBER(SEARCH(" "&amp;Municipality[Municipality]&amp;" ",H_unit[[#This Row],[Info string]])),Municipality[Municipality],"")</f>
        <v/>
      </c>
      <c r="K38" s="246" t="str" cm="1">
        <f t="array" ref="K38">IF(H_unit[[#This Row],[Exact]]&lt;&gt;"","",_xlfn.XLOOKUP(TRUE,ISNUMBER(SEARCH(" "&amp;Municipality[Municipality]&amp;"n ",H_unit[[#This Row],[Info string]])),Municipality[Municipality],""))</f>
        <v>Kotka</v>
      </c>
      <c r="L38" s="246"/>
      <c r="M38" s="244"/>
      <c r="N38" s="246" t="str">
        <f>_xlfn.TEXTJOIN("",TRUE,H_unit[[#This Row],[Exact]],H_unit[[#This Row],[Exact+n]],H_unit[[#This Row],[Copilot]])</f>
        <v>Kotka</v>
      </c>
      <c r="O38" s="246" t="str">
        <f>_xlfn.XLOOKUP(H_unit[[#This Row],[Municipality]],Municipality[Municipality],Municipality[Model],"")</f>
        <v>South East</v>
      </c>
      <c r="P38" s="236"/>
      <c r="Q38" s="101" t="s">
        <v>2944</v>
      </c>
      <c r="R38" s="347" t="s">
        <v>2947</v>
      </c>
      <c r="S38" s="347"/>
      <c r="T38" s="347"/>
      <c r="U38" s="347"/>
      <c r="V38" s="347"/>
      <c r="W38" s="347"/>
      <c r="X38" s="347"/>
      <c r="Y38" s="347"/>
      <c r="Z38" s="347"/>
      <c r="AA38" s="347"/>
      <c r="AB38" s="347"/>
      <c r="AC38" s="347"/>
      <c r="AD38" s="347"/>
      <c r="AE38" s="347"/>
      <c r="AF38" s="347"/>
    </row>
    <row r="39" spans="1:32">
      <c r="A39" s="238" t="s">
        <v>2392</v>
      </c>
      <c r="B39" s="238" t="s">
        <v>2394</v>
      </c>
      <c r="C39" s="240" t="str" cm="1">
        <f t="array" ref="C39">" "&amp;LOWER(_xlfn.REDUCE(H_unit[[#This Row],[Company]]&amp;" "&amp;H_unit[[#This Row],[Unit]],{",",".","(",")","/"},_xlfn.LAMBDA(_xlpm.txt,_xlpm.delim,SUBSTITUTE(_xlpm.txt,_xlpm.delim," "))))&amp;" "</f>
        <v xml:space="preserve"> stora enso oulu oy leijupetikattila k3 </v>
      </c>
      <c r="D39" s="242">
        <v>1997</v>
      </c>
      <c r="E39" s="243">
        <v>120</v>
      </c>
      <c r="F39" s="243">
        <v>30</v>
      </c>
      <c r="G39" s="247"/>
      <c r="H39" s="267" t="s">
        <v>1428</v>
      </c>
      <c r="I39" s="248" t="s">
        <v>2345</v>
      </c>
      <c r="J39" s="246" t="str" cm="1">
        <f t="array" ref="J39">_xlfn.XLOOKUP(TRUE,ISNUMBER(SEARCH(" "&amp;Municipality[Municipality]&amp;" ",H_unit[[#This Row],[Info string]])),Municipality[Municipality],"")</f>
        <v>Oulu</v>
      </c>
      <c r="K39" s="246" t="str" cm="1">
        <f t="array" ref="K39">IF(H_unit[[#This Row],[Exact]]&lt;&gt;"","",_xlfn.XLOOKUP(TRUE,ISNUMBER(SEARCH(" "&amp;Municipality[Municipality]&amp;"n ",H_unit[[#This Row],[Info string]])),Municipality[Municipality],""))</f>
        <v/>
      </c>
      <c r="L39" s="246"/>
      <c r="M39" s="244"/>
      <c r="N39" s="246" t="str">
        <f>_xlfn.TEXTJOIN("",TRUE,H_unit[[#This Row],[Exact]],H_unit[[#This Row],[Exact+n]],H_unit[[#This Row],[Copilot]])</f>
        <v>Oulu</v>
      </c>
      <c r="O39" s="246" t="str">
        <f>_xlfn.XLOOKUP(H_unit[[#This Row],[Municipality]],Municipality[Municipality],Municipality[Model],"")</f>
        <v>North</v>
      </c>
      <c r="P39" s="236"/>
      <c r="Q39" s="101"/>
      <c r="R39" s="347"/>
      <c r="S39" s="347"/>
      <c r="T39" s="347"/>
      <c r="U39" s="347"/>
      <c r="V39" s="347"/>
      <c r="W39" s="347"/>
      <c r="X39" s="347"/>
      <c r="Y39" s="347"/>
      <c r="Z39" s="347"/>
      <c r="AA39" s="347"/>
      <c r="AB39" s="347"/>
      <c r="AC39" s="347"/>
      <c r="AD39" s="347"/>
      <c r="AE39" s="347"/>
      <c r="AF39" s="347"/>
    </row>
    <row r="40" spans="1:32">
      <c r="A40" s="238" t="s">
        <v>2382</v>
      </c>
      <c r="B40" s="238" t="s">
        <v>2384</v>
      </c>
      <c r="C40" s="240" t="str" cm="1">
        <f t="array" ref="C40">" "&amp;LOWER(_xlfn.REDUCE(H_unit[[#This Row],[Company]]&amp;" "&amp;H_unit[[#This Row],[Unit]],{",",".","(",")","/"},_xlfn.LAMBDA(_xlpm.txt,_xlpm.delim,SUBSTITUTE(_xlpm.txt,_xlpm.delim," "))))&amp;" "</f>
        <v xml:space="preserve"> seinäjoen voima oy  seinäjoki hanneksenrinteen lämpölaitos </v>
      </c>
      <c r="D40" s="242">
        <v>2019</v>
      </c>
      <c r="E40" s="243">
        <v>120</v>
      </c>
      <c r="F40" s="243"/>
      <c r="G40" s="247"/>
      <c r="H40" s="267" t="s">
        <v>1436</v>
      </c>
      <c r="I40" s="248" t="s">
        <v>1143</v>
      </c>
      <c r="J40" s="246" t="str" cm="1">
        <f t="array" ref="J40">_xlfn.XLOOKUP(TRUE,ISNUMBER(SEARCH(" "&amp;Municipality[Municipality]&amp;" ",H_unit[[#This Row],[Info string]])),Municipality[Municipality],"")</f>
        <v>Seinäjoki</v>
      </c>
      <c r="K40" s="246" t="str" cm="1">
        <f t="array" ref="K40">IF(H_unit[[#This Row],[Exact]]&lt;&gt;"","",_xlfn.XLOOKUP(TRUE,ISNUMBER(SEARCH(" "&amp;Municipality[Municipality]&amp;"n ",H_unit[[#This Row],[Info string]])),Municipality[Municipality],""))</f>
        <v/>
      </c>
      <c r="L40" s="246"/>
      <c r="M40" s="244"/>
      <c r="N40" s="246" t="str">
        <f>_xlfn.TEXTJOIN("",TRUE,H_unit[[#This Row],[Exact]],H_unit[[#This Row],[Exact+n]],H_unit[[#This Row],[Copilot]])</f>
        <v>Seinäjoki</v>
      </c>
      <c r="O40" s="246" t="str">
        <f>_xlfn.XLOOKUP(H_unit[[#This Row],[Municipality]],Municipality[Municipality],Municipality[Model],"")</f>
        <v>West</v>
      </c>
      <c r="P40" s="236"/>
      <c r="Q40" s="101"/>
      <c r="R40" s="347"/>
      <c r="S40" s="347"/>
      <c r="T40" s="347"/>
      <c r="U40" s="347"/>
      <c r="V40" s="347"/>
      <c r="W40" s="347"/>
      <c r="X40" s="347"/>
      <c r="Y40" s="347"/>
      <c r="Z40" s="347"/>
      <c r="AA40" s="347"/>
      <c r="AB40" s="347"/>
      <c r="AC40" s="347"/>
      <c r="AD40" s="347"/>
      <c r="AE40" s="347"/>
      <c r="AF40" s="347"/>
    </row>
    <row r="41" spans="1:32">
      <c r="A41" s="238" t="s">
        <v>2415</v>
      </c>
      <c r="B41" s="238" t="s">
        <v>2416</v>
      </c>
      <c r="C41" s="240" t="str" cm="1">
        <f t="array" ref="C41">" "&amp;LOWER(_xlfn.REDUCE(H_unit[[#This Row],[Company]]&amp;" "&amp;H_unit[[#This Row],[Unit]],{",",".","(",")","/"},_xlfn.LAMBDA(_xlpm.txt,_xlpm.delim,SUBSTITUTE(_xlpm.txt,_xlpm.delim," "))))&amp;" "</f>
        <v xml:space="preserve"> vaasan voima oy vaskiluoto sähkökattila </v>
      </c>
      <c r="D41" s="242">
        <v>2023</v>
      </c>
      <c r="E41" s="243">
        <v>120</v>
      </c>
      <c r="F41" s="243"/>
      <c r="G41" s="247"/>
      <c r="H41" s="267" t="s">
        <v>1772</v>
      </c>
      <c r="I41" s="248" t="s">
        <v>1146</v>
      </c>
      <c r="J41" s="246" t="str" cm="1">
        <f t="array" ref="J41">_xlfn.XLOOKUP(TRUE,ISNUMBER(SEARCH(" "&amp;Municipality[Municipality]&amp;" ",H_unit[[#This Row],[Info string]])),Municipality[Municipality],"")</f>
        <v/>
      </c>
      <c r="K41" s="246" t="str" cm="1">
        <f t="array" ref="K41">IF(H_unit[[#This Row],[Exact]]&lt;&gt;"","",_xlfn.XLOOKUP(TRUE,ISNUMBER(SEARCH(" "&amp;Municipality[Municipality]&amp;"n ",H_unit[[#This Row],[Info string]])),Municipality[Municipality],""))</f>
        <v>Vaasa</v>
      </c>
      <c r="L41" s="246"/>
      <c r="M41" s="244"/>
      <c r="N41" s="246" t="str">
        <f>_xlfn.TEXTJOIN("",TRUE,H_unit[[#This Row],[Exact]],H_unit[[#This Row],[Exact+n]],H_unit[[#This Row],[Copilot]])</f>
        <v>Vaasa</v>
      </c>
      <c r="O41" s="246" t="str">
        <f>_xlfn.XLOOKUP(H_unit[[#This Row],[Municipality]],Municipality[Municipality],Municipality[Model],"")</f>
        <v>West</v>
      </c>
      <c r="P41" s="236"/>
      <c r="Q41" s="101"/>
      <c r="R41" s="347"/>
      <c r="S41" s="347"/>
      <c r="T41" s="347"/>
      <c r="U41" s="347"/>
      <c r="V41" s="347"/>
      <c r="W41" s="347"/>
      <c r="X41" s="347"/>
      <c r="Y41" s="347"/>
      <c r="Z41" s="347"/>
      <c r="AA41" s="347"/>
      <c r="AB41" s="347"/>
      <c r="AC41" s="347"/>
      <c r="AD41" s="347"/>
      <c r="AE41" s="347"/>
      <c r="AF41" s="347"/>
    </row>
    <row r="42" spans="1:32">
      <c r="A42" s="238" t="s">
        <v>2302</v>
      </c>
      <c r="B42" s="238" t="s">
        <v>2303</v>
      </c>
      <c r="C42" s="240" t="str" cm="1">
        <f t="array" ref="C42">" "&amp;LOWER(_xlfn.REDUCE(H_unit[[#This Row],[Company]]&amp;" "&amp;H_unit[[#This Row],[Unit]],{",",".","(",")","/"},_xlfn.LAMBDA(_xlpm.txt,_xlpm.delim,SUBSTITUTE(_xlpm.txt,_xlpm.delim," "))))&amp;" "</f>
        <v xml:space="preserve"> kaukaan voima oy  lappeenranta kaukaan voima oy </v>
      </c>
      <c r="D42" s="242">
        <v>2009</v>
      </c>
      <c r="E42" s="243">
        <v>110</v>
      </c>
      <c r="F42" s="243">
        <v>60</v>
      </c>
      <c r="G42" s="247"/>
      <c r="H42" s="267" t="s">
        <v>1439</v>
      </c>
      <c r="I42" s="248" t="s">
        <v>1153</v>
      </c>
      <c r="J42" s="246" t="str" cm="1">
        <f t="array" ref="J42">_xlfn.XLOOKUP(TRUE,ISNUMBER(SEARCH(" "&amp;Municipality[Municipality]&amp;" ",H_unit[[#This Row],[Info string]])),Municipality[Municipality],"")</f>
        <v>Lappeenranta</v>
      </c>
      <c r="K42" s="246" t="str" cm="1">
        <f t="array" ref="K42">IF(H_unit[[#This Row],[Exact]]&lt;&gt;"","",_xlfn.XLOOKUP(TRUE,ISNUMBER(SEARCH(" "&amp;Municipality[Municipality]&amp;"n ",H_unit[[#This Row],[Info string]])),Municipality[Municipality],""))</f>
        <v/>
      </c>
      <c r="L42" s="246"/>
      <c r="M42" s="244"/>
      <c r="N42" s="246" t="str">
        <f>_xlfn.TEXTJOIN("",TRUE,H_unit[[#This Row],[Exact]],H_unit[[#This Row],[Exact+n]],H_unit[[#This Row],[Copilot]])</f>
        <v>Lappeenranta</v>
      </c>
      <c r="O42" s="246" t="str">
        <f>_xlfn.XLOOKUP(H_unit[[#This Row],[Municipality]],Municipality[Municipality],Municipality[Model],"")</f>
        <v>South East</v>
      </c>
      <c r="P42" s="236"/>
      <c r="Q42" s="101"/>
      <c r="R42" s="347"/>
      <c r="S42" s="347"/>
      <c r="T42" s="347"/>
      <c r="U42" s="347"/>
      <c r="V42" s="347"/>
      <c r="W42" s="347"/>
      <c r="X42" s="347"/>
      <c r="Y42" s="347"/>
      <c r="Z42" s="347"/>
      <c r="AA42" s="347"/>
      <c r="AB42" s="347"/>
      <c r="AC42" s="347"/>
      <c r="AD42" s="347"/>
      <c r="AE42" s="347"/>
      <c r="AF42" s="347"/>
    </row>
    <row r="43" spans="1:32">
      <c r="A43" s="238" t="s">
        <v>2276</v>
      </c>
      <c r="B43" s="238" t="s">
        <v>2276</v>
      </c>
      <c r="C43" s="240" t="str" cm="1">
        <f t="array" ref="C43">" "&amp;LOWER(_xlfn.REDUCE(H_unit[[#This Row],[Company]]&amp;" "&amp;H_unit[[#This Row],[Unit]],{",",".","(",")","/"},_xlfn.LAMBDA(_xlpm.txt,_xlpm.delim,SUBSTITUTE(_xlpm.txt,_xlpm.delim," "))))&amp;" "</f>
        <v xml:space="preserve"> fortum waste solutions oy  riihimäki fortum waste solutions oy  riihimäki </v>
      </c>
      <c r="D43" s="242">
        <v>1984</v>
      </c>
      <c r="E43" s="243">
        <v>105</v>
      </c>
      <c r="F43" s="243">
        <v>16</v>
      </c>
      <c r="G43" s="247"/>
      <c r="H43" s="267" t="s">
        <v>2277</v>
      </c>
      <c r="I43" s="248" t="s">
        <v>1154</v>
      </c>
      <c r="J43" s="246" t="str" cm="1">
        <f t="array" ref="J43">_xlfn.XLOOKUP(TRUE,ISNUMBER(SEARCH(" "&amp;Municipality[Municipality]&amp;" ",H_unit[[#This Row],[Info string]])),Municipality[Municipality],"")</f>
        <v>Riihimäki</v>
      </c>
      <c r="K43" s="246" t="str" cm="1">
        <f t="array" ref="K43">IF(H_unit[[#This Row],[Exact]]&lt;&gt;"","",_xlfn.XLOOKUP(TRUE,ISNUMBER(SEARCH(" "&amp;Municipality[Municipality]&amp;"n ",H_unit[[#This Row],[Info string]])),Municipality[Municipality],""))</f>
        <v/>
      </c>
      <c r="L43" s="246"/>
      <c r="M43" s="244"/>
      <c r="N43" s="246" t="str">
        <f>_xlfn.TEXTJOIN("",TRUE,H_unit[[#This Row],[Exact]],H_unit[[#This Row],[Exact+n]],H_unit[[#This Row],[Copilot]])</f>
        <v>Riihimäki</v>
      </c>
      <c r="O43" s="246" t="str">
        <f>_xlfn.XLOOKUP(H_unit[[#This Row],[Municipality]],Municipality[Municipality],Municipality[Model],"")</f>
        <v>South West</v>
      </c>
      <c r="P43" s="236"/>
      <c r="Q43" s="101"/>
      <c r="R43" s="347"/>
      <c r="S43" s="347"/>
      <c r="T43" s="347"/>
      <c r="U43" s="347"/>
      <c r="V43" s="347"/>
      <c r="W43" s="347"/>
      <c r="X43" s="347"/>
      <c r="Y43" s="347"/>
      <c r="Z43" s="347"/>
      <c r="AA43" s="347"/>
      <c r="AB43" s="347"/>
      <c r="AC43" s="347"/>
      <c r="AD43" s="347"/>
      <c r="AE43" s="347"/>
      <c r="AF43" s="347"/>
    </row>
    <row r="44" spans="1:32">
      <c r="A44" s="238" t="s">
        <v>2300</v>
      </c>
      <c r="B44" s="238" t="s">
        <v>2301</v>
      </c>
      <c r="C44" s="240" t="str" cm="1">
        <f t="array" ref="C44">" "&amp;LOWER(_xlfn.REDUCE(H_unit[[#This Row],[Company]]&amp;" "&amp;H_unit[[#This Row],[Unit]],{",",".","(",")","/"},_xlfn.LAMBDA(_xlpm.txt,_xlpm.delim,SUBSTITUTE(_xlpm.txt,_xlpm.delim," "))))&amp;" "</f>
        <v xml:space="preserve"> kainuun voima oy  kajaani kainuun voima </v>
      </c>
      <c r="D44" s="242">
        <v>1999</v>
      </c>
      <c r="E44" s="243">
        <v>105</v>
      </c>
      <c r="F44" s="243" t="s">
        <v>1448</v>
      </c>
      <c r="G44" s="247"/>
      <c r="H44" s="267" t="s">
        <v>1453</v>
      </c>
      <c r="I44" s="248" t="s">
        <v>1142</v>
      </c>
      <c r="J44" s="246" t="str" cm="1">
        <f t="array" ref="J44">_xlfn.XLOOKUP(TRUE,ISNUMBER(SEARCH(" "&amp;Municipality[Municipality]&amp;" ",H_unit[[#This Row],[Info string]])),Municipality[Municipality],"")</f>
        <v>Kajaani</v>
      </c>
      <c r="K44" s="246" t="str" cm="1">
        <f t="array" ref="K44">IF(H_unit[[#This Row],[Exact]]&lt;&gt;"","",_xlfn.XLOOKUP(TRUE,ISNUMBER(SEARCH(" "&amp;Municipality[Municipality]&amp;"n ",H_unit[[#This Row],[Info string]])),Municipality[Municipality],""))</f>
        <v/>
      </c>
      <c r="L44" s="246"/>
      <c r="M44" s="244"/>
      <c r="N44" s="246" t="str">
        <f>_xlfn.TEXTJOIN("",TRUE,H_unit[[#This Row],[Exact]],H_unit[[#This Row],[Exact+n]],H_unit[[#This Row],[Copilot]])</f>
        <v>Kajaani</v>
      </c>
      <c r="O44" s="246" t="str">
        <f>_xlfn.XLOOKUP(H_unit[[#This Row],[Municipality]],Municipality[Municipality],Municipality[Model],"")</f>
        <v>East</v>
      </c>
      <c r="P44" s="236"/>
      <c r="Q44" s="101"/>
      <c r="R44" s="347"/>
      <c r="S44" s="347"/>
      <c r="T44" s="347"/>
      <c r="U44" s="347"/>
      <c r="V44" s="347"/>
      <c r="W44" s="347"/>
      <c r="X44" s="347"/>
      <c r="Y44" s="347"/>
      <c r="Z44" s="347"/>
      <c r="AA44" s="347"/>
      <c r="AB44" s="347"/>
      <c r="AC44" s="347"/>
      <c r="AD44" s="347"/>
      <c r="AE44" s="347"/>
      <c r="AF44" s="347"/>
    </row>
    <row r="45" spans="1:32" ht="14.4" customHeight="1">
      <c r="A45" s="238" t="s">
        <v>1650</v>
      </c>
      <c r="B45" s="238" t="s">
        <v>1653</v>
      </c>
      <c r="C45" s="240" t="str" cm="1">
        <f t="array" ref="C45">" "&amp;LOWER(_xlfn.REDUCE(H_unit[[#This Row],[Company]]&amp;" "&amp;H_unit[[#This Row],[Unit]],{",",".","(",")","/"},_xlfn.LAMBDA(_xlpm.txt,_xlpm.delim,SUBSTITUTE(_xlpm.txt,_xlpm.delim," "))))&amp;" "</f>
        <v xml:space="preserve"> kokkolan energia kokkolan energia oy power </v>
      </c>
      <c r="D45" s="242">
        <v>1978</v>
      </c>
      <c r="E45" s="243">
        <v>100</v>
      </c>
      <c r="F45" s="243">
        <v>27</v>
      </c>
      <c r="G45" s="247"/>
      <c r="H45" s="267" t="s">
        <v>1428</v>
      </c>
      <c r="I45" s="248" t="s">
        <v>1153</v>
      </c>
      <c r="J45" s="246" t="str" cm="1">
        <f t="array" ref="J45">_xlfn.XLOOKUP(TRUE,ISNUMBER(SEARCH(" "&amp;Municipality[Municipality]&amp;" ",H_unit[[#This Row],[Info string]])),Municipality[Municipality],"")</f>
        <v/>
      </c>
      <c r="K45" s="246" t="str" cm="1">
        <f t="array" ref="K45">IF(H_unit[[#This Row],[Exact]]&lt;&gt;"","",_xlfn.XLOOKUP(TRUE,ISNUMBER(SEARCH(" "&amp;Municipality[Municipality]&amp;"n ",H_unit[[#This Row],[Info string]])),Municipality[Municipality],""))</f>
        <v>Kokkola</v>
      </c>
      <c r="L45" s="246"/>
      <c r="M45" s="244"/>
      <c r="N45" s="246" t="str">
        <f>_xlfn.TEXTJOIN("",TRUE,H_unit[[#This Row],[Exact]],H_unit[[#This Row],[Exact+n]],H_unit[[#This Row],[Copilot]])</f>
        <v>Kokkola</v>
      </c>
      <c r="O45" s="246" t="str">
        <f>_xlfn.XLOOKUP(H_unit[[#This Row],[Municipality]],Municipality[Municipality],Municipality[Model],"")</f>
        <v>West</v>
      </c>
      <c r="P45" s="236"/>
      <c r="Q45" s="101"/>
      <c r="R45" s="347"/>
      <c r="S45" s="347"/>
      <c r="T45" s="347"/>
      <c r="U45" s="347"/>
      <c r="V45" s="347"/>
      <c r="W45" s="347"/>
      <c r="X45" s="347"/>
      <c r="Y45" s="347"/>
      <c r="Z45" s="347"/>
      <c r="AA45" s="347"/>
      <c r="AB45" s="347"/>
      <c r="AC45" s="347"/>
      <c r="AD45" s="347"/>
      <c r="AE45" s="347"/>
      <c r="AF45" s="347"/>
    </row>
    <row r="46" spans="1:32">
      <c r="A46" s="238" t="s">
        <v>2411</v>
      </c>
      <c r="B46" s="238" t="s">
        <v>2412</v>
      </c>
      <c r="C46" s="240" t="str" cm="1">
        <f t="array" ref="C46">" "&amp;LOWER(_xlfn.REDUCE(H_unit[[#This Row],[Company]]&amp;" "&amp;H_unit[[#This Row],[Unit]],{",",".","(",")","/"},_xlfn.LAMBDA(_xlpm.txt,_xlpm.delim,SUBSTITUTE(_xlpm.txt,_xlpm.delim," "))))&amp;" "</f>
        <v xml:space="preserve"> upm specialty papers oy  tervasaari tervasaari </v>
      </c>
      <c r="D46" s="242">
        <v>1980</v>
      </c>
      <c r="E46" s="243">
        <v>100</v>
      </c>
      <c r="F46" s="243"/>
      <c r="G46" s="247"/>
      <c r="H46" s="267" t="s">
        <v>1423</v>
      </c>
      <c r="I46" s="248" t="s">
        <v>1443</v>
      </c>
      <c r="J46" s="246" t="str" cm="1">
        <f t="array" ref="J46">_xlfn.XLOOKUP(TRUE,ISNUMBER(SEARCH(" "&amp;Municipality[Municipality]&amp;" ",H_unit[[#This Row],[Info string]])),Municipality[Municipality],"")</f>
        <v/>
      </c>
      <c r="K46" s="246" t="str" cm="1">
        <f t="array" ref="K46">IF(H_unit[[#This Row],[Exact]]&lt;&gt;"","",_xlfn.XLOOKUP(TRUE,ISNUMBER(SEARCH(" "&amp;Municipality[Municipality]&amp;"n ",H_unit[[#This Row],[Info string]])),Municipality[Municipality],""))</f>
        <v/>
      </c>
      <c r="L46" s="246" t="s">
        <v>2821</v>
      </c>
      <c r="M46" s="244" t="s">
        <v>2891</v>
      </c>
      <c r="N46" s="246" t="str">
        <f>_xlfn.TEXTJOIN("",TRUE,H_unit[[#This Row],[Exact]],H_unit[[#This Row],[Exact+n]],H_unit[[#This Row],[Copilot]])</f>
        <v>Valkeakoski</v>
      </c>
      <c r="O46" s="246" t="str">
        <f>_xlfn.XLOOKUP(H_unit[[#This Row],[Municipality]],Municipality[Municipality],Municipality[Model],"")</f>
        <v>Center</v>
      </c>
      <c r="P46" s="236"/>
      <c r="Q46" s="101"/>
      <c r="R46" s="347"/>
      <c r="S46" s="347"/>
      <c r="T46" s="347"/>
      <c r="U46" s="347"/>
      <c r="V46" s="347"/>
      <c r="W46" s="347"/>
      <c r="X46" s="347"/>
      <c r="Y46" s="347"/>
      <c r="Z46" s="347"/>
      <c r="AA46" s="347"/>
      <c r="AB46" s="347"/>
      <c r="AC46" s="347"/>
      <c r="AD46" s="347"/>
      <c r="AE46" s="347"/>
      <c r="AF46" s="347"/>
    </row>
    <row r="47" spans="1:32">
      <c r="A47" s="238" t="s">
        <v>2382</v>
      </c>
      <c r="B47" s="238" t="s">
        <v>2387</v>
      </c>
      <c r="C47" s="240" t="str" cm="1">
        <f t="array" ref="C47">" "&amp;LOWER(_xlfn.REDUCE(H_unit[[#This Row],[Company]]&amp;" "&amp;H_unit[[#This Row],[Unit]],{",",".","(",")","/"},_xlfn.LAMBDA(_xlpm.txt,_xlpm.delim,SUBSTITUTE(_xlpm.txt,_xlpm.delim," "))))&amp;" "</f>
        <v xml:space="preserve"> seinäjoen voima oy  seinäjoki sevo </v>
      </c>
      <c r="D47" s="242">
        <v>1990</v>
      </c>
      <c r="E47" s="243">
        <v>100</v>
      </c>
      <c r="F47" s="243">
        <v>108</v>
      </c>
      <c r="G47" s="247"/>
      <c r="H47" s="267" t="s">
        <v>1428</v>
      </c>
      <c r="I47" s="248" t="s">
        <v>1153</v>
      </c>
      <c r="J47" s="246" t="str" cm="1">
        <f t="array" ref="J47">_xlfn.XLOOKUP(TRUE,ISNUMBER(SEARCH(" "&amp;Municipality[Municipality]&amp;" ",H_unit[[#This Row],[Info string]])),Municipality[Municipality],"")</f>
        <v>Seinäjoki</v>
      </c>
      <c r="K47" s="246" t="str" cm="1">
        <f t="array" ref="K47">IF(H_unit[[#This Row],[Exact]]&lt;&gt;"","",_xlfn.XLOOKUP(TRUE,ISNUMBER(SEARCH(" "&amp;Municipality[Municipality]&amp;"n ",H_unit[[#This Row],[Info string]])),Municipality[Municipality],""))</f>
        <v/>
      </c>
      <c r="L47" s="246"/>
      <c r="M47" s="244"/>
      <c r="N47" s="246" t="str">
        <f>_xlfn.TEXTJOIN("",TRUE,H_unit[[#This Row],[Exact]],H_unit[[#This Row],[Exact+n]],H_unit[[#This Row],[Copilot]])</f>
        <v>Seinäjoki</v>
      </c>
      <c r="O47" s="246" t="str">
        <f>_xlfn.XLOOKUP(H_unit[[#This Row],[Municipality]],Municipality[Municipality],Municipality[Model],"")</f>
        <v>West</v>
      </c>
      <c r="P47" s="236"/>
      <c r="Q47" s="101" t="s">
        <v>2945</v>
      </c>
      <c r="R47" s="347" t="s">
        <v>2948</v>
      </c>
      <c r="S47" s="347"/>
      <c r="T47" s="347"/>
      <c r="U47" s="347"/>
      <c r="V47" s="347"/>
      <c r="W47" s="347"/>
      <c r="X47" s="347"/>
      <c r="Y47" s="347"/>
      <c r="Z47" s="347"/>
      <c r="AA47" s="347"/>
      <c r="AB47" s="347"/>
      <c r="AC47" s="347"/>
      <c r="AD47" s="347"/>
      <c r="AE47" s="347"/>
      <c r="AF47" s="347"/>
    </row>
    <row r="48" spans="1:32">
      <c r="A48" s="238" t="s">
        <v>2269</v>
      </c>
      <c r="B48" s="238" t="s">
        <v>965</v>
      </c>
      <c r="C48" s="240" t="str" cm="1">
        <f t="array" ref="C48">" "&amp;LOWER(_xlfn.REDUCE(H_unit[[#This Row],[Company]]&amp;" "&amp;H_unit[[#This Row],[Unit]],{",",".","(",")","/"},_xlfn.LAMBDA(_xlpm.txt,_xlpm.delim,SUBSTITUTE(_xlpm.txt,_xlpm.delim," "))))&amp;" "</f>
        <v xml:space="preserve"> alholmens kraft oy  pietarsaari ak2 </v>
      </c>
      <c r="D48" s="242">
        <v>2002</v>
      </c>
      <c r="E48" s="243">
        <v>100</v>
      </c>
      <c r="F48" s="243">
        <v>232</v>
      </c>
      <c r="G48" s="247"/>
      <c r="H48" s="267" t="s">
        <v>1428</v>
      </c>
      <c r="I48" s="248" t="s">
        <v>1153</v>
      </c>
      <c r="J48" s="246" t="str" cm="1">
        <f t="array" ref="J48">_xlfn.XLOOKUP(TRUE,ISNUMBER(SEARCH(" "&amp;Municipality[Municipality]&amp;" ",H_unit[[#This Row],[Info string]])),Municipality[Municipality],"")</f>
        <v>Pietarsaari</v>
      </c>
      <c r="K48" s="246" t="str" cm="1">
        <f t="array" ref="K48">IF(H_unit[[#This Row],[Exact]]&lt;&gt;"","",_xlfn.XLOOKUP(TRUE,ISNUMBER(SEARCH(" "&amp;Municipality[Municipality]&amp;"n ",H_unit[[#This Row],[Info string]])),Municipality[Municipality],""))</f>
        <v/>
      </c>
      <c r="L48" s="246"/>
      <c r="M48" s="244"/>
      <c r="N48" s="246" t="str">
        <f>_xlfn.TEXTJOIN("",TRUE,H_unit[[#This Row],[Exact]],H_unit[[#This Row],[Exact+n]],H_unit[[#This Row],[Copilot]])</f>
        <v>Pietarsaari</v>
      </c>
      <c r="O48" s="246" t="str">
        <f>_xlfn.XLOOKUP(H_unit[[#This Row],[Municipality]],Municipality[Municipality],Municipality[Model],"")</f>
        <v>West</v>
      </c>
      <c r="P48" s="236"/>
      <c r="Q48" s="101"/>
      <c r="R48" s="347"/>
      <c r="S48" s="347"/>
      <c r="T48" s="347"/>
      <c r="U48" s="347"/>
      <c r="V48" s="347"/>
      <c r="W48" s="347"/>
      <c r="X48" s="347"/>
      <c r="Y48" s="347"/>
      <c r="Z48" s="347"/>
      <c r="AA48" s="347"/>
      <c r="AB48" s="347"/>
      <c r="AC48" s="347"/>
      <c r="AD48" s="347"/>
      <c r="AE48" s="347"/>
      <c r="AF48" s="347"/>
    </row>
    <row r="49" spans="1:32">
      <c r="A49" s="238" t="s">
        <v>1728</v>
      </c>
      <c r="B49" s="238" t="s">
        <v>1742</v>
      </c>
      <c r="C49" s="240" t="str" cm="1">
        <f t="array" ref="C49">" "&amp;LOWER(_xlfn.REDUCE(H_unit[[#This Row],[Company]]&amp;" "&amp;H_unit[[#This Row],[Unit]],{",",".","(",")","/"},_xlfn.LAMBDA(_xlpm.txt,_xlpm.delim,SUBSTITUTE(_xlpm.txt,_xlpm.delim," "))))&amp;" "</f>
        <v xml:space="preserve"> lahti energia oy  lahti kymijärvi 2  höyrykattila </v>
      </c>
      <c r="D49" s="242">
        <v>2012</v>
      </c>
      <c r="E49" s="243">
        <v>90</v>
      </c>
      <c r="F49" s="243">
        <v>50</v>
      </c>
      <c r="G49" s="247"/>
      <c r="H49" s="267" t="s">
        <v>1420</v>
      </c>
      <c r="I49" s="248" t="s">
        <v>1154</v>
      </c>
      <c r="J49" s="246" t="str" cm="1">
        <f t="array" ref="J49">_xlfn.XLOOKUP(TRUE,ISNUMBER(SEARCH(" "&amp;Municipality[Municipality]&amp;" ",H_unit[[#This Row],[Info string]])),Municipality[Municipality],"")</f>
        <v>Lahti</v>
      </c>
      <c r="K49" s="246" t="str" cm="1">
        <f t="array" ref="K49">IF(H_unit[[#This Row],[Exact]]&lt;&gt;"","",_xlfn.XLOOKUP(TRUE,ISNUMBER(SEARCH(" "&amp;Municipality[Municipality]&amp;"n ",H_unit[[#This Row],[Info string]])),Municipality[Municipality],""))</f>
        <v/>
      </c>
      <c r="L49" s="246"/>
      <c r="M49" s="244"/>
      <c r="N49" s="246" t="str">
        <f>_xlfn.TEXTJOIN("",TRUE,H_unit[[#This Row],[Exact]],H_unit[[#This Row],[Exact+n]],H_unit[[#This Row],[Copilot]])</f>
        <v>Lahti</v>
      </c>
      <c r="O49" s="246" t="str">
        <f>_xlfn.XLOOKUP(H_unit[[#This Row],[Municipality]],Municipality[Municipality],Municipality[Model],"")</f>
        <v>South East</v>
      </c>
      <c r="P49" s="236"/>
      <c r="Q49" s="101"/>
      <c r="R49" s="347"/>
      <c r="S49" s="347"/>
      <c r="T49" s="347"/>
      <c r="U49" s="347"/>
      <c r="V49" s="347"/>
      <c r="W49" s="347"/>
      <c r="X49" s="347"/>
      <c r="Y49" s="347"/>
      <c r="Z49" s="347"/>
      <c r="AA49" s="347"/>
      <c r="AB49" s="347"/>
      <c r="AC49" s="347"/>
      <c r="AD49" s="347"/>
      <c r="AE49" s="347"/>
      <c r="AF49" s="347"/>
    </row>
    <row r="50" spans="1:32">
      <c r="A50" s="238" t="s">
        <v>2197</v>
      </c>
      <c r="B50" s="238" t="s">
        <v>2199</v>
      </c>
      <c r="C50" s="240" t="str" cm="1">
        <f t="array" ref="C50">" "&amp;LOWER(_xlfn.REDUCE(H_unit[[#This Row],[Company]]&amp;" "&amp;H_unit[[#This Row],[Unit]],{",",".","(",")","/"},_xlfn.LAMBDA(_xlpm.txt,_xlpm.delim,SUBSTITUTE(_xlpm.txt,_xlpm.delim," "))))&amp;" "</f>
        <v xml:space="preserve"> vaasan sähkö oy pitkämäki </v>
      </c>
      <c r="D50" s="242">
        <v>1984</v>
      </c>
      <c r="E50" s="243">
        <v>80</v>
      </c>
      <c r="F50" s="243"/>
      <c r="G50" s="247"/>
      <c r="H50" s="267" t="s">
        <v>1430</v>
      </c>
      <c r="I50" s="248" t="s">
        <v>1141</v>
      </c>
      <c r="J50" s="246" t="str" cm="1">
        <f t="array" ref="J50">_xlfn.XLOOKUP(TRUE,ISNUMBER(SEARCH(" "&amp;Municipality[Municipality]&amp;" ",H_unit[[#This Row],[Info string]])),Municipality[Municipality],"")</f>
        <v/>
      </c>
      <c r="K50" s="246" t="str" cm="1">
        <f t="array" ref="K50">IF(H_unit[[#This Row],[Exact]]&lt;&gt;"","",_xlfn.XLOOKUP(TRUE,ISNUMBER(SEARCH(" "&amp;Municipality[Municipality]&amp;"n ",H_unit[[#This Row],[Info string]])),Municipality[Municipality],""))</f>
        <v>Vaasa</v>
      </c>
      <c r="L50" s="246"/>
      <c r="M50" s="244"/>
      <c r="N50" s="246" t="str">
        <f>_xlfn.TEXTJOIN("",TRUE,H_unit[[#This Row],[Exact]],H_unit[[#This Row],[Exact+n]],H_unit[[#This Row],[Copilot]])</f>
        <v>Vaasa</v>
      </c>
      <c r="O50" s="246" t="str">
        <f>_xlfn.XLOOKUP(H_unit[[#This Row],[Municipality]],Municipality[Municipality],Municipality[Model],"")</f>
        <v>West</v>
      </c>
      <c r="P50" s="236"/>
      <c r="Q50" s="101"/>
      <c r="R50" s="347"/>
      <c r="S50" s="347"/>
      <c r="T50" s="347"/>
      <c r="U50" s="347"/>
      <c r="V50" s="347"/>
      <c r="W50" s="347"/>
      <c r="X50" s="347"/>
      <c r="Y50" s="347"/>
      <c r="Z50" s="347"/>
      <c r="AA50" s="347"/>
      <c r="AB50" s="347"/>
      <c r="AC50" s="347"/>
      <c r="AD50" s="347"/>
      <c r="AE50" s="347"/>
      <c r="AF50" s="347"/>
    </row>
    <row r="51" spans="1:32">
      <c r="A51" s="238" t="s">
        <v>1678</v>
      </c>
      <c r="B51" s="238" t="s">
        <v>1681</v>
      </c>
      <c r="C51" s="240" t="str" cm="1">
        <f t="array" ref="C51">" "&amp;LOWER(_xlfn.REDUCE(H_unit[[#This Row],[Company]]&amp;" "&amp;H_unit[[#This Row],[Unit]],{",",".","(",")","/"},_xlfn.LAMBDA(_xlpm.txt,_xlpm.delim,SUBSTITUTE(_xlpm.txt,_xlpm.delim," "))))&amp;" "</f>
        <v xml:space="preserve"> kuopion energia oy iloharju </v>
      </c>
      <c r="D51" s="242">
        <v>1996</v>
      </c>
      <c r="E51" s="243">
        <v>80</v>
      </c>
      <c r="F51" s="243"/>
      <c r="G51" s="247"/>
      <c r="H51" s="267" t="s">
        <v>1430</v>
      </c>
      <c r="I51" s="248" t="s">
        <v>1141</v>
      </c>
      <c r="J51" s="246" t="str" cm="1">
        <f t="array" ref="J51">_xlfn.XLOOKUP(TRUE,ISNUMBER(SEARCH(" "&amp;Municipality[Municipality]&amp;" ",H_unit[[#This Row],[Info string]])),Municipality[Municipality],"")</f>
        <v/>
      </c>
      <c r="K51" s="246" t="str" cm="1">
        <f t="array" ref="K51">IF(H_unit[[#This Row],[Exact]]&lt;&gt;"","",_xlfn.XLOOKUP(TRUE,ISNUMBER(SEARCH(" "&amp;Municipality[Municipality]&amp;"n ",H_unit[[#This Row],[Info string]])),Municipality[Municipality],""))</f>
        <v>Kuopio</v>
      </c>
      <c r="L51" s="246"/>
      <c r="M51" s="244"/>
      <c r="N51" s="246" t="str">
        <f>_xlfn.TEXTJOIN("",TRUE,H_unit[[#This Row],[Exact]],H_unit[[#This Row],[Exact+n]],H_unit[[#This Row],[Copilot]])</f>
        <v>Kuopio</v>
      </c>
      <c r="O51" s="246" t="str">
        <f>_xlfn.XLOOKUP(H_unit[[#This Row],[Municipality]],Municipality[Municipality],Municipality[Model],"")</f>
        <v>East</v>
      </c>
      <c r="P51" s="236"/>
      <c r="Q51" s="101"/>
      <c r="R51" s="347"/>
      <c r="S51" s="347"/>
      <c r="T51" s="347"/>
      <c r="U51" s="347"/>
      <c r="V51" s="347"/>
      <c r="W51" s="347"/>
      <c r="X51" s="347"/>
      <c r="Y51" s="347"/>
      <c r="Z51" s="347"/>
      <c r="AA51" s="347"/>
      <c r="AB51" s="347"/>
      <c r="AC51" s="347"/>
      <c r="AD51" s="347"/>
      <c r="AE51" s="347"/>
      <c r="AF51" s="347"/>
    </row>
    <row r="52" spans="1:32">
      <c r="A52" s="238" t="s">
        <v>1678</v>
      </c>
      <c r="B52" s="238" t="s">
        <v>1679</v>
      </c>
      <c r="C52" s="240" t="str" cm="1">
        <f t="array" ref="C52">" "&amp;LOWER(_xlfn.REDUCE(H_unit[[#This Row],[Company]]&amp;" "&amp;H_unit[[#This Row],[Unit]],{",",".","(",")","/"},_xlfn.LAMBDA(_xlpm.txt,_xlpm.delim,SUBSTITUTE(_xlpm.txt,_xlpm.delim," "))))&amp;" "</f>
        <v xml:space="preserve"> kuopion energia oy niirala </v>
      </c>
      <c r="D52" s="242">
        <v>2000</v>
      </c>
      <c r="E52" s="243">
        <v>80</v>
      </c>
      <c r="F52" s="243"/>
      <c r="G52" s="247"/>
      <c r="H52" s="267" t="s">
        <v>1430</v>
      </c>
      <c r="I52" s="248" t="s">
        <v>1141</v>
      </c>
      <c r="J52" s="246" t="str" cm="1">
        <f t="array" ref="J52">_xlfn.XLOOKUP(TRUE,ISNUMBER(SEARCH(" "&amp;Municipality[Municipality]&amp;" ",H_unit[[#This Row],[Info string]])),Municipality[Municipality],"")</f>
        <v/>
      </c>
      <c r="K52" s="246" t="str" cm="1">
        <f t="array" ref="K52">IF(H_unit[[#This Row],[Exact]]&lt;&gt;"","",_xlfn.XLOOKUP(TRUE,ISNUMBER(SEARCH(" "&amp;Municipality[Municipality]&amp;"n ",H_unit[[#This Row],[Info string]])),Municipality[Municipality],""))</f>
        <v>Kuopio</v>
      </c>
      <c r="L52" s="246"/>
      <c r="M52" s="244"/>
      <c r="N52" s="246" t="str">
        <f>_xlfn.TEXTJOIN("",TRUE,H_unit[[#This Row],[Exact]],H_unit[[#This Row],[Exact+n]],H_unit[[#This Row],[Copilot]])</f>
        <v>Kuopio</v>
      </c>
      <c r="O52" s="246" t="str">
        <f>_xlfn.XLOOKUP(H_unit[[#This Row],[Municipality]],Municipality[Municipality],Municipality[Model],"")</f>
        <v>East</v>
      </c>
      <c r="P52" s="236"/>
      <c r="R52" s="183"/>
      <c r="S52" s="183"/>
      <c r="T52" s="183"/>
      <c r="U52" s="183"/>
      <c r="V52" s="183"/>
      <c r="W52" s="183"/>
      <c r="X52" s="183"/>
      <c r="Y52" s="183"/>
    </row>
    <row r="53" spans="1:32">
      <c r="A53" s="238" t="s">
        <v>2318</v>
      </c>
      <c r="B53" s="238" t="s">
        <v>2330</v>
      </c>
      <c r="C53" s="240" t="str" cm="1">
        <f t="array" ref="C53">" "&amp;LOWER(_xlfn.REDUCE(H_unit[[#This Row],[Company]]&amp;" "&amp;H_unit[[#This Row],[Unit]],{",",".","(",")","/"},_xlfn.LAMBDA(_xlpm.txt,_xlpm.delim,SUBSTITUTE(_xlpm.txt,_xlpm.delim," "))))&amp;" "</f>
        <v xml:space="preserve"> lappeenrannan lämpövoima oy mrt2 kaasukattilat </v>
      </c>
      <c r="D53" s="242">
        <v>2012</v>
      </c>
      <c r="E53" s="243">
        <v>80</v>
      </c>
      <c r="F53" s="243"/>
      <c r="G53" s="247"/>
      <c r="H53" s="267" t="s">
        <v>1453</v>
      </c>
      <c r="I53" s="248" t="s">
        <v>1142</v>
      </c>
      <c r="J53" s="246" t="str" cm="1">
        <f t="array" ref="J53">_xlfn.XLOOKUP(TRUE,ISNUMBER(SEARCH(" "&amp;Municipality[Municipality]&amp;" ",H_unit[[#This Row],[Info string]])),Municipality[Municipality],"")</f>
        <v/>
      </c>
      <c r="K53" s="246" t="str" cm="1">
        <f t="array" ref="K53">IF(H_unit[[#This Row],[Exact]]&lt;&gt;"","",_xlfn.XLOOKUP(TRUE,ISNUMBER(SEARCH(" "&amp;Municipality[Municipality]&amp;"n ",H_unit[[#This Row],[Info string]])),Municipality[Municipality],""))</f>
        <v/>
      </c>
      <c r="L53" s="246" t="s">
        <v>980</v>
      </c>
      <c r="M53" s="244" t="s">
        <v>2892</v>
      </c>
      <c r="N53" s="246" t="str">
        <f>_xlfn.TEXTJOIN("",TRUE,H_unit[[#This Row],[Exact]],H_unit[[#This Row],[Exact+n]],H_unit[[#This Row],[Copilot]])</f>
        <v>Lappeenranta</v>
      </c>
      <c r="O53" s="246" t="str">
        <f>_xlfn.XLOOKUP(H_unit[[#This Row],[Municipality]],Municipality[Municipality],Municipality[Model],"")</f>
        <v>South East</v>
      </c>
      <c r="P53" s="236"/>
      <c r="R53" s="183"/>
      <c r="S53" s="183"/>
      <c r="T53" s="183"/>
      <c r="U53" s="183"/>
      <c r="V53" s="183"/>
      <c r="W53" s="183"/>
      <c r="X53" s="183"/>
      <c r="Y53" s="183"/>
    </row>
    <row r="54" spans="1:32">
      <c r="A54" s="238" t="s">
        <v>2377</v>
      </c>
      <c r="B54" s="238" t="s">
        <v>2377</v>
      </c>
      <c r="C54" s="240" t="str" cm="1">
        <f t="array" ref="C54">" "&amp;LOWER(_xlfn.REDUCE(H_unit[[#This Row],[Company]]&amp;" "&amp;H_unit[[#This Row],[Unit]],{",",".","(",")","/"},_xlfn.LAMBDA(_xlpm.txt,_xlpm.delim,SUBSTITUTE(_xlpm.txt,_xlpm.delim," "))))&amp;" "</f>
        <v xml:space="preserve"> rauman biovoima oy rauman biovoima oy </v>
      </c>
      <c r="D54" s="242">
        <v>1962</v>
      </c>
      <c r="E54" s="243">
        <v>77</v>
      </c>
      <c r="F54" s="243">
        <v>20.8</v>
      </c>
      <c r="G54" s="247"/>
      <c r="H54" s="267" t="s">
        <v>1439</v>
      </c>
      <c r="I54" s="248" t="s">
        <v>1153</v>
      </c>
      <c r="J54" s="246" t="str" cm="1">
        <f t="array" ref="J54">_xlfn.XLOOKUP(TRUE,ISNUMBER(SEARCH(" "&amp;Municipality[Municipality]&amp;" ",H_unit[[#This Row],[Info string]])),Municipality[Municipality],"")</f>
        <v>Rauman</v>
      </c>
      <c r="K54" s="246" t="str" cm="1">
        <f t="array" ref="K54">IF(H_unit[[#This Row],[Exact]]&lt;&gt;"","",_xlfn.XLOOKUP(TRUE,ISNUMBER(SEARCH(" "&amp;Municipality[Municipality]&amp;"n ",H_unit[[#This Row],[Info string]])),Municipality[Municipality],""))</f>
        <v/>
      </c>
      <c r="L54" s="246"/>
      <c r="M54" s="244"/>
      <c r="N54" s="246" t="str">
        <f>_xlfn.TEXTJOIN("",TRUE,H_unit[[#This Row],[Exact]],H_unit[[#This Row],[Exact+n]],H_unit[[#This Row],[Copilot]])</f>
        <v>Rauman</v>
      </c>
      <c r="O54" s="246" t="str">
        <f>_xlfn.XLOOKUP(H_unit[[#This Row],[Municipality]],Municipality[Municipality],Municipality[Model],"")</f>
        <v>West</v>
      </c>
      <c r="P54" s="236"/>
      <c r="R54" s="183"/>
      <c r="S54" s="183"/>
      <c r="T54" s="183"/>
      <c r="U54" s="183"/>
      <c r="V54" s="183"/>
      <c r="W54" s="183"/>
      <c r="X54" s="183"/>
      <c r="Y54" s="183"/>
    </row>
    <row r="55" spans="1:32">
      <c r="A55" s="238" t="s">
        <v>1498</v>
      </c>
      <c r="B55" s="238" t="s">
        <v>1066</v>
      </c>
      <c r="C55" s="240" t="str" cm="1">
        <f t="array" ref="C55">" "&amp;LOWER(_xlfn.REDUCE(H_unit[[#This Row],[Company]]&amp;" "&amp;H_unit[[#This Row],[Unit]],{",",".","(",")","/"},_xlfn.LAMBDA(_xlpm.txt,_xlpm.delim,SUBSTITUTE(_xlpm.txt,_xlpm.delim," "))))&amp;" "</f>
        <v xml:space="preserve"> etelä-savon energia oy pursiala 2 </v>
      </c>
      <c r="D55" s="242">
        <v>2005</v>
      </c>
      <c r="E55" s="243">
        <v>76</v>
      </c>
      <c r="F55" s="243">
        <v>24</v>
      </c>
      <c r="G55" s="247"/>
      <c r="H55" s="267" t="s">
        <v>1423</v>
      </c>
      <c r="I55" s="248" t="s">
        <v>1153</v>
      </c>
      <c r="J55" s="246" t="str" cm="1">
        <f t="array" ref="J55">_xlfn.XLOOKUP(TRUE,ISNUMBER(SEARCH(" "&amp;Municipality[Municipality]&amp;" ",H_unit[[#This Row],[Info string]])),Municipality[Municipality],"")</f>
        <v/>
      </c>
      <c r="K55" s="246" t="str" cm="1">
        <f t="array" ref="K55">IF(H_unit[[#This Row],[Exact]]&lt;&gt;"","",_xlfn.XLOOKUP(TRUE,ISNUMBER(SEARCH(" "&amp;Municipality[Municipality]&amp;"n ",H_unit[[#This Row],[Info string]])),Municipality[Municipality],""))</f>
        <v/>
      </c>
      <c r="L55" s="246" t="s">
        <v>2761</v>
      </c>
      <c r="M55" s="244" t="s">
        <v>2893</v>
      </c>
      <c r="N55" s="246" t="str">
        <f>_xlfn.TEXTJOIN("",TRUE,H_unit[[#This Row],[Exact]],H_unit[[#This Row],[Exact+n]],H_unit[[#This Row],[Copilot]])</f>
        <v>Mikkeli</v>
      </c>
      <c r="O55" s="246" t="str">
        <f>_xlfn.XLOOKUP(H_unit[[#This Row],[Municipality]],Municipality[Municipality],Municipality[Model],"")</f>
        <v>East</v>
      </c>
      <c r="P55" s="236"/>
      <c r="R55" s="183"/>
      <c r="S55" s="183"/>
      <c r="T55" s="183"/>
      <c r="U55" s="183"/>
      <c r="V55" s="183"/>
      <c r="W55" s="183"/>
      <c r="X55" s="183"/>
      <c r="Y55" s="183"/>
    </row>
    <row r="56" spans="1:32">
      <c r="A56" s="238" t="s">
        <v>2309</v>
      </c>
      <c r="B56" s="238" t="s">
        <v>904</v>
      </c>
      <c r="C56" s="240" t="str" cm="1">
        <f t="array" ref="C56">" "&amp;LOWER(_xlfn.REDUCE(H_unit[[#This Row],[Company]]&amp;" "&amp;H_unit[[#This Row],[Unit]],{",",".","(",")","/"},_xlfn.LAMBDA(_xlpm.txt,_xlpm.delim,SUBSTITUTE(_xlpm.txt,_xlpm.delim," "))))&amp;" "</f>
        <v xml:space="preserve"> kss energia oy hinkismäki </v>
      </c>
      <c r="D56" s="242">
        <v>1988</v>
      </c>
      <c r="E56" s="243">
        <v>70</v>
      </c>
      <c r="F56" s="243">
        <v>40</v>
      </c>
      <c r="G56" s="247"/>
      <c r="H56" s="267" t="s">
        <v>1453</v>
      </c>
      <c r="I56" s="248" t="s">
        <v>1145</v>
      </c>
      <c r="J56" s="246" t="str" cm="1">
        <f t="array" ref="J56">_xlfn.XLOOKUP(TRUE,ISNUMBER(SEARCH(" "&amp;Municipality[Municipality]&amp;" ",H_unit[[#This Row],[Info string]])),Municipality[Municipality],"")</f>
        <v/>
      </c>
      <c r="K56" s="246" t="str" cm="1">
        <f t="array" ref="K56">IF(H_unit[[#This Row],[Exact]]&lt;&gt;"","",_xlfn.XLOOKUP(TRUE,ISNUMBER(SEARCH(" "&amp;Municipality[Municipality]&amp;"n ",H_unit[[#This Row],[Info string]])),Municipality[Municipality],""))</f>
        <v/>
      </c>
      <c r="L56" s="246" t="s">
        <v>2612</v>
      </c>
      <c r="M56" s="244" t="s">
        <v>2894</v>
      </c>
      <c r="N56" s="246" t="str">
        <f>_xlfn.TEXTJOIN("",TRUE,H_unit[[#This Row],[Exact]],H_unit[[#This Row],[Exact+n]],H_unit[[#This Row],[Copilot]])</f>
        <v>Kouvola</v>
      </c>
      <c r="O56" s="246" t="str">
        <f>_xlfn.XLOOKUP(H_unit[[#This Row],[Municipality]],Municipality[Municipality],Municipality[Model],"")</f>
        <v>South East</v>
      </c>
      <c r="P56" s="236"/>
      <c r="R56" s="280"/>
      <c r="S56" s="280"/>
      <c r="T56" s="280"/>
      <c r="U56" s="280"/>
      <c r="V56" s="280"/>
      <c r="W56" s="280"/>
      <c r="X56" s="280"/>
      <c r="Y56" s="280"/>
    </row>
    <row r="57" spans="1:32">
      <c r="A57" s="238" t="s">
        <v>2373</v>
      </c>
      <c r="B57" s="238" t="s">
        <v>2375</v>
      </c>
      <c r="C57" s="240" t="str" cm="1">
        <f t="array" ref="C57">" "&amp;LOWER(_xlfn.REDUCE(H_unit[[#This Row],[Company]]&amp;" "&amp;H_unit[[#This Row],[Unit]],{",",".","(",")","/"},_xlfn.LAMBDA(_xlpm.txt,_xlpm.delim,SUBSTITUTE(_xlpm.txt,_xlpm.delim," "))))&amp;" "</f>
        <v xml:space="preserve"> raahen voima oy raahen voima  k4 </v>
      </c>
      <c r="D57" s="242">
        <v>1990</v>
      </c>
      <c r="E57" s="243">
        <v>70</v>
      </c>
      <c r="F57" s="243">
        <v>65</v>
      </c>
      <c r="G57" s="247"/>
      <c r="H57" s="267" t="s">
        <v>2125</v>
      </c>
      <c r="I57" s="248" t="s">
        <v>1443</v>
      </c>
      <c r="J57" s="246" t="str" cm="1">
        <f t="array" ref="J57">_xlfn.XLOOKUP(TRUE,ISNUMBER(SEARCH(" "&amp;Municipality[Municipality]&amp;" ",H_unit[[#This Row],[Info string]])),Municipality[Municipality],"")</f>
        <v/>
      </c>
      <c r="K57" s="246" t="str" cm="1">
        <f t="array" ref="K57">IF(H_unit[[#This Row],[Exact]]&lt;&gt;"","",_xlfn.XLOOKUP(TRUE,ISNUMBER(SEARCH(" "&amp;Municipality[Municipality]&amp;"n ",H_unit[[#This Row],[Info string]])),Municipality[Municipality],""))</f>
        <v>Raahe</v>
      </c>
      <c r="L57" s="246"/>
      <c r="M57" s="244"/>
      <c r="N57" s="246" t="str">
        <f>_xlfn.TEXTJOIN("",TRUE,H_unit[[#This Row],[Exact]],H_unit[[#This Row],[Exact+n]],H_unit[[#This Row],[Copilot]])</f>
        <v>Raahe</v>
      </c>
      <c r="O57" s="246" t="str">
        <f>_xlfn.XLOOKUP(H_unit[[#This Row],[Municipality]],Municipality[Municipality],Municipality[Model],"")</f>
        <v>North</v>
      </c>
      <c r="P57" s="236"/>
      <c r="R57" s="280"/>
      <c r="S57" s="280"/>
      <c r="T57" s="280"/>
      <c r="U57" s="280"/>
      <c r="V57" s="280"/>
      <c r="W57" s="280"/>
      <c r="X57" s="280"/>
      <c r="Y57" s="280"/>
    </row>
    <row r="58" spans="1:32">
      <c r="A58" s="238" t="s">
        <v>2297</v>
      </c>
      <c r="B58" s="238" t="s">
        <v>2298</v>
      </c>
      <c r="C58" s="240" t="str" cm="1">
        <f t="array" ref="C58">" "&amp;LOWER(_xlfn.REDUCE(H_unit[[#This Row],[Company]]&amp;" "&amp;H_unit[[#This Row],[Unit]],{",",".","(",")","/"},_xlfn.LAMBDA(_xlpm.txt,_xlpm.delim,SUBSTITUTE(_xlpm.txt,_xlpm.delim," "))))&amp;" "</f>
        <v xml:space="preserve"> järvi-suomen voima oy  savonlinna järvi-suomen voima </v>
      </c>
      <c r="D58" s="242">
        <v>2003</v>
      </c>
      <c r="E58" s="243">
        <v>69</v>
      </c>
      <c r="F58" s="243">
        <v>20</v>
      </c>
      <c r="G58" s="247"/>
      <c r="H58" s="267" t="s">
        <v>1439</v>
      </c>
      <c r="I58" s="248" t="s">
        <v>1153</v>
      </c>
      <c r="J58" s="246" t="str" cm="1">
        <f t="array" ref="J58">_xlfn.XLOOKUP(TRUE,ISNUMBER(SEARCH(" "&amp;Municipality[Municipality]&amp;" ",H_unit[[#This Row],[Info string]])),Municipality[Municipality],"")</f>
        <v>Savonlinna</v>
      </c>
      <c r="K58" s="246" t="str" cm="1">
        <f t="array" ref="K58">IF(H_unit[[#This Row],[Exact]]&lt;&gt;"","",_xlfn.XLOOKUP(TRUE,ISNUMBER(SEARCH(" "&amp;Municipality[Municipality]&amp;"n ",H_unit[[#This Row],[Info string]])),Municipality[Municipality],""))</f>
        <v/>
      </c>
      <c r="L58" s="246"/>
      <c r="M58" s="244"/>
      <c r="N58" s="246" t="str">
        <f>_xlfn.TEXTJOIN("",TRUE,H_unit[[#This Row],[Exact]],H_unit[[#This Row],[Exact+n]],H_unit[[#This Row],[Copilot]])</f>
        <v>Savonlinna</v>
      </c>
      <c r="O58" s="246" t="str">
        <f>_xlfn.XLOOKUP(H_unit[[#This Row],[Municipality]],Municipality[Municipality],Municipality[Model],"")</f>
        <v>East</v>
      </c>
      <c r="P58" s="236"/>
      <c r="R58" s="280"/>
      <c r="S58" s="280"/>
      <c r="T58" s="280"/>
      <c r="U58" s="280"/>
      <c r="V58" s="280"/>
      <c r="W58" s="280"/>
      <c r="X58" s="280"/>
      <c r="Y58" s="280"/>
    </row>
    <row r="59" spans="1:32">
      <c r="A59" s="238" t="s">
        <v>1839</v>
      </c>
      <c r="B59" s="238" t="s">
        <v>1853</v>
      </c>
      <c r="C59" s="240" t="str" cm="1">
        <f t="array" ref="C59">" "&amp;LOWER(_xlfn.REDUCE(H_unit[[#This Row],[Company]]&amp;" "&amp;H_unit[[#This Row],[Unit]],{",",".","(",")","/"},_xlfn.LAMBDA(_xlpm.txt,_xlpm.delim,SUBSTITUTE(_xlpm.txt,_xlpm.delim," "))))&amp;" "</f>
        <v xml:space="preserve"> loimua oy  hämeenlinna vanaja  kaasuturbiini  </v>
      </c>
      <c r="D59" s="242">
        <v>1989</v>
      </c>
      <c r="E59" s="243">
        <v>65</v>
      </c>
      <c r="F59" s="243">
        <v>40</v>
      </c>
      <c r="G59" s="247"/>
      <c r="H59" s="267" t="s">
        <v>1453</v>
      </c>
      <c r="I59" s="248" t="s">
        <v>1145</v>
      </c>
      <c r="J59" s="246" t="str" cm="1">
        <f t="array" ref="J59">_xlfn.XLOOKUP(TRUE,ISNUMBER(SEARCH(" "&amp;Municipality[Municipality]&amp;" ",H_unit[[#This Row],[Info string]])),Municipality[Municipality],"")</f>
        <v>Hämeenlinna</v>
      </c>
      <c r="K59" s="246" t="str" cm="1">
        <f t="array" ref="K59">IF(H_unit[[#This Row],[Exact]]&lt;&gt;"","",_xlfn.XLOOKUP(TRUE,ISNUMBER(SEARCH(" "&amp;Municipality[Municipality]&amp;"n ",H_unit[[#This Row],[Info string]])),Municipality[Municipality],""))</f>
        <v/>
      </c>
      <c r="L59" s="246"/>
      <c r="M59" s="244"/>
      <c r="N59" s="246" t="str">
        <f>_xlfn.TEXTJOIN("",TRUE,H_unit[[#This Row],[Exact]],H_unit[[#This Row],[Exact+n]],H_unit[[#This Row],[Copilot]])</f>
        <v>Hämeenlinna</v>
      </c>
      <c r="O59" s="246" t="str">
        <f>_xlfn.XLOOKUP(H_unit[[#This Row],[Municipality]],Municipality[Municipality],Municipality[Model],"")</f>
        <v>South West</v>
      </c>
      <c r="P59" s="236"/>
      <c r="R59" s="280"/>
      <c r="S59" s="280"/>
      <c r="T59" s="280"/>
      <c r="U59" s="280"/>
      <c r="V59" s="280"/>
      <c r="W59" s="280"/>
      <c r="X59" s="280"/>
      <c r="Y59" s="280"/>
    </row>
    <row r="60" spans="1:32">
      <c r="A60" s="238" t="s">
        <v>2315</v>
      </c>
      <c r="B60" s="238" t="s">
        <v>2315</v>
      </c>
      <c r="C60" s="240" t="str" cm="1">
        <f t="array" ref="C60">" "&amp;LOWER(_xlfn.REDUCE(H_unit[[#This Row],[Company]]&amp;" "&amp;H_unit[[#This Row],[Unit]],{",",".","(",")","/"},_xlfn.LAMBDA(_xlpm.txt,_xlpm.delim,SUBSTITUTE(_xlpm.txt,_xlpm.delim," "))))&amp;" "</f>
        <v xml:space="preserve"> kymin voima oy kymin voima oy </v>
      </c>
      <c r="D60" s="242">
        <v>2002</v>
      </c>
      <c r="E60" s="243">
        <v>65</v>
      </c>
      <c r="F60" s="243">
        <v>30</v>
      </c>
      <c r="G60" s="247"/>
      <c r="H60" s="267" t="s">
        <v>1439</v>
      </c>
      <c r="I60" s="248" t="s">
        <v>1153</v>
      </c>
      <c r="J60" s="246" t="str" cm="1">
        <f t="array" ref="J60">_xlfn.XLOOKUP(TRUE,ISNUMBER(SEARCH(" "&amp;Municipality[Municipality]&amp;" ",H_unit[[#This Row],[Info string]])),Municipality[Municipality],"")</f>
        <v/>
      </c>
      <c r="K60" s="246" t="str" cm="1">
        <f t="array" ref="K60">IF(H_unit[[#This Row],[Exact]]&lt;&gt;"","",_xlfn.XLOOKUP(TRUE,ISNUMBER(SEARCH(" "&amp;Municipality[Municipality]&amp;"n ",H_unit[[#This Row],[Info string]])),Municipality[Municipality],""))</f>
        <v/>
      </c>
      <c r="L60" s="246" t="s">
        <v>2612</v>
      </c>
      <c r="M60" s="244" t="s">
        <v>2895</v>
      </c>
      <c r="N60" s="246" t="str">
        <f>_xlfn.TEXTJOIN("",TRUE,H_unit[[#This Row],[Exact]],H_unit[[#This Row],[Exact+n]],H_unit[[#This Row],[Copilot]])</f>
        <v>Kouvola</v>
      </c>
      <c r="O60" s="246" t="str">
        <f>_xlfn.XLOOKUP(H_unit[[#This Row],[Municipality]],Municipality[Municipality],Municipality[Model],"")</f>
        <v>South East</v>
      </c>
      <c r="P60" s="236"/>
      <c r="R60" s="280"/>
      <c r="S60" s="280"/>
      <c r="T60" s="280"/>
      <c r="U60" s="280"/>
      <c r="V60" s="280"/>
      <c r="W60" s="280"/>
      <c r="X60" s="280"/>
      <c r="Y60" s="280"/>
    </row>
    <row r="61" spans="1:32">
      <c r="A61" s="238" t="s">
        <v>2304</v>
      </c>
      <c r="B61" s="238" t="s">
        <v>2305</v>
      </c>
      <c r="C61" s="240" t="str" cm="1">
        <f t="array" ref="C61">" "&amp;LOWER(_xlfn.REDUCE(H_unit[[#This Row],[Company]]&amp;" "&amp;H_unit[[#This Row],[Unit]],{",",".","(",")","/"},_xlfn.LAMBDA(_xlpm.txt,_xlpm.delim,SUBSTITUTE(_xlpm.txt,_xlpm.delim," "))))&amp;" "</f>
        <v xml:space="preserve"> keravan lämpövoima oy keravan biovoimalaitos </v>
      </c>
      <c r="D61" s="242">
        <v>2009</v>
      </c>
      <c r="E61" s="243">
        <v>64.2</v>
      </c>
      <c r="F61" s="243">
        <v>20</v>
      </c>
      <c r="G61" s="247"/>
      <c r="H61" s="267" t="s">
        <v>1423</v>
      </c>
      <c r="I61" s="248" t="s">
        <v>1153</v>
      </c>
      <c r="J61" s="246" t="str" cm="1">
        <f t="array" ref="J61">_xlfn.XLOOKUP(TRUE,ISNUMBER(SEARCH(" "&amp;Municipality[Municipality]&amp;" ",H_unit[[#This Row],[Info string]])),Municipality[Municipality],"")</f>
        <v/>
      </c>
      <c r="K61" s="246" t="str" cm="1">
        <f t="array" ref="K61">IF(H_unit[[#This Row],[Exact]]&lt;&gt;"","",_xlfn.XLOOKUP(TRUE,ISNUMBER(SEARCH(" "&amp;Municipality[Municipality]&amp;"n ",H_unit[[#This Row],[Info string]])),Municipality[Municipality],""))</f>
        <v>Kerava</v>
      </c>
      <c r="L61" s="246"/>
      <c r="M61" s="244"/>
      <c r="N61" s="246" t="str">
        <f>_xlfn.TEXTJOIN("",TRUE,H_unit[[#This Row],[Exact]],H_unit[[#This Row],[Exact+n]],H_unit[[#This Row],[Copilot]])</f>
        <v>Kerava</v>
      </c>
      <c r="O61" s="246" t="str">
        <f>_xlfn.XLOOKUP(H_unit[[#This Row],[Municipality]],Municipality[Municipality],Municipality[Model],"")</f>
        <v>Uusimaa</v>
      </c>
      <c r="P61" s="236"/>
    </row>
    <row r="62" spans="1:32">
      <c r="A62" s="238" t="s">
        <v>1839</v>
      </c>
      <c r="B62" s="238" t="s">
        <v>1841</v>
      </c>
      <c r="C62" s="240" t="str" cm="1">
        <f t="array" ref="C62">" "&amp;LOWER(_xlfn.REDUCE(H_unit[[#This Row],[Company]]&amp;" "&amp;H_unit[[#This Row],[Unit]],{",",".","(",")","/"},_xlfn.LAMBDA(_xlpm.txt,_xlpm.delim,SUBSTITUTE(_xlpm.txt,_xlpm.delim," "))))&amp;" "</f>
        <v xml:space="preserve"> loimua oy  hämeenlinna keinusaari </v>
      </c>
      <c r="D62" s="242">
        <v>1969</v>
      </c>
      <c r="E62" s="243">
        <v>63.3</v>
      </c>
      <c r="F62" s="243"/>
      <c r="G62" s="247"/>
      <c r="H62" s="267" t="s">
        <v>1418</v>
      </c>
      <c r="I62" s="248" t="s">
        <v>1141</v>
      </c>
      <c r="J62" s="246" t="str" cm="1">
        <f t="array" ref="J62">_xlfn.XLOOKUP(TRUE,ISNUMBER(SEARCH(" "&amp;Municipality[Municipality]&amp;" ",H_unit[[#This Row],[Info string]])),Municipality[Municipality],"")</f>
        <v>Hämeenlinna</v>
      </c>
      <c r="K62" s="246" t="str" cm="1">
        <f t="array" ref="K62">IF(H_unit[[#This Row],[Exact]]&lt;&gt;"","",_xlfn.XLOOKUP(TRUE,ISNUMBER(SEARCH(" "&amp;Municipality[Municipality]&amp;"n ",H_unit[[#This Row],[Info string]])),Municipality[Municipality],""))</f>
        <v/>
      </c>
      <c r="L62" s="246"/>
      <c r="M62" s="244"/>
      <c r="N62" s="246" t="str">
        <f>_xlfn.TEXTJOIN("",TRUE,H_unit[[#This Row],[Exact]],H_unit[[#This Row],[Exact+n]],H_unit[[#This Row],[Copilot]])</f>
        <v>Hämeenlinna</v>
      </c>
      <c r="O62" s="246" t="str">
        <f>_xlfn.XLOOKUP(H_unit[[#This Row],[Municipality]],Municipality[Municipality],Municipality[Model],"")</f>
        <v>South West</v>
      </c>
      <c r="P62" s="236"/>
    </row>
    <row r="63" spans="1:32">
      <c r="A63" s="238" t="s">
        <v>1678</v>
      </c>
      <c r="B63" s="238" t="s">
        <v>1683</v>
      </c>
      <c r="C63" s="240" t="str" cm="1">
        <f t="array" ref="C63">" "&amp;LOWER(_xlfn.REDUCE(H_unit[[#This Row],[Company]]&amp;" "&amp;H_unit[[#This Row],[Unit]],{",",".","(",")","/"},_xlfn.LAMBDA(_xlpm.txt,_xlpm.delim,SUBSTITUTE(_xlpm.txt,_xlpm.delim," "))))&amp;" "</f>
        <v xml:space="preserve"> kuopion energia oy pitkälahti </v>
      </c>
      <c r="D63" s="242">
        <v>1992</v>
      </c>
      <c r="E63" s="243">
        <v>62</v>
      </c>
      <c r="F63" s="243"/>
      <c r="G63" s="247"/>
      <c r="H63" s="267" t="s">
        <v>1430</v>
      </c>
      <c r="I63" s="248" t="s">
        <v>1141</v>
      </c>
      <c r="J63" s="246" t="str" cm="1">
        <f t="array" ref="J63">_xlfn.XLOOKUP(TRUE,ISNUMBER(SEARCH(" "&amp;Municipality[Municipality]&amp;" ",H_unit[[#This Row],[Info string]])),Municipality[Municipality],"")</f>
        <v/>
      </c>
      <c r="K63" s="246" t="str" cm="1">
        <f t="array" ref="K63">IF(H_unit[[#This Row],[Exact]]&lt;&gt;"","",_xlfn.XLOOKUP(TRUE,ISNUMBER(SEARCH(" "&amp;Municipality[Municipality]&amp;"n ",H_unit[[#This Row],[Info string]])),Municipality[Municipality],""))</f>
        <v>Kuopio</v>
      </c>
      <c r="L63" s="246"/>
      <c r="M63" s="244"/>
      <c r="N63" s="246" t="str">
        <f>_xlfn.TEXTJOIN("",TRUE,H_unit[[#This Row],[Exact]],H_unit[[#This Row],[Exact+n]],H_unit[[#This Row],[Copilot]])</f>
        <v>Kuopio</v>
      </c>
      <c r="O63" s="246" t="str">
        <f>_xlfn.XLOOKUP(H_unit[[#This Row],[Municipality]],Municipality[Municipality],Municipality[Model],"")</f>
        <v>East</v>
      </c>
      <c r="P63" s="236"/>
    </row>
    <row r="64" spans="1:32">
      <c r="A64" s="238" t="s">
        <v>1940</v>
      </c>
      <c r="B64" s="238" t="s">
        <v>1941</v>
      </c>
      <c r="C64" s="240" t="str" cm="1">
        <f t="array" ref="C64">" "&amp;LOWER(_xlfn.REDUCE(H_unit[[#This Row],[Company]]&amp;" "&amp;H_unit[[#This Row],[Unit]],{",",".","(",")","/"},_xlfn.LAMBDA(_xlpm.txt,_xlpm.delim,SUBSTITUTE(_xlpm.txt,_xlpm.delim," "))))&amp;" "</f>
        <v xml:space="preserve"> nevel oy  salon energiantuotanto oy salon voimalaitos </v>
      </c>
      <c r="D64" s="242">
        <v>1920</v>
      </c>
      <c r="E64" s="243">
        <v>60</v>
      </c>
      <c r="F64" s="243">
        <v>10</v>
      </c>
      <c r="G64" s="247"/>
      <c r="H64" s="267" t="s">
        <v>1428</v>
      </c>
      <c r="I64" s="248" t="s">
        <v>1153</v>
      </c>
      <c r="J64" s="246" t="str" cm="1">
        <f t="array" ref="J64">_xlfn.XLOOKUP(TRUE,ISNUMBER(SEARCH(" "&amp;Municipality[Municipality]&amp;" ",H_unit[[#This Row],[Info string]])),Municipality[Municipality],"")</f>
        <v/>
      </c>
      <c r="K64" s="246" t="str" cm="1">
        <f t="array" ref="K64">IF(H_unit[[#This Row],[Exact]]&lt;&gt;"","",_xlfn.XLOOKUP(TRUE,ISNUMBER(SEARCH(" "&amp;Municipality[Municipality]&amp;"n ",H_unit[[#This Row],[Info string]])),Municipality[Municipality],""))</f>
        <v>Salo</v>
      </c>
      <c r="L64" s="246"/>
      <c r="M64" s="244"/>
      <c r="N64" s="246" t="str">
        <f>_xlfn.TEXTJOIN("",TRUE,H_unit[[#This Row],[Exact]],H_unit[[#This Row],[Exact+n]],H_unit[[#This Row],[Copilot]])</f>
        <v>Salo</v>
      </c>
      <c r="O64" s="246" t="str">
        <f>_xlfn.XLOOKUP(H_unit[[#This Row],[Municipality]],Municipality[Municipality],Municipality[Model],"")</f>
        <v>South West</v>
      </c>
      <c r="P64" s="236"/>
    </row>
    <row r="65" spans="1:16">
      <c r="A65" s="238" t="s">
        <v>2397</v>
      </c>
      <c r="B65" s="238" t="s">
        <v>2398</v>
      </c>
      <c r="C65" s="240" t="str" cm="1">
        <f t="array" ref="C65">" "&amp;LOWER(_xlfn.REDUCE(H_unit[[#This Row],[Company]]&amp;" "&amp;H_unit[[#This Row],[Unit]],{",",".","(",")","/"},_xlfn.LAMBDA(_xlpm.txt,_xlpm.delim,SUBSTITUTE(_xlpm.txt,_xlpm.delim," "))))&amp;" "</f>
        <v xml:space="preserve"> stora enso oyj  varkauden tehdas stora enso oyj  varkauden tehtaat lvl2 </v>
      </c>
      <c r="D65" s="242">
        <v>1975</v>
      </c>
      <c r="E65" s="243">
        <v>60</v>
      </c>
      <c r="F65" s="243">
        <v>10</v>
      </c>
      <c r="G65" s="247"/>
      <c r="H65" s="267" t="s">
        <v>1439</v>
      </c>
      <c r="I65" s="248" t="s">
        <v>2345</v>
      </c>
      <c r="J65" s="246" t="str" cm="1">
        <f t="array" ref="J65">_xlfn.XLOOKUP(TRUE,ISNUMBER(SEARCH(" "&amp;Municipality[Municipality]&amp;" ",H_unit[[#This Row],[Info string]])),Municipality[Municipality],"")</f>
        <v/>
      </c>
      <c r="K65" s="246" t="str" cm="1">
        <f t="array" ref="K65">IF(H_unit[[#This Row],[Exact]]&lt;&gt;"","",_xlfn.XLOOKUP(TRUE,ISNUMBER(SEARCH(" "&amp;Municipality[Municipality]&amp;"n ",H_unit[[#This Row],[Info string]])),Municipality[Municipality],""))</f>
        <v/>
      </c>
      <c r="L65" s="246" t="s">
        <v>1007</v>
      </c>
      <c r="M65" s="244" t="s">
        <v>2896</v>
      </c>
      <c r="N65" s="246" t="str">
        <f>_xlfn.TEXTJOIN("",TRUE,H_unit[[#This Row],[Exact]],H_unit[[#This Row],[Exact+n]],H_unit[[#This Row],[Copilot]])</f>
        <v>Varkaus</v>
      </c>
      <c r="O65" s="246" t="str">
        <f>_xlfn.XLOOKUP(H_unit[[#This Row],[Municipality]],Municipality[Municipality],Municipality[Model],"")</f>
        <v>East</v>
      </c>
      <c r="P65" s="236"/>
    </row>
    <row r="66" spans="1:16">
      <c r="A66" s="238" t="s">
        <v>2197</v>
      </c>
      <c r="B66" s="238" t="s">
        <v>2201</v>
      </c>
      <c r="C66" s="240" t="str" cm="1">
        <f t="array" ref="C66">" "&amp;LOWER(_xlfn.REDUCE(H_unit[[#This Row],[Company]]&amp;" "&amp;H_unit[[#This Row],[Unit]],{",",".","(",")","/"},_xlfn.LAMBDA(_xlpm.txt,_xlpm.delim,SUBSTITUTE(_xlpm.txt,_xlpm.delim," "))))&amp;" "</f>
        <v xml:space="preserve"> vaasan sähkö oy vaasa 2 </v>
      </c>
      <c r="D66" s="242">
        <v>1979</v>
      </c>
      <c r="E66" s="243">
        <v>60</v>
      </c>
      <c r="F66" s="243"/>
      <c r="G66" s="247"/>
      <c r="H66" s="267" t="s">
        <v>1430</v>
      </c>
      <c r="I66" s="248" t="s">
        <v>1141</v>
      </c>
      <c r="J66" s="246" t="str" cm="1">
        <f t="array" ref="J66">_xlfn.XLOOKUP(TRUE,ISNUMBER(SEARCH(" "&amp;Municipality[Municipality]&amp;" ",H_unit[[#This Row],[Info string]])),Municipality[Municipality],"")</f>
        <v>Vaasa</v>
      </c>
      <c r="K66" s="246" t="str" cm="1">
        <f t="array" ref="K66">IF(H_unit[[#This Row],[Exact]]&lt;&gt;"","",_xlfn.XLOOKUP(TRUE,ISNUMBER(SEARCH(" "&amp;Municipality[Municipality]&amp;"n ",H_unit[[#This Row],[Info string]])),Municipality[Municipality],""))</f>
        <v/>
      </c>
      <c r="L66" s="246"/>
      <c r="M66" s="244"/>
      <c r="N66" s="246" t="str">
        <f>_xlfn.TEXTJOIN("",TRUE,H_unit[[#This Row],[Exact]],H_unit[[#This Row],[Exact+n]],H_unit[[#This Row],[Copilot]])</f>
        <v>Vaasa</v>
      </c>
      <c r="O66" s="246" t="str">
        <f>_xlfn.XLOOKUP(H_unit[[#This Row],[Municipality]],Municipality[Municipality],Municipality[Model],"")</f>
        <v>West</v>
      </c>
      <c r="P66" s="236"/>
    </row>
    <row r="67" spans="1:16">
      <c r="A67" s="238" t="s">
        <v>2318</v>
      </c>
      <c r="B67" s="238" t="s">
        <v>2328</v>
      </c>
      <c r="C67" s="240" t="str" cm="1">
        <f t="array" ref="C67">" "&amp;LOWER(_xlfn.REDUCE(H_unit[[#This Row],[Company]]&amp;" "&amp;H_unit[[#This Row],[Unit]],{",",".","(",")","/"},_xlfn.LAMBDA(_xlpm.txt,_xlpm.delim,SUBSTITUTE(_xlpm.txt,_xlpm.delim," "))))&amp;" "</f>
        <v xml:space="preserve"> lappeenrannan lämpövoima oy skinnarila </v>
      </c>
      <c r="D67" s="242">
        <v>2002</v>
      </c>
      <c r="E67" s="243">
        <v>60</v>
      </c>
      <c r="F67" s="243"/>
      <c r="G67" s="247"/>
      <c r="H67" s="267" t="s">
        <v>1430</v>
      </c>
      <c r="I67" s="248" t="s">
        <v>1141</v>
      </c>
      <c r="J67" s="246" t="str" cm="1">
        <f t="array" ref="J67">_xlfn.XLOOKUP(TRUE,ISNUMBER(SEARCH(" "&amp;Municipality[Municipality]&amp;" ",H_unit[[#This Row],[Info string]])),Municipality[Municipality],"")</f>
        <v/>
      </c>
      <c r="K67" s="246" t="str" cm="1">
        <f t="array" ref="K67">IF(H_unit[[#This Row],[Exact]]&lt;&gt;"","",_xlfn.XLOOKUP(TRUE,ISNUMBER(SEARCH(" "&amp;Municipality[Municipality]&amp;"n ",H_unit[[#This Row],[Info string]])),Municipality[Municipality],""))</f>
        <v/>
      </c>
      <c r="L67" s="246" t="s">
        <v>980</v>
      </c>
      <c r="M67" s="244" t="s">
        <v>2892</v>
      </c>
      <c r="N67" s="246" t="str">
        <f>_xlfn.TEXTJOIN("",TRUE,H_unit[[#This Row],[Exact]],H_unit[[#This Row],[Exact+n]],H_unit[[#This Row],[Copilot]])</f>
        <v>Lappeenranta</v>
      </c>
      <c r="O67" s="246" t="str">
        <f>_xlfn.XLOOKUP(H_unit[[#This Row],[Municipality]],Municipality[Municipality],Municipality[Model],"")</f>
        <v>South East</v>
      </c>
      <c r="P67" s="236"/>
    </row>
    <row r="68" spans="1:16">
      <c r="A68" s="238" t="s">
        <v>1839</v>
      </c>
      <c r="B68" s="238" t="s">
        <v>1852</v>
      </c>
      <c r="C68" s="240" t="str" cm="1">
        <f t="array" ref="C68">" "&amp;LOWER(_xlfn.REDUCE(H_unit[[#This Row],[Company]]&amp;" "&amp;H_unit[[#This Row],[Unit]],{",",".","(",")","/"},_xlfn.LAMBDA(_xlpm.txt,_xlpm.delim,SUBSTITUTE(_xlpm.txt,_xlpm.delim," "))))&amp;" "</f>
        <v xml:space="preserve"> loimua oy  hämeenlinna vanaja  leijukattila  </v>
      </c>
      <c r="D68" s="242">
        <v>1989</v>
      </c>
      <c r="E68" s="243">
        <v>58</v>
      </c>
      <c r="F68" s="243">
        <v>16</v>
      </c>
      <c r="G68" s="247"/>
      <c r="H68" s="267" t="s">
        <v>1423</v>
      </c>
      <c r="I68" s="248" t="s">
        <v>1153</v>
      </c>
      <c r="J68" s="246" t="str" cm="1">
        <f t="array" ref="J68">_xlfn.XLOOKUP(TRUE,ISNUMBER(SEARCH(" "&amp;Municipality[Municipality]&amp;" ",H_unit[[#This Row],[Info string]])),Municipality[Municipality],"")</f>
        <v>Hämeenlinna</v>
      </c>
      <c r="K68" s="246" t="str" cm="1">
        <f t="array" ref="K68">IF(H_unit[[#This Row],[Exact]]&lt;&gt;"","",_xlfn.XLOOKUP(TRUE,ISNUMBER(SEARCH(" "&amp;Municipality[Municipality]&amp;"n ",H_unit[[#This Row],[Info string]])),Municipality[Municipality],""))</f>
        <v/>
      </c>
      <c r="L68" s="246"/>
      <c r="M68" s="244"/>
      <c r="N68" s="246" t="str">
        <f>_xlfn.TEXTJOIN("",TRUE,H_unit[[#This Row],[Exact]],H_unit[[#This Row],[Exact+n]],H_unit[[#This Row],[Copilot]])</f>
        <v>Hämeenlinna</v>
      </c>
      <c r="O68" s="246" t="str">
        <f>_xlfn.XLOOKUP(H_unit[[#This Row],[Municipality]],Municipality[Municipality],Municipality[Model],"")</f>
        <v>South West</v>
      </c>
      <c r="P68" s="236"/>
    </row>
    <row r="69" spans="1:16">
      <c r="A69" s="238" t="s">
        <v>1650</v>
      </c>
      <c r="B69" s="238" t="s">
        <v>1651</v>
      </c>
      <c r="C69" s="240" t="str" cm="1">
        <f t="array" ref="C69">" "&amp;LOWER(_xlfn.REDUCE(H_unit[[#This Row],[Company]]&amp;" "&amp;H_unit[[#This Row],[Unit]],{",",".","(",")","/"},_xlfn.LAMBDA(_xlpm.txt,_xlpm.delim,SUBSTITUTE(_xlpm.txt,_xlpm.delim," "))))&amp;" "</f>
        <v xml:space="preserve"> kokkolan energia kosilan huippu- ja varalämpökeskus </v>
      </c>
      <c r="D69" s="242">
        <v>1981</v>
      </c>
      <c r="E69" s="243">
        <v>57</v>
      </c>
      <c r="F69" s="243"/>
      <c r="G69" s="247"/>
      <c r="H69" s="267" t="s">
        <v>1430</v>
      </c>
      <c r="I69" s="248" t="s">
        <v>1141</v>
      </c>
      <c r="J69" s="246" t="str" cm="1">
        <f t="array" ref="J69">_xlfn.XLOOKUP(TRUE,ISNUMBER(SEARCH(" "&amp;Municipality[Municipality]&amp;" ",H_unit[[#This Row],[Info string]])),Municipality[Municipality],"")</f>
        <v/>
      </c>
      <c r="K69" s="246" t="str" cm="1">
        <f t="array" ref="K69">IF(H_unit[[#This Row],[Exact]]&lt;&gt;"","",_xlfn.XLOOKUP(TRUE,ISNUMBER(SEARCH(" "&amp;Municipality[Municipality]&amp;"n ",H_unit[[#This Row],[Info string]])),Municipality[Municipality],""))</f>
        <v>Kokkola</v>
      </c>
      <c r="L69" s="246"/>
      <c r="M69" s="244"/>
      <c r="N69" s="246" t="str">
        <f>_xlfn.TEXTJOIN("",TRUE,H_unit[[#This Row],[Exact]],H_unit[[#This Row],[Exact+n]],H_unit[[#This Row],[Copilot]])</f>
        <v>Kokkola</v>
      </c>
      <c r="O69" s="246" t="str">
        <f>_xlfn.XLOOKUP(H_unit[[#This Row],[Municipality]],Municipality[Municipality],Municipality[Model],"")</f>
        <v>West</v>
      </c>
      <c r="P69" s="236"/>
    </row>
    <row r="70" spans="1:16">
      <c r="A70" s="238" t="s">
        <v>1522</v>
      </c>
      <c r="B70" s="238" t="s">
        <v>1088</v>
      </c>
      <c r="C70" s="240" t="str" cm="1">
        <f t="array" ref="C70">" "&amp;LOWER(_xlfn.REDUCE(H_unit[[#This Row],[Company]]&amp;" "&amp;H_unit[[#This Row],[Unit]],{",",".","(",")","/"},_xlfn.LAMBDA(_xlpm.txt,_xlpm.delim,SUBSTITUTE(_xlpm.txt,_xlpm.delim," "))))&amp;" "</f>
        <v xml:space="preserve"> herrfors oy ab  ylivieska ylivieska </v>
      </c>
      <c r="D70" s="242">
        <v>1983</v>
      </c>
      <c r="E70" s="243">
        <v>55.5</v>
      </c>
      <c r="F70" s="243"/>
      <c r="G70" s="247"/>
      <c r="H70" s="267" t="s">
        <v>1423</v>
      </c>
      <c r="I70" s="248" t="s">
        <v>1143</v>
      </c>
      <c r="J70" s="246" t="str" cm="1">
        <f t="array" ref="J70">_xlfn.XLOOKUP(TRUE,ISNUMBER(SEARCH(" "&amp;Municipality[Municipality]&amp;" ",H_unit[[#This Row],[Info string]])),Municipality[Municipality],"")</f>
        <v>Ylivieska</v>
      </c>
      <c r="K70" s="246" t="str" cm="1">
        <f t="array" ref="K70">IF(H_unit[[#This Row],[Exact]]&lt;&gt;"","",_xlfn.XLOOKUP(TRUE,ISNUMBER(SEARCH(" "&amp;Municipality[Municipality]&amp;"n ",H_unit[[#This Row],[Info string]])),Municipality[Municipality],""))</f>
        <v/>
      </c>
      <c r="L70" s="246"/>
      <c r="M70" s="244"/>
      <c r="N70" s="246" t="str">
        <f>_xlfn.TEXTJOIN("",TRUE,H_unit[[#This Row],[Exact]],H_unit[[#This Row],[Exact+n]],H_unit[[#This Row],[Copilot]])</f>
        <v>Ylivieska</v>
      </c>
      <c r="O70" s="246" t="str">
        <f>_xlfn.XLOOKUP(H_unit[[#This Row],[Municipality]],Municipality[Municipality],Municipality[Model],"")</f>
        <v>North</v>
      </c>
      <c r="P70" s="236"/>
    </row>
    <row r="71" spans="1:16">
      <c r="A71" s="238" t="s">
        <v>1839</v>
      </c>
      <c r="B71" s="238" t="s">
        <v>1842</v>
      </c>
      <c r="C71" s="240" t="str" cm="1">
        <f t="array" ref="C71">" "&amp;LOWER(_xlfn.REDUCE(H_unit[[#This Row],[Company]]&amp;" "&amp;H_unit[[#This Row],[Unit]],{",",".","(",")","/"},_xlfn.LAMBDA(_xlpm.txt,_xlpm.delim,SUBSTITUTE(_xlpm.txt,_xlpm.delim," "))))&amp;" "</f>
        <v xml:space="preserve"> loimua oy  hämeenlinna ahvenisto </v>
      </c>
      <c r="D71" s="242">
        <v>1977</v>
      </c>
      <c r="E71" s="243">
        <v>55</v>
      </c>
      <c r="F71" s="243"/>
      <c r="G71" s="247"/>
      <c r="H71" s="267" t="s">
        <v>1453</v>
      </c>
      <c r="I71" s="248" t="s">
        <v>1142</v>
      </c>
      <c r="J71" s="246" t="str" cm="1">
        <f t="array" ref="J71">_xlfn.XLOOKUP(TRUE,ISNUMBER(SEARCH(" "&amp;Municipality[Municipality]&amp;" ",H_unit[[#This Row],[Info string]])),Municipality[Municipality],"")</f>
        <v>Hämeenlinna</v>
      </c>
      <c r="K71" s="246" t="str" cm="1">
        <f t="array" ref="K71">IF(H_unit[[#This Row],[Exact]]&lt;&gt;"","",_xlfn.XLOOKUP(TRUE,ISNUMBER(SEARCH(" "&amp;Municipality[Municipality]&amp;"n ",H_unit[[#This Row],[Info string]])),Municipality[Municipality],""))</f>
        <v/>
      </c>
      <c r="L71" s="246"/>
      <c r="M71" s="244"/>
      <c r="N71" s="246" t="str">
        <f>_xlfn.TEXTJOIN("",TRUE,H_unit[[#This Row],[Exact]],H_unit[[#This Row],[Exact+n]],H_unit[[#This Row],[Copilot]])</f>
        <v>Hämeenlinna</v>
      </c>
      <c r="O71" s="246" t="str">
        <f>_xlfn.XLOOKUP(H_unit[[#This Row],[Municipality]],Municipality[Municipality],Municipality[Model],"")</f>
        <v>South West</v>
      </c>
      <c r="P71" s="236"/>
    </row>
    <row r="72" spans="1:16">
      <c r="A72" s="238" t="s">
        <v>1728</v>
      </c>
      <c r="B72" s="238" t="s">
        <v>1744</v>
      </c>
      <c r="C72" s="240" t="str" cm="1">
        <f t="array" ref="C72">" "&amp;LOWER(_xlfn.REDUCE(H_unit[[#This Row],[Company]]&amp;" "&amp;H_unit[[#This Row],[Unit]],{",",".","(",")","/"},_xlfn.LAMBDA(_xlpm.txt,_xlpm.delim,SUBSTITUTE(_xlpm.txt,_xlpm.delim," "))))&amp;" "</f>
        <v xml:space="preserve"> lahti energia oy  lahti kymijärvi  kaasuturbiini </v>
      </c>
      <c r="D72" s="242">
        <v>1990</v>
      </c>
      <c r="E72" s="243">
        <v>55</v>
      </c>
      <c r="F72" s="243">
        <v>49.5</v>
      </c>
      <c r="G72" s="247"/>
      <c r="H72" s="267" t="s">
        <v>1453</v>
      </c>
      <c r="I72" s="248" t="s">
        <v>1145</v>
      </c>
      <c r="J72" s="246" t="str" cm="1">
        <f t="array" ref="J72">_xlfn.XLOOKUP(TRUE,ISNUMBER(SEARCH(" "&amp;Municipality[Municipality]&amp;" ",H_unit[[#This Row],[Info string]])),Municipality[Municipality],"")</f>
        <v>Lahti</v>
      </c>
      <c r="K72" s="246" t="str" cm="1">
        <f t="array" ref="K72">IF(H_unit[[#This Row],[Exact]]&lt;&gt;"","",_xlfn.XLOOKUP(TRUE,ISNUMBER(SEARCH(" "&amp;Municipality[Municipality]&amp;"n ",H_unit[[#This Row],[Info string]])),Municipality[Municipality],""))</f>
        <v/>
      </c>
      <c r="L72" s="246"/>
      <c r="M72" s="244"/>
      <c r="N72" s="246" t="str">
        <f>_xlfn.TEXTJOIN("",TRUE,H_unit[[#This Row],[Exact]],H_unit[[#This Row],[Exact+n]],H_unit[[#This Row],[Copilot]])</f>
        <v>Lahti</v>
      </c>
      <c r="O72" s="246" t="str">
        <f>_xlfn.XLOOKUP(H_unit[[#This Row],[Municipality]],Municipality[Municipality],Municipality[Model],"")</f>
        <v>South East</v>
      </c>
      <c r="P72" s="236"/>
    </row>
    <row r="73" spans="1:16">
      <c r="A73" s="238" t="s">
        <v>1650</v>
      </c>
      <c r="B73" s="238" t="s">
        <v>1654</v>
      </c>
      <c r="C73" s="240" t="str" cm="1">
        <f t="array" ref="C73">" "&amp;LOWER(_xlfn.REDUCE(H_unit[[#This Row],[Company]]&amp;" "&amp;H_unit[[#This Row],[Unit]],{",",".","(",")","/"},_xlfn.LAMBDA(_xlpm.txt,_xlpm.delim,SUBSTITUTE(_xlpm.txt,_xlpm.delim," "))))&amp;" "</f>
        <v xml:space="preserve"> kokkolan energia kokkolan energia oy voima </v>
      </c>
      <c r="D73" s="242">
        <v>2001</v>
      </c>
      <c r="E73" s="243">
        <v>55</v>
      </c>
      <c r="F73" s="243">
        <v>20</v>
      </c>
      <c r="G73" s="247"/>
      <c r="H73" s="267" t="s">
        <v>1439</v>
      </c>
      <c r="I73" s="248" t="s">
        <v>1153</v>
      </c>
      <c r="J73" s="246" t="str" cm="1">
        <f t="array" ref="J73">_xlfn.XLOOKUP(TRUE,ISNUMBER(SEARCH(" "&amp;Municipality[Municipality]&amp;" ",H_unit[[#This Row],[Info string]])),Municipality[Municipality],"")</f>
        <v/>
      </c>
      <c r="K73" s="246" t="str" cm="1">
        <f t="array" ref="K73">IF(H_unit[[#This Row],[Exact]]&lt;&gt;"","",_xlfn.XLOOKUP(TRUE,ISNUMBER(SEARCH(" "&amp;Municipality[Municipality]&amp;"n ",H_unit[[#This Row],[Info string]])),Municipality[Municipality],""))</f>
        <v>Kokkola</v>
      </c>
      <c r="L73" s="246"/>
      <c r="M73" s="244"/>
      <c r="N73" s="246" t="str">
        <f>_xlfn.TEXTJOIN("",TRUE,H_unit[[#This Row],[Exact]],H_unit[[#This Row],[Exact+n]],H_unit[[#This Row],[Copilot]])</f>
        <v>Kokkola</v>
      </c>
      <c r="O73" s="246" t="str">
        <f>_xlfn.XLOOKUP(H_unit[[#This Row],[Municipality]],Municipality[Municipality],Municipality[Model],"")</f>
        <v>West</v>
      </c>
      <c r="P73" s="236"/>
    </row>
    <row r="74" spans="1:16">
      <c r="A74" s="238" t="s">
        <v>1498</v>
      </c>
      <c r="B74" s="238" t="s">
        <v>1065</v>
      </c>
      <c r="C74" s="240" t="str" cm="1">
        <f t="array" ref="C74">" "&amp;LOWER(_xlfn.REDUCE(H_unit[[#This Row],[Company]]&amp;" "&amp;H_unit[[#This Row],[Unit]],{",",".","(",")","/"},_xlfn.LAMBDA(_xlpm.txt,_xlpm.delim,SUBSTITUTE(_xlpm.txt,_xlpm.delim," "))))&amp;" "</f>
        <v xml:space="preserve"> etelä-savon energia oy pursiala 1 </v>
      </c>
      <c r="D74" s="242">
        <v>1990</v>
      </c>
      <c r="E74" s="243">
        <v>54.4</v>
      </c>
      <c r="F74" s="243">
        <v>26</v>
      </c>
      <c r="G74" s="247"/>
      <c r="H74" s="267" t="s">
        <v>1423</v>
      </c>
      <c r="I74" s="248" t="s">
        <v>1153</v>
      </c>
      <c r="J74" s="246" t="str" cm="1">
        <f t="array" ref="J74">_xlfn.XLOOKUP(TRUE,ISNUMBER(SEARCH(" "&amp;Municipality[Municipality]&amp;" ",H_unit[[#This Row],[Info string]])),Municipality[Municipality],"")</f>
        <v/>
      </c>
      <c r="K74" s="246" t="str" cm="1">
        <f t="array" ref="K74">IF(H_unit[[#This Row],[Exact]]&lt;&gt;"","",_xlfn.XLOOKUP(TRUE,ISNUMBER(SEARCH(" "&amp;Municipality[Municipality]&amp;"n ",H_unit[[#This Row],[Info string]])),Municipality[Municipality],""))</f>
        <v/>
      </c>
      <c r="L74" s="246" t="s">
        <v>2761</v>
      </c>
      <c r="M74" s="244" t="s">
        <v>2893</v>
      </c>
      <c r="N74" s="246" t="str">
        <f>_xlfn.TEXTJOIN("",TRUE,H_unit[[#This Row],[Exact]],H_unit[[#This Row],[Exact+n]],H_unit[[#This Row],[Copilot]])</f>
        <v>Mikkeli</v>
      </c>
      <c r="O74" s="246" t="str">
        <f>_xlfn.XLOOKUP(H_unit[[#This Row],[Municipality]],Municipality[Municipality],Municipality[Model],"")</f>
        <v>East</v>
      </c>
      <c r="P74" s="236"/>
    </row>
    <row r="75" spans="1:16">
      <c r="A75" s="238" t="s">
        <v>2430</v>
      </c>
      <c r="B75" s="238" t="s">
        <v>2431</v>
      </c>
      <c r="C75" s="240" t="str" cm="1">
        <f t="array" ref="C75">" "&amp;LOWER(_xlfn.REDUCE(H_unit[[#This Row],[Company]]&amp;" "&amp;H_unit[[#This Row],[Unit]],{",",".","(",")","/"},_xlfn.LAMBDA(_xlpm.txt,_xlpm.delim,SUBSTITUTE(_xlpm.txt,_xlpm.delim," "))))&amp;" "</f>
        <v xml:space="preserve"> westenergy oy  mustasaari westenergy  </v>
      </c>
      <c r="D75" s="242">
        <v>2012</v>
      </c>
      <c r="E75" s="243">
        <v>52</v>
      </c>
      <c r="F75" s="243">
        <v>15</v>
      </c>
      <c r="G75" s="247"/>
      <c r="H75" s="267" t="s">
        <v>2277</v>
      </c>
      <c r="I75" s="248" t="s">
        <v>1154</v>
      </c>
      <c r="J75" s="246" t="str" cm="1">
        <f t="array" ref="J75">_xlfn.XLOOKUP(TRUE,ISNUMBER(SEARCH(" "&amp;Municipality[Municipality]&amp;" ",H_unit[[#This Row],[Info string]])),Municipality[Municipality],"")</f>
        <v>Mustasaari</v>
      </c>
      <c r="K75" s="246" t="str" cm="1">
        <f t="array" ref="K75">IF(H_unit[[#This Row],[Exact]]&lt;&gt;"","",_xlfn.XLOOKUP(TRUE,ISNUMBER(SEARCH(" "&amp;Municipality[Municipality]&amp;"n ",H_unit[[#This Row],[Info string]])),Municipality[Municipality],""))</f>
        <v/>
      </c>
      <c r="L75" s="246"/>
      <c r="M75" s="244"/>
      <c r="N75" s="246" t="str">
        <f>_xlfn.TEXTJOIN("",TRUE,H_unit[[#This Row],[Exact]],H_unit[[#This Row],[Exact+n]],H_unit[[#This Row],[Copilot]])</f>
        <v>Mustasaari</v>
      </c>
      <c r="O75" s="246" t="str">
        <f>_xlfn.XLOOKUP(H_unit[[#This Row],[Municipality]],Municipality[Municipality],Municipality[Model],"")</f>
        <v>West</v>
      </c>
      <c r="P75" s="236"/>
    </row>
    <row r="76" spans="1:16">
      <c r="A76" s="238" t="s">
        <v>1655</v>
      </c>
      <c r="B76" s="238" t="s">
        <v>1656</v>
      </c>
      <c r="C76" s="240" t="str" cm="1">
        <f t="array" ref="C76">" "&amp;LOWER(_xlfn.REDUCE(H_unit[[#This Row],[Company]]&amp;" "&amp;H_unit[[#This Row],[Unit]],{",",".","(",")","/"},_xlfn.LAMBDA(_xlpm.txt,_xlpm.delim,SUBSTITUTE(_xlpm.txt,_xlpm.delim," "))))&amp;" "</f>
        <v xml:space="preserve"> kotkan energia oy itäkatu 6 </v>
      </c>
      <c r="D76" s="242">
        <v>1979</v>
      </c>
      <c r="E76" s="243">
        <v>50</v>
      </c>
      <c r="F76" s="243"/>
      <c r="G76" s="247"/>
      <c r="H76" s="267" t="s">
        <v>1430</v>
      </c>
      <c r="I76" s="248" t="s">
        <v>1141</v>
      </c>
      <c r="J76" s="246" t="str" cm="1">
        <f t="array" ref="J76">_xlfn.XLOOKUP(TRUE,ISNUMBER(SEARCH(" "&amp;Municipality[Municipality]&amp;" ",H_unit[[#This Row],[Info string]])),Municipality[Municipality],"")</f>
        <v/>
      </c>
      <c r="K76" s="246" t="str" cm="1">
        <f t="array" ref="K76">IF(H_unit[[#This Row],[Exact]]&lt;&gt;"","",_xlfn.XLOOKUP(TRUE,ISNUMBER(SEARCH(" "&amp;Municipality[Municipality]&amp;"n ",H_unit[[#This Row],[Info string]])),Municipality[Municipality],""))</f>
        <v>Kotka</v>
      </c>
      <c r="L76" s="246"/>
      <c r="M76" s="244"/>
      <c r="N76" s="246" t="str">
        <f>_xlfn.TEXTJOIN("",TRUE,H_unit[[#This Row],[Exact]],H_unit[[#This Row],[Exact+n]],H_unit[[#This Row],[Copilot]])</f>
        <v>Kotka</v>
      </c>
      <c r="O76" s="246" t="str">
        <f>_xlfn.XLOOKUP(H_unit[[#This Row],[Municipality]],Municipality[Municipality],Municipality[Model],"")</f>
        <v>South East</v>
      </c>
      <c r="P76" s="236"/>
    </row>
    <row r="77" spans="1:16">
      <c r="A77" s="238" t="s">
        <v>2269</v>
      </c>
      <c r="B77" s="238" t="s">
        <v>964</v>
      </c>
      <c r="C77" s="240" t="str" cm="1">
        <f t="array" ref="C77">" "&amp;LOWER(_xlfn.REDUCE(H_unit[[#This Row],[Company]]&amp;" "&amp;H_unit[[#This Row],[Unit]],{",",".","(",")","/"},_xlfn.LAMBDA(_xlpm.txt,_xlpm.delim,SUBSTITUTE(_xlpm.txt,_xlpm.delim," "))))&amp;" "</f>
        <v xml:space="preserve"> alholmens kraft oy  pietarsaari ak1 </v>
      </c>
      <c r="D77" s="242">
        <v>1982</v>
      </c>
      <c r="E77" s="243">
        <v>50</v>
      </c>
      <c r="F77" s="243">
        <v>40</v>
      </c>
      <c r="G77" s="247"/>
      <c r="H77" s="267" t="s">
        <v>1439</v>
      </c>
      <c r="I77" s="248" t="s">
        <v>1153</v>
      </c>
      <c r="J77" s="246" t="str" cm="1">
        <f t="array" ref="J77">_xlfn.XLOOKUP(TRUE,ISNUMBER(SEARCH(" "&amp;Municipality[Municipality]&amp;" ",H_unit[[#This Row],[Info string]])),Municipality[Municipality],"")</f>
        <v>Pietarsaari</v>
      </c>
      <c r="K77" s="246" t="str" cm="1">
        <f t="array" ref="K77">IF(H_unit[[#This Row],[Exact]]&lt;&gt;"","",_xlfn.XLOOKUP(TRUE,ISNUMBER(SEARCH(" "&amp;Municipality[Municipality]&amp;"n ",H_unit[[#This Row],[Info string]])),Municipality[Municipality],""))</f>
        <v/>
      </c>
      <c r="L77" s="246"/>
      <c r="M77" s="244"/>
      <c r="N77" s="246" t="str">
        <f>_xlfn.TEXTJOIN("",TRUE,H_unit[[#This Row],[Exact]],H_unit[[#This Row],[Exact+n]],H_unit[[#This Row],[Copilot]])</f>
        <v>Pietarsaari</v>
      </c>
      <c r="O77" s="246" t="str">
        <f>_xlfn.XLOOKUP(H_unit[[#This Row],[Municipality]],Municipality[Municipality],Municipality[Model],"")</f>
        <v>West</v>
      </c>
      <c r="P77" s="236"/>
    </row>
    <row r="78" spans="1:16">
      <c r="A78" s="238" t="s">
        <v>1661</v>
      </c>
      <c r="B78" s="238" t="s">
        <v>1662</v>
      </c>
      <c r="C78" s="240" t="str" cm="1">
        <f t="array" ref="C78">" "&amp;LOWER(_xlfn.REDUCE(H_unit[[#This Row],[Company]]&amp;" "&amp;H_unit[[#This Row],[Unit]],{",",".","(",")","/"},_xlfn.LAMBDA(_xlpm.txt,_xlpm.delim,SUBSTITUTE(_xlpm.txt,_xlpm.delim," "))))&amp;" "</f>
        <v xml:space="preserve"> kss lämpö oy  kouvola kiskokatu </v>
      </c>
      <c r="D78" s="242">
        <v>1982</v>
      </c>
      <c r="E78" s="243">
        <v>48</v>
      </c>
      <c r="F78" s="243"/>
      <c r="G78" s="247"/>
      <c r="H78" s="267" t="s">
        <v>1453</v>
      </c>
      <c r="I78" s="248" t="s">
        <v>1142</v>
      </c>
      <c r="J78" s="246" t="str" cm="1">
        <f t="array" ref="J78">_xlfn.XLOOKUP(TRUE,ISNUMBER(SEARCH(" "&amp;Municipality[Municipality]&amp;" ",H_unit[[#This Row],[Info string]])),Municipality[Municipality],"")</f>
        <v>Kouvola</v>
      </c>
      <c r="K78" s="246" t="str" cm="1">
        <f t="array" ref="K78">IF(H_unit[[#This Row],[Exact]]&lt;&gt;"","",_xlfn.XLOOKUP(TRUE,ISNUMBER(SEARCH(" "&amp;Municipality[Municipality]&amp;"n ",H_unit[[#This Row],[Info string]])),Municipality[Municipality],""))</f>
        <v/>
      </c>
      <c r="L78" s="246"/>
      <c r="M78" s="244"/>
      <c r="N78" s="246" t="str">
        <f>_xlfn.TEXTJOIN("",TRUE,H_unit[[#This Row],[Exact]],H_unit[[#This Row],[Exact+n]],H_unit[[#This Row],[Copilot]])</f>
        <v>Kouvola</v>
      </c>
      <c r="O78" s="246" t="str">
        <f>_xlfn.XLOOKUP(H_unit[[#This Row],[Municipality]],Municipality[Municipality],Municipality[Model],"")</f>
        <v>South East</v>
      </c>
      <c r="P78" s="236"/>
    </row>
    <row r="79" spans="1:16">
      <c r="A79" s="238" t="s">
        <v>2309</v>
      </c>
      <c r="B79" s="238" t="s">
        <v>904</v>
      </c>
      <c r="C79" s="240" t="str" cm="1">
        <f t="array" ref="C79">" "&amp;LOWER(_xlfn.REDUCE(H_unit[[#This Row],[Company]]&amp;" "&amp;H_unit[[#This Row],[Unit]],{",",".","(",")","/"},_xlfn.LAMBDA(_xlpm.txt,_xlpm.delim,SUBSTITUTE(_xlpm.txt,_xlpm.delim," "))))&amp;" "</f>
        <v xml:space="preserve"> kss energia oy hinkismäki </v>
      </c>
      <c r="D79" s="242">
        <v>1987</v>
      </c>
      <c r="E79" s="243">
        <v>48</v>
      </c>
      <c r="F79" s="243"/>
      <c r="G79" s="247"/>
      <c r="H79" s="267" t="s">
        <v>1453</v>
      </c>
      <c r="I79" s="248" t="s">
        <v>1142</v>
      </c>
      <c r="J79" s="246" t="str" cm="1">
        <f t="array" ref="J79">_xlfn.XLOOKUP(TRUE,ISNUMBER(SEARCH(" "&amp;Municipality[Municipality]&amp;" ",H_unit[[#This Row],[Info string]])),Municipality[Municipality],"")</f>
        <v/>
      </c>
      <c r="K79" s="246" t="str" cm="1">
        <f t="array" ref="K79">IF(H_unit[[#This Row],[Exact]]&lt;&gt;"","",_xlfn.XLOOKUP(TRUE,ISNUMBER(SEARCH(" "&amp;Municipality[Municipality]&amp;"n ",H_unit[[#This Row],[Info string]])),Municipality[Municipality],""))</f>
        <v/>
      </c>
      <c r="L79" s="246" t="s">
        <v>2612</v>
      </c>
      <c r="M79" s="244" t="s">
        <v>2894</v>
      </c>
      <c r="N79" s="246" t="str">
        <f>_xlfn.TEXTJOIN("",TRUE,H_unit[[#This Row],[Exact]],H_unit[[#This Row],[Exact+n]],H_unit[[#This Row],[Copilot]])</f>
        <v>Kouvola</v>
      </c>
      <c r="O79" s="246" t="str">
        <f>_xlfn.XLOOKUP(H_unit[[#This Row],[Municipality]],Municipality[Municipality],Municipality[Model],"")</f>
        <v>South East</v>
      </c>
      <c r="P79" s="236"/>
    </row>
    <row r="80" spans="1:16">
      <c r="A80" s="238" t="s">
        <v>1904</v>
      </c>
      <c r="B80" s="238" t="s">
        <v>920</v>
      </c>
      <c r="C80" s="240" t="str" cm="1">
        <f t="array" ref="C80">" "&amp;LOWER(_xlfn.REDUCE(H_unit[[#This Row],[Company]]&amp;" "&amp;H_unit[[#This Row],[Unit]],{",",".","(",")","/"},_xlfn.LAMBDA(_xlpm.txt,_xlpm.delim,SUBSTITUTE(_xlpm.txt,_xlpm.delim," "))))&amp;" "</f>
        <v xml:space="preserve"> nevel oy  forssa kiimassuo </v>
      </c>
      <c r="D80" s="242">
        <v>1996</v>
      </c>
      <c r="E80" s="243">
        <v>48</v>
      </c>
      <c r="F80" s="243">
        <v>17.2</v>
      </c>
      <c r="G80" s="247"/>
      <c r="H80" s="267" t="s">
        <v>1428</v>
      </c>
      <c r="I80" s="248" t="s">
        <v>1153</v>
      </c>
      <c r="J80" s="246" t="str" cm="1">
        <f t="array" ref="J80">_xlfn.XLOOKUP(TRUE,ISNUMBER(SEARCH(" "&amp;Municipality[Municipality]&amp;" ",H_unit[[#This Row],[Info string]])),Municipality[Municipality],"")</f>
        <v>Forssa</v>
      </c>
      <c r="K80" s="246" t="str" cm="1">
        <f t="array" ref="K80">IF(H_unit[[#This Row],[Exact]]&lt;&gt;"","",_xlfn.XLOOKUP(TRUE,ISNUMBER(SEARCH(" "&amp;Municipality[Municipality]&amp;"n ",H_unit[[#This Row],[Info string]])),Municipality[Municipality],""))</f>
        <v/>
      </c>
      <c r="L80" s="246"/>
      <c r="M80" s="244"/>
      <c r="N80" s="246" t="str">
        <f>_xlfn.TEXTJOIN("",TRUE,H_unit[[#This Row],[Exact]],H_unit[[#This Row],[Exact+n]],H_unit[[#This Row],[Copilot]])</f>
        <v>Forssa</v>
      </c>
      <c r="O80" s="246" t="str">
        <f>_xlfn.XLOOKUP(H_unit[[#This Row],[Municipality]],Municipality[Municipality],Municipality[Model],"")</f>
        <v>South West</v>
      </c>
      <c r="P80" s="236"/>
    </row>
    <row r="81" spans="1:16">
      <c r="A81" s="238" t="s">
        <v>2056</v>
      </c>
      <c r="B81" s="238" t="s">
        <v>2058</v>
      </c>
      <c r="C81" s="240" t="str" cm="1">
        <f t="array" ref="C81">" "&amp;LOWER(_xlfn.REDUCE(H_unit[[#This Row],[Company]]&amp;" "&amp;H_unit[[#This Row],[Unit]],{",",".","(",")","/"},_xlfn.LAMBDA(_xlpm.txt,_xlpm.delim,SUBSTITUTE(_xlpm.txt,_xlpm.delim," "))))&amp;" "</f>
        <v xml:space="preserve"> porvoon energia oy harabacka  lisäosa 2023  </v>
      </c>
      <c r="D81" s="242">
        <v>2001</v>
      </c>
      <c r="E81" s="243">
        <v>48</v>
      </c>
      <c r="F81" s="243"/>
      <c r="G81" s="247"/>
      <c r="H81" s="267" t="s">
        <v>1453</v>
      </c>
      <c r="I81" s="248" t="s">
        <v>1142</v>
      </c>
      <c r="J81" s="246" t="str" cm="1">
        <f t="array" ref="J81">_xlfn.XLOOKUP(TRUE,ISNUMBER(SEARCH(" "&amp;Municipality[Municipality]&amp;" ",H_unit[[#This Row],[Info string]])),Municipality[Municipality],"")</f>
        <v>Porvoon</v>
      </c>
      <c r="K81" s="246" t="str" cm="1">
        <f t="array" ref="K81">IF(H_unit[[#This Row],[Exact]]&lt;&gt;"","",_xlfn.XLOOKUP(TRUE,ISNUMBER(SEARCH(" "&amp;Municipality[Municipality]&amp;"n ",H_unit[[#This Row],[Info string]])),Municipality[Municipality],""))</f>
        <v/>
      </c>
      <c r="L81" s="246"/>
      <c r="M81" s="244"/>
      <c r="N81" s="246" t="str">
        <f>_xlfn.TEXTJOIN("",TRUE,H_unit[[#This Row],[Exact]],H_unit[[#This Row],[Exact+n]],H_unit[[#This Row],[Copilot]])</f>
        <v>Porvoon</v>
      </c>
      <c r="O81" s="246" t="str">
        <f>_xlfn.XLOOKUP(H_unit[[#This Row],[Municipality]],Municipality[Municipality],Municipality[Model],"")</f>
        <v>Uusimaa</v>
      </c>
      <c r="P81" s="236"/>
    </row>
    <row r="82" spans="1:16">
      <c r="A82" s="238" t="s">
        <v>1961</v>
      </c>
      <c r="B82" s="238" t="s">
        <v>1922</v>
      </c>
      <c r="C82" s="240" t="str" cm="1">
        <f t="array" ref="C82">" "&amp;LOWER(_xlfn.REDUCE(H_unit[[#This Row],[Company]]&amp;" "&amp;H_unit[[#This Row],[Unit]],{",",".","(",")","/"},_xlfn.LAMBDA(_xlpm.txt,_xlpm.delim,SUBSTITUTE(_xlpm.txt,_xlpm.delim," "))))&amp;" "</f>
        <v xml:space="preserve"> nivalan kaukolämpö oy teollisuuskylä </v>
      </c>
      <c r="D82" s="242">
        <v>1979</v>
      </c>
      <c r="E82" s="243">
        <v>47</v>
      </c>
      <c r="F82" s="243"/>
      <c r="G82" s="247"/>
      <c r="H82" s="267" t="s">
        <v>1423</v>
      </c>
      <c r="I82" s="248" t="s">
        <v>1143</v>
      </c>
      <c r="J82" s="246" t="str" cm="1">
        <f t="array" ref="J82">_xlfn.XLOOKUP(TRUE,ISNUMBER(SEARCH(" "&amp;Municipality[Municipality]&amp;" ",H_unit[[#This Row],[Info string]])),Municipality[Municipality],"")</f>
        <v/>
      </c>
      <c r="K82" s="246" t="str" cm="1">
        <f t="array" ref="K82">IF(H_unit[[#This Row],[Exact]]&lt;&gt;"","",_xlfn.XLOOKUP(TRUE,ISNUMBER(SEARCH(" "&amp;Municipality[Municipality]&amp;"n ",H_unit[[#This Row],[Info string]])),Municipality[Municipality],""))</f>
        <v>Nivala</v>
      </c>
      <c r="L82" s="246"/>
      <c r="M82" s="244"/>
      <c r="N82" s="246" t="str">
        <f>_xlfn.TEXTJOIN("",TRUE,H_unit[[#This Row],[Exact]],H_unit[[#This Row],[Exact+n]],H_unit[[#This Row],[Copilot]])</f>
        <v>Nivala</v>
      </c>
      <c r="O82" s="246" t="str">
        <f>_xlfn.XLOOKUP(H_unit[[#This Row],[Municipality]],Municipality[Municipality],Municipality[Model],"")</f>
        <v>North</v>
      </c>
      <c r="P82" s="236"/>
    </row>
    <row r="83" spans="1:16">
      <c r="A83" s="238" t="s">
        <v>1728</v>
      </c>
      <c r="B83" s="238" t="s">
        <v>1734</v>
      </c>
      <c r="C83" s="240" t="str" cm="1">
        <f t="array" ref="C83">" "&amp;LOWER(_xlfn.REDUCE(H_unit[[#This Row],[Company]]&amp;" "&amp;H_unit[[#This Row],[Unit]],{",",".","(",")","/"},_xlfn.LAMBDA(_xlpm.txt,_xlpm.delim,SUBSTITUTE(_xlpm.txt,_xlpm.delim," "))))&amp;" "</f>
        <v xml:space="preserve"> lahti energia oy  lahti mukkula </v>
      </c>
      <c r="D83" s="242">
        <v>2010</v>
      </c>
      <c r="E83" s="243">
        <v>47</v>
      </c>
      <c r="F83" s="243"/>
      <c r="G83" s="247"/>
      <c r="H83" s="267" t="s">
        <v>1453</v>
      </c>
      <c r="I83" s="248" t="s">
        <v>1142</v>
      </c>
      <c r="J83" s="246" t="str" cm="1">
        <f t="array" ref="J83">_xlfn.XLOOKUP(TRUE,ISNUMBER(SEARCH(" "&amp;Municipality[Municipality]&amp;" ",H_unit[[#This Row],[Info string]])),Municipality[Municipality],"")</f>
        <v>Lahti</v>
      </c>
      <c r="K83" s="246" t="str" cm="1">
        <f t="array" ref="K83">IF(H_unit[[#This Row],[Exact]]&lt;&gt;"","",_xlfn.XLOOKUP(TRUE,ISNUMBER(SEARCH(" "&amp;Municipality[Municipality]&amp;"n ",H_unit[[#This Row],[Info string]])),Municipality[Municipality],""))</f>
        <v/>
      </c>
      <c r="L83" s="246"/>
      <c r="M83" s="244"/>
      <c r="N83" s="246" t="str">
        <f>_xlfn.TEXTJOIN("",TRUE,H_unit[[#This Row],[Exact]],H_unit[[#This Row],[Exact+n]],H_unit[[#This Row],[Copilot]])</f>
        <v>Lahti</v>
      </c>
      <c r="O83" s="246" t="str">
        <f>_xlfn.XLOOKUP(H_unit[[#This Row],[Municipality]],Municipality[Municipality],Municipality[Model],"")</f>
        <v>South East</v>
      </c>
      <c r="P83" s="236"/>
    </row>
    <row r="84" spans="1:16">
      <c r="A84" s="238" t="s">
        <v>1728</v>
      </c>
      <c r="B84" s="238" t="s">
        <v>1738</v>
      </c>
      <c r="C84" s="240" t="str" cm="1">
        <f t="array" ref="C84">" "&amp;LOWER(_xlfn.REDUCE(H_unit[[#This Row],[Company]]&amp;" "&amp;H_unit[[#This Row],[Unit]],{",",".","(",")","/"},_xlfn.LAMBDA(_xlpm.txt,_xlpm.delim,SUBSTITUTE(_xlpm.txt,_xlpm.delim," "))))&amp;" "</f>
        <v xml:space="preserve"> lahti energia oy  lahti ilmarisentie </v>
      </c>
      <c r="D84" s="242">
        <v>2000</v>
      </c>
      <c r="E84" s="243">
        <v>45</v>
      </c>
      <c r="F84" s="243"/>
      <c r="G84" s="247"/>
      <c r="H84" s="267" t="s">
        <v>1453</v>
      </c>
      <c r="I84" s="248" t="s">
        <v>1142</v>
      </c>
      <c r="J84" s="246" t="str" cm="1">
        <f t="array" ref="J84">_xlfn.XLOOKUP(TRUE,ISNUMBER(SEARCH(" "&amp;Municipality[Municipality]&amp;" ",H_unit[[#This Row],[Info string]])),Municipality[Municipality],"")</f>
        <v>Lahti</v>
      </c>
      <c r="K84" s="246" t="str" cm="1">
        <f t="array" ref="K84">IF(H_unit[[#This Row],[Exact]]&lt;&gt;"","",_xlfn.XLOOKUP(TRUE,ISNUMBER(SEARCH(" "&amp;Municipality[Municipality]&amp;"n ",H_unit[[#This Row],[Info string]])),Municipality[Municipality],""))</f>
        <v/>
      </c>
      <c r="L84" s="246"/>
      <c r="M84" s="244"/>
      <c r="N84" s="246" t="str">
        <f>_xlfn.TEXTJOIN("",TRUE,H_unit[[#This Row],[Exact]],H_unit[[#This Row],[Exact+n]],H_unit[[#This Row],[Copilot]])</f>
        <v>Lahti</v>
      </c>
      <c r="O84" s="246" t="str">
        <f>_xlfn.XLOOKUP(H_unit[[#This Row],[Municipality]],Municipality[Municipality],Municipality[Model],"")</f>
        <v>South East</v>
      </c>
      <c r="P84" s="236"/>
    </row>
    <row r="85" spans="1:16">
      <c r="A85" s="238" t="s">
        <v>2315</v>
      </c>
      <c r="B85" s="238" t="s">
        <v>2315</v>
      </c>
      <c r="C85" s="240" t="str" cm="1">
        <f t="array" ref="C85">" "&amp;LOWER(_xlfn.REDUCE(H_unit[[#This Row],[Company]]&amp;" "&amp;H_unit[[#This Row],[Unit]],{",",".","(",")","/"},_xlfn.LAMBDA(_xlpm.txt,_xlpm.delim,SUBSTITUTE(_xlpm.txt,_xlpm.delim," "))))&amp;" "</f>
        <v xml:space="preserve"> kymin voima oy kymin voima oy </v>
      </c>
      <c r="D85" s="242">
        <v>2002</v>
      </c>
      <c r="E85" s="243">
        <v>45</v>
      </c>
      <c r="F85" s="243"/>
      <c r="G85" s="247"/>
      <c r="H85" s="267" t="s">
        <v>1439</v>
      </c>
      <c r="I85" s="248" t="s">
        <v>1143</v>
      </c>
      <c r="J85" s="246" t="str" cm="1">
        <f t="array" ref="J85">_xlfn.XLOOKUP(TRUE,ISNUMBER(SEARCH(" "&amp;Municipality[Municipality]&amp;" ",H_unit[[#This Row],[Info string]])),Municipality[Municipality],"")</f>
        <v/>
      </c>
      <c r="K85" s="246" t="str" cm="1">
        <f t="array" ref="K85">IF(H_unit[[#This Row],[Exact]]&lt;&gt;"","",_xlfn.XLOOKUP(TRUE,ISNUMBER(SEARCH(" "&amp;Municipality[Municipality]&amp;"n ",H_unit[[#This Row],[Info string]])),Municipality[Municipality],""))</f>
        <v/>
      </c>
      <c r="L85" s="246" t="s">
        <v>2612</v>
      </c>
      <c r="M85" s="244" t="s">
        <v>2895</v>
      </c>
      <c r="N85" s="246" t="str">
        <f>_xlfn.TEXTJOIN("",TRUE,H_unit[[#This Row],[Exact]],H_unit[[#This Row],[Exact+n]],H_unit[[#This Row],[Copilot]])</f>
        <v>Kouvola</v>
      </c>
      <c r="O85" s="246" t="str">
        <f>_xlfn.XLOOKUP(H_unit[[#This Row],[Municipality]],Municipality[Municipality],Municipality[Model],"")</f>
        <v>South East</v>
      </c>
      <c r="P85" s="236"/>
    </row>
    <row r="86" spans="1:16">
      <c r="A86" s="238" t="s">
        <v>2211</v>
      </c>
      <c r="B86" s="238" t="s">
        <v>2212</v>
      </c>
      <c r="C86" s="240" t="str" cm="1">
        <f t="array" ref="C86">" "&amp;LOWER(_xlfn.REDUCE(H_unit[[#This Row],[Company]]&amp;" "&amp;H_unit[[#This Row],[Unit]],{",",".","(",")","/"},_xlfn.LAMBDA(_xlpm.txt,_xlpm.delim,SUBSTITUTE(_xlpm.txt,_xlpm.delim," "))))&amp;" "</f>
        <v xml:space="preserve"> vantaan energia keski-uusimaa oy  järvenpää ristinummi </v>
      </c>
      <c r="D86" s="242">
        <v>2010</v>
      </c>
      <c r="E86" s="243">
        <v>45</v>
      </c>
      <c r="F86" s="243"/>
      <c r="G86" s="247"/>
      <c r="H86" s="267" t="s">
        <v>1453</v>
      </c>
      <c r="I86" s="248" t="s">
        <v>1142</v>
      </c>
      <c r="J86" s="246" t="str" cm="1">
        <f t="array" ref="J86">_xlfn.XLOOKUP(TRUE,ISNUMBER(SEARCH(" "&amp;Municipality[Municipality]&amp;" ",H_unit[[#This Row],[Info string]])),Municipality[Municipality],"")</f>
        <v>Järvenpää</v>
      </c>
      <c r="K86" s="246" t="str" cm="1">
        <f t="array" ref="K86">IF(H_unit[[#This Row],[Exact]]&lt;&gt;"","",_xlfn.XLOOKUP(TRUE,ISNUMBER(SEARCH(" "&amp;Municipality[Municipality]&amp;"n ",H_unit[[#This Row],[Info string]])),Municipality[Municipality],""))</f>
        <v/>
      </c>
      <c r="L86" s="246"/>
      <c r="M86" s="244"/>
      <c r="N86" s="246" t="str">
        <f>_xlfn.TEXTJOIN("",TRUE,H_unit[[#This Row],[Exact]],H_unit[[#This Row],[Exact+n]],H_unit[[#This Row],[Copilot]])</f>
        <v>Järvenpää</v>
      </c>
      <c r="O86" s="246" t="str">
        <f>_xlfn.XLOOKUP(H_unit[[#This Row],[Municipality]],Municipality[Municipality],Municipality[Model],"")</f>
        <v>Uusimaa</v>
      </c>
      <c r="P86" s="236"/>
    </row>
    <row r="87" spans="1:16">
      <c r="A87" s="238" t="s">
        <v>2382</v>
      </c>
      <c r="B87" s="238" t="s">
        <v>2385</v>
      </c>
      <c r="C87" s="240" t="str" cm="1">
        <f t="array" ref="C87">" "&amp;LOWER(_xlfn.REDUCE(H_unit[[#This Row],[Company]]&amp;" "&amp;H_unit[[#This Row],[Unit]],{",",".","(",")","/"},_xlfn.LAMBDA(_xlpm.txt,_xlpm.delim,SUBSTITUTE(_xlpm.txt,_xlpm.delim," "))))&amp;" "</f>
        <v xml:space="preserve"> seinäjoen voima oy  seinäjoki puhdistamonkadun lämpölaitos </v>
      </c>
      <c r="D87" s="242">
        <v>2011</v>
      </c>
      <c r="E87" s="243">
        <v>45</v>
      </c>
      <c r="F87" s="243"/>
      <c r="G87" s="247"/>
      <c r="H87" s="267" t="s">
        <v>1430</v>
      </c>
      <c r="I87" s="248" t="s">
        <v>1141</v>
      </c>
      <c r="J87" s="246" t="str" cm="1">
        <f t="array" ref="J87">_xlfn.XLOOKUP(TRUE,ISNUMBER(SEARCH(" "&amp;Municipality[Municipality]&amp;" ",H_unit[[#This Row],[Info string]])),Municipality[Municipality],"")</f>
        <v>Seinäjoki</v>
      </c>
      <c r="K87" s="246" t="str" cm="1">
        <f t="array" ref="K87">IF(H_unit[[#This Row],[Exact]]&lt;&gt;"","",_xlfn.XLOOKUP(TRUE,ISNUMBER(SEARCH(" "&amp;Municipality[Municipality]&amp;"n ",H_unit[[#This Row],[Info string]])),Municipality[Municipality],""))</f>
        <v/>
      </c>
      <c r="L87" s="246"/>
      <c r="M87" s="244"/>
      <c r="N87" s="246" t="str">
        <f>_xlfn.TEXTJOIN("",TRUE,H_unit[[#This Row],[Exact]],H_unit[[#This Row],[Exact+n]],H_unit[[#This Row],[Copilot]])</f>
        <v>Seinäjoki</v>
      </c>
      <c r="O87" s="246" t="str">
        <f>_xlfn.XLOOKUP(H_unit[[#This Row],[Municipality]],Municipality[Municipality],Municipality[Model],"")</f>
        <v>West</v>
      </c>
      <c r="P87" s="236"/>
    </row>
    <row r="88" spans="1:16">
      <c r="A88" s="238" t="s">
        <v>2113</v>
      </c>
      <c r="B88" s="238" t="s">
        <v>2123</v>
      </c>
      <c r="C88" s="240" t="str" cm="1">
        <f t="array" ref="C88">" "&amp;LOWER(_xlfn.REDUCE(H_unit[[#This Row],[Company]]&amp;" "&amp;H_unit[[#This Row],[Unit]],{",",".","(",")","/"},_xlfn.LAMBDA(_xlpm.txt,_xlpm.delim,SUBSTITUTE(_xlpm.txt,_xlpm.delim," "))))&amp;" "</f>
        <v xml:space="preserve"> savon voima oyj  joensuu nepenmäki </v>
      </c>
      <c r="D88" s="242">
        <v>2015</v>
      </c>
      <c r="E88" s="243">
        <v>45</v>
      </c>
      <c r="F88" s="243"/>
      <c r="G88" s="247"/>
      <c r="H88" s="267" t="s">
        <v>1430</v>
      </c>
      <c r="I88" s="248" t="s">
        <v>1141</v>
      </c>
      <c r="J88" s="246" t="str" cm="1">
        <f t="array" ref="J88">_xlfn.XLOOKUP(TRUE,ISNUMBER(SEARCH(" "&amp;Municipality[Municipality]&amp;" ",H_unit[[#This Row],[Info string]])),Municipality[Municipality],"")</f>
        <v>Joensuu</v>
      </c>
      <c r="K88" s="246" t="str" cm="1">
        <f t="array" ref="K88">IF(H_unit[[#This Row],[Exact]]&lt;&gt;"","",_xlfn.XLOOKUP(TRUE,ISNUMBER(SEARCH(" "&amp;Municipality[Municipality]&amp;"n ",H_unit[[#This Row],[Info string]])),Municipality[Municipality],""))</f>
        <v/>
      </c>
      <c r="L88" s="246"/>
      <c r="M88" s="244"/>
      <c r="N88" s="246" t="str">
        <f>_xlfn.TEXTJOIN("",TRUE,H_unit[[#This Row],[Exact]],H_unit[[#This Row],[Exact+n]],H_unit[[#This Row],[Copilot]])</f>
        <v>Joensuu</v>
      </c>
      <c r="O88" s="246" t="str">
        <f>_xlfn.XLOOKUP(H_unit[[#This Row],[Municipality]],Municipality[Municipality],Municipality[Model],"")</f>
        <v>East</v>
      </c>
      <c r="P88" s="236"/>
    </row>
    <row r="89" spans="1:16">
      <c r="A89" s="238" t="s">
        <v>1839</v>
      </c>
      <c r="B89" s="238" t="s">
        <v>1850</v>
      </c>
      <c r="C89" s="240" t="str" cm="1">
        <f t="array" ref="C89">" "&amp;LOWER(_xlfn.REDUCE(H_unit[[#This Row],[Company]]&amp;" "&amp;H_unit[[#This Row],[Unit]],{",",".","(",")","/"},_xlfn.LAMBDA(_xlpm.txt,_xlpm.delim,SUBSTITUTE(_xlpm.txt,_xlpm.delim," "))))&amp;" "</f>
        <v xml:space="preserve"> loimua oy  hämeenlinna vanaja k6 </v>
      </c>
      <c r="D89" s="242">
        <v>2020</v>
      </c>
      <c r="E89" s="243">
        <v>45</v>
      </c>
      <c r="F89" s="243"/>
      <c r="G89" s="247"/>
      <c r="H89" s="267" t="s">
        <v>1423</v>
      </c>
      <c r="I89" s="248" t="s">
        <v>1143</v>
      </c>
      <c r="J89" s="246" t="str" cm="1">
        <f t="array" ref="J89">_xlfn.XLOOKUP(TRUE,ISNUMBER(SEARCH(" "&amp;Municipality[Municipality]&amp;" ",H_unit[[#This Row],[Info string]])),Municipality[Municipality],"")</f>
        <v>Hämeenlinna</v>
      </c>
      <c r="K89" s="246" t="str" cm="1">
        <f t="array" ref="K89">IF(H_unit[[#This Row],[Exact]]&lt;&gt;"","",_xlfn.XLOOKUP(TRUE,ISNUMBER(SEARCH(" "&amp;Municipality[Municipality]&amp;"n ",H_unit[[#This Row],[Info string]])),Municipality[Municipality],""))</f>
        <v/>
      </c>
      <c r="L89" s="246"/>
      <c r="M89" s="244"/>
      <c r="N89" s="246" t="str">
        <f>_xlfn.TEXTJOIN("",TRUE,H_unit[[#This Row],[Exact]],H_unit[[#This Row],[Exact+n]],H_unit[[#This Row],[Copilot]])</f>
        <v>Hämeenlinna</v>
      </c>
      <c r="O89" s="246" t="str">
        <f>_xlfn.XLOOKUP(H_unit[[#This Row],[Municipality]],Municipality[Municipality],Municipality[Model],"")</f>
        <v>South West</v>
      </c>
      <c r="P89" s="236"/>
    </row>
    <row r="90" spans="1:16">
      <c r="A90" s="238" t="s">
        <v>2318</v>
      </c>
      <c r="B90" s="238" t="s">
        <v>2326</v>
      </c>
      <c r="C90" s="240" t="str" cm="1">
        <f t="array" ref="C90">" "&amp;LOWER(_xlfn.REDUCE(H_unit[[#This Row],[Company]]&amp;" "&amp;H_unit[[#This Row],[Unit]],{",",".","(",")","/"},_xlfn.LAMBDA(_xlpm.txt,_xlpm.delim,SUBSTITUTE(_xlpm.txt,_xlpm.delim," "))))&amp;" "</f>
        <v xml:space="preserve"> lappeenrannan lämpövoima oy ihalainen </v>
      </c>
      <c r="D90" s="242">
        <v>1991</v>
      </c>
      <c r="E90" s="243">
        <v>44</v>
      </c>
      <c r="F90" s="243"/>
      <c r="G90" s="247"/>
      <c r="H90" s="267" t="s">
        <v>1453</v>
      </c>
      <c r="I90" s="248" t="s">
        <v>1142</v>
      </c>
      <c r="J90" s="246" t="str" cm="1">
        <f t="array" ref="J90">_xlfn.XLOOKUP(TRUE,ISNUMBER(SEARCH(" "&amp;Municipality[Municipality]&amp;" ",H_unit[[#This Row],[Info string]])),Municipality[Municipality],"")</f>
        <v/>
      </c>
      <c r="K90" s="246" t="str" cm="1">
        <f t="array" ref="K90">IF(H_unit[[#This Row],[Exact]]&lt;&gt;"","",_xlfn.XLOOKUP(TRUE,ISNUMBER(SEARCH(" "&amp;Municipality[Municipality]&amp;"n ",H_unit[[#This Row],[Info string]])),Municipality[Municipality],""))</f>
        <v/>
      </c>
      <c r="L90" s="246" t="s">
        <v>980</v>
      </c>
      <c r="M90" s="244" t="s">
        <v>2892</v>
      </c>
      <c r="N90" s="246" t="str">
        <f>_xlfn.TEXTJOIN("",TRUE,H_unit[[#This Row],[Exact]],H_unit[[#This Row],[Exact+n]],H_unit[[#This Row],[Copilot]])</f>
        <v>Lappeenranta</v>
      </c>
      <c r="O90" s="246" t="str">
        <f>_xlfn.XLOOKUP(H_unit[[#This Row],[Municipality]],Municipality[Municipality],Municipality[Model],"")</f>
        <v>South East</v>
      </c>
      <c r="P90" s="236"/>
    </row>
    <row r="91" spans="1:16">
      <c r="A91" s="238" t="s">
        <v>1605</v>
      </c>
      <c r="B91" s="238" t="s">
        <v>1607</v>
      </c>
      <c r="C91" s="240" t="str" cm="1">
        <f t="array" ref="C91">" "&amp;LOWER(_xlfn.REDUCE(H_unit[[#This Row],[Company]]&amp;" "&amp;H_unit[[#This Row],[Unit]],{",",".","(",")","/"},_xlfn.LAMBDA(_xlpm.txt,_xlpm.delim,SUBSTITUTE(_xlpm.txt,_xlpm.delim," "))))&amp;" "</f>
        <v xml:space="preserve"> kemin energia ja vesi oy kpa1-lämpökeskus </v>
      </c>
      <c r="D91" s="242">
        <v>2006</v>
      </c>
      <c r="E91" s="243">
        <v>44</v>
      </c>
      <c r="F91" s="243"/>
      <c r="G91" s="247"/>
      <c r="H91" s="267" t="s">
        <v>1428</v>
      </c>
      <c r="I91" s="248" t="s">
        <v>1143</v>
      </c>
      <c r="J91" s="246" t="str" cm="1">
        <f t="array" ref="J91">_xlfn.XLOOKUP(TRUE,ISNUMBER(SEARCH(" "&amp;Municipality[Municipality]&amp;" ",H_unit[[#This Row],[Info string]])),Municipality[Municipality],"")</f>
        <v/>
      </c>
      <c r="K91" s="246" t="str" cm="1">
        <f t="array" ref="K91">IF(H_unit[[#This Row],[Exact]]&lt;&gt;"","",_xlfn.XLOOKUP(TRUE,ISNUMBER(SEARCH(" "&amp;Municipality[Municipality]&amp;"n ",H_unit[[#This Row],[Info string]])),Municipality[Municipality],""))</f>
        <v>Kemi</v>
      </c>
      <c r="L91" s="246"/>
      <c r="M91" s="244"/>
      <c r="N91" s="246" t="str">
        <f>_xlfn.TEXTJOIN("",TRUE,H_unit[[#This Row],[Exact]],H_unit[[#This Row],[Exact+n]],H_unit[[#This Row],[Copilot]])</f>
        <v>Kemi</v>
      </c>
      <c r="O91" s="246" t="str">
        <f>_xlfn.XLOOKUP(H_unit[[#This Row],[Municipality]],Municipality[Municipality],Municipality[Model],"")</f>
        <v>North</v>
      </c>
      <c r="P91" s="236"/>
    </row>
    <row r="92" spans="1:16">
      <c r="A92" s="238" t="s">
        <v>2355</v>
      </c>
      <c r="B92" s="238" t="s">
        <v>2356</v>
      </c>
      <c r="C92" s="240" t="str" cm="1">
        <f t="array" ref="C92">" "&amp;LOWER(_xlfn.REDUCE(H_unit[[#This Row],[Company]]&amp;" "&amp;H_unit[[#This Row],[Unit]],{",",".","(",")","/"},_xlfn.LAMBDA(_xlpm.txt,_xlpm.delim,SUBSTITUTE(_xlpm.txt,_xlpm.delim," "))))&amp;" "</f>
        <v xml:space="preserve"> nokianvirran energia oy nokia voimalaitos </v>
      </c>
      <c r="D92" s="242" t="s">
        <v>1417</v>
      </c>
      <c r="E92" s="243">
        <v>42</v>
      </c>
      <c r="F92" s="243">
        <v>27</v>
      </c>
      <c r="G92" s="247"/>
      <c r="H92" s="267" t="s">
        <v>1423</v>
      </c>
      <c r="I92" s="248" t="s">
        <v>1153</v>
      </c>
      <c r="J92" s="246" t="str" cm="1">
        <f t="array" ref="J92">_xlfn.XLOOKUP(TRUE,ISNUMBER(SEARCH(" "&amp;Municipality[Municipality]&amp;" ",H_unit[[#This Row],[Info string]])),Municipality[Municipality],"")</f>
        <v>Nokia</v>
      </c>
      <c r="K92" s="246" t="str" cm="1">
        <f t="array" ref="K92">IF(H_unit[[#This Row],[Exact]]&lt;&gt;"","",_xlfn.XLOOKUP(TRUE,ISNUMBER(SEARCH(" "&amp;Municipality[Municipality]&amp;"n ",H_unit[[#This Row],[Info string]])),Municipality[Municipality],""))</f>
        <v/>
      </c>
      <c r="L92" s="246"/>
      <c r="M92" s="244"/>
      <c r="N92" s="246" t="str">
        <f>_xlfn.TEXTJOIN("",TRUE,H_unit[[#This Row],[Exact]],H_unit[[#This Row],[Exact+n]],H_unit[[#This Row],[Copilot]])</f>
        <v>Nokia</v>
      </c>
      <c r="O92" s="246" t="str">
        <f>_xlfn.XLOOKUP(H_unit[[#This Row],[Municipality]],Municipality[Municipality],Municipality[Model],"")</f>
        <v>Center</v>
      </c>
      <c r="P92" s="236"/>
    </row>
    <row r="93" spans="1:16">
      <c r="A93" s="238" t="s">
        <v>1498</v>
      </c>
      <c r="B93" s="238" t="s">
        <v>1500</v>
      </c>
      <c r="C93" s="240" t="str" cm="1">
        <f t="array" ref="C93">" "&amp;LOWER(_xlfn.REDUCE(H_unit[[#This Row],[Company]]&amp;" "&amp;H_unit[[#This Row],[Unit]],{",",".","(",")","/"},_xlfn.LAMBDA(_xlpm.txt,_xlpm.delim,SUBSTITUTE(_xlpm.txt,_xlpm.delim," "))))&amp;" "</f>
        <v xml:space="preserve"> etelä-savon energia oy siekkilä </v>
      </c>
      <c r="D93" s="242">
        <v>1965</v>
      </c>
      <c r="E93" s="243">
        <v>41</v>
      </c>
      <c r="F93" s="243"/>
      <c r="G93" s="247"/>
      <c r="H93" s="267" t="s">
        <v>1430</v>
      </c>
      <c r="I93" s="248" t="s">
        <v>1141</v>
      </c>
      <c r="J93" s="246" t="str" cm="1">
        <f t="array" ref="J93">_xlfn.XLOOKUP(TRUE,ISNUMBER(SEARCH(" "&amp;Municipality[Municipality]&amp;" ",H_unit[[#This Row],[Info string]])),Municipality[Municipality],"")</f>
        <v/>
      </c>
      <c r="K93" s="246" t="str" cm="1">
        <f t="array" ref="K93">IF(H_unit[[#This Row],[Exact]]&lt;&gt;"","",_xlfn.XLOOKUP(TRUE,ISNUMBER(SEARCH(" "&amp;Municipality[Municipality]&amp;"n ",H_unit[[#This Row],[Info string]])),Municipality[Municipality],""))</f>
        <v/>
      </c>
      <c r="L93" s="246" t="s">
        <v>2761</v>
      </c>
      <c r="M93" s="244" t="s">
        <v>2893</v>
      </c>
      <c r="N93" s="246" t="str">
        <f>_xlfn.TEXTJOIN("",TRUE,H_unit[[#This Row],[Exact]],H_unit[[#This Row],[Exact+n]],H_unit[[#This Row],[Copilot]])</f>
        <v>Mikkeli</v>
      </c>
      <c r="O93" s="246" t="str">
        <f>_xlfn.XLOOKUP(H_unit[[#This Row],[Municipality]],Municipality[Municipality],Municipality[Model],"")</f>
        <v>East</v>
      </c>
      <c r="P93" s="236"/>
    </row>
    <row r="94" spans="1:16">
      <c r="A94" s="238" t="s">
        <v>1839</v>
      </c>
      <c r="B94" s="238" t="s">
        <v>1840</v>
      </c>
      <c r="C94" s="240" t="str" cm="1">
        <f t="array" ref="C94">" "&amp;LOWER(_xlfn.REDUCE(H_unit[[#This Row],[Company]]&amp;" "&amp;H_unit[[#This Row],[Unit]],{",",".","(",")","/"},_xlfn.LAMBDA(_xlpm.txt,_xlpm.delim,SUBSTITUTE(_xlpm.txt,_xlpm.delim," "))))&amp;" "</f>
        <v xml:space="preserve"> loimua oy  hämeenlinna kauriala </v>
      </c>
      <c r="D94" s="242">
        <v>1964</v>
      </c>
      <c r="E94" s="243">
        <v>40</v>
      </c>
      <c r="F94" s="243"/>
      <c r="G94" s="247"/>
      <c r="H94" s="267" t="s">
        <v>1453</v>
      </c>
      <c r="I94" s="248" t="s">
        <v>1142</v>
      </c>
      <c r="J94" s="246" t="str" cm="1">
        <f t="array" ref="J94">_xlfn.XLOOKUP(TRUE,ISNUMBER(SEARCH(" "&amp;Municipality[Municipality]&amp;" ",H_unit[[#This Row],[Info string]])),Municipality[Municipality],"")</f>
        <v>Hämeenlinna</v>
      </c>
      <c r="K94" s="246" t="str" cm="1">
        <f t="array" ref="K94">IF(H_unit[[#This Row],[Exact]]&lt;&gt;"","",_xlfn.XLOOKUP(TRUE,ISNUMBER(SEARCH(" "&amp;Municipality[Municipality]&amp;"n ",H_unit[[#This Row],[Info string]])),Municipality[Municipality],""))</f>
        <v/>
      </c>
      <c r="L94" s="246"/>
      <c r="M94" s="244"/>
      <c r="N94" s="246" t="str">
        <f>_xlfn.TEXTJOIN("",TRUE,H_unit[[#This Row],[Exact]],H_unit[[#This Row],[Exact+n]],H_unit[[#This Row],[Copilot]])</f>
        <v>Hämeenlinna</v>
      </c>
      <c r="O94" s="246" t="str">
        <f>_xlfn.XLOOKUP(H_unit[[#This Row],[Municipality]],Municipality[Municipality],Municipality[Model],"")</f>
        <v>South West</v>
      </c>
      <c r="P94" s="236"/>
    </row>
    <row r="95" spans="1:16">
      <c r="A95" s="238" t="s">
        <v>2044</v>
      </c>
      <c r="B95" s="238" t="s">
        <v>2045</v>
      </c>
      <c r="C95" s="240" t="str" cm="1">
        <f t="array" ref="C95">" "&amp;LOWER(_xlfn.REDUCE(H_unit[[#This Row],[Company]]&amp;" "&amp;H_unit[[#This Row],[Unit]],{",",".","(",")","/"},_xlfn.LAMBDA(_xlpm.txt,_xlpm.delim,SUBSTITUTE(_xlpm.txt,_xlpm.delim," "))))&amp;" "</f>
        <v xml:space="preserve"> pori energia oy  pori tiilimäki </v>
      </c>
      <c r="D95" s="242">
        <v>1975</v>
      </c>
      <c r="E95" s="243">
        <v>40</v>
      </c>
      <c r="F95" s="243"/>
      <c r="G95" s="247"/>
      <c r="H95" s="267" t="s">
        <v>1430</v>
      </c>
      <c r="I95" s="248" t="s">
        <v>1141</v>
      </c>
      <c r="J95" s="246" t="str" cm="1">
        <f t="array" ref="J95">_xlfn.XLOOKUP(TRUE,ISNUMBER(SEARCH(" "&amp;Municipality[Municipality]&amp;" ",H_unit[[#This Row],[Info string]])),Municipality[Municipality],"")</f>
        <v>Pori</v>
      </c>
      <c r="K95" s="246" t="str" cm="1">
        <f t="array" ref="K95">IF(H_unit[[#This Row],[Exact]]&lt;&gt;"","",_xlfn.XLOOKUP(TRUE,ISNUMBER(SEARCH(" "&amp;Municipality[Municipality]&amp;"n ",H_unit[[#This Row],[Info string]])),Municipality[Municipality],""))</f>
        <v/>
      </c>
      <c r="L95" s="246"/>
      <c r="M95" s="244"/>
      <c r="N95" s="246" t="str">
        <f>_xlfn.TEXTJOIN("",TRUE,H_unit[[#This Row],[Exact]],H_unit[[#This Row],[Exact+n]],H_unit[[#This Row],[Copilot]])</f>
        <v>Pori</v>
      </c>
      <c r="O95" s="246" t="str">
        <f>_xlfn.XLOOKUP(H_unit[[#This Row],[Municipality]],Municipality[Municipality],Municipality[Model],"")</f>
        <v>West</v>
      </c>
      <c r="P95" s="236"/>
    </row>
    <row r="96" spans="1:16">
      <c r="A96" s="238" t="s">
        <v>2113</v>
      </c>
      <c r="B96" s="238" t="s">
        <v>2116</v>
      </c>
      <c r="C96" s="240" t="str" cm="1">
        <f t="array" ref="C96">" "&amp;LOWER(_xlfn.REDUCE(H_unit[[#This Row],[Company]]&amp;" "&amp;H_unit[[#This Row],[Unit]],{",",".","(",")","/"},_xlfn.LAMBDA(_xlpm.txt,_xlpm.delim,SUBSTITUTE(_xlpm.txt,_xlpm.delim," "))))&amp;" "</f>
        <v xml:space="preserve"> savon voima oyj  joensuu käpykangas 1 </v>
      </c>
      <c r="D96" s="242">
        <v>1983</v>
      </c>
      <c r="E96" s="243">
        <v>40</v>
      </c>
      <c r="F96" s="243"/>
      <c r="G96" s="247"/>
      <c r="H96" s="267" t="s">
        <v>1430</v>
      </c>
      <c r="I96" s="248" t="s">
        <v>1141</v>
      </c>
      <c r="J96" s="246" t="str" cm="1">
        <f t="array" ref="J96">_xlfn.XLOOKUP(TRUE,ISNUMBER(SEARCH(" "&amp;Municipality[Municipality]&amp;" ",H_unit[[#This Row],[Info string]])),Municipality[Municipality],"")</f>
        <v>Joensuu</v>
      </c>
      <c r="K96" s="246" t="str" cm="1">
        <f t="array" ref="K96">IF(H_unit[[#This Row],[Exact]]&lt;&gt;"","",_xlfn.XLOOKUP(TRUE,ISNUMBER(SEARCH(" "&amp;Municipality[Municipality]&amp;"n ",H_unit[[#This Row],[Info string]])),Municipality[Municipality],""))</f>
        <v/>
      </c>
      <c r="L96" s="246"/>
      <c r="M96" s="244"/>
      <c r="N96" s="246" t="str">
        <f>_xlfn.TEXTJOIN("",TRUE,H_unit[[#This Row],[Exact]],H_unit[[#This Row],[Exact+n]],H_unit[[#This Row],[Copilot]])</f>
        <v>Joensuu</v>
      </c>
      <c r="O96" s="246" t="str">
        <f>_xlfn.XLOOKUP(H_unit[[#This Row],[Municipality]],Municipality[Municipality],Municipality[Model],"")</f>
        <v>East</v>
      </c>
      <c r="P96" s="236"/>
    </row>
    <row r="97" spans="1:16">
      <c r="A97" s="238" t="s">
        <v>2146</v>
      </c>
      <c r="B97" s="238" t="s">
        <v>2147</v>
      </c>
      <c r="C97" s="240" t="str" cm="1">
        <f t="array" ref="C97">" "&amp;LOWER(_xlfn.REDUCE(H_unit[[#This Row],[Company]]&amp;" "&amp;H_unit[[#This Row],[Unit]],{",",".","(",")","/"},_xlfn.LAMBDA(_xlpm.txt,_xlpm.delim,SUBSTITUTE(_xlpm.txt,_xlpm.delim," "))))&amp;" "</f>
        <v xml:space="preserve"> savon voima oyj  pieksämäki lk1  kutteritie </v>
      </c>
      <c r="D97" s="242">
        <v>1983</v>
      </c>
      <c r="E97" s="243">
        <v>40</v>
      </c>
      <c r="F97" s="243"/>
      <c r="G97" s="247"/>
      <c r="H97" s="267" t="s">
        <v>1423</v>
      </c>
      <c r="I97" s="248" t="s">
        <v>1143</v>
      </c>
      <c r="J97" s="246" t="str" cm="1">
        <f t="array" ref="J97">_xlfn.XLOOKUP(TRUE,ISNUMBER(SEARCH(" "&amp;Municipality[Municipality]&amp;" ",H_unit[[#This Row],[Info string]])),Municipality[Municipality],"")</f>
        <v>Pieksämäki</v>
      </c>
      <c r="K97" s="246" t="str" cm="1">
        <f t="array" ref="K97">IF(H_unit[[#This Row],[Exact]]&lt;&gt;"","",_xlfn.XLOOKUP(TRUE,ISNUMBER(SEARCH(" "&amp;Municipality[Municipality]&amp;"n ",H_unit[[#This Row],[Info string]])),Municipality[Municipality],""))</f>
        <v/>
      </c>
      <c r="L97" s="246"/>
      <c r="M97" s="244"/>
      <c r="N97" s="246" t="str">
        <f>_xlfn.TEXTJOIN("",TRUE,H_unit[[#This Row],[Exact]],H_unit[[#This Row],[Exact+n]],H_unit[[#This Row],[Copilot]])</f>
        <v>Pieksämäki</v>
      </c>
      <c r="O97" s="246" t="str">
        <f>_xlfn.XLOOKUP(H_unit[[#This Row],[Municipality]],Municipality[Municipality],Municipality[Model],"")</f>
        <v>East</v>
      </c>
      <c r="P97" s="236"/>
    </row>
    <row r="98" spans="1:16">
      <c r="A98" s="238" t="s">
        <v>1661</v>
      </c>
      <c r="B98" s="238" t="s">
        <v>1663</v>
      </c>
      <c r="C98" s="240" t="str" cm="1">
        <f t="array" ref="C98">" "&amp;LOWER(_xlfn.REDUCE(H_unit[[#This Row],[Company]]&amp;" "&amp;H_unit[[#This Row],[Unit]],{",",".","(",")","/"},_xlfn.LAMBDA(_xlpm.txt,_xlpm.delim,SUBSTITUTE(_xlpm.txt,_xlpm.delim," "))))&amp;" "</f>
        <v xml:space="preserve"> kss lämpö oy  kouvola kekkurintie </v>
      </c>
      <c r="D98" s="242">
        <v>1984</v>
      </c>
      <c r="E98" s="243">
        <v>40</v>
      </c>
      <c r="F98" s="243"/>
      <c r="G98" s="247"/>
      <c r="H98" s="267" t="s">
        <v>1453</v>
      </c>
      <c r="I98" s="248" t="s">
        <v>1142</v>
      </c>
      <c r="J98" s="246" t="str" cm="1">
        <f t="array" ref="J98">_xlfn.XLOOKUP(TRUE,ISNUMBER(SEARCH(" "&amp;Municipality[Municipality]&amp;" ",H_unit[[#This Row],[Info string]])),Municipality[Municipality],"")</f>
        <v>Kouvola</v>
      </c>
      <c r="K98" s="246" t="str" cm="1">
        <f t="array" ref="K98">IF(H_unit[[#This Row],[Exact]]&lt;&gt;"","",_xlfn.XLOOKUP(TRUE,ISNUMBER(SEARCH(" "&amp;Municipality[Municipality]&amp;"n ",H_unit[[#This Row],[Info string]])),Municipality[Municipality],""))</f>
        <v/>
      </c>
      <c r="L98" s="246"/>
      <c r="M98" s="244"/>
      <c r="N98" s="246" t="str">
        <f>_xlfn.TEXTJOIN("",TRUE,H_unit[[#This Row],[Exact]],H_unit[[#This Row],[Exact+n]],H_unit[[#This Row],[Copilot]])</f>
        <v>Kouvola</v>
      </c>
      <c r="O98" s="246" t="str">
        <f>_xlfn.XLOOKUP(H_unit[[#This Row],[Municipality]],Municipality[Municipality],Municipality[Model],"")</f>
        <v>South East</v>
      </c>
      <c r="P98" s="236"/>
    </row>
    <row r="99" spans="1:16">
      <c r="A99" s="238" t="s">
        <v>2373</v>
      </c>
      <c r="B99" s="238" t="s">
        <v>2374</v>
      </c>
      <c r="C99" s="240" t="str" cm="1">
        <f t="array" ref="C99">" "&amp;LOWER(_xlfn.REDUCE(H_unit[[#This Row],[Company]]&amp;" "&amp;H_unit[[#This Row],[Unit]],{",",".","(",")","/"},_xlfn.LAMBDA(_xlpm.txt,_xlpm.delim,SUBSTITUTE(_xlpm.txt,_xlpm.delim," "))))&amp;" "</f>
        <v xml:space="preserve"> raahen voima oy sulaton savukaasut </v>
      </c>
      <c r="D99" s="242">
        <v>1985</v>
      </c>
      <c r="E99" s="243">
        <v>40</v>
      </c>
      <c r="F99" s="243"/>
      <c r="G99" s="247"/>
      <c r="H99" s="267" t="s">
        <v>2273</v>
      </c>
      <c r="I99" s="248" t="s">
        <v>1443</v>
      </c>
      <c r="J99" s="246" t="str" cm="1">
        <f t="array" ref="J99">_xlfn.XLOOKUP(TRUE,ISNUMBER(SEARCH(" "&amp;Municipality[Municipality]&amp;" ",H_unit[[#This Row],[Info string]])),Municipality[Municipality],"")</f>
        <v/>
      </c>
      <c r="K99" s="246" t="str" cm="1">
        <f t="array" ref="K99">IF(H_unit[[#This Row],[Exact]]&lt;&gt;"","",_xlfn.XLOOKUP(TRUE,ISNUMBER(SEARCH(" "&amp;Municipality[Municipality]&amp;"n ",H_unit[[#This Row],[Info string]])),Municipality[Municipality],""))</f>
        <v>Raahe</v>
      </c>
      <c r="L99" s="246"/>
      <c r="M99" s="244"/>
      <c r="N99" s="246" t="str">
        <f>_xlfn.TEXTJOIN("",TRUE,H_unit[[#This Row],[Exact]],H_unit[[#This Row],[Exact+n]],H_unit[[#This Row],[Copilot]])</f>
        <v>Raahe</v>
      </c>
      <c r="O99" s="246" t="str">
        <f>_xlfn.XLOOKUP(H_unit[[#This Row],[Municipality]],Municipality[Municipality],Municipality[Model],"")</f>
        <v>North</v>
      </c>
      <c r="P99" s="236"/>
    </row>
    <row r="100" spans="1:16">
      <c r="A100" s="238" t="s">
        <v>1525</v>
      </c>
      <c r="B100" s="238" t="s">
        <v>1526</v>
      </c>
      <c r="C100" s="240" t="str" cm="1">
        <f t="array" ref="C100">" "&amp;LOWER(_xlfn.REDUCE(H_unit[[#This Row],[Company]]&amp;" "&amp;H_unit[[#This Row],[Unit]],{",",".","(",")","/"},_xlfn.LAMBDA(_xlpm.txt,_xlpm.delim,SUBSTITUTE(_xlpm.txt,_xlpm.delim," "))))&amp;" "</f>
        <v xml:space="preserve"> hyvinkään lämpövoima oy sahanmäki </v>
      </c>
      <c r="D100" s="242">
        <v>1986</v>
      </c>
      <c r="E100" s="243">
        <v>40</v>
      </c>
      <c r="F100" s="243"/>
      <c r="G100" s="247"/>
      <c r="H100" s="267" t="s">
        <v>1453</v>
      </c>
      <c r="I100" s="248" t="s">
        <v>1142</v>
      </c>
      <c r="J100" s="246" t="str" cm="1">
        <f t="array" ref="J100">_xlfn.XLOOKUP(TRUE,ISNUMBER(SEARCH(" "&amp;Municipality[Municipality]&amp;" ",H_unit[[#This Row],[Info string]])),Municipality[Municipality],"")</f>
        <v/>
      </c>
      <c r="K100" s="246" t="str" cm="1">
        <f t="array" ref="K100">IF(H_unit[[#This Row],[Exact]]&lt;&gt;"","",_xlfn.XLOOKUP(TRUE,ISNUMBER(SEARCH(" "&amp;Municipality[Municipality]&amp;"n ",H_unit[[#This Row],[Info string]])),Municipality[Municipality],""))</f>
        <v>Hyvinkää</v>
      </c>
      <c r="L100" s="246"/>
      <c r="M100" s="244"/>
      <c r="N100" s="246" t="str">
        <f>_xlfn.TEXTJOIN("",TRUE,H_unit[[#This Row],[Exact]],H_unit[[#This Row],[Exact+n]],H_unit[[#This Row],[Copilot]])</f>
        <v>Hyvinkää</v>
      </c>
      <c r="O100" s="246" t="str">
        <f>_xlfn.XLOOKUP(H_unit[[#This Row],[Municipality]],Municipality[Municipality],Municipality[Model],"")</f>
        <v>Uusimaa</v>
      </c>
      <c r="P100" s="236"/>
    </row>
    <row r="101" spans="1:16">
      <c r="A101" s="238" t="s">
        <v>2044</v>
      </c>
      <c r="B101" s="238" t="s">
        <v>2046</v>
      </c>
      <c r="C101" s="240" t="str" cm="1">
        <f t="array" ref="C101">" "&amp;LOWER(_xlfn.REDUCE(H_unit[[#This Row],[Company]]&amp;" "&amp;H_unit[[#This Row],[Unit]],{",",".","(",")","/"},_xlfn.LAMBDA(_xlpm.txt,_xlpm.delim,SUBSTITUTE(_xlpm.txt,_xlpm.delim," "))))&amp;" "</f>
        <v xml:space="preserve"> pori energia oy  pori puuvilla </v>
      </c>
      <c r="D101" s="242">
        <v>1986</v>
      </c>
      <c r="E101" s="243">
        <v>40</v>
      </c>
      <c r="F101" s="243"/>
      <c r="G101" s="247"/>
      <c r="H101" s="267" t="s">
        <v>1430</v>
      </c>
      <c r="I101" s="248" t="s">
        <v>1141</v>
      </c>
      <c r="J101" s="246" t="str" cm="1">
        <f t="array" ref="J101">_xlfn.XLOOKUP(TRUE,ISNUMBER(SEARCH(" "&amp;Municipality[Municipality]&amp;" ",H_unit[[#This Row],[Info string]])),Municipality[Municipality],"")</f>
        <v>Pori</v>
      </c>
      <c r="K101" s="246" t="str" cm="1">
        <f t="array" ref="K101">IF(H_unit[[#This Row],[Exact]]&lt;&gt;"","",_xlfn.XLOOKUP(TRUE,ISNUMBER(SEARCH(" "&amp;Municipality[Municipality]&amp;"n ",H_unit[[#This Row],[Info string]])),Municipality[Municipality],""))</f>
        <v/>
      </c>
      <c r="L101" s="246"/>
      <c r="M101" s="244"/>
      <c r="N101" s="246" t="str">
        <f>_xlfn.TEXTJOIN("",TRUE,H_unit[[#This Row],[Exact]],H_unit[[#This Row],[Exact+n]],H_unit[[#This Row],[Copilot]])</f>
        <v>Pori</v>
      </c>
      <c r="O101" s="246" t="str">
        <f>_xlfn.XLOOKUP(H_unit[[#This Row],[Municipality]],Municipality[Municipality],Municipality[Model],"")</f>
        <v>West</v>
      </c>
      <c r="P101" s="236"/>
    </row>
    <row r="102" spans="1:16">
      <c r="A102" s="238" t="s">
        <v>2044</v>
      </c>
      <c r="B102" s="238" t="s">
        <v>2047</v>
      </c>
      <c r="C102" s="240" t="str" cm="1">
        <f t="array" ref="C102">" "&amp;LOWER(_xlfn.REDUCE(H_unit[[#This Row],[Company]]&amp;" "&amp;H_unit[[#This Row],[Unit]],{",",".","(",")","/"},_xlfn.LAMBDA(_xlpm.txt,_xlpm.delim,SUBSTITUTE(_xlpm.txt,_xlpm.delim," "))))&amp;" "</f>
        <v xml:space="preserve"> pori energia oy  pori ulasoori </v>
      </c>
      <c r="D102" s="242">
        <v>1989</v>
      </c>
      <c r="E102" s="243">
        <v>40</v>
      </c>
      <c r="F102" s="243"/>
      <c r="G102" s="247"/>
      <c r="H102" s="267" t="s">
        <v>1430</v>
      </c>
      <c r="I102" s="248" t="s">
        <v>1141</v>
      </c>
      <c r="J102" s="246" t="str" cm="1">
        <f t="array" ref="J102">_xlfn.XLOOKUP(TRUE,ISNUMBER(SEARCH(" "&amp;Municipality[Municipality]&amp;" ",H_unit[[#This Row],[Info string]])),Municipality[Municipality],"")</f>
        <v>Pori</v>
      </c>
      <c r="K102" s="246" t="str" cm="1">
        <f t="array" ref="K102">IF(H_unit[[#This Row],[Exact]]&lt;&gt;"","",_xlfn.XLOOKUP(TRUE,ISNUMBER(SEARCH(" "&amp;Municipality[Municipality]&amp;"n ",H_unit[[#This Row],[Info string]])),Municipality[Municipality],""))</f>
        <v/>
      </c>
      <c r="L102" s="246"/>
      <c r="M102" s="244"/>
      <c r="N102" s="246" t="str">
        <f>_xlfn.TEXTJOIN("",TRUE,H_unit[[#This Row],[Exact]],H_unit[[#This Row],[Exact+n]],H_unit[[#This Row],[Copilot]])</f>
        <v>Pori</v>
      </c>
      <c r="O102" s="246" t="str">
        <f>_xlfn.XLOOKUP(H_unit[[#This Row],[Municipality]],Municipality[Municipality],Municipality[Model],"")</f>
        <v>West</v>
      </c>
      <c r="P102" s="236"/>
    </row>
    <row r="103" spans="1:16">
      <c r="A103" s="238" t="s">
        <v>2113</v>
      </c>
      <c r="B103" s="238" t="s">
        <v>2117</v>
      </c>
      <c r="C103" s="240" t="str" cm="1">
        <f t="array" ref="C103">" "&amp;LOWER(_xlfn.REDUCE(H_unit[[#This Row],[Company]]&amp;" "&amp;H_unit[[#This Row],[Unit]],{",",".","(",")","/"},_xlfn.LAMBDA(_xlpm.txt,_xlpm.delim,SUBSTITUTE(_xlpm.txt,_xlpm.delim," "))))&amp;" "</f>
        <v xml:space="preserve"> savon voima oyj  joensuu käpykangas 2 </v>
      </c>
      <c r="D103" s="242">
        <v>1989</v>
      </c>
      <c r="E103" s="243">
        <v>40</v>
      </c>
      <c r="F103" s="243"/>
      <c r="G103" s="247"/>
      <c r="H103" s="267" t="s">
        <v>1430</v>
      </c>
      <c r="I103" s="248" t="s">
        <v>1141</v>
      </c>
      <c r="J103" s="246" t="str" cm="1">
        <f t="array" ref="J103">_xlfn.XLOOKUP(TRUE,ISNUMBER(SEARCH(" "&amp;Municipality[Municipality]&amp;" ",H_unit[[#This Row],[Info string]])),Municipality[Municipality],"")</f>
        <v>Joensuu</v>
      </c>
      <c r="K103" s="246" t="str" cm="1">
        <f t="array" ref="K103">IF(H_unit[[#This Row],[Exact]]&lt;&gt;"","",_xlfn.XLOOKUP(TRUE,ISNUMBER(SEARCH(" "&amp;Municipality[Municipality]&amp;"n ",H_unit[[#This Row],[Info string]])),Municipality[Municipality],""))</f>
        <v/>
      </c>
      <c r="L103" s="246"/>
      <c r="M103" s="244"/>
      <c r="N103" s="246" t="str">
        <f>_xlfn.TEXTJOIN("",TRUE,H_unit[[#This Row],[Exact]],H_unit[[#This Row],[Exact+n]],H_unit[[#This Row],[Copilot]])</f>
        <v>Joensuu</v>
      </c>
      <c r="O103" s="246" t="str">
        <f>_xlfn.XLOOKUP(H_unit[[#This Row],[Municipality]],Municipality[Municipality],Municipality[Model],"")</f>
        <v>East</v>
      </c>
      <c r="P103" s="236"/>
    </row>
    <row r="104" spans="1:16">
      <c r="A104" s="238" t="s">
        <v>1876</v>
      </c>
      <c r="B104" s="238" t="s">
        <v>1877</v>
      </c>
      <c r="C104" s="240" t="str" cm="1">
        <f t="array" ref="C104">" "&amp;LOWER(_xlfn.REDUCE(H_unit[[#This Row],[Company]]&amp;" "&amp;H_unit[[#This Row],[Unit]],{",",".","(",")","/"},_xlfn.LAMBDA(_xlpm.txt,_xlpm.delim,SUBSTITUTE(_xlpm.txt,_xlpm.delim," "))))&amp;" "</f>
        <v xml:space="preserve"> loiste lämpö oy palokangas </v>
      </c>
      <c r="D104" s="242">
        <v>1997</v>
      </c>
      <c r="E104" s="243">
        <v>40</v>
      </c>
      <c r="F104" s="243"/>
      <c r="G104" s="247"/>
      <c r="H104" s="267" t="s">
        <v>1418</v>
      </c>
      <c r="I104" s="248" t="s">
        <v>1141</v>
      </c>
      <c r="J104" s="246" t="str" cm="1">
        <f t="array" ref="J104">_xlfn.XLOOKUP(TRUE,ISNUMBER(SEARCH(" "&amp;Municipality[Municipality]&amp;" ",H_unit[[#This Row],[Info string]])),Municipality[Municipality],"")</f>
        <v/>
      </c>
      <c r="K104" s="246" t="str" cm="1">
        <f t="array" ref="K104">IF(H_unit[[#This Row],[Exact]]&lt;&gt;"","",_xlfn.XLOOKUP(TRUE,ISNUMBER(SEARCH(" "&amp;Municipality[Municipality]&amp;"n ",H_unit[[#This Row],[Info string]])),Municipality[Municipality],""))</f>
        <v/>
      </c>
      <c r="L104" s="246" t="s">
        <v>2561</v>
      </c>
      <c r="M104" s="244" t="s">
        <v>2897</v>
      </c>
      <c r="N104" s="246" t="str">
        <f>_xlfn.TEXTJOIN("",TRUE,H_unit[[#This Row],[Exact]],H_unit[[#This Row],[Exact+n]],H_unit[[#This Row],[Copilot]])</f>
        <v>Kajaani</v>
      </c>
      <c r="O104" s="246" t="str">
        <f>_xlfn.XLOOKUP(H_unit[[#This Row],[Municipality]],Municipality[Municipality],Municipality[Model],"")</f>
        <v>East</v>
      </c>
      <c r="P104" s="236"/>
    </row>
    <row r="105" spans="1:16">
      <c r="A105" s="238" t="s">
        <v>1498</v>
      </c>
      <c r="B105" s="238" t="s">
        <v>1504</v>
      </c>
      <c r="C105" s="240" t="str" cm="1">
        <f t="array" ref="C105">" "&amp;LOWER(_xlfn.REDUCE(H_unit[[#This Row],[Company]]&amp;" "&amp;H_unit[[#This Row],[Unit]],{",",".","(",")","/"},_xlfn.LAMBDA(_xlpm.txt,_xlpm.delim,SUBSTITUTE(_xlpm.txt,_xlpm.delim," "))))&amp;" "</f>
        <v xml:space="preserve"> etelä-savon energia oy rokkala </v>
      </c>
      <c r="D105" s="242">
        <v>2004</v>
      </c>
      <c r="E105" s="243">
        <v>40</v>
      </c>
      <c r="F105" s="243"/>
      <c r="G105" s="247"/>
      <c r="H105" s="267" t="s">
        <v>1430</v>
      </c>
      <c r="I105" s="248" t="s">
        <v>1141</v>
      </c>
      <c r="J105" s="246" t="str" cm="1">
        <f t="array" ref="J105">_xlfn.XLOOKUP(TRUE,ISNUMBER(SEARCH(" "&amp;Municipality[Municipality]&amp;" ",H_unit[[#This Row],[Info string]])),Municipality[Municipality],"")</f>
        <v/>
      </c>
      <c r="K105" s="246" t="str" cm="1">
        <f t="array" ref="K105">IF(H_unit[[#This Row],[Exact]]&lt;&gt;"","",_xlfn.XLOOKUP(TRUE,ISNUMBER(SEARCH(" "&amp;Municipality[Municipality]&amp;"n ",H_unit[[#This Row],[Info string]])),Municipality[Municipality],""))</f>
        <v/>
      </c>
      <c r="L105" s="246" t="s">
        <v>2761</v>
      </c>
      <c r="M105" s="244" t="s">
        <v>2893</v>
      </c>
      <c r="N105" s="246" t="str">
        <f>_xlfn.TEXTJOIN("",TRUE,H_unit[[#This Row],[Exact]],H_unit[[#This Row],[Exact+n]],H_unit[[#This Row],[Copilot]])</f>
        <v>Mikkeli</v>
      </c>
      <c r="O105" s="246" t="str">
        <f>_xlfn.XLOOKUP(H_unit[[#This Row],[Municipality]],Municipality[Municipality],Municipality[Model],"")</f>
        <v>East</v>
      </c>
      <c r="P105" s="236"/>
    </row>
    <row r="106" spans="1:16">
      <c r="A106" s="238" t="s">
        <v>1678</v>
      </c>
      <c r="B106" s="238" t="s">
        <v>1680</v>
      </c>
      <c r="C106" s="240" t="str" cm="1">
        <f t="array" ref="C106">" "&amp;LOWER(_xlfn.REDUCE(H_unit[[#This Row],[Company]]&amp;" "&amp;H_unit[[#This Row],[Unit]],{",",".","(",")","/"},_xlfn.LAMBDA(_xlpm.txt,_xlpm.delim,SUBSTITUTE(_xlpm.txt,_xlpm.delim," "))))&amp;" "</f>
        <v xml:space="preserve"> kuopion energia oy saarijärvi </v>
      </c>
      <c r="D106" s="242">
        <v>2005</v>
      </c>
      <c r="E106" s="243">
        <v>40</v>
      </c>
      <c r="F106" s="243"/>
      <c r="G106" s="247"/>
      <c r="H106" s="267" t="s">
        <v>1430</v>
      </c>
      <c r="I106" s="248" t="s">
        <v>1141</v>
      </c>
      <c r="J106" s="246" t="str" cm="1">
        <f t="array" ref="J106">_xlfn.XLOOKUP(TRUE,ISNUMBER(SEARCH(" "&amp;Municipality[Municipality]&amp;" ",H_unit[[#This Row],[Info string]])),Municipality[Municipality],"")</f>
        <v>Saarijärvi</v>
      </c>
      <c r="K106" s="246" t="str" cm="1">
        <f t="array" ref="K106">IF(H_unit[[#This Row],[Exact]]&lt;&gt;"","",_xlfn.XLOOKUP(TRUE,ISNUMBER(SEARCH(" "&amp;Municipality[Municipality]&amp;"n ",H_unit[[#This Row],[Info string]])),Municipality[Municipality],""))</f>
        <v/>
      </c>
      <c r="L106" s="246"/>
      <c r="M106" s="244"/>
      <c r="N106" s="246" t="str">
        <f>_xlfn.TEXTJOIN("",TRUE,H_unit[[#This Row],[Exact]],H_unit[[#This Row],[Exact+n]],H_unit[[#This Row],[Copilot]])</f>
        <v>Saarijärvi</v>
      </c>
      <c r="O106" s="246" t="str">
        <f>_xlfn.XLOOKUP(H_unit[[#This Row],[Municipality]],Municipality[Municipality],Municipality[Model],"")</f>
        <v>Center</v>
      </c>
      <c r="P106" s="236"/>
    </row>
    <row r="107" spans="1:16">
      <c r="A107" s="238" t="s">
        <v>2044</v>
      </c>
      <c r="B107" s="238" t="s">
        <v>2049</v>
      </c>
      <c r="C107" s="240" t="str" cm="1">
        <f t="array" ref="C107">" "&amp;LOWER(_xlfn.REDUCE(H_unit[[#This Row],[Company]]&amp;" "&amp;H_unit[[#This Row],[Unit]],{",",".","(",")","/"},_xlfn.LAMBDA(_xlpm.txt,_xlpm.delim,SUBSTITUTE(_xlpm.txt,_xlpm.delim," "))))&amp;" "</f>
        <v xml:space="preserve"> pori energia oy  pori apukattila </v>
      </c>
      <c r="D107" s="242">
        <v>2006</v>
      </c>
      <c r="E107" s="243">
        <v>40</v>
      </c>
      <c r="F107" s="243"/>
      <c r="G107" s="247"/>
      <c r="H107" s="267" t="s">
        <v>1430</v>
      </c>
      <c r="I107" s="248" t="s">
        <v>1141</v>
      </c>
      <c r="J107" s="246" t="str" cm="1">
        <f t="array" ref="J107">_xlfn.XLOOKUP(TRUE,ISNUMBER(SEARCH(" "&amp;Municipality[Municipality]&amp;" ",H_unit[[#This Row],[Info string]])),Municipality[Municipality],"")</f>
        <v>Pori</v>
      </c>
      <c r="K107" s="246" t="str" cm="1">
        <f t="array" ref="K107">IF(H_unit[[#This Row],[Exact]]&lt;&gt;"","",_xlfn.XLOOKUP(TRUE,ISNUMBER(SEARCH(" "&amp;Municipality[Municipality]&amp;"n ",H_unit[[#This Row],[Info string]])),Municipality[Municipality],""))</f>
        <v/>
      </c>
      <c r="L107" s="246"/>
      <c r="M107" s="244"/>
      <c r="N107" s="246" t="str">
        <f>_xlfn.TEXTJOIN("",TRUE,H_unit[[#This Row],[Exact]],H_unit[[#This Row],[Exact+n]],H_unit[[#This Row],[Copilot]])</f>
        <v>Pori</v>
      </c>
      <c r="O107" s="246" t="str">
        <f>_xlfn.XLOOKUP(H_unit[[#This Row],[Municipality]],Municipality[Municipality],Municipality[Model],"")</f>
        <v>West</v>
      </c>
      <c r="P107" s="236"/>
    </row>
    <row r="108" spans="1:16">
      <c r="A108" s="238" t="s">
        <v>2211</v>
      </c>
      <c r="B108" s="238" t="s">
        <v>2213</v>
      </c>
      <c r="C108" s="240" t="str" cm="1">
        <f t="array" ref="C108">" "&amp;LOWER(_xlfn.REDUCE(H_unit[[#This Row],[Company]]&amp;" "&amp;H_unit[[#This Row],[Unit]],{",",".","(",")","/"},_xlfn.LAMBDA(_xlpm.txt,_xlpm.delim,SUBSTITUTE(_xlpm.txt,_xlpm.delim," "))))&amp;" "</f>
        <v xml:space="preserve"> vantaan energia keski-uusimaa oy  järvenpää jamppa </v>
      </c>
      <c r="D108" s="242">
        <v>2007</v>
      </c>
      <c r="E108" s="243">
        <v>40</v>
      </c>
      <c r="F108" s="243"/>
      <c r="G108" s="247"/>
      <c r="H108" s="267" t="s">
        <v>1453</v>
      </c>
      <c r="I108" s="248" t="s">
        <v>1142</v>
      </c>
      <c r="J108" s="246" t="str" cm="1">
        <f t="array" ref="J108">_xlfn.XLOOKUP(TRUE,ISNUMBER(SEARCH(" "&amp;Municipality[Municipality]&amp;" ",H_unit[[#This Row],[Info string]])),Municipality[Municipality],"")</f>
        <v>Järvenpää</v>
      </c>
      <c r="K108" s="246" t="str" cm="1">
        <f t="array" ref="K108">IF(H_unit[[#This Row],[Exact]]&lt;&gt;"","",_xlfn.XLOOKUP(TRUE,ISNUMBER(SEARCH(" "&amp;Municipality[Municipality]&amp;"n ",H_unit[[#This Row],[Info string]])),Municipality[Municipality],""))</f>
        <v/>
      </c>
      <c r="L108" s="246"/>
      <c r="M108" s="244"/>
      <c r="N108" s="246" t="str">
        <f>_xlfn.TEXTJOIN("",TRUE,H_unit[[#This Row],[Exact]],H_unit[[#This Row],[Exact+n]],H_unit[[#This Row],[Copilot]])</f>
        <v>Järvenpää</v>
      </c>
      <c r="O108" s="246" t="str">
        <f>_xlfn.XLOOKUP(H_unit[[#This Row],[Municipality]],Municipality[Municipality],Municipality[Model],"")</f>
        <v>Uusimaa</v>
      </c>
      <c r="P108" s="236"/>
    </row>
    <row r="109" spans="1:16">
      <c r="A109" s="238" t="s">
        <v>1678</v>
      </c>
      <c r="B109" s="238" t="s">
        <v>1685</v>
      </c>
      <c r="C109" s="240" t="str" cm="1">
        <f t="array" ref="C109">" "&amp;LOWER(_xlfn.REDUCE(H_unit[[#This Row],[Company]]&amp;" "&amp;H_unit[[#This Row],[Unit]],{",",".","(",")","/"},_xlfn.LAMBDA(_xlpm.txt,_xlpm.delim,SUBSTITUTE(_xlpm.txt,_xlpm.delim," "))))&amp;" "</f>
        <v xml:space="preserve"> kuopion energia oy rautaniemi </v>
      </c>
      <c r="D109" s="242">
        <v>2009</v>
      </c>
      <c r="E109" s="243">
        <v>40</v>
      </c>
      <c r="F109" s="243"/>
      <c r="G109" s="247"/>
      <c r="H109" s="267" t="s">
        <v>1430</v>
      </c>
      <c r="I109" s="248" t="s">
        <v>1141</v>
      </c>
      <c r="J109" s="246" t="str" cm="1">
        <f t="array" ref="J109">_xlfn.XLOOKUP(TRUE,ISNUMBER(SEARCH(" "&amp;Municipality[Municipality]&amp;" ",H_unit[[#This Row],[Info string]])),Municipality[Municipality],"")</f>
        <v/>
      </c>
      <c r="K109" s="246" t="str" cm="1">
        <f t="array" ref="K109">IF(H_unit[[#This Row],[Exact]]&lt;&gt;"","",_xlfn.XLOOKUP(TRUE,ISNUMBER(SEARCH(" "&amp;Municipality[Municipality]&amp;"n ",H_unit[[#This Row],[Info string]])),Municipality[Municipality],""))</f>
        <v>Kuopio</v>
      </c>
      <c r="L109" s="246"/>
      <c r="M109" s="244"/>
      <c r="N109" s="246" t="str">
        <f>_xlfn.TEXTJOIN("",TRUE,H_unit[[#This Row],[Exact]],H_unit[[#This Row],[Exact+n]],H_unit[[#This Row],[Copilot]])</f>
        <v>Kuopio</v>
      </c>
      <c r="O109" s="246" t="str">
        <f>_xlfn.XLOOKUP(H_unit[[#This Row],[Municipality]],Municipality[Municipality],Municipality[Model],"")</f>
        <v>East</v>
      </c>
      <c r="P109" s="236"/>
    </row>
    <row r="110" spans="1:16">
      <c r="A110" s="238" t="s">
        <v>2056</v>
      </c>
      <c r="B110" s="238" t="s">
        <v>2060</v>
      </c>
      <c r="C110" s="240" t="str" cm="1">
        <f t="array" ref="C110">" "&amp;LOWER(_xlfn.REDUCE(H_unit[[#This Row],[Company]]&amp;" "&amp;H_unit[[#This Row],[Unit]],{",",".","(",")","/"},_xlfn.LAMBDA(_xlpm.txt,_xlpm.delim,SUBSTITUTE(_xlpm.txt,_xlpm.delim," "))))&amp;" "</f>
        <v xml:space="preserve"> porvoon energia oy tolkkinen 2 </v>
      </c>
      <c r="D110" s="242">
        <v>2013</v>
      </c>
      <c r="E110" s="243">
        <v>40</v>
      </c>
      <c r="F110" s="243">
        <v>12.5</v>
      </c>
      <c r="G110" s="247"/>
      <c r="H110" s="267" t="s">
        <v>1423</v>
      </c>
      <c r="I110" s="248" t="s">
        <v>1153</v>
      </c>
      <c r="J110" s="246" t="str" cm="1">
        <f t="array" ref="J110">_xlfn.XLOOKUP(TRUE,ISNUMBER(SEARCH(" "&amp;Municipality[Municipality]&amp;" ",H_unit[[#This Row],[Info string]])),Municipality[Municipality],"")</f>
        <v>Porvoon</v>
      </c>
      <c r="K110" s="246" t="str" cm="1">
        <f t="array" ref="K110">IF(H_unit[[#This Row],[Exact]]&lt;&gt;"","",_xlfn.XLOOKUP(TRUE,ISNUMBER(SEARCH(" "&amp;Municipality[Municipality]&amp;"n ",H_unit[[#This Row],[Info string]])),Municipality[Municipality],""))</f>
        <v/>
      </c>
      <c r="L110" s="246"/>
      <c r="M110" s="244"/>
      <c r="N110" s="246" t="str">
        <f>_xlfn.TEXTJOIN("",TRUE,H_unit[[#This Row],[Exact]],H_unit[[#This Row],[Exact+n]],H_unit[[#This Row],[Copilot]])</f>
        <v>Porvoon</v>
      </c>
      <c r="O110" s="246" t="str">
        <f>_xlfn.XLOOKUP(H_unit[[#This Row],[Municipality]],Municipality[Municipality],Municipality[Model],"")</f>
        <v>Uusimaa</v>
      </c>
      <c r="P110" s="236"/>
    </row>
    <row r="111" spans="1:16">
      <c r="A111" s="238" t="s">
        <v>2373</v>
      </c>
      <c r="B111" s="238" t="s">
        <v>2376</v>
      </c>
      <c r="C111" s="240" t="str" cm="1">
        <f t="array" ref="C111">" "&amp;LOWER(_xlfn.REDUCE(H_unit[[#This Row],[Company]]&amp;" "&amp;H_unit[[#This Row],[Unit]],{",",".","(",")","/"},_xlfn.LAMBDA(_xlpm.txt,_xlpm.delim,SUBSTITUTE(_xlpm.txt,_xlpm.delim," "))))&amp;" "</f>
        <v xml:space="preserve"> raahen voima oy raahen voima  k5 </v>
      </c>
      <c r="D111" s="242">
        <v>2016</v>
      </c>
      <c r="E111" s="243">
        <v>40</v>
      </c>
      <c r="F111" s="243">
        <v>110</v>
      </c>
      <c r="G111" s="247"/>
      <c r="H111" s="267" t="s">
        <v>2125</v>
      </c>
      <c r="I111" s="248" t="s">
        <v>1443</v>
      </c>
      <c r="J111" s="246" t="str" cm="1">
        <f t="array" ref="J111">_xlfn.XLOOKUP(TRUE,ISNUMBER(SEARCH(" "&amp;Municipality[Municipality]&amp;" ",H_unit[[#This Row],[Info string]])),Municipality[Municipality],"")</f>
        <v/>
      </c>
      <c r="K111" s="246" t="str" cm="1">
        <f t="array" ref="K111">IF(H_unit[[#This Row],[Exact]]&lt;&gt;"","",_xlfn.XLOOKUP(TRUE,ISNUMBER(SEARCH(" "&amp;Municipality[Municipality]&amp;"n ",H_unit[[#This Row],[Info string]])),Municipality[Municipality],""))</f>
        <v>Raahe</v>
      </c>
      <c r="L111" s="246"/>
      <c r="M111" s="244"/>
      <c r="N111" s="246" t="str">
        <f>_xlfn.TEXTJOIN("",TRUE,H_unit[[#This Row],[Exact]],H_unit[[#This Row],[Exact+n]],H_unit[[#This Row],[Copilot]])</f>
        <v>Raahe</v>
      </c>
      <c r="O111" s="246" t="str">
        <f>_xlfn.XLOOKUP(H_unit[[#This Row],[Municipality]],Municipality[Municipality],Municipality[Model],"")</f>
        <v>North</v>
      </c>
      <c r="P111" s="236"/>
    </row>
    <row r="112" spans="1:16">
      <c r="A112" s="238" t="s">
        <v>1897</v>
      </c>
      <c r="B112" s="238" t="s">
        <v>1075</v>
      </c>
      <c r="C112" s="240" t="str" cm="1">
        <f t="array" ref="C112">" "&amp;LOWER(_xlfn.REDUCE(H_unit[[#This Row],[Company]]&amp;" "&amp;H_unit[[#This Row],[Unit]],{",",".","(",")","/"},_xlfn.LAMBDA(_xlpm.txt,_xlpm.delim,SUBSTITUTE(_xlpm.txt,_xlpm.delim," "))))&amp;" "</f>
        <v xml:space="preserve"> neve oy  rovaniemi suosiola </v>
      </c>
      <c r="D112" s="242">
        <v>2018</v>
      </c>
      <c r="E112" s="243">
        <v>40</v>
      </c>
      <c r="F112" s="243"/>
      <c r="G112" s="247"/>
      <c r="H112" s="267" t="s">
        <v>1423</v>
      </c>
      <c r="I112" s="248" t="s">
        <v>1143</v>
      </c>
      <c r="J112" s="246" t="str" cm="1">
        <f t="array" ref="J112">_xlfn.XLOOKUP(TRUE,ISNUMBER(SEARCH(" "&amp;Municipality[Municipality]&amp;" ",H_unit[[#This Row],[Info string]])),Municipality[Municipality],"")</f>
        <v>Rovaniemi</v>
      </c>
      <c r="K112" s="246" t="str" cm="1">
        <f t="array" ref="K112">IF(H_unit[[#This Row],[Exact]]&lt;&gt;"","",_xlfn.XLOOKUP(TRUE,ISNUMBER(SEARCH(" "&amp;Municipality[Municipality]&amp;"n ",H_unit[[#This Row],[Info string]])),Municipality[Municipality],""))</f>
        <v/>
      </c>
      <c r="L112" s="246"/>
      <c r="M112" s="244"/>
      <c r="N112" s="246" t="str">
        <f>_xlfn.TEXTJOIN("",TRUE,H_unit[[#This Row],[Exact]],H_unit[[#This Row],[Exact+n]],H_unit[[#This Row],[Copilot]])</f>
        <v>Rovaniemi</v>
      </c>
      <c r="O112" s="246" t="str">
        <f>_xlfn.XLOOKUP(H_unit[[#This Row],[Municipality]],Municipality[Municipality],Municipality[Model],"")</f>
        <v>North</v>
      </c>
      <c r="P112" s="236"/>
    </row>
    <row r="113" spans="1:16">
      <c r="A113" s="238" t="s">
        <v>2382</v>
      </c>
      <c r="B113" s="238" t="s">
        <v>2386</v>
      </c>
      <c r="C113" s="240" t="str" cm="1">
        <f t="array" ref="C113">" "&amp;LOWER(_xlfn.REDUCE(H_unit[[#This Row],[Company]]&amp;" "&amp;H_unit[[#This Row],[Unit]],{",",".","(",")","/"},_xlfn.LAMBDA(_xlpm.txt,_xlpm.delim,SUBSTITUTE(_xlpm.txt,_xlpm.delim," "))))&amp;" "</f>
        <v xml:space="preserve"> seinäjoen voima oy  seinäjoki sevo sähkökattila </v>
      </c>
      <c r="D113" s="242">
        <v>2022</v>
      </c>
      <c r="E113" s="243">
        <v>40</v>
      </c>
      <c r="F113" s="243"/>
      <c r="G113" s="247"/>
      <c r="H113" s="267" t="s">
        <v>1772</v>
      </c>
      <c r="I113" s="248" t="s">
        <v>1146</v>
      </c>
      <c r="J113" s="246" t="str" cm="1">
        <f t="array" ref="J113">_xlfn.XLOOKUP(TRUE,ISNUMBER(SEARCH(" "&amp;Municipality[Municipality]&amp;" ",H_unit[[#This Row],[Info string]])),Municipality[Municipality],"")</f>
        <v>Seinäjoki</v>
      </c>
      <c r="K113" s="246" t="str" cm="1">
        <f t="array" ref="K113">IF(H_unit[[#This Row],[Exact]]&lt;&gt;"","",_xlfn.XLOOKUP(TRUE,ISNUMBER(SEARCH(" "&amp;Municipality[Municipality]&amp;"n ",H_unit[[#This Row],[Info string]])),Municipality[Municipality],""))</f>
        <v/>
      </c>
      <c r="L113" s="246"/>
      <c r="M113" s="244"/>
      <c r="N113" s="246" t="str">
        <f>_xlfn.TEXTJOIN("",TRUE,H_unit[[#This Row],[Exact]],H_unit[[#This Row],[Exact+n]],H_unit[[#This Row],[Copilot]])</f>
        <v>Seinäjoki</v>
      </c>
      <c r="O113" s="246" t="str">
        <f>_xlfn.XLOOKUP(H_unit[[#This Row],[Municipality]],Municipality[Municipality],Municipality[Model],"")</f>
        <v>West</v>
      </c>
      <c r="P113" s="236"/>
    </row>
    <row r="114" spans="1:16">
      <c r="A114" s="238" t="s">
        <v>2415</v>
      </c>
      <c r="B114" s="238" t="s">
        <v>2416</v>
      </c>
      <c r="C114" s="240" t="str" cm="1">
        <f t="array" ref="C114">" "&amp;LOWER(_xlfn.REDUCE(H_unit[[#This Row],[Company]]&amp;" "&amp;H_unit[[#This Row],[Unit]],{",",".","(",")","/"},_xlfn.LAMBDA(_xlpm.txt,_xlpm.delim,SUBSTITUTE(_xlpm.txt,_xlpm.delim," "))))&amp;" "</f>
        <v xml:space="preserve"> vaasan voima oy vaskiluoto sähkökattila </v>
      </c>
      <c r="D114" s="242">
        <v>2022</v>
      </c>
      <c r="E114" s="243">
        <v>40</v>
      </c>
      <c r="F114" s="243"/>
      <c r="G114" s="247"/>
      <c r="H114" s="267" t="s">
        <v>1772</v>
      </c>
      <c r="I114" s="248" t="s">
        <v>1146</v>
      </c>
      <c r="J114" s="246" t="str" cm="1">
        <f t="array" ref="J114">_xlfn.XLOOKUP(TRUE,ISNUMBER(SEARCH(" "&amp;Municipality[Municipality]&amp;" ",H_unit[[#This Row],[Info string]])),Municipality[Municipality],"")</f>
        <v/>
      </c>
      <c r="K114" s="246" t="str" cm="1">
        <f t="array" ref="K114">IF(H_unit[[#This Row],[Exact]]&lt;&gt;"","",_xlfn.XLOOKUP(TRUE,ISNUMBER(SEARCH(" "&amp;Municipality[Municipality]&amp;"n ",H_unit[[#This Row],[Info string]])),Municipality[Municipality],""))</f>
        <v>Vaasa</v>
      </c>
      <c r="L114" s="246"/>
      <c r="M114" s="244"/>
      <c r="N114" s="246" t="str">
        <f>_xlfn.TEXTJOIN("",TRUE,H_unit[[#This Row],[Exact]],H_unit[[#This Row],[Exact+n]],H_unit[[#This Row],[Copilot]])</f>
        <v>Vaasa</v>
      </c>
      <c r="O114" s="246" t="str">
        <f>_xlfn.XLOOKUP(H_unit[[#This Row],[Municipality]],Municipality[Municipality],Municipality[Model],"")</f>
        <v>West</v>
      </c>
      <c r="P114" s="236"/>
    </row>
    <row r="115" spans="1:16">
      <c r="A115" s="238" t="s">
        <v>2318</v>
      </c>
      <c r="B115" s="238" t="s">
        <v>2320</v>
      </c>
      <c r="C115" s="240" t="str" cm="1">
        <f t="array" ref="C115">" "&amp;LOWER(_xlfn.REDUCE(H_unit[[#This Row],[Company]]&amp;" "&amp;H_unit[[#This Row],[Unit]],{",",".","(",")","/"},_xlfn.LAMBDA(_xlpm.txt,_xlpm.delim,SUBSTITUTE(_xlpm.txt,_xlpm.delim," "))))&amp;" "</f>
        <v xml:space="preserve"> lappeenrannan lämpövoima oy mrt1 sähkökattila </v>
      </c>
      <c r="D115" s="242" t="s">
        <v>1448</v>
      </c>
      <c r="E115" s="243">
        <v>40</v>
      </c>
      <c r="F115" s="243"/>
      <c r="G115" s="247"/>
      <c r="H115" s="267" t="s">
        <v>1772</v>
      </c>
      <c r="I115" s="248" t="s">
        <v>1146</v>
      </c>
      <c r="J115" s="246" t="str" cm="1">
        <f t="array" ref="J115">_xlfn.XLOOKUP(TRUE,ISNUMBER(SEARCH(" "&amp;Municipality[Municipality]&amp;" ",H_unit[[#This Row],[Info string]])),Municipality[Municipality],"")</f>
        <v/>
      </c>
      <c r="K115" s="246" t="str" cm="1">
        <f t="array" ref="K115">IF(H_unit[[#This Row],[Exact]]&lt;&gt;"","",_xlfn.XLOOKUP(TRUE,ISNUMBER(SEARCH(" "&amp;Municipality[Municipality]&amp;"n ",H_unit[[#This Row],[Info string]])),Municipality[Municipality],""))</f>
        <v/>
      </c>
      <c r="L115" s="246" t="s">
        <v>980</v>
      </c>
      <c r="M115" s="244" t="s">
        <v>2892</v>
      </c>
      <c r="N115" s="246" t="str">
        <f>_xlfn.TEXTJOIN("",TRUE,H_unit[[#This Row],[Exact]],H_unit[[#This Row],[Exact+n]],H_unit[[#This Row],[Copilot]])</f>
        <v>Lappeenranta</v>
      </c>
      <c r="O115" s="246" t="str">
        <f>_xlfn.XLOOKUP(H_unit[[#This Row],[Municipality]],Municipality[Municipality],Municipality[Model],"")</f>
        <v>South East</v>
      </c>
      <c r="P115" s="236"/>
    </row>
    <row r="116" spans="1:16">
      <c r="A116" s="238" t="s">
        <v>1728</v>
      </c>
      <c r="B116" s="238" t="s">
        <v>1733</v>
      </c>
      <c r="C116" s="240" t="str" cm="1">
        <f t="array" ref="C116">" "&amp;LOWER(_xlfn.REDUCE(H_unit[[#This Row],[Company]]&amp;" "&amp;H_unit[[#This Row],[Unit]],{",",".","(",")","/"},_xlfn.LAMBDA(_xlpm.txt,_xlpm.delim,SUBSTITUTE(_xlpm.txt,_xlpm.delim," "))))&amp;" "</f>
        <v xml:space="preserve"> lahti energia oy  lahti teivaanmäki </v>
      </c>
      <c r="D116" s="242">
        <v>1965</v>
      </c>
      <c r="E116" s="243">
        <v>39</v>
      </c>
      <c r="F116" s="243"/>
      <c r="G116" s="247"/>
      <c r="H116" s="267" t="s">
        <v>1453</v>
      </c>
      <c r="I116" s="248" t="s">
        <v>1142</v>
      </c>
      <c r="J116" s="246" t="str" cm="1">
        <f t="array" ref="J116">_xlfn.XLOOKUP(TRUE,ISNUMBER(SEARCH(" "&amp;Municipality[Municipality]&amp;" ",H_unit[[#This Row],[Info string]])),Municipality[Municipality],"")</f>
        <v>Lahti</v>
      </c>
      <c r="K116" s="246" t="str" cm="1">
        <f t="array" ref="K116">IF(H_unit[[#This Row],[Exact]]&lt;&gt;"","",_xlfn.XLOOKUP(TRUE,ISNUMBER(SEARCH(" "&amp;Municipality[Municipality]&amp;"n ",H_unit[[#This Row],[Info string]])),Municipality[Municipality],""))</f>
        <v/>
      </c>
      <c r="L116" s="246"/>
      <c r="M116" s="244"/>
      <c r="N116" s="246" t="str">
        <f>_xlfn.TEXTJOIN("",TRUE,H_unit[[#This Row],[Exact]],H_unit[[#This Row],[Exact+n]],H_unit[[#This Row],[Copilot]])</f>
        <v>Lahti</v>
      </c>
      <c r="O116" s="246" t="str">
        <f>_xlfn.XLOOKUP(H_unit[[#This Row],[Municipality]],Municipality[Municipality],Municipality[Model],"")</f>
        <v>South East</v>
      </c>
      <c r="P116" s="236"/>
    </row>
    <row r="117" spans="1:16">
      <c r="A117" s="238" t="s">
        <v>2105</v>
      </c>
      <c r="B117" s="238" t="s">
        <v>2106</v>
      </c>
      <c r="C117" s="240" t="str" cm="1">
        <f t="array" ref="C117">" "&amp;LOWER(_xlfn.REDUCE(H_unit[[#This Row],[Company]]&amp;" "&amp;H_unit[[#This Row],[Unit]],{",",".","(",")","/"},_xlfn.LAMBDA(_xlpm.txt,_xlpm.delim,SUBSTITUTE(_xlpm.txt,_xlpm.delim," "))))&amp;" "</f>
        <v xml:space="preserve"> savon voima oyj  iisalmi lk67 energiakuja </v>
      </c>
      <c r="D117" s="242">
        <v>1983</v>
      </c>
      <c r="E117" s="243">
        <v>39</v>
      </c>
      <c r="F117" s="243"/>
      <c r="G117" s="247"/>
      <c r="H117" s="267" t="s">
        <v>1423</v>
      </c>
      <c r="I117" s="248" t="s">
        <v>1143</v>
      </c>
      <c r="J117" s="246" t="str" cm="1">
        <f t="array" ref="J117">_xlfn.XLOOKUP(TRUE,ISNUMBER(SEARCH(" "&amp;Municipality[Municipality]&amp;" ",H_unit[[#This Row],[Info string]])),Municipality[Municipality],"")</f>
        <v>Iisalmi</v>
      </c>
      <c r="K117" s="246" t="str" cm="1">
        <f t="array" ref="K117">IF(H_unit[[#This Row],[Exact]]&lt;&gt;"","",_xlfn.XLOOKUP(TRUE,ISNUMBER(SEARCH(" "&amp;Municipality[Municipality]&amp;"n ",H_unit[[#This Row],[Info string]])),Municipality[Municipality],""))</f>
        <v/>
      </c>
      <c r="L117" s="246"/>
      <c r="M117" s="244"/>
      <c r="N117" s="246" t="str">
        <f>_xlfn.TEXTJOIN("",TRUE,H_unit[[#This Row],[Exact]],H_unit[[#This Row],[Exact+n]],H_unit[[#This Row],[Copilot]])</f>
        <v>Iisalmi</v>
      </c>
      <c r="O117" s="246" t="str">
        <f>_xlfn.XLOOKUP(H_unit[[#This Row],[Municipality]],Municipality[Municipality],Municipality[Model],"")</f>
        <v>East</v>
      </c>
      <c r="P117" s="236"/>
    </row>
    <row r="118" spans="1:16">
      <c r="A118" s="238" t="s">
        <v>2056</v>
      </c>
      <c r="B118" s="238" t="s">
        <v>2057</v>
      </c>
      <c r="C118" s="240" t="str" cm="1">
        <f t="array" ref="C118">" "&amp;LOWER(_xlfn.REDUCE(H_unit[[#This Row],[Company]]&amp;" "&amp;H_unit[[#This Row],[Unit]],{",",".","(",")","/"},_xlfn.LAMBDA(_xlpm.txt,_xlpm.delim,SUBSTITUTE(_xlpm.txt,_xlpm.delim," "))))&amp;" "</f>
        <v xml:space="preserve"> porvoon energia oy kipinätie  lisäosa 2018  </v>
      </c>
      <c r="D118" s="242">
        <v>1985</v>
      </c>
      <c r="E118" s="243">
        <v>39</v>
      </c>
      <c r="F118" s="243"/>
      <c r="G118" s="247"/>
      <c r="H118" s="267" t="s">
        <v>1430</v>
      </c>
      <c r="I118" s="248" t="s">
        <v>1141</v>
      </c>
      <c r="J118" s="246" t="str" cm="1">
        <f t="array" ref="J118">_xlfn.XLOOKUP(TRUE,ISNUMBER(SEARCH(" "&amp;Municipality[Municipality]&amp;" ",H_unit[[#This Row],[Info string]])),Municipality[Municipality],"")</f>
        <v>Porvoon</v>
      </c>
      <c r="K118" s="246" t="str" cm="1">
        <f t="array" ref="K118">IF(H_unit[[#This Row],[Exact]]&lt;&gt;"","",_xlfn.XLOOKUP(TRUE,ISNUMBER(SEARCH(" "&amp;Municipality[Municipality]&amp;"n ",H_unit[[#This Row],[Info string]])),Municipality[Municipality],""))</f>
        <v/>
      </c>
      <c r="L118" s="246"/>
      <c r="M118" s="244"/>
      <c r="N118" s="246" t="str">
        <f>_xlfn.TEXTJOIN("",TRUE,H_unit[[#This Row],[Exact]],H_unit[[#This Row],[Exact+n]],H_unit[[#This Row],[Copilot]])</f>
        <v>Porvoon</v>
      </c>
      <c r="O118" s="246" t="str">
        <f>_xlfn.XLOOKUP(H_unit[[#This Row],[Municipality]],Municipality[Municipality],Municipality[Model],"")</f>
        <v>Uusimaa</v>
      </c>
      <c r="P118" s="236"/>
    </row>
    <row r="119" spans="1:16">
      <c r="A119" s="238" t="s">
        <v>2105</v>
      </c>
      <c r="B119" s="238" t="s">
        <v>2112</v>
      </c>
      <c r="C119" s="240" t="str" cm="1">
        <f t="array" ref="C119">" "&amp;LOWER(_xlfn.REDUCE(H_unit[[#This Row],[Company]]&amp;" "&amp;H_unit[[#This Row],[Unit]],{",",".","(",")","/"},_xlfn.LAMBDA(_xlpm.txt,_xlpm.delim,SUBSTITUTE(_xlpm.txt,_xlpm.delim," "))))&amp;" "</f>
        <v xml:space="preserve"> savon voima oyj  iisalmi energiakuja  vl2 voimalaitos </v>
      </c>
      <c r="D119" s="242">
        <v>2002</v>
      </c>
      <c r="E119" s="243">
        <v>38</v>
      </c>
      <c r="F119" s="243">
        <v>14.7</v>
      </c>
      <c r="G119" s="247"/>
      <c r="H119" s="267" t="s">
        <v>1423</v>
      </c>
      <c r="I119" s="248" t="s">
        <v>1153</v>
      </c>
      <c r="J119" s="246" t="str" cm="1">
        <f t="array" ref="J119">_xlfn.XLOOKUP(TRUE,ISNUMBER(SEARCH(" "&amp;Municipality[Municipality]&amp;" ",H_unit[[#This Row],[Info string]])),Municipality[Municipality],"")</f>
        <v>Iisalmi</v>
      </c>
      <c r="K119" s="246" t="str" cm="1">
        <f t="array" ref="K119">IF(H_unit[[#This Row],[Exact]]&lt;&gt;"","",_xlfn.XLOOKUP(TRUE,ISNUMBER(SEARCH(" "&amp;Municipality[Municipality]&amp;"n ",H_unit[[#This Row],[Info string]])),Municipality[Municipality],""))</f>
        <v/>
      </c>
      <c r="L119" s="246"/>
      <c r="M119" s="244"/>
      <c r="N119" s="246" t="str">
        <f>_xlfn.TEXTJOIN("",TRUE,H_unit[[#This Row],[Exact]],H_unit[[#This Row],[Exact+n]],H_unit[[#This Row],[Copilot]])</f>
        <v>Iisalmi</v>
      </c>
      <c r="O119" s="246" t="str">
        <f>_xlfn.XLOOKUP(H_unit[[#This Row],[Municipality]],Municipality[Municipality],Municipality[Model],"")</f>
        <v>East</v>
      </c>
      <c r="P119" s="236"/>
    </row>
    <row r="120" spans="1:16">
      <c r="A120" s="238" t="s">
        <v>2056</v>
      </c>
      <c r="B120" s="238" t="s">
        <v>2059</v>
      </c>
      <c r="C120" s="240" t="str" cm="1">
        <f t="array" ref="C120">" "&amp;LOWER(_xlfn.REDUCE(H_unit[[#This Row],[Company]]&amp;" "&amp;H_unit[[#This Row],[Unit]],{",",".","(",")","/"},_xlfn.LAMBDA(_xlpm.txt,_xlpm.delim,SUBSTITUTE(_xlpm.txt,_xlpm.delim," "))))&amp;" "</f>
        <v xml:space="preserve"> porvoon energia oy kirjaltajantie  lisäosa 2008  </v>
      </c>
      <c r="D120" s="242">
        <v>2004</v>
      </c>
      <c r="E120" s="243">
        <v>38</v>
      </c>
      <c r="F120" s="243"/>
      <c r="G120" s="247"/>
      <c r="H120" s="267" t="s">
        <v>1453</v>
      </c>
      <c r="I120" s="248" t="s">
        <v>1142</v>
      </c>
      <c r="J120" s="246" t="str" cm="1">
        <f t="array" ref="J120">_xlfn.XLOOKUP(TRUE,ISNUMBER(SEARCH(" "&amp;Municipality[Municipality]&amp;" ",H_unit[[#This Row],[Info string]])),Municipality[Municipality],"")</f>
        <v>Porvoon</v>
      </c>
      <c r="K120" s="246" t="str" cm="1">
        <f t="array" ref="K120">IF(H_unit[[#This Row],[Exact]]&lt;&gt;"","",_xlfn.XLOOKUP(TRUE,ISNUMBER(SEARCH(" "&amp;Municipality[Municipality]&amp;"n ",H_unit[[#This Row],[Info string]])),Municipality[Municipality],""))</f>
        <v/>
      </c>
      <c r="L120" s="246"/>
      <c r="M120" s="244"/>
      <c r="N120" s="246" t="str">
        <f>_xlfn.TEXTJOIN("",TRUE,H_unit[[#This Row],[Exact]],H_unit[[#This Row],[Exact+n]],H_unit[[#This Row],[Copilot]])</f>
        <v>Porvoon</v>
      </c>
      <c r="O120" s="246" t="str">
        <f>_xlfn.XLOOKUP(H_unit[[#This Row],[Municipality]],Municipality[Municipality],Municipality[Model],"")</f>
        <v>Uusimaa</v>
      </c>
      <c r="P120" s="236"/>
    </row>
    <row r="121" spans="1:16">
      <c r="A121" s="238" t="s">
        <v>2378</v>
      </c>
      <c r="B121" s="238" t="s">
        <v>2379</v>
      </c>
      <c r="C121" s="240" t="str" cm="1">
        <f t="array" ref="C121">" "&amp;LOWER(_xlfn.REDUCE(H_unit[[#This Row],[Company]]&amp;" "&amp;H_unit[[#This Row],[Unit]],{",",".","(",")","/"},_xlfn.LAMBDA(_xlpm.txt,_xlpm.delim,SUBSTITUTE(_xlpm.txt,_xlpm.delim," "))))&amp;" "</f>
        <v xml:space="preserve"> riikinvoima oy riikinvoima    </v>
      </c>
      <c r="D121" s="242">
        <v>2016</v>
      </c>
      <c r="E121" s="243">
        <v>38</v>
      </c>
      <c r="F121" s="243">
        <v>15.2</v>
      </c>
      <c r="G121" s="247"/>
      <c r="H121" s="267" t="s">
        <v>2277</v>
      </c>
      <c r="I121" s="248" t="s">
        <v>1154</v>
      </c>
      <c r="J121" s="246" t="str" cm="1">
        <f t="array" ref="J121">_xlfn.XLOOKUP(TRUE,ISNUMBER(SEARCH(" "&amp;Municipality[Municipality]&amp;" ",H_unit[[#This Row],[Info string]])),Municipality[Municipality],"")</f>
        <v/>
      </c>
      <c r="K121" s="246" t="str" cm="1">
        <f t="array" ref="K121">IF(H_unit[[#This Row],[Exact]]&lt;&gt;"","",_xlfn.XLOOKUP(TRUE,ISNUMBER(SEARCH(" "&amp;Municipality[Municipality]&amp;"n ",H_unit[[#This Row],[Info string]])),Municipality[Municipality],""))</f>
        <v/>
      </c>
      <c r="L121" s="246"/>
      <c r="M121" s="244"/>
      <c r="N121" s="246" t="str">
        <f>_xlfn.TEXTJOIN("",TRUE,H_unit[[#This Row],[Exact]],H_unit[[#This Row],[Exact+n]],H_unit[[#This Row],[Copilot]])</f>
        <v/>
      </c>
      <c r="O121" s="246" t="str">
        <f>_xlfn.XLOOKUP(H_unit[[#This Row],[Municipality]],Municipality[Municipality],Municipality[Model],"")</f>
        <v/>
      </c>
      <c r="P121" s="236"/>
    </row>
    <row r="122" spans="1:16">
      <c r="A122" s="238" t="s">
        <v>2337</v>
      </c>
      <c r="B122" s="238" t="s">
        <v>2338</v>
      </c>
      <c r="C122" s="240" t="str" cm="1">
        <f t="array" ref="C122">" "&amp;LOWER(_xlfn.REDUCE(H_unit[[#This Row],[Company]]&amp;" "&amp;H_unit[[#This Row],[Unit]],{",",".","(",")","/"},_xlfn.LAMBDA(_xlpm.txt,_xlpm.delim,SUBSTITUTE(_xlpm.txt,_xlpm.delim," "))))&amp;" "</f>
        <v xml:space="preserve"> lounavoima oy  salo korvenmäki </v>
      </c>
      <c r="D122" s="242">
        <v>2021</v>
      </c>
      <c r="E122" s="243">
        <v>38</v>
      </c>
      <c r="F122" s="243">
        <v>9</v>
      </c>
      <c r="G122" s="247"/>
      <c r="H122" s="267" t="s">
        <v>2277</v>
      </c>
      <c r="I122" s="248" t="s">
        <v>1154</v>
      </c>
      <c r="J122" s="246" t="str" cm="1">
        <f t="array" ref="J122">_xlfn.XLOOKUP(TRUE,ISNUMBER(SEARCH(" "&amp;Municipality[Municipality]&amp;" ",H_unit[[#This Row],[Info string]])),Municipality[Municipality],"")</f>
        <v>Salo</v>
      </c>
      <c r="K122" s="246" t="str" cm="1">
        <f t="array" ref="K122">IF(H_unit[[#This Row],[Exact]]&lt;&gt;"","",_xlfn.XLOOKUP(TRUE,ISNUMBER(SEARCH(" "&amp;Municipality[Municipality]&amp;"n ",H_unit[[#This Row],[Info string]])),Municipality[Municipality],""))</f>
        <v/>
      </c>
      <c r="L122" s="246"/>
      <c r="M122" s="244"/>
      <c r="N122" s="246" t="str">
        <f>_xlfn.TEXTJOIN("",TRUE,H_unit[[#This Row],[Exact]],H_unit[[#This Row],[Exact+n]],H_unit[[#This Row],[Copilot]])</f>
        <v>Salo</v>
      </c>
      <c r="O122" s="246" t="str">
        <f>_xlfn.XLOOKUP(H_unit[[#This Row],[Municipality]],Municipality[Municipality],Municipality[Model],"")</f>
        <v>South West</v>
      </c>
      <c r="P122" s="236"/>
    </row>
    <row r="123" spans="1:16">
      <c r="A123" s="238" t="s">
        <v>1876</v>
      </c>
      <c r="B123" s="238" t="s">
        <v>1877</v>
      </c>
      <c r="C123" s="240" t="str" cm="1">
        <f t="array" ref="C123">" "&amp;LOWER(_xlfn.REDUCE(H_unit[[#This Row],[Company]]&amp;" "&amp;H_unit[[#This Row],[Unit]],{",",".","(",")","/"},_xlfn.LAMBDA(_xlpm.txt,_xlpm.delim,SUBSTITUTE(_xlpm.txt,_xlpm.delim," "))))&amp;" "</f>
        <v xml:space="preserve"> loiste lämpö oy palokangas </v>
      </c>
      <c r="D123" s="242">
        <v>1977</v>
      </c>
      <c r="E123" s="243">
        <v>36</v>
      </c>
      <c r="F123" s="243"/>
      <c r="G123" s="247"/>
      <c r="H123" s="267" t="s">
        <v>1418</v>
      </c>
      <c r="I123" s="248" t="s">
        <v>1141</v>
      </c>
      <c r="J123" s="246" t="str" cm="1">
        <f t="array" ref="J123">_xlfn.XLOOKUP(TRUE,ISNUMBER(SEARCH(" "&amp;Municipality[Municipality]&amp;" ",H_unit[[#This Row],[Info string]])),Municipality[Municipality],"")</f>
        <v/>
      </c>
      <c r="K123" s="246" t="str" cm="1">
        <f t="array" ref="K123">IF(H_unit[[#This Row],[Exact]]&lt;&gt;"","",_xlfn.XLOOKUP(TRUE,ISNUMBER(SEARCH(" "&amp;Municipality[Municipality]&amp;"n ",H_unit[[#This Row],[Info string]])),Municipality[Municipality],""))</f>
        <v/>
      </c>
      <c r="L123" s="246" t="s">
        <v>2561</v>
      </c>
      <c r="M123" s="244" t="s">
        <v>2897</v>
      </c>
      <c r="N123" s="246" t="str">
        <f>_xlfn.TEXTJOIN("",TRUE,H_unit[[#This Row],[Exact]],H_unit[[#This Row],[Exact+n]],H_unit[[#This Row],[Copilot]])</f>
        <v>Kajaani</v>
      </c>
      <c r="O123" s="246" t="str">
        <f>_xlfn.XLOOKUP(H_unit[[#This Row],[Municipality]],Municipality[Municipality],Municipality[Model],"")</f>
        <v>East</v>
      </c>
      <c r="P123" s="236"/>
    </row>
    <row r="124" spans="1:16">
      <c r="A124" s="238" t="s">
        <v>1525</v>
      </c>
      <c r="B124" s="238" t="s">
        <v>1527</v>
      </c>
      <c r="C124" s="240" t="str" cm="1">
        <f t="array" ref="C124">" "&amp;LOWER(_xlfn.REDUCE(H_unit[[#This Row],[Company]]&amp;" "&amp;H_unit[[#This Row],[Unit]],{",",".","(",")","/"},_xlfn.LAMBDA(_xlpm.txt,_xlpm.delim,SUBSTITUTE(_xlpm.txt,_xlpm.delim," "))))&amp;" "</f>
        <v xml:space="preserve"> hyvinkään lämpövoima oy suokatu </v>
      </c>
      <c r="D124" s="242">
        <v>1978</v>
      </c>
      <c r="E124" s="243">
        <v>36</v>
      </c>
      <c r="F124" s="243"/>
      <c r="G124" s="247"/>
      <c r="H124" s="267" t="s">
        <v>1418</v>
      </c>
      <c r="I124" s="248" t="s">
        <v>1141</v>
      </c>
      <c r="J124" s="246" t="str" cm="1">
        <f t="array" ref="J124">_xlfn.XLOOKUP(TRUE,ISNUMBER(SEARCH(" "&amp;Municipality[Municipality]&amp;" ",H_unit[[#This Row],[Info string]])),Municipality[Municipality],"")</f>
        <v/>
      </c>
      <c r="K124" s="246" t="str" cm="1">
        <f t="array" ref="K124">IF(H_unit[[#This Row],[Exact]]&lt;&gt;"","",_xlfn.XLOOKUP(TRUE,ISNUMBER(SEARCH(" "&amp;Municipality[Municipality]&amp;"n ",H_unit[[#This Row],[Info string]])),Municipality[Municipality],""))</f>
        <v>Hyvinkää</v>
      </c>
      <c r="L124" s="246"/>
      <c r="M124" s="244"/>
      <c r="N124" s="246" t="str">
        <f>_xlfn.TEXTJOIN("",TRUE,H_unit[[#This Row],[Exact]],H_unit[[#This Row],[Exact+n]],H_unit[[#This Row],[Copilot]])</f>
        <v>Hyvinkää</v>
      </c>
      <c r="O124" s="246" t="str">
        <f>_xlfn.XLOOKUP(H_unit[[#This Row],[Municipality]],Municipality[Municipality],Municipality[Model],"")</f>
        <v>Uusimaa</v>
      </c>
      <c r="P124" s="236"/>
    </row>
    <row r="125" spans="1:16">
      <c r="A125" s="238" t="s">
        <v>2056</v>
      </c>
      <c r="B125" s="238" t="s">
        <v>1117</v>
      </c>
      <c r="C125" s="240" t="str" cm="1">
        <f t="array" ref="C125">" "&amp;LOWER(_xlfn.REDUCE(H_unit[[#This Row],[Company]]&amp;" "&amp;H_unit[[#This Row],[Unit]],{",",".","(",")","/"},_xlfn.LAMBDA(_xlpm.txt,_xlpm.delim,SUBSTITUTE(_xlpm.txt,_xlpm.delim," "))))&amp;" "</f>
        <v xml:space="preserve"> porvoon energia oy tolkkinen </v>
      </c>
      <c r="D125" s="242">
        <v>1979</v>
      </c>
      <c r="E125" s="243">
        <v>36</v>
      </c>
      <c r="F125" s="243">
        <v>11</v>
      </c>
      <c r="G125" s="247"/>
      <c r="H125" s="267" t="s">
        <v>1423</v>
      </c>
      <c r="I125" s="248" t="s">
        <v>1153</v>
      </c>
      <c r="J125" s="246" t="str" cm="1">
        <f t="array" ref="J125">_xlfn.XLOOKUP(TRUE,ISNUMBER(SEARCH(" "&amp;Municipality[Municipality]&amp;" ",H_unit[[#This Row],[Info string]])),Municipality[Municipality],"")</f>
        <v>Porvoon</v>
      </c>
      <c r="K125" s="246" t="str" cm="1">
        <f t="array" ref="K125">IF(H_unit[[#This Row],[Exact]]&lt;&gt;"","",_xlfn.XLOOKUP(TRUE,ISNUMBER(SEARCH(" "&amp;Municipality[Municipality]&amp;"n ",H_unit[[#This Row],[Info string]])),Municipality[Municipality],""))</f>
        <v/>
      </c>
      <c r="L125" s="246"/>
      <c r="M125" s="244"/>
      <c r="N125" s="246" t="str">
        <f>_xlfn.TEXTJOIN("",TRUE,H_unit[[#This Row],[Exact]],H_unit[[#This Row],[Exact+n]],H_unit[[#This Row],[Copilot]])</f>
        <v>Porvoon</v>
      </c>
      <c r="O125" s="246" t="str">
        <f>_xlfn.XLOOKUP(H_unit[[#This Row],[Municipality]],Municipality[Municipality],Municipality[Model],"")</f>
        <v>Uusimaa</v>
      </c>
      <c r="P125" s="236"/>
    </row>
    <row r="126" spans="1:16">
      <c r="A126" s="238" t="s">
        <v>1904</v>
      </c>
      <c r="B126" s="238" t="s">
        <v>1905</v>
      </c>
      <c r="C126" s="240" t="str" cm="1">
        <f t="array" ref="C126">" "&amp;LOWER(_xlfn.REDUCE(H_unit[[#This Row],[Company]]&amp;" "&amp;H_unit[[#This Row],[Unit]],{",",".","(",")","/"},_xlfn.LAMBDA(_xlpm.txt,_xlpm.delim,SUBSTITUTE(_xlpm.txt,_xlpm.delim," "))))&amp;" "</f>
        <v xml:space="preserve"> nevel oy  forssa koikkurintie </v>
      </c>
      <c r="D126" s="242">
        <v>1984</v>
      </c>
      <c r="E126" s="243">
        <v>36</v>
      </c>
      <c r="F126" s="243"/>
      <c r="G126" s="247"/>
      <c r="H126" s="267" t="s">
        <v>1418</v>
      </c>
      <c r="I126" s="248" t="s">
        <v>1141</v>
      </c>
      <c r="J126" s="246" t="str" cm="1">
        <f t="array" ref="J126">_xlfn.XLOOKUP(TRUE,ISNUMBER(SEARCH(" "&amp;Municipality[Municipality]&amp;" ",H_unit[[#This Row],[Info string]])),Municipality[Municipality],"")</f>
        <v>Forssa</v>
      </c>
      <c r="K126" s="246" t="str" cm="1">
        <f t="array" ref="K126">IF(H_unit[[#This Row],[Exact]]&lt;&gt;"","",_xlfn.XLOOKUP(TRUE,ISNUMBER(SEARCH(" "&amp;Municipality[Municipality]&amp;"n ",H_unit[[#This Row],[Info string]])),Municipality[Municipality],""))</f>
        <v/>
      </c>
      <c r="L126" s="246"/>
      <c r="M126" s="244"/>
      <c r="N126" s="246" t="str">
        <f>_xlfn.TEXTJOIN("",TRUE,H_unit[[#This Row],[Exact]],H_unit[[#This Row],[Exact+n]],H_unit[[#This Row],[Copilot]])</f>
        <v>Forssa</v>
      </c>
      <c r="O126" s="246" t="str">
        <f>_xlfn.XLOOKUP(H_unit[[#This Row],[Municipality]],Municipality[Municipality],Municipality[Model],"")</f>
        <v>South West</v>
      </c>
      <c r="P126" s="236"/>
    </row>
    <row r="127" spans="1:16">
      <c r="A127" s="238" t="s">
        <v>1525</v>
      </c>
      <c r="B127" s="238" t="s">
        <v>1528</v>
      </c>
      <c r="C127" s="240" t="str" cm="1">
        <f t="array" ref="C127">" "&amp;LOWER(_xlfn.REDUCE(H_unit[[#This Row],[Company]]&amp;" "&amp;H_unit[[#This Row],[Unit]],{",",".","(",")","/"},_xlfn.LAMBDA(_xlpm.txt,_xlpm.delim,SUBSTITUTE(_xlpm.txt,_xlpm.delim," "))))&amp;" "</f>
        <v xml:space="preserve"> hyvinkään lämpövoima oy veikkari </v>
      </c>
      <c r="D127" s="242">
        <v>1990</v>
      </c>
      <c r="E127" s="243">
        <v>36</v>
      </c>
      <c r="F127" s="243"/>
      <c r="G127" s="247"/>
      <c r="H127" s="267" t="s">
        <v>1418</v>
      </c>
      <c r="I127" s="248" t="s">
        <v>1141</v>
      </c>
      <c r="J127" s="246" t="str" cm="1">
        <f t="array" ref="J127">_xlfn.XLOOKUP(TRUE,ISNUMBER(SEARCH(" "&amp;Municipality[Municipality]&amp;" ",H_unit[[#This Row],[Info string]])),Municipality[Municipality],"")</f>
        <v/>
      </c>
      <c r="K127" s="246" t="str" cm="1">
        <f t="array" ref="K127">IF(H_unit[[#This Row],[Exact]]&lt;&gt;"","",_xlfn.XLOOKUP(TRUE,ISNUMBER(SEARCH(" "&amp;Municipality[Municipality]&amp;"n ",H_unit[[#This Row],[Info string]])),Municipality[Municipality],""))</f>
        <v>Hyvinkää</v>
      </c>
      <c r="L127" s="246"/>
      <c r="M127" s="244"/>
      <c r="N127" s="246" t="str">
        <f>_xlfn.TEXTJOIN("",TRUE,H_unit[[#This Row],[Exact]],H_unit[[#This Row],[Exact+n]],H_unit[[#This Row],[Copilot]])</f>
        <v>Hyvinkää</v>
      </c>
      <c r="O127" s="246" t="str">
        <f>_xlfn.XLOOKUP(H_unit[[#This Row],[Municipality]],Municipality[Municipality],Municipality[Model],"")</f>
        <v>Uusimaa</v>
      </c>
      <c r="P127" s="236"/>
    </row>
    <row r="128" spans="1:16">
      <c r="A128" s="238" t="s">
        <v>2077</v>
      </c>
      <c r="B128" s="238" t="s">
        <v>2080</v>
      </c>
      <c r="C128" s="240" t="str" cm="1">
        <f t="array" ref="C128">" "&amp;LOWER(_xlfn.REDUCE(H_unit[[#This Row],[Company]]&amp;" "&amp;H_unit[[#This Row],[Unit]],{",",".","(",")","/"},_xlfn.LAMBDA(_xlpm.txt,_xlpm.delim,SUBSTITUTE(_xlpm.txt,_xlpm.delim," "))))&amp;" "</f>
        <v xml:space="preserve"> rauman energia oy isometsä </v>
      </c>
      <c r="D128" s="242">
        <v>1991</v>
      </c>
      <c r="E128" s="243">
        <v>36</v>
      </c>
      <c r="F128" s="243"/>
      <c r="G128" s="247"/>
      <c r="H128" s="267" t="s">
        <v>1418</v>
      </c>
      <c r="I128" s="248" t="s">
        <v>1141</v>
      </c>
      <c r="J128" s="246" t="str" cm="1">
        <f t="array" ref="J128">_xlfn.XLOOKUP(TRUE,ISNUMBER(SEARCH(" "&amp;Municipality[Municipality]&amp;" ",H_unit[[#This Row],[Info string]])),Municipality[Municipality],"")</f>
        <v>Rauman</v>
      </c>
      <c r="K128" s="246" t="str" cm="1">
        <f t="array" ref="K128">IF(H_unit[[#This Row],[Exact]]&lt;&gt;"","",_xlfn.XLOOKUP(TRUE,ISNUMBER(SEARCH(" "&amp;Municipality[Municipality]&amp;"n ",H_unit[[#This Row],[Info string]])),Municipality[Municipality],""))</f>
        <v/>
      </c>
      <c r="L128" s="246"/>
      <c r="M128" s="244"/>
      <c r="N128" s="246" t="str">
        <f>_xlfn.TEXTJOIN("",TRUE,H_unit[[#This Row],[Exact]],H_unit[[#This Row],[Exact+n]],H_unit[[#This Row],[Copilot]])</f>
        <v>Rauman</v>
      </c>
      <c r="O128" s="246" t="str">
        <f>_xlfn.XLOOKUP(H_unit[[#This Row],[Municipality]],Municipality[Municipality],Municipality[Model],"")</f>
        <v>West</v>
      </c>
      <c r="P128" s="236"/>
    </row>
    <row r="129" spans="1:16">
      <c r="A129" s="238" t="s">
        <v>1530</v>
      </c>
      <c r="B129" s="238" t="s">
        <v>1539</v>
      </c>
      <c r="C129" s="240" t="str" cm="1">
        <f t="array" ref="C129">" "&amp;LOWER(_xlfn.REDUCE(H_unit[[#This Row],[Company]]&amp;" "&amp;H_unit[[#This Row],[Unit]],{",",".","(",")","/"},_xlfn.LAMBDA(_xlpm.txt,_xlpm.delim,SUBSTITUTE(_xlpm.txt,_xlpm.delim," "))))&amp;" "</f>
        <v xml:space="preserve"> imatran lämpö oy virasoja bio </v>
      </c>
      <c r="D129" s="242">
        <v>2015</v>
      </c>
      <c r="E129" s="243">
        <v>36</v>
      </c>
      <c r="F129" s="243"/>
      <c r="G129" s="247"/>
      <c r="H129" s="267" t="s">
        <v>1423</v>
      </c>
      <c r="I129" s="248" t="s">
        <v>1143</v>
      </c>
      <c r="J129" s="246" t="str" cm="1">
        <f t="array" ref="J129">_xlfn.XLOOKUP(TRUE,ISNUMBER(SEARCH(" "&amp;Municipality[Municipality]&amp;" ",H_unit[[#This Row],[Info string]])),Municipality[Municipality],"")</f>
        <v/>
      </c>
      <c r="K129" s="246" t="str" cm="1">
        <f t="array" ref="K129">IF(H_unit[[#This Row],[Exact]]&lt;&gt;"","",_xlfn.XLOOKUP(TRUE,ISNUMBER(SEARCH(" "&amp;Municipality[Municipality]&amp;"n ",H_unit[[#This Row],[Info string]])),Municipality[Municipality],""))</f>
        <v>Imatra</v>
      </c>
      <c r="L129" s="246"/>
      <c r="M129" s="244"/>
      <c r="N129" s="246" t="str">
        <f>_xlfn.TEXTJOIN("",TRUE,H_unit[[#This Row],[Exact]],H_unit[[#This Row],[Exact+n]],H_unit[[#This Row],[Copilot]])</f>
        <v>Imatra</v>
      </c>
      <c r="O129" s="246" t="str">
        <f>_xlfn.XLOOKUP(H_unit[[#This Row],[Municipality]],Municipality[Municipality],Municipality[Model],"")</f>
        <v>South East</v>
      </c>
      <c r="P129" s="236"/>
    </row>
    <row r="130" spans="1:16">
      <c r="A130" s="238" t="s">
        <v>1728</v>
      </c>
      <c r="B130" s="238" t="s">
        <v>1730</v>
      </c>
      <c r="C130" s="240" t="str" cm="1">
        <f t="array" ref="C130">" "&amp;LOWER(_xlfn.REDUCE(H_unit[[#This Row],[Company]]&amp;" "&amp;H_unit[[#This Row],[Unit]],{",",".","(",")","/"},_xlfn.LAMBDA(_xlpm.txt,_xlpm.delim,SUBSTITUTE(_xlpm.txt,_xlpm.delim," "))))&amp;" "</f>
        <v xml:space="preserve"> lahti energia oy  lahti liipola </v>
      </c>
      <c r="D130" s="242">
        <v>1974</v>
      </c>
      <c r="E130" s="243">
        <v>35</v>
      </c>
      <c r="F130" s="243"/>
      <c r="G130" s="247"/>
      <c r="H130" s="267" t="s">
        <v>1453</v>
      </c>
      <c r="I130" s="248" t="s">
        <v>1142</v>
      </c>
      <c r="J130" s="246" t="str" cm="1">
        <f t="array" ref="J130">_xlfn.XLOOKUP(TRUE,ISNUMBER(SEARCH(" "&amp;Municipality[Municipality]&amp;" ",H_unit[[#This Row],[Info string]])),Municipality[Municipality],"")</f>
        <v>Lahti</v>
      </c>
      <c r="K130" s="246" t="str" cm="1">
        <f t="array" ref="K130">IF(H_unit[[#This Row],[Exact]]&lt;&gt;"","",_xlfn.XLOOKUP(TRUE,ISNUMBER(SEARCH(" "&amp;Municipality[Municipality]&amp;"n ",H_unit[[#This Row],[Info string]])),Municipality[Municipality],""))</f>
        <v/>
      </c>
      <c r="L130" s="246"/>
      <c r="M130" s="244"/>
      <c r="N130" s="246" t="str">
        <f>_xlfn.TEXTJOIN("",TRUE,H_unit[[#This Row],[Exact]],H_unit[[#This Row],[Exact+n]],H_unit[[#This Row],[Copilot]])</f>
        <v>Lahti</v>
      </c>
      <c r="O130" s="246" t="str">
        <f>_xlfn.XLOOKUP(H_unit[[#This Row],[Municipality]],Municipality[Municipality],Municipality[Model],"")</f>
        <v>South East</v>
      </c>
      <c r="P130" s="236"/>
    </row>
    <row r="131" spans="1:16">
      <c r="A131" s="238" t="s">
        <v>2197</v>
      </c>
      <c r="B131" s="238" t="s">
        <v>2198</v>
      </c>
      <c r="C131" s="240" t="str" cm="1">
        <f t="array" ref="C131">" "&amp;LOWER(_xlfn.REDUCE(H_unit[[#This Row],[Company]]&amp;" "&amp;H_unit[[#This Row],[Unit]],{",",".","(",")","/"},_xlfn.LAMBDA(_xlpm.txt,_xlpm.delim,SUBSTITUTE(_xlpm.txt,_xlpm.delim," "))))&amp;" "</f>
        <v xml:space="preserve"> vaasan sähkö oy vaskiluoto </v>
      </c>
      <c r="D131" s="242">
        <v>1974</v>
      </c>
      <c r="E131" s="243">
        <v>35</v>
      </c>
      <c r="F131" s="243"/>
      <c r="G131" s="247"/>
      <c r="H131" s="267" t="s">
        <v>1430</v>
      </c>
      <c r="I131" s="248" t="s">
        <v>1141</v>
      </c>
      <c r="J131" s="246" t="str" cm="1">
        <f t="array" ref="J131">_xlfn.XLOOKUP(TRUE,ISNUMBER(SEARCH(" "&amp;Municipality[Municipality]&amp;" ",H_unit[[#This Row],[Info string]])),Municipality[Municipality],"")</f>
        <v/>
      </c>
      <c r="K131" s="246" t="str" cm="1">
        <f t="array" ref="K131">IF(H_unit[[#This Row],[Exact]]&lt;&gt;"","",_xlfn.XLOOKUP(TRUE,ISNUMBER(SEARCH(" "&amp;Municipality[Municipality]&amp;"n ",H_unit[[#This Row],[Info string]])),Municipality[Municipality],""))</f>
        <v>Vaasa</v>
      </c>
      <c r="L131" s="246"/>
      <c r="M131" s="244"/>
      <c r="N131" s="246" t="str">
        <f>_xlfn.TEXTJOIN("",TRUE,H_unit[[#This Row],[Exact]],H_unit[[#This Row],[Exact+n]],H_unit[[#This Row],[Copilot]])</f>
        <v>Vaasa</v>
      </c>
      <c r="O131" s="246" t="str">
        <f>_xlfn.XLOOKUP(H_unit[[#This Row],[Municipality]],Municipality[Municipality],Municipality[Model],"")</f>
        <v>West</v>
      </c>
      <c r="P131" s="236"/>
    </row>
    <row r="132" spans="1:16">
      <c r="A132" s="238" t="s">
        <v>2113</v>
      </c>
      <c r="B132" s="238" t="s">
        <v>1921</v>
      </c>
      <c r="C132" s="240" t="str" cm="1">
        <f t="array" ref="C132">" "&amp;LOWER(_xlfn.REDUCE(H_unit[[#This Row],[Company]]&amp;" "&amp;H_unit[[#This Row],[Unit]],{",",".","(",")","/"},_xlfn.LAMBDA(_xlpm.txt,_xlpm.delim,SUBSTITUTE(_xlpm.txt,_xlpm.delim," "))))&amp;" "</f>
        <v xml:space="preserve"> savon voima oyj  joensuu rantakylä </v>
      </c>
      <c r="D132" s="242">
        <v>1978</v>
      </c>
      <c r="E132" s="243">
        <v>35</v>
      </c>
      <c r="F132" s="243"/>
      <c r="G132" s="247"/>
      <c r="H132" s="267" t="s">
        <v>1430</v>
      </c>
      <c r="I132" s="248" t="s">
        <v>1141</v>
      </c>
      <c r="J132" s="246" t="str" cm="1">
        <f t="array" ref="J132">_xlfn.XLOOKUP(TRUE,ISNUMBER(SEARCH(" "&amp;Municipality[Municipality]&amp;" ",H_unit[[#This Row],[Info string]])),Municipality[Municipality],"")</f>
        <v>Joensuu</v>
      </c>
      <c r="K132" s="246" t="str" cm="1">
        <f t="array" ref="K132">IF(H_unit[[#This Row],[Exact]]&lt;&gt;"","",_xlfn.XLOOKUP(TRUE,ISNUMBER(SEARCH(" "&amp;Municipality[Municipality]&amp;"n ",H_unit[[#This Row],[Info string]])),Municipality[Municipality],""))</f>
        <v/>
      </c>
      <c r="L132" s="246"/>
      <c r="M132" s="244"/>
      <c r="N132" s="246" t="str">
        <f>_xlfn.TEXTJOIN("",TRUE,H_unit[[#This Row],[Exact]],H_unit[[#This Row],[Exact+n]],H_unit[[#This Row],[Copilot]])</f>
        <v>Joensuu</v>
      </c>
      <c r="O132" s="246" t="str">
        <f>_xlfn.XLOOKUP(H_unit[[#This Row],[Municipality]],Municipality[Municipality],Municipality[Model],"")</f>
        <v>East</v>
      </c>
      <c r="P132" s="236"/>
    </row>
    <row r="133" spans="1:16">
      <c r="A133" s="238" t="s">
        <v>1904</v>
      </c>
      <c r="B133" s="238" t="s">
        <v>1906</v>
      </c>
      <c r="C133" s="240" t="str" cm="1">
        <f t="array" ref="C133">" "&amp;LOWER(_xlfn.REDUCE(H_unit[[#This Row],[Company]]&amp;" "&amp;H_unit[[#This Row],[Unit]],{",",".","(",")","/"},_xlfn.LAMBDA(_xlpm.txt,_xlpm.delim,SUBSTITUTE(_xlpm.txt,_xlpm.delim," "))))&amp;" "</f>
        <v xml:space="preserve"> nevel oy  forssa lepistönkatu </v>
      </c>
      <c r="D133" s="242">
        <v>1991</v>
      </c>
      <c r="E133" s="243">
        <v>34</v>
      </c>
      <c r="F133" s="243"/>
      <c r="G133" s="247"/>
      <c r="H133" s="267" t="s">
        <v>1436</v>
      </c>
      <c r="I133" s="248" t="s">
        <v>1143</v>
      </c>
      <c r="J133" s="246" t="str" cm="1">
        <f t="array" ref="J133">_xlfn.XLOOKUP(TRUE,ISNUMBER(SEARCH(" "&amp;Municipality[Municipality]&amp;" ",H_unit[[#This Row],[Info string]])),Municipality[Municipality],"")</f>
        <v>Forssa</v>
      </c>
      <c r="K133" s="246" t="str" cm="1">
        <f t="array" ref="K133">IF(H_unit[[#This Row],[Exact]]&lt;&gt;"","",_xlfn.XLOOKUP(TRUE,ISNUMBER(SEARCH(" "&amp;Municipality[Municipality]&amp;"n ",H_unit[[#This Row],[Info string]])),Municipality[Municipality],""))</f>
        <v/>
      </c>
      <c r="L133" s="246"/>
      <c r="M133" s="244"/>
      <c r="N133" s="246" t="str">
        <f>_xlfn.TEXTJOIN("",TRUE,H_unit[[#This Row],[Exact]],H_unit[[#This Row],[Exact+n]],H_unit[[#This Row],[Copilot]])</f>
        <v>Forssa</v>
      </c>
      <c r="O133" s="246" t="str">
        <f>_xlfn.XLOOKUP(H_unit[[#This Row],[Municipality]],Municipality[Municipality],Municipality[Model],"")</f>
        <v>South West</v>
      </c>
      <c r="P133" s="236"/>
    </row>
    <row r="134" spans="1:16">
      <c r="A134" s="238" t="s">
        <v>2146</v>
      </c>
      <c r="B134" s="238" t="s">
        <v>2150</v>
      </c>
      <c r="C134" s="240" t="str" cm="1">
        <f t="array" ref="C134">" "&amp;LOWER(_xlfn.REDUCE(H_unit[[#This Row],[Company]]&amp;" "&amp;H_unit[[#This Row],[Unit]],{",",".","(",")","/"},_xlfn.LAMBDA(_xlpm.txt,_xlpm.delim,SUBSTITUTE(_xlpm.txt,_xlpm.delim," "))))&amp;" "</f>
        <v xml:space="preserve"> savon voima oyj  pieksämäki vl1  kutteritie </v>
      </c>
      <c r="D134" s="242">
        <v>1992</v>
      </c>
      <c r="E134" s="243">
        <v>32.299999999999997</v>
      </c>
      <c r="F134" s="243">
        <v>9.4</v>
      </c>
      <c r="G134" s="247"/>
      <c r="H134" s="267" t="s">
        <v>1423</v>
      </c>
      <c r="I134" s="248" t="s">
        <v>1153</v>
      </c>
      <c r="J134" s="246" t="str" cm="1">
        <f t="array" ref="J134">_xlfn.XLOOKUP(TRUE,ISNUMBER(SEARCH(" "&amp;Municipality[Municipality]&amp;" ",H_unit[[#This Row],[Info string]])),Municipality[Municipality],"")</f>
        <v>Pieksämäki</v>
      </c>
      <c r="K134" s="246" t="str" cm="1">
        <f t="array" ref="K134">IF(H_unit[[#This Row],[Exact]]&lt;&gt;"","",_xlfn.XLOOKUP(TRUE,ISNUMBER(SEARCH(" "&amp;Municipality[Municipality]&amp;"n ",H_unit[[#This Row],[Info string]])),Municipality[Municipality],""))</f>
        <v/>
      </c>
      <c r="L134" s="246"/>
      <c r="M134" s="244"/>
      <c r="N134" s="246" t="str">
        <f>_xlfn.TEXTJOIN("",TRUE,H_unit[[#This Row],[Exact]],H_unit[[#This Row],[Exact+n]],H_unit[[#This Row],[Copilot]])</f>
        <v>Pieksämäki</v>
      </c>
      <c r="O134" s="246" t="str">
        <f>_xlfn.XLOOKUP(H_unit[[#This Row],[Municipality]],Municipality[Municipality],Municipality[Model],"")</f>
        <v>East</v>
      </c>
      <c r="P134" s="236"/>
    </row>
    <row r="135" spans="1:16">
      <c r="A135" s="238" t="s">
        <v>1599</v>
      </c>
      <c r="B135" s="238" t="s">
        <v>1600</v>
      </c>
      <c r="C135" s="240" t="str" cm="1">
        <f t="array" ref="C135">" "&amp;LOWER(_xlfn.REDUCE(H_unit[[#This Row],[Company]]&amp;" "&amp;H_unit[[#This Row],[Unit]],{",",".","(",")","/"},_xlfn.LAMBDA(_xlpm.txt,_xlpm.delim,SUBSTITUTE(_xlpm.txt,_xlpm.delim," "))))&amp;" "</f>
        <v xml:space="preserve"> kemijärven lämpö ja vesi oy turvelaitos </v>
      </c>
      <c r="D135" s="242">
        <v>1983</v>
      </c>
      <c r="E135" s="243">
        <v>32</v>
      </c>
      <c r="F135" s="243"/>
      <c r="G135" s="247"/>
      <c r="H135" s="267" t="s">
        <v>1428</v>
      </c>
      <c r="I135" s="248" t="s">
        <v>1143</v>
      </c>
      <c r="J135" s="246" t="str" cm="1">
        <f t="array" ref="J135">_xlfn.XLOOKUP(TRUE,ISNUMBER(SEARCH(" "&amp;Municipality[Municipality]&amp;" ",H_unit[[#This Row],[Info string]])),Municipality[Municipality],"")</f>
        <v/>
      </c>
      <c r="K135" s="246" t="str" cm="1">
        <f t="array" ref="K135">IF(H_unit[[#This Row],[Exact]]&lt;&gt;"","",_xlfn.XLOOKUP(TRUE,ISNUMBER(SEARCH(" "&amp;Municipality[Municipality]&amp;"n ",H_unit[[#This Row],[Info string]])),Municipality[Municipality],""))</f>
        <v/>
      </c>
      <c r="L135" s="246" t="s">
        <v>1044</v>
      </c>
      <c r="M135" s="244" t="s">
        <v>2898</v>
      </c>
      <c r="N135" s="246" t="str">
        <f>_xlfn.TEXTJOIN("",TRUE,H_unit[[#This Row],[Exact]],H_unit[[#This Row],[Exact+n]],H_unit[[#This Row],[Copilot]])</f>
        <v>Kemijärvi</v>
      </c>
      <c r="O135" s="246" t="str">
        <f>_xlfn.XLOOKUP(H_unit[[#This Row],[Municipality]],Municipality[Municipality],Municipality[Model],"")</f>
        <v>North</v>
      </c>
      <c r="P135" s="236"/>
    </row>
    <row r="136" spans="1:16">
      <c r="A136" s="238" t="s">
        <v>2253</v>
      </c>
      <c r="B136" s="238" t="s">
        <v>2258</v>
      </c>
      <c r="C136" s="240" t="str" cm="1">
        <f t="array" ref="C136">" "&amp;LOWER(_xlfn.REDUCE(H_unit[[#This Row],[Company]]&amp;" "&amp;H_unit[[#This Row],[Unit]],{",",".","(",")","/"},_xlfn.LAMBDA(_xlpm.txt,_xlpm.delim,SUBSTITUTE(_xlpm.txt,_xlpm.delim," "))))&amp;" "</f>
        <v xml:space="preserve"> vsv energia oy onka </v>
      </c>
      <c r="D136" s="242">
        <v>2013</v>
      </c>
      <c r="E136" s="243">
        <v>32</v>
      </c>
      <c r="F136" s="243"/>
      <c r="G136" s="247"/>
      <c r="H136" s="267" t="s">
        <v>2086</v>
      </c>
      <c r="I136" s="248" t="s">
        <v>1141</v>
      </c>
      <c r="J136" s="246" t="str" cm="1">
        <f t="array" ref="J136">_xlfn.XLOOKUP(TRUE,ISNUMBER(SEARCH(" "&amp;Municipality[Municipality]&amp;" ",H_unit[[#This Row],[Info string]])),Municipality[Municipality],"")</f>
        <v/>
      </c>
      <c r="K136" s="246" t="str" cm="1">
        <f t="array" ref="K136">IF(H_unit[[#This Row],[Exact]]&lt;&gt;"","",_xlfn.XLOOKUP(TRUE,ISNUMBER(SEARCH(" "&amp;Municipality[Municipality]&amp;"n ",H_unit[[#This Row],[Info string]])),Municipality[Municipality],""))</f>
        <v/>
      </c>
      <c r="L136" s="246" t="s">
        <v>955</v>
      </c>
      <c r="M136" s="244" t="s">
        <v>2899</v>
      </c>
      <c r="N136" s="246" t="str">
        <f>_xlfn.TEXTJOIN("",TRUE,H_unit[[#This Row],[Exact]],H_unit[[#This Row],[Exact+n]],H_unit[[#This Row],[Copilot]])</f>
        <v>Uusikaupunki</v>
      </c>
      <c r="O136" s="246" t="str">
        <f>_xlfn.XLOOKUP(H_unit[[#This Row],[Municipality]],Municipality[Municipality],Municipality[Model],"")</f>
        <v>South West</v>
      </c>
      <c r="P136" s="236"/>
    </row>
    <row r="137" spans="1:16">
      <c r="A137" s="238" t="s">
        <v>2253</v>
      </c>
      <c r="B137" s="238" t="s">
        <v>2258</v>
      </c>
      <c r="C137" s="240" t="str" cm="1">
        <f t="array" ref="C137">" "&amp;LOWER(_xlfn.REDUCE(H_unit[[#This Row],[Company]]&amp;" "&amp;H_unit[[#This Row],[Unit]],{",",".","(",")","/"},_xlfn.LAMBDA(_xlpm.txt,_xlpm.delim,SUBSTITUTE(_xlpm.txt,_xlpm.delim," "))))&amp;" "</f>
        <v xml:space="preserve"> vsv energia oy onka </v>
      </c>
      <c r="D137" s="242">
        <v>2013</v>
      </c>
      <c r="E137" s="243">
        <v>32</v>
      </c>
      <c r="F137" s="243"/>
      <c r="G137" s="247"/>
      <c r="H137" s="267" t="s">
        <v>2086</v>
      </c>
      <c r="I137" s="248" t="s">
        <v>1141</v>
      </c>
      <c r="J137" s="246" t="str" cm="1">
        <f t="array" ref="J137">_xlfn.XLOOKUP(TRUE,ISNUMBER(SEARCH(" "&amp;Municipality[Municipality]&amp;" ",H_unit[[#This Row],[Info string]])),Municipality[Municipality],"")</f>
        <v/>
      </c>
      <c r="K137" s="246" t="str" cm="1">
        <f t="array" ref="K137">IF(H_unit[[#This Row],[Exact]]&lt;&gt;"","",_xlfn.XLOOKUP(TRUE,ISNUMBER(SEARCH(" "&amp;Municipality[Municipality]&amp;"n ",H_unit[[#This Row],[Info string]])),Municipality[Municipality],""))</f>
        <v/>
      </c>
      <c r="L137" s="246" t="s">
        <v>955</v>
      </c>
      <c r="M137" s="244" t="s">
        <v>2899</v>
      </c>
      <c r="N137" s="246" t="str">
        <f>_xlfn.TEXTJOIN("",TRUE,H_unit[[#This Row],[Exact]],H_unit[[#This Row],[Exact+n]],H_unit[[#This Row],[Copilot]])</f>
        <v>Uusikaupunki</v>
      </c>
      <c r="O137" s="246" t="str">
        <f>_xlfn.XLOOKUP(H_unit[[#This Row],[Municipality]],Municipality[Municipality],Municipality[Model],"")</f>
        <v>South West</v>
      </c>
      <c r="P137" s="236"/>
    </row>
    <row r="138" spans="1:16">
      <c r="A138" s="238" t="s">
        <v>2346</v>
      </c>
      <c r="B138" s="238" t="s">
        <v>2348</v>
      </c>
      <c r="C138" s="240" t="str" cm="1">
        <f t="array" ref="C138">" "&amp;LOWER(_xlfn.REDUCE(H_unit[[#This Row],[Company]]&amp;" "&amp;H_unit[[#This Row],[Unit]],{",",".","(",")","/"},_xlfn.LAMBDA(_xlpm.txt,_xlpm.delim,SUBSTITUTE(_xlpm.txt,_xlpm.delim," "))))&amp;" "</f>
        <v xml:space="preserve"> metsä fibre oy  vilppulan saha chp voimalaitos </v>
      </c>
      <c r="D138" s="242">
        <v>2003</v>
      </c>
      <c r="E138" s="243">
        <v>31</v>
      </c>
      <c r="F138" s="243">
        <v>3.7</v>
      </c>
      <c r="G138" s="247"/>
      <c r="H138" s="267" t="s">
        <v>1439</v>
      </c>
      <c r="I138" s="248" t="s">
        <v>2345</v>
      </c>
      <c r="J138" s="246" t="str" cm="1">
        <f t="array" ref="J138">_xlfn.XLOOKUP(TRUE,ISNUMBER(SEARCH(" "&amp;Municipality[Municipality]&amp;" ",H_unit[[#This Row],[Info string]])),Municipality[Municipality],"")</f>
        <v/>
      </c>
      <c r="K138" s="246" t="str" cm="1">
        <f t="array" ref="K138">IF(H_unit[[#This Row],[Exact]]&lt;&gt;"","",_xlfn.XLOOKUP(TRUE,ISNUMBER(SEARCH(" "&amp;Municipality[Municipality]&amp;"n ",H_unit[[#This Row],[Info string]])),Municipality[Municipality],""))</f>
        <v>Vilppula</v>
      </c>
      <c r="L138" s="246"/>
      <c r="M138" s="244"/>
      <c r="N138" s="246" t="str">
        <f>_xlfn.TEXTJOIN("",TRUE,H_unit[[#This Row],[Exact]],H_unit[[#This Row],[Exact+n]],H_unit[[#This Row],[Copilot]])</f>
        <v>Vilppula</v>
      </c>
      <c r="O138" s="246" t="str">
        <f>_xlfn.XLOOKUP(H_unit[[#This Row],[Municipality]],Municipality[Municipality],Municipality[Model],"")</f>
        <v>Center</v>
      </c>
      <c r="P138" s="236"/>
    </row>
    <row r="139" spans="1:16">
      <c r="A139" s="238" t="s">
        <v>1605</v>
      </c>
      <c r="B139" s="238" t="s">
        <v>1606</v>
      </c>
      <c r="C139" s="240" t="str" cm="1">
        <f t="array" ref="C139">" "&amp;LOWER(_xlfn.REDUCE(H_unit[[#This Row],[Company]]&amp;" "&amp;H_unit[[#This Row],[Unit]],{",",".","(",")","/"},_xlfn.LAMBDA(_xlpm.txt,_xlpm.delim,SUBSTITUTE(_xlpm.txt,_xlpm.delim," "))))&amp;" "</f>
        <v xml:space="preserve"> kemin energia ja vesi oy karjalahti </v>
      </c>
      <c r="D139" s="242">
        <v>1978</v>
      </c>
      <c r="E139" s="243">
        <v>30</v>
      </c>
      <c r="F139" s="243"/>
      <c r="G139" s="247"/>
      <c r="H139" s="267" t="s">
        <v>1418</v>
      </c>
      <c r="I139" s="248" t="s">
        <v>1141</v>
      </c>
      <c r="J139" s="246" t="str" cm="1">
        <f t="array" ref="J139">_xlfn.XLOOKUP(TRUE,ISNUMBER(SEARCH(" "&amp;Municipality[Municipality]&amp;" ",H_unit[[#This Row],[Info string]])),Municipality[Municipality],"")</f>
        <v/>
      </c>
      <c r="K139" s="246" t="str" cm="1">
        <f t="array" ref="K139">IF(H_unit[[#This Row],[Exact]]&lt;&gt;"","",_xlfn.XLOOKUP(TRUE,ISNUMBER(SEARCH(" "&amp;Municipality[Municipality]&amp;"n ",H_unit[[#This Row],[Info string]])),Municipality[Municipality],""))</f>
        <v>Kemi</v>
      </c>
      <c r="L139" s="246"/>
      <c r="M139" s="244"/>
      <c r="N139" s="246" t="str">
        <f>_xlfn.TEXTJOIN("",TRUE,H_unit[[#This Row],[Exact]],H_unit[[#This Row],[Exact+n]],H_unit[[#This Row],[Copilot]])</f>
        <v>Kemi</v>
      </c>
      <c r="O139" s="246" t="str">
        <f>_xlfn.XLOOKUP(H_unit[[#This Row],[Municipality]],Municipality[Municipality],Municipality[Model],"")</f>
        <v>North</v>
      </c>
      <c r="P139" s="236"/>
    </row>
    <row r="140" spans="1:16">
      <c r="A140" s="238" t="s">
        <v>1530</v>
      </c>
      <c r="B140" s="238" t="s">
        <v>1531</v>
      </c>
      <c r="C140" s="240" t="str" cm="1">
        <f t="array" ref="C140">" "&amp;LOWER(_xlfn.REDUCE(H_unit[[#This Row],[Company]]&amp;" "&amp;H_unit[[#This Row],[Unit]],{",",".","(",")","/"},_xlfn.LAMBDA(_xlpm.txt,_xlpm.delim,SUBSTITUTE(_xlpm.txt,_xlpm.delim," "))))&amp;" "</f>
        <v xml:space="preserve"> imatran lämpö oy linnala </v>
      </c>
      <c r="D140" s="242">
        <v>1984</v>
      </c>
      <c r="E140" s="243">
        <v>30</v>
      </c>
      <c r="F140" s="243"/>
      <c r="G140" s="247"/>
      <c r="H140" s="267" t="s">
        <v>1453</v>
      </c>
      <c r="I140" s="248" t="s">
        <v>1142</v>
      </c>
      <c r="J140" s="246" t="str" cm="1">
        <f t="array" ref="J140">_xlfn.XLOOKUP(TRUE,ISNUMBER(SEARCH(" "&amp;Municipality[Municipality]&amp;" ",H_unit[[#This Row],[Info string]])),Municipality[Municipality],"")</f>
        <v/>
      </c>
      <c r="K140" s="246" t="str" cm="1">
        <f t="array" ref="K140">IF(H_unit[[#This Row],[Exact]]&lt;&gt;"","",_xlfn.XLOOKUP(TRUE,ISNUMBER(SEARCH(" "&amp;Municipality[Municipality]&amp;"n ",H_unit[[#This Row],[Info string]])),Municipality[Municipality],""))</f>
        <v>Imatra</v>
      </c>
      <c r="L140" s="246"/>
      <c r="M140" s="244"/>
      <c r="N140" s="246" t="str">
        <f>_xlfn.TEXTJOIN("",TRUE,H_unit[[#This Row],[Exact]],H_unit[[#This Row],[Exact+n]],H_unit[[#This Row],[Copilot]])</f>
        <v>Imatra</v>
      </c>
      <c r="O140" s="246" t="str">
        <f>_xlfn.XLOOKUP(H_unit[[#This Row],[Municipality]],Municipality[Municipality],Municipality[Model],"")</f>
        <v>South East</v>
      </c>
      <c r="P140" s="236"/>
    </row>
    <row r="141" spans="1:16">
      <c r="A141" s="238" t="s">
        <v>2197</v>
      </c>
      <c r="B141" s="238" t="s">
        <v>2202</v>
      </c>
      <c r="C141" s="240" t="str" cm="1">
        <f t="array" ref="C141">" "&amp;LOWER(_xlfn.REDUCE(H_unit[[#This Row],[Company]]&amp;" "&amp;H_unit[[#This Row],[Unit]],{",",".","(",")","/"},_xlfn.LAMBDA(_xlpm.txt,_xlpm.delim,SUBSTITUTE(_xlpm.txt,_xlpm.delim," "))))&amp;" "</f>
        <v xml:space="preserve"> vaasan sähkö oy isolahti </v>
      </c>
      <c r="D141" s="242">
        <v>1991</v>
      </c>
      <c r="E141" s="243">
        <v>30</v>
      </c>
      <c r="F141" s="243"/>
      <c r="G141" s="247"/>
      <c r="H141" s="267" t="s">
        <v>1430</v>
      </c>
      <c r="I141" s="248" t="s">
        <v>1141</v>
      </c>
      <c r="J141" s="246" t="str" cm="1">
        <f t="array" ref="J141">_xlfn.XLOOKUP(TRUE,ISNUMBER(SEARCH(" "&amp;Municipality[Municipality]&amp;" ",H_unit[[#This Row],[Info string]])),Municipality[Municipality],"")</f>
        <v/>
      </c>
      <c r="K141" s="246" t="str" cm="1">
        <f t="array" ref="K141">IF(H_unit[[#This Row],[Exact]]&lt;&gt;"","",_xlfn.XLOOKUP(TRUE,ISNUMBER(SEARCH(" "&amp;Municipality[Municipality]&amp;"n ",H_unit[[#This Row],[Info string]])),Municipality[Municipality],""))</f>
        <v>Vaasa</v>
      </c>
      <c r="L141" s="246"/>
      <c r="M141" s="244"/>
      <c r="N141" s="246" t="str">
        <f>_xlfn.TEXTJOIN("",TRUE,H_unit[[#This Row],[Exact]],H_unit[[#This Row],[Exact+n]],H_unit[[#This Row],[Copilot]])</f>
        <v>Vaasa</v>
      </c>
      <c r="O141" s="246" t="str">
        <f>_xlfn.XLOOKUP(H_unit[[#This Row],[Municipality]],Municipality[Municipality],Municipality[Model],"")</f>
        <v>West</v>
      </c>
      <c r="P141" s="236"/>
    </row>
    <row r="142" spans="1:16">
      <c r="A142" s="238" t="s">
        <v>2044</v>
      </c>
      <c r="B142" s="238" t="s">
        <v>2048</v>
      </c>
      <c r="C142" s="240" t="str" cm="1">
        <f t="array" ref="C142">" "&amp;LOWER(_xlfn.REDUCE(H_unit[[#This Row],[Company]]&amp;" "&amp;H_unit[[#This Row],[Unit]],{",",".","(",")","/"},_xlfn.LAMBDA(_xlpm.txt,_xlpm.delim,SUBSTITUTE(_xlpm.txt,_xlpm.delim," "))))&amp;" "</f>
        <v xml:space="preserve"> pori energia oy  pori metallinkylä </v>
      </c>
      <c r="D142" s="242">
        <v>1992</v>
      </c>
      <c r="E142" s="243">
        <v>30</v>
      </c>
      <c r="F142" s="243"/>
      <c r="G142" s="247"/>
      <c r="H142" s="267" t="s">
        <v>1430</v>
      </c>
      <c r="I142" s="248" t="s">
        <v>1141</v>
      </c>
      <c r="J142" s="246" t="str" cm="1">
        <f t="array" ref="J142">_xlfn.XLOOKUP(TRUE,ISNUMBER(SEARCH(" "&amp;Municipality[Municipality]&amp;" ",H_unit[[#This Row],[Info string]])),Municipality[Municipality],"")</f>
        <v>Pori</v>
      </c>
      <c r="K142" s="246" t="str" cm="1">
        <f t="array" ref="K142">IF(H_unit[[#This Row],[Exact]]&lt;&gt;"","",_xlfn.XLOOKUP(TRUE,ISNUMBER(SEARCH(" "&amp;Municipality[Municipality]&amp;"n ",H_unit[[#This Row],[Info string]])),Municipality[Municipality],""))</f>
        <v/>
      </c>
      <c r="L142" s="246"/>
      <c r="M142" s="244"/>
      <c r="N142" s="246" t="str">
        <f>_xlfn.TEXTJOIN("",TRUE,H_unit[[#This Row],[Exact]],H_unit[[#This Row],[Exact+n]],H_unit[[#This Row],[Copilot]])</f>
        <v>Pori</v>
      </c>
      <c r="O142" s="246" t="str">
        <f>_xlfn.XLOOKUP(H_unit[[#This Row],[Municipality]],Municipality[Municipality],Municipality[Model],"")</f>
        <v>West</v>
      </c>
      <c r="P142" s="236"/>
    </row>
    <row r="143" spans="1:16">
      <c r="A143" s="238" t="s">
        <v>2113</v>
      </c>
      <c r="B143" s="238" t="s">
        <v>2115</v>
      </c>
      <c r="C143" s="240" t="str" cm="1">
        <f t="array" ref="C143">" "&amp;LOWER(_xlfn.REDUCE(H_unit[[#This Row],[Company]]&amp;" "&amp;H_unit[[#This Row],[Unit]],{",",".","(",")","/"},_xlfn.LAMBDA(_xlpm.txt,_xlpm.delim,SUBSTITUTE(_xlpm.txt,_xlpm.delim," "))))&amp;" "</f>
        <v xml:space="preserve"> savon voima oyj  joensuu pötkä </v>
      </c>
      <c r="D143" s="242">
        <v>1993</v>
      </c>
      <c r="E143" s="243">
        <v>30</v>
      </c>
      <c r="F143" s="243"/>
      <c r="G143" s="247"/>
      <c r="H143" s="267" t="s">
        <v>1430</v>
      </c>
      <c r="I143" s="248" t="s">
        <v>1141</v>
      </c>
      <c r="J143" s="246" t="str" cm="1">
        <f t="array" ref="J143">_xlfn.XLOOKUP(TRUE,ISNUMBER(SEARCH(" "&amp;Municipality[Municipality]&amp;" ",H_unit[[#This Row],[Info string]])),Municipality[Municipality],"")</f>
        <v>Joensuu</v>
      </c>
      <c r="K143" s="246" t="str" cm="1">
        <f t="array" ref="K143">IF(H_unit[[#This Row],[Exact]]&lt;&gt;"","",_xlfn.XLOOKUP(TRUE,ISNUMBER(SEARCH(" "&amp;Municipality[Municipality]&amp;"n ",H_unit[[#This Row],[Info string]])),Municipality[Municipality],""))</f>
        <v/>
      </c>
      <c r="L143" s="246"/>
      <c r="M143" s="244"/>
      <c r="N143" s="246" t="str">
        <f>_xlfn.TEXTJOIN("",TRUE,H_unit[[#This Row],[Exact]],H_unit[[#This Row],[Exact+n]],H_unit[[#This Row],[Copilot]])</f>
        <v>Joensuu</v>
      </c>
      <c r="O143" s="246" t="str">
        <f>_xlfn.XLOOKUP(H_unit[[#This Row],[Municipality]],Municipality[Municipality],Municipality[Model],"")</f>
        <v>East</v>
      </c>
      <c r="P143" s="236"/>
    </row>
    <row r="144" spans="1:16">
      <c r="A144" s="238" t="s">
        <v>1728</v>
      </c>
      <c r="B144" s="238" t="s">
        <v>618</v>
      </c>
      <c r="C144" s="240" t="str" cm="1">
        <f t="array" ref="C144">" "&amp;LOWER(_xlfn.REDUCE(H_unit[[#This Row],[Company]]&amp;" "&amp;H_unit[[#This Row],[Unit]],{",",".","(",")","/"},_xlfn.LAMBDA(_xlpm.txt,_xlpm.delim,SUBSTITUTE(_xlpm.txt,_xlpm.delim," "))))&amp;" "</f>
        <v xml:space="preserve"> lahti energia oy  lahti sopenkorpi </v>
      </c>
      <c r="D144" s="242">
        <v>2000</v>
      </c>
      <c r="E144" s="243">
        <v>30</v>
      </c>
      <c r="F144" s="243"/>
      <c r="G144" s="247"/>
      <c r="H144" s="267" t="s">
        <v>1453</v>
      </c>
      <c r="I144" s="248" t="s">
        <v>1142</v>
      </c>
      <c r="J144" s="246" t="str" cm="1">
        <f t="array" ref="J144">_xlfn.XLOOKUP(TRUE,ISNUMBER(SEARCH(" "&amp;Municipality[Municipality]&amp;" ",H_unit[[#This Row],[Info string]])),Municipality[Municipality],"")</f>
        <v>Lahti</v>
      </c>
      <c r="K144" s="246" t="str" cm="1">
        <f t="array" ref="K144">IF(H_unit[[#This Row],[Exact]]&lt;&gt;"","",_xlfn.XLOOKUP(TRUE,ISNUMBER(SEARCH(" "&amp;Municipality[Municipality]&amp;"n ",H_unit[[#This Row],[Info string]])),Municipality[Municipality],""))</f>
        <v/>
      </c>
      <c r="L144" s="246"/>
      <c r="M144" s="244"/>
      <c r="N144" s="246" t="str">
        <f>_xlfn.TEXTJOIN("",TRUE,H_unit[[#This Row],[Exact]],H_unit[[#This Row],[Exact+n]],H_unit[[#This Row],[Copilot]])</f>
        <v>Lahti</v>
      </c>
      <c r="O144" s="246" t="str">
        <f>_xlfn.XLOOKUP(H_unit[[#This Row],[Municipality]],Municipality[Municipality],Municipality[Model],"")</f>
        <v>South East</v>
      </c>
      <c r="P144" s="236"/>
    </row>
    <row r="145" spans="1:16">
      <c r="A145" s="238" t="s">
        <v>2215</v>
      </c>
      <c r="B145" s="238" t="s">
        <v>2217</v>
      </c>
      <c r="C145" s="240" t="str" cm="1">
        <f t="array" ref="C145">" "&amp;LOWER(_xlfn.REDUCE(H_unit[[#This Row],[Company]]&amp;" "&amp;H_unit[[#This Row],[Unit]],{",",".","(",")","/"},_xlfn.LAMBDA(_xlpm.txt,_xlpm.delim,SUBSTITUTE(_xlpm.txt,_xlpm.delim," "))))&amp;" "</f>
        <v xml:space="preserve"> vantaan energia keski-uusimaa oy  tuusula sula </v>
      </c>
      <c r="D145" s="242">
        <v>2003</v>
      </c>
      <c r="E145" s="243">
        <v>30</v>
      </c>
      <c r="F145" s="243"/>
      <c r="G145" s="247"/>
      <c r="H145" s="267" t="s">
        <v>1453</v>
      </c>
      <c r="I145" s="248" t="s">
        <v>1142</v>
      </c>
      <c r="J145" s="246" t="str" cm="1">
        <f t="array" ref="J145">_xlfn.XLOOKUP(TRUE,ISNUMBER(SEARCH(" "&amp;Municipality[Municipality]&amp;" ",H_unit[[#This Row],[Info string]])),Municipality[Municipality],"")</f>
        <v>Tuusula</v>
      </c>
      <c r="K145" s="246" t="str" cm="1">
        <f t="array" ref="K145">IF(H_unit[[#This Row],[Exact]]&lt;&gt;"","",_xlfn.XLOOKUP(TRUE,ISNUMBER(SEARCH(" "&amp;Municipality[Municipality]&amp;"n ",H_unit[[#This Row],[Info string]])),Municipality[Municipality],""))</f>
        <v/>
      </c>
      <c r="L145" s="246"/>
      <c r="M145" s="244"/>
      <c r="N145" s="246" t="str">
        <f>_xlfn.TEXTJOIN("",TRUE,H_unit[[#This Row],[Exact]],H_unit[[#This Row],[Exact+n]],H_unit[[#This Row],[Copilot]])</f>
        <v>Tuusula</v>
      </c>
      <c r="O145" s="246" t="str">
        <f>_xlfn.XLOOKUP(H_unit[[#This Row],[Municipality]],Municipality[Municipality],Municipality[Model],"")</f>
        <v>Uusimaa</v>
      </c>
      <c r="P145" s="236"/>
    </row>
    <row r="146" spans="1:16">
      <c r="A146" s="238" t="s">
        <v>2113</v>
      </c>
      <c r="B146" s="238" t="s">
        <v>2114</v>
      </c>
      <c r="C146" s="240" t="str" cm="1">
        <f t="array" ref="C146">" "&amp;LOWER(_xlfn.REDUCE(H_unit[[#This Row],[Company]]&amp;" "&amp;H_unit[[#This Row],[Unit]],{",",".","(",")","/"},_xlfn.LAMBDA(_xlpm.txt,_xlpm.delim,SUBSTITUTE(_xlpm.txt,_xlpm.delim," "))))&amp;" "</f>
        <v xml:space="preserve"> savon voima oyj  joensuu joensuu kontiosuo </v>
      </c>
      <c r="D146" s="242">
        <v>2009</v>
      </c>
      <c r="E146" s="243">
        <v>30</v>
      </c>
      <c r="F146" s="243"/>
      <c r="G146" s="247"/>
      <c r="H146" s="267" t="s">
        <v>1439</v>
      </c>
      <c r="I146" s="248" t="s">
        <v>1143</v>
      </c>
      <c r="J146" s="246" t="str" cm="1">
        <f t="array" ref="J146">_xlfn.XLOOKUP(TRUE,ISNUMBER(SEARCH(" "&amp;Municipality[Municipality]&amp;" ",H_unit[[#This Row],[Info string]])),Municipality[Municipality],"")</f>
        <v>Joensuu</v>
      </c>
      <c r="K146" s="246" t="str" cm="1">
        <f t="array" ref="K146">IF(H_unit[[#This Row],[Exact]]&lt;&gt;"","",_xlfn.XLOOKUP(TRUE,ISNUMBER(SEARCH(" "&amp;Municipality[Municipality]&amp;"n ",H_unit[[#This Row],[Info string]])),Municipality[Municipality],""))</f>
        <v/>
      </c>
      <c r="L146" s="246"/>
      <c r="M146" s="244"/>
      <c r="N146" s="246" t="str">
        <f>_xlfn.TEXTJOIN("",TRUE,H_unit[[#This Row],[Exact]],H_unit[[#This Row],[Exact+n]],H_unit[[#This Row],[Copilot]])</f>
        <v>Joensuu</v>
      </c>
      <c r="O146" s="246" t="str">
        <f>_xlfn.XLOOKUP(H_unit[[#This Row],[Municipality]],Municipality[Municipality],Municipality[Model],"")</f>
        <v>East</v>
      </c>
      <c r="P146" s="236"/>
    </row>
    <row r="147" spans="1:16">
      <c r="A147" s="238" t="s">
        <v>2318</v>
      </c>
      <c r="B147" s="238" t="s">
        <v>2319</v>
      </c>
      <c r="C147" s="240" t="str" cm="1">
        <f t="array" ref="C147">" "&amp;LOWER(_xlfn.REDUCE(H_unit[[#This Row],[Company]]&amp;" "&amp;H_unit[[#This Row],[Unit]],{",",".","(",")","/"},_xlfn.LAMBDA(_xlpm.txt,_xlpm.delim,SUBSTITUTE(_xlpm.txt,_xlpm.delim," "))))&amp;" "</f>
        <v xml:space="preserve"> lappeenrannan lämpövoima oy mrt1 kaasukattilat </v>
      </c>
      <c r="D147" s="242" t="s">
        <v>1448</v>
      </c>
      <c r="E147" s="243">
        <v>30</v>
      </c>
      <c r="F147" s="243"/>
      <c r="G147" s="247"/>
      <c r="H147" s="267" t="s">
        <v>1453</v>
      </c>
      <c r="I147" s="248" t="s">
        <v>1142</v>
      </c>
      <c r="J147" s="246" t="str" cm="1">
        <f t="array" ref="J147">_xlfn.XLOOKUP(TRUE,ISNUMBER(SEARCH(" "&amp;Municipality[Municipality]&amp;" ",H_unit[[#This Row],[Info string]])),Municipality[Municipality],"")</f>
        <v/>
      </c>
      <c r="K147" s="246" t="str" cm="1">
        <f t="array" ref="K147">IF(H_unit[[#This Row],[Exact]]&lt;&gt;"","",_xlfn.XLOOKUP(TRUE,ISNUMBER(SEARCH(" "&amp;Municipality[Municipality]&amp;"n ",H_unit[[#This Row],[Info string]])),Municipality[Municipality],""))</f>
        <v/>
      </c>
      <c r="L147" s="246" t="s">
        <v>980</v>
      </c>
      <c r="M147" s="244" t="s">
        <v>2892</v>
      </c>
      <c r="N147" s="246" t="str">
        <f>_xlfn.TEXTJOIN("",TRUE,H_unit[[#This Row],[Exact]],H_unit[[#This Row],[Exact+n]],H_unit[[#This Row],[Copilot]])</f>
        <v>Lappeenranta</v>
      </c>
      <c r="O147" s="246" t="str">
        <f>_xlfn.XLOOKUP(H_unit[[#This Row],[Municipality]],Municipality[Municipality],Municipality[Model],"")</f>
        <v>South East</v>
      </c>
      <c r="P147" s="236"/>
    </row>
    <row r="148" spans="1:16">
      <c r="A148" s="238" t="s">
        <v>2311</v>
      </c>
      <c r="B148" s="238" t="s">
        <v>2312</v>
      </c>
      <c r="C148" s="240" t="str" cm="1">
        <f t="array" ref="C148">" "&amp;LOWER(_xlfn.REDUCE(H_unit[[#This Row],[Company]]&amp;" "&amp;H_unit[[#This Row],[Unit]],{",",".","(",")","/"},_xlfn.LAMBDA(_xlpm.txt,_xlpm.delim,SUBSTITUTE(_xlpm.txt,_xlpm.delim," "))))&amp;" "</f>
        <v xml:space="preserve"> kumpuniemen voima oy  äänekoski kumpuniemen voima  </v>
      </c>
      <c r="D148" s="242">
        <v>1991</v>
      </c>
      <c r="E148" s="243">
        <v>29</v>
      </c>
      <c r="F148" s="243">
        <v>3.7</v>
      </c>
      <c r="G148" s="247"/>
      <c r="H148" s="267" t="s">
        <v>1439</v>
      </c>
      <c r="I148" s="248" t="s">
        <v>1153</v>
      </c>
      <c r="J148" s="246" t="str" cm="1">
        <f t="array" ref="J148">_xlfn.XLOOKUP(TRUE,ISNUMBER(SEARCH(" "&amp;Municipality[Municipality]&amp;" ",H_unit[[#This Row],[Info string]])),Municipality[Municipality],"")</f>
        <v>Äänekoski</v>
      </c>
      <c r="K148" s="246" t="str" cm="1">
        <f t="array" ref="K148">IF(H_unit[[#This Row],[Exact]]&lt;&gt;"","",_xlfn.XLOOKUP(TRUE,ISNUMBER(SEARCH(" "&amp;Municipality[Municipality]&amp;"n ",H_unit[[#This Row],[Info string]])),Municipality[Municipality],""))</f>
        <v/>
      </c>
      <c r="L148" s="246"/>
      <c r="M148" s="244"/>
      <c r="N148" s="246" t="str">
        <f>_xlfn.TEXTJOIN("",TRUE,H_unit[[#This Row],[Exact]],H_unit[[#This Row],[Exact+n]],H_unit[[#This Row],[Copilot]])</f>
        <v>Äänekoski</v>
      </c>
      <c r="O148" s="246" t="str">
        <f>_xlfn.XLOOKUP(H_unit[[#This Row],[Municipality]],Municipality[Municipality],Municipality[Model],"")</f>
        <v>Center</v>
      </c>
      <c r="P148" s="236"/>
    </row>
    <row r="149" spans="1:16">
      <c r="A149" s="238" t="s">
        <v>2105</v>
      </c>
      <c r="B149" s="238" t="s">
        <v>2107</v>
      </c>
      <c r="C149" s="240" t="str" cm="1">
        <f t="array" ref="C149">" "&amp;LOWER(_xlfn.REDUCE(H_unit[[#This Row],[Company]]&amp;" "&amp;H_unit[[#This Row],[Unit]],{",",".","(",")","/"},_xlfn.LAMBDA(_xlpm.txt,_xlpm.delim,SUBSTITUTE(_xlpm.txt,_xlpm.delim," "))))&amp;" "</f>
        <v xml:space="preserve"> savon voima oyj  iisalmi lk69  70  29 teollisuuskuja </v>
      </c>
      <c r="D149" s="242">
        <v>1990</v>
      </c>
      <c r="E149" s="243">
        <v>28</v>
      </c>
      <c r="F149" s="243"/>
      <c r="G149" s="247"/>
      <c r="H149" s="267" t="s">
        <v>1430</v>
      </c>
      <c r="I149" s="248" t="s">
        <v>1141</v>
      </c>
      <c r="J149" s="246" t="str" cm="1">
        <f t="array" ref="J149">_xlfn.XLOOKUP(TRUE,ISNUMBER(SEARCH(" "&amp;Municipality[Municipality]&amp;" ",H_unit[[#This Row],[Info string]])),Municipality[Municipality],"")</f>
        <v>Iisalmi</v>
      </c>
      <c r="K149" s="246" t="str" cm="1">
        <f t="array" ref="K149">IF(H_unit[[#This Row],[Exact]]&lt;&gt;"","",_xlfn.XLOOKUP(TRUE,ISNUMBER(SEARCH(" "&amp;Municipality[Municipality]&amp;"n ",H_unit[[#This Row],[Info string]])),Municipality[Municipality],""))</f>
        <v/>
      </c>
      <c r="L149" s="246"/>
      <c r="M149" s="244"/>
      <c r="N149" s="246" t="str">
        <f>_xlfn.TEXTJOIN("",TRUE,H_unit[[#This Row],[Exact]],H_unit[[#This Row],[Exact+n]],H_unit[[#This Row],[Copilot]])</f>
        <v>Iisalmi</v>
      </c>
      <c r="O149" s="246" t="str">
        <f>_xlfn.XLOOKUP(H_unit[[#This Row],[Municipality]],Municipality[Municipality],Municipality[Model],"")</f>
        <v>East</v>
      </c>
      <c r="P149" s="236"/>
    </row>
    <row r="150" spans="1:16">
      <c r="A150" s="238" t="s">
        <v>1437</v>
      </c>
      <c r="B150" s="238" t="s">
        <v>1438</v>
      </c>
      <c r="C150" s="240" t="str" cm="1">
        <f t="array" ref="C150">" "&amp;LOWER(_xlfn.REDUCE(H_unit[[#This Row],[Company]]&amp;" "&amp;H_unit[[#This Row],[Unit]],{",",".","(",")","/"},_xlfn.LAMBDA(_xlpm.txt,_xlpm.delim,SUBSTITUTE(_xlpm.txt,_xlpm.delim," "))))&amp;" "</f>
        <v xml:space="preserve"> adven oy  kuusamo lk305 kuusamon voimalaitos </v>
      </c>
      <c r="D150" s="242">
        <v>1993</v>
      </c>
      <c r="E150" s="243">
        <v>28</v>
      </c>
      <c r="F150" s="243">
        <v>6.1</v>
      </c>
      <c r="G150" s="247"/>
      <c r="H150" s="267" t="s">
        <v>1439</v>
      </c>
      <c r="I150" s="248" t="s">
        <v>1153</v>
      </c>
      <c r="J150" s="246" t="str" cm="1">
        <f t="array" ref="J150">_xlfn.XLOOKUP(TRUE,ISNUMBER(SEARCH(" "&amp;Municipality[Municipality]&amp;" ",H_unit[[#This Row],[Info string]])),Municipality[Municipality],"")</f>
        <v>Kuusamo</v>
      </c>
      <c r="K150" s="246" t="str" cm="1">
        <f t="array" ref="K150">IF(H_unit[[#This Row],[Exact]]&lt;&gt;"","",_xlfn.XLOOKUP(TRUE,ISNUMBER(SEARCH(" "&amp;Municipality[Municipality]&amp;"n ",H_unit[[#This Row],[Info string]])),Municipality[Municipality],""))</f>
        <v/>
      </c>
      <c r="L150" s="246"/>
      <c r="M150" s="244"/>
      <c r="N150" s="246" t="str">
        <f>_xlfn.TEXTJOIN("",TRUE,H_unit[[#This Row],[Exact]],H_unit[[#This Row],[Exact+n]],H_unit[[#This Row],[Copilot]])</f>
        <v>Kuusamo</v>
      </c>
      <c r="O150" s="246" t="str">
        <f>_xlfn.XLOOKUP(H_unit[[#This Row],[Municipality]],Municipality[Municipality],Municipality[Model],"")</f>
        <v>North</v>
      </c>
      <c r="P150" s="236"/>
    </row>
    <row r="151" spans="1:16">
      <c r="A151" s="238" t="s">
        <v>1498</v>
      </c>
      <c r="B151" s="238" t="s">
        <v>1499</v>
      </c>
      <c r="C151" s="240" t="str" cm="1">
        <f t="array" ref="C151">" "&amp;LOWER(_xlfn.REDUCE(H_unit[[#This Row],[Company]]&amp;" "&amp;H_unit[[#This Row],[Unit]],{",",".","(",")","/"},_xlfn.LAMBDA(_xlpm.txt,_xlpm.delim,SUBSTITUTE(_xlpm.txt,_xlpm.delim," "))))&amp;" "</f>
        <v xml:space="preserve"> etelä-savon energia oy pursiala </v>
      </c>
      <c r="D151" s="242">
        <v>1981</v>
      </c>
      <c r="E151" s="243">
        <v>27</v>
      </c>
      <c r="F151" s="243"/>
      <c r="G151" s="247"/>
      <c r="H151" s="267" t="s">
        <v>1423</v>
      </c>
      <c r="I151" s="248" t="s">
        <v>1143</v>
      </c>
      <c r="J151" s="246" t="str" cm="1">
        <f t="array" ref="J151">_xlfn.XLOOKUP(TRUE,ISNUMBER(SEARCH(" "&amp;Municipality[Municipality]&amp;" ",H_unit[[#This Row],[Info string]])),Municipality[Municipality],"")</f>
        <v/>
      </c>
      <c r="K151" s="246" t="str" cm="1">
        <f t="array" ref="K151">IF(H_unit[[#This Row],[Exact]]&lt;&gt;"","",_xlfn.XLOOKUP(TRUE,ISNUMBER(SEARCH(" "&amp;Municipality[Municipality]&amp;"n ",H_unit[[#This Row],[Info string]])),Municipality[Municipality],""))</f>
        <v/>
      </c>
      <c r="L151" s="246" t="s">
        <v>2761</v>
      </c>
      <c r="M151" s="244" t="s">
        <v>2893</v>
      </c>
      <c r="N151" s="246" t="str">
        <f>_xlfn.TEXTJOIN("",TRUE,H_unit[[#This Row],[Exact]],H_unit[[#This Row],[Exact+n]],H_unit[[#This Row],[Copilot]])</f>
        <v>Mikkeli</v>
      </c>
      <c r="O151" s="246" t="str">
        <f>_xlfn.XLOOKUP(H_unit[[#This Row],[Municipality]],Municipality[Municipality],Municipality[Model],"")</f>
        <v>East</v>
      </c>
      <c r="P151" s="236"/>
    </row>
    <row r="152" spans="1:16">
      <c r="A152" s="238" t="s">
        <v>1920</v>
      </c>
      <c r="B152" s="238" t="s">
        <v>1926</v>
      </c>
      <c r="C152" s="240" t="str" cm="1">
        <f t="array" ref="C152">" "&amp;LOWER(_xlfn.REDUCE(H_unit[[#This Row],[Company]]&amp;" "&amp;H_unit[[#This Row],[Unit]],{",",".","(",")","/"},_xlfn.LAMBDA(_xlpm.txt,_xlpm.delim,SUBSTITUTE(_xlpm.txt,_xlpm.delim," "))))&amp;" "</f>
        <v xml:space="preserve"> nevel oy  lieksa kevätniemen voimalaitos </v>
      </c>
      <c r="D152" s="242">
        <v>1994</v>
      </c>
      <c r="E152" s="243">
        <v>27</v>
      </c>
      <c r="F152" s="243">
        <v>7.8</v>
      </c>
      <c r="G152" s="247"/>
      <c r="H152" s="267" t="s">
        <v>1428</v>
      </c>
      <c r="I152" s="248" t="s">
        <v>1153</v>
      </c>
      <c r="J152" s="246" t="str" cm="1">
        <f t="array" ref="J152">_xlfn.XLOOKUP(TRUE,ISNUMBER(SEARCH(" "&amp;Municipality[Municipality]&amp;" ",H_unit[[#This Row],[Info string]])),Municipality[Municipality],"")</f>
        <v>Lieksa</v>
      </c>
      <c r="K152" s="246" t="str" cm="1">
        <f t="array" ref="K152">IF(H_unit[[#This Row],[Exact]]&lt;&gt;"","",_xlfn.XLOOKUP(TRUE,ISNUMBER(SEARCH(" "&amp;Municipality[Municipality]&amp;"n ",H_unit[[#This Row],[Info string]])),Municipality[Municipality],""))</f>
        <v/>
      </c>
      <c r="L152" s="246"/>
      <c r="M152" s="244"/>
      <c r="N152" s="246" t="str">
        <f>_xlfn.TEXTJOIN("",TRUE,H_unit[[#This Row],[Exact]],H_unit[[#This Row],[Exact+n]],H_unit[[#This Row],[Copilot]])</f>
        <v>Lieksa</v>
      </c>
      <c r="O152" s="246" t="str">
        <f>_xlfn.XLOOKUP(H_unit[[#This Row],[Municipality]],Municipality[Municipality],Municipality[Model],"")</f>
        <v>East</v>
      </c>
      <c r="P152" s="236"/>
    </row>
    <row r="153" spans="1:16">
      <c r="A153" s="238" t="s">
        <v>1525</v>
      </c>
      <c r="B153" s="238" t="s">
        <v>1526</v>
      </c>
      <c r="C153" s="240" t="str" cm="1">
        <f t="array" ref="C153">" "&amp;LOWER(_xlfn.REDUCE(H_unit[[#This Row],[Company]]&amp;" "&amp;H_unit[[#This Row],[Unit]],{",",".","(",")","/"},_xlfn.LAMBDA(_xlpm.txt,_xlpm.delim,SUBSTITUTE(_xlpm.txt,_xlpm.delim," "))))&amp;" "</f>
        <v xml:space="preserve"> hyvinkään lämpövoima oy sahanmäki </v>
      </c>
      <c r="D153" s="242">
        <v>2007</v>
      </c>
      <c r="E153" s="243">
        <v>26</v>
      </c>
      <c r="F153" s="243"/>
      <c r="G153" s="247"/>
      <c r="H153" s="267" t="s">
        <v>1453</v>
      </c>
      <c r="I153" s="248" t="s">
        <v>1142</v>
      </c>
      <c r="J153" s="246" t="str" cm="1">
        <f t="array" ref="J153">_xlfn.XLOOKUP(TRUE,ISNUMBER(SEARCH(" "&amp;Municipality[Municipality]&amp;" ",H_unit[[#This Row],[Info string]])),Municipality[Municipality],"")</f>
        <v/>
      </c>
      <c r="K153" s="246" t="str" cm="1">
        <f t="array" ref="K153">IF(H_unit[[#This Row],[Exact]]&lt;&gt;"","",_xlfn.XLOOKUP(TRUE,ISNUMBER(SEARCH(" "&amp;Municipality[Municipality]&amp;"n ",H_unit[[#This Row],[Info string]])),Municipality[Municipality],""))</f>
        <v>Hyvinkää</v>
      </c>
      <c r="L153" s="246"/>
      <c r="M153" s="244"/>
      <c r="N153" s="246" t="str">
        <f>_xlfn.TEXTJOIN("",TRUE,H_unit[[#This Row],[Exact]],H_unit[[#This Row],[Exact+n]],H_unit[[#This Row],[Copilot]])</f>
        <v>Hyvinkää</v>
      </c>
      <c r="O153" s="246" t="str">
        <f>_xlfn.XLOOKUP(H_unit[[#This Row],[Municipality]],Municipality[Municipality],Municipality[Model],"")</f>
        <v>Uusimaa</v>
      </c>
      <c r="P153" s="236"/>
    </row>
    <row r="154" spans="1:16">
      <c r="A154" s="238" t="s">
        <v>2336</v>
      </c>
      <c r="B154" s="238" t="s">
        <v>2336</v>
      </c>
      <c r="C154" s="240" t="str" cm="1">
        <f t="array" ref="C154">" "&amp;LOWER(_xlfn.REDUCE(H_unit[[#This Row],[Company]]&amp;" "&amp;H_unit[[#This Row],[Unit]],{",",".","(",")","/"},_xlfn.LAMBDA(_xlpm.txt,_xlpm.delim,SUBSTITUTE(_xlpm.txt,_xlpm.delim," "))))&amp;" "</f>
        <v xml:space="preserve"> lohjan biolämpö oy lohjan biolämpö oy </v>
      </c>
      <c r="D154" s="242">
        <v>2012</v>
      </c>
      <c r="E154" s="243">
        <v>25.5</v>
      </c>
      <c r="F154" s="243"/>
      <c r="G154" s="247"/>
      <c r="H154" s="267" t="s">
        <v>1439</v>
      </c>
      <c r="I154" s="248" t="s">
        <v>1143</v>
      </c>
      <c r="J154" s="246" t="str" cm="1">
        <f t="array" ref="J154">_xlfn.XLOOKUP(TRUE,ISNUMBER(SEARCH(" "&amp;Municipality[Municipality]&amp;" ",H_unit[[#This Row],[Info string]])),Municipality[Municipality],"")</f>
        <v/>
      </c>
      <c r="K154" s="246" t="str" cm="1">
        <f t="array" ref="K154">IF(H_unit[[#This Row],[Exact]]&lt;&gt;"","",_xlfn.XLOOKUP(TRUE,ISNUMBER(SEARCH(" "&amp;Municipality[Municipality]&amp;"n ",H_unit[[#This Row],[Info string]])),Municipality[Municipality],""))</f>
        <v>Lohja</v>
      </c>
      <c r="L154" s="246"/>
      <c r="M154" s="244"/>
      <c r="N154" s="246" t="str">
        <f>_xlfn.TEXTJOIN("",TRUE,H_unit[[#This Row],[Exact]],H_unit[[#This Row],[Exact+n]],H_unit[[#This Row],[Copilot]])</f>
        <v>Lohja</v>
      </c>
      <c r="O154" s="246" t="str">
        <f>_xlfn.XLOOKUP(H_unit[[#This Row],[Municipality]],Municipality[Municipality],Municipality[Model],"")</f>
        <v>Uusimaa</v>
      </c>
      <c r="P154" s="236"/>
    </row>
    <row r="155" spans="1:16">
      <c r="A155" s="238" t="s">
        <v>1710</v>
      </c>
      <c r="B155" s="238" t="s">
        <v>1711</v>
      </c>
      <c r="C155" s="240" t="str" cm="1">
        <f t="array" ref="C155">" "&amp;LOWER(_xlfn.REDUCE(H_unit[[#This Row],[Company]]&amp;" "&amp;H_unit[[#This Row],[Unit]],{",",".","(",")","/"},_xlfn.LAMBDA(_xlpm.txt,_xlpm.delim,SUBSTITUTE(_xlpm.txt,_xlpm.delim," "))))&amp;" "</f>
        <v xml:space="preserve"> kuusamon energia- ja vesiosuuskunta näverintien lämpökeskus </v>
      </c>
      <c r="D155" s="242" t="s">
        <v>1448</v>
      </c>
      <c r="E155" s="243">
        <v>25.5</v>
      </c>
      <c r="F155" s="243"/>
      <c r="G155" s="247"/>
      <c r="H155" s="267" t="s">
        <v>1439</v>
      </c>
      <c r="I155" s="248" t="s">
        <v>1143</v>
      </c>
      <c r="J155" s="246" t="str" cm="1">
        <f t="array" ref="J155">_xlfn.XLOOKUP(TRUE,ISNUMBER(SEARCH(" "&amp;Municipality[Municipality]&amp;" ",H_unit[[#This Row],[Info string]])),Municipality[Municipality],"")</f>
        <v/>
      </c>
      <c r="K155" s="246" t="str" cm="1">
        <f t="array" ref="K155">IF(H_unit[[#This Row],[Exact]]&lt;&gt;"","",_xlfn.XLOOKUP(TRUE,ISNUMBER(SEARCH(" "&amp;Municipality[Municipality]&amp;"n ",H_unit[[#This Row],[Info string]])),Municipality[Municipality],""))</f>
        <v>Kuusamo</v>
      </c>
      <c r="L155" s="246"/>
      <c r="M155" s="244"/>
      <c r="N155" s="246" t="str">
        <f>_xlfn.TEXTJOIN("",TRUE,H_unit[[#This Row],[Exact]],H_unit[[#This Row],[Exact+n]],H_unit[[#This Row],[Copilot]])</f>
        <v>Kuusamo</v>
      </c>
      <c r="O155" s="246" t="str">
        <f>_xlfn.XLOOKUP(H_unit[[#This Row],[Municipality]],Municipality[Municipality],Municipality[Model],"")</f>
        <v>North</v>
      </c>
      <c r="P155" s="236"/>
    </row>
    <row r="156" spans="1:16">
      <c r="A156" s="238" t="s">
        <v>2350</v>
      </c>
      <c r="B156" s="238" t="s">
        <v>2351</v>
      </c>
      <c r="C156" s="240" t="str" cm="1">
        <f t="array" ref="C156">" "&amp;LOWER(_xlfn.REDUCE(H_unit[[#This Row],[Company]]&amp;" "&amp;H_unit[[#This Row],[Unit]],{",",".","(",")","/"},_xlfn.LAMBDA(_xlpm.txt,_xlpm.delim,SUBSTITUTE(_xlpm.txt,_xlpm.delim," "))))&amp;" "</f>
        <v xml:space="preserve"> metsä fibre oy  äänekoski äänevoima oy  äänekoski </v>
      </c>
      <c r="D156" s="242">
        <v>2002</v>
      </c>
      <c r="E156" s="243">
        <v>25</v>
      </c>
      <c r="F156" s="243">
        <v>38</v>
      </c>
      <c r="G156" s="247"/>
      <c r="H156" s="267" t="s">
        <v>1439</v>
      </c>
      <c r="I156" s="248" t="s">
        <v>2345</v>
      </c>
      <c r="J156" s="246" t="str" cm="1">
        <f t="array" ref="J156">_xlfn.XLOOKUP(TRUE,ISNUMBER(SEARCH(" "&amp;Municipality[Municipality]&amp;" ",H_unit[[#This Row],[Info string]])),Municipality[Municipality],"")</f>
        <v>Äänekoski</v>
      </c>
      <c r="K156" s="246" t="str" cm="1">
        <f t="array" ref="K156">IF(H_unit[[#This Row],[Exact]]&lt;&gt;"","",_xlfn.XLOOKUP(TRUE,ISNUMBER(SEARCH(" "&amp;Municipality[Municipality]&amp;"n ",H_unit[[#This Row],[Info string]])),Municipality[Municipality],""))</f>
        <v/>
      </c>
      <c r="L156" s="246"/>
      <c r="M156" s="244"/>
      <c r="N156" s="246" t="str">
        <f>_xlfn.TEXTJOIN("",TRUE,H_unit[[#This Row],[Exact]],H_unit[[#This Row],[Exact+n]],H_unit[[#This Row],[Copilot]])</f>
        <v>Äänekoski</v>
      </c>
      <c r="O156" s="246" t="str">
        <f>_xlfn.XLOOKUP(H_unit[[#This Row],[Municipality]],Municipality[Municipality],Municipality[Model],"")</f>
        <v>Center</v>
      </c>
      <c r="P156" s="236"/>
    </row>
    <row r="157" spans="1:16">
      <c r="A157" s="238" t="s">
        <v>2410</v>
      </c>
      <c r="B157" s="238" t="s">
        <v>953</v>
      </c>
      <c r="C157" s="240" t="str" cm="1">
        <f t="array" ref="C157">" "&amp;LOWER(_xlfn.REDUCE(H_unit[[#This Row],[Company]]&amp;" "&amp;H_unit[[#This Row],[Unit]],{",",".","(",")","/"},_xlfn.LAMBDA(_xlpm.txt,_xlpm.delim,SUBSTITUTE(_xlpm.txt,_xlpm.delim," "))))&amp;" "</f>
        <v xml:space="preserve"> tornion voima oy tornio </v>
      </c>
      <c r="D157" s="242">
        <v>2004</v>
      </c>
      <c r="E157" s="243">
        <v>25</v>
      </c>
      <c r="F157" s="243"/>
      <c r="G157" s="247"/>
      <c r="H157" s="267" t="s">
        <v>1423</v>
      </c>
      <c r="I157" s="248" t="s">
        <v>1143</v>
      </c>
      <c r="J157" s="246" t="str" cm="1">
        <f t="array" ref="J157">_xlfn.XLOOKUP(TRUE,ISNUMBER(SEARCH(" "&amp;Municipality[Municipality]&amp;" ",H_unit[[#This Row],[Info string]])),Municipality[Municipality],"")</f>
        <v>Tornio</v>
      </c>
      <c r="K157" s="246" t="str" cm="1">
        <f t="array" ref="K157">IF(H_unit[[#This Row],[Exact]]&lt;&gt;"","",_xlfn.XLOOKUP(TRUE,ISNUMBER(SEARCH(" "&amp;Municipality[Municipality]&amp;"n ",H_unit[[#This Row],[Info string]])),Municipality[Municipality],""))</f>
        <v/>
      </c>
      <c r="L157" s="246"/>
      <c r="M157" s="244"/>
      <c r="N157" s="246" t="str">
        <f>_xlfn.TEXTJOIN("",TRUE,H_unit[[#This Row],[Exact]],H_unit[[#This Row],[Exact+n]],H_unit[[#This Row],[Copilot]])</f>
        <v>Tornio</v>
      </c>
      <c r="O157" s="246" t="str">
        <f>_xlfn.XLOOKUP(H_unit[[#This Row],[Municipality]],Municipality[Municipality],Municipality[Model],"")</f>
        <v>North</v>
      </c>
      <c r="P157" s="236"/>
    </row>
    <row r="158" spans="1:16">
      <c r="A158" s="238" t="s">
        <v>1961</v>
      </c>
      <c r="B158" s="238" t="s">
        <v>1922</v>
      </c>
      <c r="C158" s="240" t="str" cm="1">
        <f t="array" ref="C158">" "&amp;LOWER(_xlfn.REDUCE(H_unit[[#This Row],[Company]]&amp;" "&amp;H_unit[[#This Row],[Unit]],{",",".","(",")","/"},_xlfn.LAMBDA(_xlpm.txt,_xlpm.delim,SUBSTITUTE(_xlpm.txt,_xlpm.delim," "))))&amp;" "</f>
        <v xml:space="preserve"> nivalan kaukolämpö oy teollisuuskylä </v>
      </c>
      <c r="D158" s="242">
        <v>2010</v>
      </c>
      <c r="E158" s="243">
        <v>25</v>
      </c>
      <c r="F158" s="243">
        <v>4.5</v>
      </c>
      <c r="G158" s="247"/>
      <c r="H158" s="267" t="s">
        <v>1423</v>
      </c>
      <c r="I158" s="248" t="s">
        <v>1153</v>
      </c>
      <c r="J158" s="246" t="str" cm="1">
        <f t="array" ref="J158">_xlfn.XLOOKUP(TRUE,ISNUMBER(SEARCH(" "&amp;Municipality[Municipality]&amp;" ",H_unit[[#This Row],[Info string]])),Municipality[Municipality],"")</f>
        <v/>
      </c>
      <c r="K158" s="246" t="str" cm="1">
        <f t="array" ref="K158">IF(H_unit[[#This Row],[Exact]]&lt;&gt;"","",_xlfn.XLOOKUP(TRUE,ISNUMBER(SEARCH(" "&amp;Municipality[Municipality]&amp;"n ",H_unit[[#This Row],[Info string]])),Municipality[Municipality],""))</f>
        <v>Nivala</v>
      </c>
      <c r="L158" s="246"/>
      <c r="M158" s="244"/>
      <c r="N158" s="246" t="str">
        <f>_xlfn.TEXTJOIN("",TRUE,H_unit[[#This Row],[Exact]],H_unit[[#This Row],[Exact+n]],H_unit[[#This Row],[Copilot]])</f>
        <v>Nivala</v>
      </c>
      <c r="O158" s="246" t="str">
        <f>_xlfn.XLOOKUP(H_unit[[#This Row],[Municipality]],Municipality[Municipality],Municipality[Model],"")</f>
        <v>North</v>
      </c>
      <c r="P158" s="236"/>
    </row>
    <row r="159" spans="1:16">
      <c r="A159" s="238" t="s">
        <v>1728</v>
      </c>
      <c r="B159" s="238" t="s">
        <v>1740</v>
      </c>
      <c r="C159" s="240" t="str" cm="1">
        <f t="array" ref="C159">" "&amp;LOWER(_xlfn.REDUCE(H_unit[[#This Row],[Company]]&amp;" "&amp;H_unit[[#This Row],[Unit]],{",",".","(",")","/"},_xlfn.LAMBDA(_xlpm.txt,_xlpm.delim,SUBSTITUTE(_xlpm.txt,_xlpm.delim," "))))&amp;" "</f>
        <v xml:space="preserve"> lahti energia oy  lahti renkomäki </v>
      </c>
      <c r="D159" s="242">
        <v>2019</v>
      </c>
      <c r="E159" s="243">
        <v>25</v>
      </c>
      <c r="F159" s="243"/>
      <c r="G159" s="247"/>
      <c r="H159" s="267" t="s">
        <v>1453</v>
      </c>
      <c r="I159" s="248" t="s">
        <v>1142</v>
      </c>
      <c r="J159" s="246" t="str" cm="1">
        <f t="array" ref="J159">_xlfn.XLOOKUP(TRUE,ISNUMBER(SEARCH(" "&amp;Municipality[Municipality]&amp;" ",H_unit[[#This Row],[Info string]])),Municipality[Municipality],"")</f>
        <v>Lahti</v>
      </c>
      <c r="K159" s="246" t="str" cm="1">
        <f t="array" ref="K159">IF(H_unit[[#This Row],[Exact]]&lt;&gt;"","",_xlfn.XLOOKUP(TRUE,ISNUMBER(SEARCH(" "&amp;Municipality[Municipality]&amp;"n ",H_unit[[#This Row],[Info string]])),Municipality[Municipality],""))</f>
        <v/>
      </c>
      <c r="L159" s="246"/>
      <c r="M159" s="244"/>
      <c r="N159" s="246" t="str">
        <f>_xlfn.TEXTJOIN("",TRUE,H_unit[[#This Row],[Exact]],H_unit[[#This Row],[Exact+n]],H_unit[[#This Row],[Copilot]])</f>
        <v>Lahti</v>
      </c>
      <c r="O159" s="246" t="str">
        <f>_xlfn.XLOOKUP(H_unit[[#This Row],[Municipality]],Municipality[Municipality],Municipality[Model],"")</f>
        <v>South East</v>
      </c>
      <c r="P159" s="236"/>
    </row>
    <row r="160" spans="1:16">
      <c r="A160" s="238" t="s">
        <v>2318</v>
      </c>
      <c r="B160" s="238" t="s">
        <v>2325</v>
      </c>
      <c r="C160" s="240" t="str" cm="1">
        <f t="array" ref="C160">" "&amp;LOWER(_xlfn.REDUCE(H_unit[[#This Row],[Company]]&amp;" "&amp;H_unit[[#This Row],[Unit]],{",",".","(",")","/"},_xlfn.LAMBDA(_xlpm.txt,_xlpm.delim,SUBSTITUTE(_xlpm.txt,_xlpm.delim," "))))&amp;" "</f>
        <v xml:space="preserve"> lappeenrannan lämpövoima oy lauritsala </v>
      </c>
      <c r="D160" s="242">
        <v>2020</v>
      </c>
      <c r="E160" s="243">
        <v>25</v>
      </c>
      <c r="F160" s="243"/>
      <c r="G160" s="247"/>
      <c r="H160" s="267" t="s">
        <v>1453</v>
      </c>
      <c r="I160" s="248" t="s">
        <v>1142</v>
      </c>
      <c r="J160" s="246" t="str" cm="1">
        <f t="array" ref="J160">_xlfn.XLOOKUP(TRUE,ISNUMBER(SEARCH(" "&amp;Municipality[Municipality]&amp;" ",H_unit[[#This Row],[Info string]])),Municipality[Municipality],"")</f>
        <v/>
      </c>
      <c r="K160" s="246" t="str" cm="1">
        <f t="array" ref="K160">IF(H_unit[[#This Row],[Exact]]&lt;&gt;"","",_xlfn.XLOOKUP(TRUE,ISNUMBER(SEARCH(" "&amp;Municipality[Municipality]&amp;"n ",H_unit[[#This Row],[Info string]])),Municipality[Municipality],""))</f>
        <v/>
      </c>
      <c r="L160" s="246" t="s">
        <v>980</v>
      </c>
      <c r="M160" s="244" t="s">
        <v>2892</v>
      </c>
      <c r="N160" s="246" t="str">
        <f>_xlfn.TEXTJOIN("",TRUE,H_unit[[#This Row],[Exact]],H_unit[[#This Row],[Exact+n]],H_unit[[#This Row],[Copilot]])</f>
        <v>Lappeenranta</v>
      </c>
      <c r="O160" s="246" t="str">
        <f>_xlfn.XLOOKUP(H_unit[[#This Row],[Municipality]],Municipality[Municipality],Municipality[Model],"")</f>
        <v>South East</v>
      </c>
      <c r="P160" s="236"/>
    </row>
    <row r="161" spans="1:16">
      <c r="A161" s="238" t="s">
        <v>1605</v>
      </c>
      <c r="B161" s="238" t="s">
        <v>1608</v>
      </c>
      <c r="C161" s="240" t="str" cm="1">
        <f t="array" ref="C161">" "&amp;LOWER(_xlfn.REDUCE(H_unit[[#This Row],[Company]]&amp;" "&amp;H_unit[[#This Row],[Unit]],{",",".","(",")","/"},_xlfn.LAMBDA(_xlpm.txt,_xlpm.delim,SUBSTITUTE(_xlpm.txt,_xlpm.delim," "))))&amp;" "</f>
        <v xml:space="preserve"> kemin energia ja vesi oy kpa2-lämpökeskus </v>
      </c>
      <c r="D161" s="242">
        <v>2021</v>
      </c>
      <c r="E161" s="243">
        <v>25</v>
      </c>
      <c r="F161" s="243"/>
      <c r="G161" s="247"/>
      <c r="H161" s="267" t="s">
        <v>1428</v>
      </c>
      <c r="I161" s="248" t="s">
        <v>1143</v>
      </c>
      <c r="J161" s="246" t="str" cm="1">
        <f t="array" ref="J161">_xlfn.XLOOKUP(TRUE,ISNUMBER(SEARCH(" "&amp;Municipality[Municipality]&amp;" ",H_unit[[#This Row],[Info string]])),Municipality[Municipality],"")</f>
        <v/>
      </c>
      <c r="K161" s="246" t="str" cm="1">
        <f t="array" ref="K161">IF(H_unit[[#This Row],[Exact]]&lt;&gt;"","",_xlfn.XLOOKUP(TRUE,ISNUMBER(SEARCH(" "&amp;Municipality[Municipality]&amp;"n ",H_unit[[#This Row],[Info string]])),Municipality[Municipality],""))</f>
        <v>Kemi</v>
      </c>
      <c r="L161" s="246"/>
      <c r="M161" s="244"/>
      <c r="N161" s="246" t="str">
        <f>_xlfn.TEXTJOIN("",TRUE,H_unit[[#This Row],[Exact]],H_unit[[#This Row],[Exact+n]],H_unit[[#This Row],[Copilot]])</f>
        <v>Kemi</v>
      </c>
      <c r="O161" s="246" t="str">
        <f>_xlfn.XLOOKUP(H_unit[[#This Row],[Municipality]],Municipality[Municipality],Municipality[Model],"")</f>
        <v>North</v>
      </c>
      <c r="P161" s="236"/>
    </row>
    <row r="162" spans="1:16">
      <c r="A162" s="238" t="s">
        <v>2352</v>
      </c>
      <c r="B162" s="238" t="s">
        <v>2353</v>
      </c>
      <c r="C162" s="240" t="str" cm="1">
        <f t="array" ref="C162">" "&amp;LOWER(_xlfn.REDUCE(H_unit[[#This Row],[Company]]&amp;" "&amp;H_unit[[#This Row],[Unit]],{",",".","(",")","/"},_xlfn.LAMBDA(_xlpm.txt,_xlpm.delim,SUBSTITUTE(_xlpm.txt,_xlpm.delim," "))))&amp;" "</f>
        <v xml:space="preserve"> mäntän energia oy mänttä </v>
      </c>
      <c r="D162" s="242">
        <v>1950</v>
      </c>
      <c r="E162" s="243">
        <v>24.5</v>
      </c>
      <c r="F162" s="243">
        <v>14.2</v>
      </c>
      <c r="G162" s="247"/>
      <c r="H162" s="267" t="s">
        <v>1439</v>
      </c>
      <c r="I162" s="248" t="s">
        <v>1153</v>
      </c>
      <c r="J162" s="246" t="str" cm="1">
        <f t="array" ref="J162">_xlfn.XLOOKUP(TRUE,ISNUMBER(SEARCH(" "&amp;Municipality[Municipality]&amp;" ",H_unit[[#This Row],[Info string]])),Municipality[Municipality],"")</f>
        <v>Mänttä</v>
      </c>
      <c r="K162" s="246" t="str" cm="1">
        <f t="array" ref="K162">IF(H_unit[[#This Row],[Exact]]&lt;&gt;"","",_xlfn.XLOOKUP(TRUE,ISNUMBER(SEARCH(" "&amp;Municipality[Municipality]&amp;"n ",H_unit[[#This Row],[Info string]])),Municipality[Municipality],""))</f>
        <v/>
      </c>
      <c r="L162" s="246"/>
      <c r="M162" s="244"/>
      <c r="N162" s="246" t="str">
        <f>_xlfn.TEXTJOIN("",TRUE,H_unit[[#This Row],[Exact]],H_unit[[#This Row],[Exact+n]],H_unit[[#This Row],[Copilot]])</f>
        <v>Mänttä</v>
      </c>
      <c r="O162" s="246" t="str">
        <f>_xlfn.XLOOKUP(H_unit[[#This Row],[Municipality]],Municipality[Municipality],Municipality[Model],"")</f>
        <v>Center</v>
      </c>
      <c r="P162" s="236"/>
    </row>
    <row r="163" spans="1:16">
      <c r="A163" s="238" t="s">
        <v>2245</v>
      </c>
      <c r="B163" s="238" t="s">
        <v>2246</v>
      </c>
      <c r="C163" s="240" t="str" cm="1">
        <f t="array" ref="C163">" "&amp;LOWER(_xlfn.REDUCE(H_unit[[#This Row],[Company]]&amp;" "&amp;H_unit[[#This Row],[Unit]],{",",".","(",")","/"},_xlfn.LAMBDA(_xlpm.txt,_xlpm.delim,SUBSTITUTE(_xlpm.txt,_xlpm.delim," "))))&amp;" "</f>
        <v xml:space="preserve"> viitasaaren lämpö oy kokkilan lämpölaitos </v>
      </c>
      <c r="D163" s="242">
        <v>1980</v>
      </c>
      <c r="E163" s="243">
        <v>24.5</v>
      </c>
      <c r="F163" s="243"/>
      <c r="G163" s="247"/>
      <c r="H163" s="267" t="s">
        <v>1439</v>
      </c>
      <c r="I163" s="248" t="s">
        <v>1143</v>
      </c>
      <c r="J163" s="246" t="str" cm="1">
        <f t="array" ref="J163">_xlfn.XLOOKUP(TRUE,ISNUMBER(SEARCH(" "&amp;Municipality[Municipality]&amp;" ",H_unit[[#This Row],[Info string]])),Municipality[Municipality],"")</f>
        <v/>
      </c>
      <c r="K163" s="246" t="str" cm="1">
        <f t="array" ref="K163">IF(H_unit[[#This Row],[Exact]]&lt;&gt;"","",_xlfn.XLOOKUP(TRUE,ISNUMBER(SEARCH(" "&amp;Municipality[Municipality]&amp;"n ",H_unit[[#This Row],[Info string]])),Municipality[Municipality],""))</f>
        <v/>
      </c>
      <c r="L163" s="246" t="s">
        <v>2836</v>
      </c>
      <c r="M163" s="244" t="s">
        <v>2900</v>
      </c>
      <c r="N163" s="246" t="str">
        <f>_xlfn.TEXTJOIN("",TRUE,H_unit[[#This Row],[Exact]],H_unit[[#This Row],[Exact+n]],H_unit[[#This Row],[Copilot]])</f>
        <v>Viitasaari</v>
      </c>
      <c r="O163" s="246" t="str">
        <f>_xlfn.XLOOKUP(H_unit[[#This Row],[Municipality]],Municipality[Municipality],Municipality[Model],"")</f>
        <v>Center</v>
      </c>
      <c r="P163" s="236"/>
    </row>
    <row r="164" spans="1:16">
      <c r="A164" s="238" t="s">
        <v>1612</v>
      </c>
      <c r="B164" s="238" t="s">
        <v>1613</v>
      </c>
      <c r="C164" s="240" t="str" cm="1">
        <f t="array" ref="C164">" "&amp;LOWER(_xlfn.REDUCE(H_unit[[#This Row],[Company]]&amp;" "&amp;H_unit[[#This Row],[Unit]],{",",".","(",")","/"},_xlfn.LAMBDA(_xlpm.txt,_xlpm.delim,SUBSTITUTE(_xlpm.txt,_xlpm.delim," "))))&amp;" "</f>
        <v xml:space="preserve"> keravan energia oy  kerava ylikerava </v>
      </c>
      <c r="D164" s="242">
        <v>1976</v>
      </c>
      <c r="E164" s="243">
        <v>24</v>
      </c>
      <c r="F164" s="243"/>
      <c r="G164" s="247"/>
      <c r="H164" s="267" t="s">
        <v>1453</v>
      </c>
      <c r="I164" s="248" t="s">
        <v>1142</v>
      </c>
      <c r="J164" s="246" t="str" cm="1">
        <f t="array" ref="J164">_xlfn.XLOOKUP(TRUE,ISNUMBER(SEARCH(" "&amp;Municipality[Municipality]&amp;" ",H_unit[[#This Row],[Info string]])),Municipality[Municipality],"")</f>
        <v>Kerava</v>
      </c>
      <c r="K164" s="246" t="str" cm="1">
        <f t="array" ref="K164">IF(H_unit[[#This Row],[Exact]]&lt;&gt;"","",_xlfn.XLOOKUP(TRUE,ISNUMBER(SEARCH(" "&amp;Municipality[Municipality]&amp;"n ",H_unit[[#This Row],[Info string]])),Municipality[Municipality],""))</f>
        <v/>
      </c>
      <c r="L164" s="246"/>
      <c r="M164" s="244"/>
      <c r="N164" s="246" t="str">
        <f>_xlfn.TEXTJOIN("",TRUE,H_unit[[#This Row],[Exact]],H_unit[[#This Row],[Exact+n]],H_unit[[#This Row],[Copilot]])</f>
        <v>Kerava</v>
      </c>
      <c r="O164" s="246" t="str">
        <f>_xlfn.XLOOKUP(H_unit[[#This Row],[Municipality]],Municipality[Municipality],Municipality[Model],"")</f>
        <v>Uusimaa</v>
      </c>
      <c r="P164" s="236"/>
    </row>
    <row r="165" spans="1:16">
      <c r="A165" s="238" t="s">
        <v>1678</v>
      </c>
      <c r="B165" s="238" t="s">
        <v>1682</v>
      </c>
      <c r="C165" s="240" t="str" cm="1">
        <f t="array" ref="C165">" "&amp;LOWER(_xlfn.REDUCE(H_unit[[#This Row],[Company]]&amp;" "&amp;H_unit[[#This Row],[Unit]],{",",".","(",")","/"},_xlfn.LAMBDA(_xlpm.txt,_xlpm.delim,SUBSTITUTE(_xlpm.txt,_xlpm.delim," "))))&amp;" "</f>
        <v xml:space="preserve"> kuopion energia oy jynkkä </v>
      </c>
      <c r="D165" s="242">
        <v>1978</v>
      </c>
      <c r="E165" s="243">
        <v>24</v>
      </c>
      <c r="F165" s="243"/>
      <c r="G165" s="247"/>
      <c r="H165" s="267" t="s">
        <v>1430</v>
      </c>
      <c r="I165" s="248" t="s">
        <v>1141</v>
      </c>
      <c r="J165" s="246" t="str" cm="1">
        <f t="array" ref="J165">_xlfn.XLOOKUP(TRUE,ISNUMBER(SEARCH(" "&amp;Municipality[Municipality]&amp;" ",H_unit[[#This Row],[Info string]])),Municipality[Municipality],"")</f>
        <v/>
      </c>
      <c r="K165" s="246" t="str" cm="1">
        <f t="array" ref="K165">IF(H_unit[[#This Row],[Exact]]&lt;&gt;"","",_xlfn.XLOOKUP(TRUE,ISNUMBER(SEARCH(" "&amp;Municipality[Municipality]&amp;"n ",H_unit[[#This Row],[Info string]])),Municipality[Municipality],""))</f>
        <v>Kuopio</v>
      </c>
      <c r="L165" s="246"/>
      <c r="M165" s="244"/>
      <c r="N165" s="246" t="str">
        <f>_xlfn.TEXTJOIN("",TRUE,H_unit[[#This Row],[Exact]],H_unit[[#This Row],[Exact+n]],H_unit[[#This Row],[Copilot]])</f>
        <v>Kuopio</v>
      </c>
      <c r="O165" s="246" t="str">
        <f>_xlfn.XLOOKUP(H_unit[[#This Row],[Municipality]],Municipality[Municipality],Municipality[Model],"")</f>
        <v>East</v>
      </c>
      <c r="P165" s="236"/>
    </row>
    <row r="166" spans="1:16">
      <c r="A166" s="238" t="s">
        <v>1892</v>
      </c>
      <c r="B166" s="238" t="s">
        <v>1893</v>
      </c>
      <c r="C166" s="240" t="str" cm="1">
        <f t="array" ref="C166">" "&amp;LOWER(_xlfn.REDUCE(H_unit[[#This Row],[Company]]&amp;" "&amp;H_unit[[#This Row],[Unit]],{",",".","(",")","/"},_xlfn.LAMBDA(_xlpm.txt,_xlpm.delim,SUBSTITUTE(_xlpm.txt,_xlpm.delim," "))))&amp;" "</f>
        <v xml:space="preserve"> mariehamns energi ab dieselkraftvärmeverk g4 </v>
      </c>
      <c r="D166" s="242">
        <v>1980</v>
      </c>
      <c r="E166" s="243">
        <v>24</v>
      </c>
      <c r="F166" s="243">
        <v>8</v>
      </c>
      <c r="G166" s="247"/>
      <c r="H166" s="267" t="s">
        <v>1418</v>
      </c>
      <c r="I166" s="248" t="s">
        <v>1443</v>
      </c>
      <c r="J166" s="246" t="str" cm="1">
        <f t="array" ref="J166">_xlfn.XLOOKUP(TRUE,ISNUMBER(SEARCH(" "&amp;Municipality[Municipality]&amp;" ",H_unit[[#This Row],[Info string]])),Municipality[Municipality],"")</f>
        <v/>
      </c>
      <c r="K166" s="246" t="str" cm="1">
        <f t="array" ref="K166">IF(H_unit[[#This Row],[Exact]]&lt;&gt;"","",_xlfn.XLOOKUP(TRUE,ISNUMBER(SEARCH(" "&amp;Municipality[Municipality]&amp;"n ",H_unit[[#This Row],[Info string]])),Municipality[Municipality],""))</f>
        <v/>
      </c>
      <c r="L166" s="246" t="s">
        <v>2668</v>
      </c>
      <c r="M166" s="244" t="s">
        <v>2926</v>
      </c>
      <c r="N166" s="246" t="str">
        <f>_xlfn.TEXTJOIN("",TRUE,H_unit[[#This Row],[Exact]],H_unit[[#This Row],[Exact+n]],H_unit[[#This Row],[Copilot]])</f>
        <v>Maarianhamina</v>
      </c>
      <c r="O166" s="246" t="str">
        <f>_xlfn.XLOOKUP(H_unit[[#This Row],[Municipality]],Municipality[Municipality],Municipality[Model],"")</f>
        <v>South West</v>
      </c>
      <c r="P166" s="236"/>
    </row>
    <row r="167" spans="1:16">
      <c r="A167" s="238" t="s">
        <v>1728</v>
      </c>
      <c r="B167" s="238" t="s">
        <v>1739</v>
      </c>
      <c r="C167" s="240" t="str" cm="1">
        <f t="array" ref="C167">" "&amp;LOWER(_xlfn.REDUCE(H_unit[[#This Row],[Company]]&amp;" "&amp;H_unit[[#This Row],[Unit]],{",",".","(",")","/"},_xlfn.LAMBDA(_xlpm.txt,_xlpm.delim,SUBSTITUTE(_xlpm.txt,_xlpm.delim," "))))&amp;" "</f>
        <v xml:space="preserve"> lahti energia oy  lahti ruokotie </v>
      </c>
      <c r="D167" s="242">
        <v>1986</v>
      </c>
      <c r="E167" s="243">
        <v>24</v>
      </c>
      <c r="F167" s="243"/>
      <c r="G167" s="247"/>
      <c r="H167" s="267" t="s">
        <v>1453</v>
      </c>
      <c r="I167" s="248" t="s">
        <v>1142</v>
      </c>
      <c r="J167" s="246" t="str" cm="1">
        <f t="array" ref="J167">_xlfn.XLOOKUP(TRUE,ISNUMBER(SEARCH(" "&amp;Municipality[Municipality]&amp;" ",H_unit[[#This Row],[Info string]])),Municipality[Municipality],"")</f>
        <v>Lahti</v>
      </c>
      <c r="K167" s="246" t="str" cm="1">
        <f t="array" ref="K167">IF(H_unit[[#This Row],[Exact]]&lt;&gt;"","",_xlfn.XLOOKUP(TRUE,ISNUMBER(SEARCH(" "&amp;Municipality[Municipality]&amp;"n ",H_unit[[#This Row],[Info string]])),Municipality[Municipality],""))</f>
        <v/>
      </c>
      <c r="L167" s="246"/>
      <c r="M167" s="244"/>
      <c r="N167" s="246" t="str">
        <f>_xlfn.TEXTJOIN("",TRUE,H_unit[[#This Row],[Exact]],H_unit[[#This Row],[Exact+n]],H_unit[[#This Row],[Copilot]])</f>
        <v>Lahti</v>
      </c>
      <c r="O167" s="246" t="str">
        <f>_xlfn.XLOOKUP(H_unit[[#This Row],[Municipality]],Municipality[Municipality],Municipality[Model],"")</f>
        <v>South East</v>
      </c>
      <c r="P167" s="236"/>
    </row>
    <row r="168" spans="1:16">
      <c r="A168" s="238" t="s">
        <v>2223</v>
      </c>
      <c r="B168" s="238" t="s">
        <v>2227</v>
      </c>
      <c r="C168" s="240" t="str" cm="1">
        <f t="array" ref="C168">" "&amp;LOWER(_xlfn.REDUCE(H_unit[[#This Row],[Company]]&amp;" "&amp;H_unit[[#This Row],[Unit]],{",",".","(",")","/"},_xlfn.LAMBDA(_xlpm.txt,_xlpm.delim,SUBSTITUTE(_xlpm.txt,_xlpm.delim," "))))&amp;" "</f>
        <v xml:space="preserve"> varkauden aluelämpö oy hasintie </v>
      </c>
      <c r="D168" s="242">
        <v>1989</v>
      </c>
      <c r="E168" s="243">
        <v>24</v>
      </c>
      <c r="F168" s="243"/>
      <c r="G168" s="247"/>
      <c r="H168" s="267" t="s">
        <v>1418</v>
      </c>
      <c r="I168" s="248" t="s">
        <v>1141</v>
      </c>
      <c r="J168" s="246" t="str" cm="1">
        <f t="array" ref="J168">_xlfn.XLOOKUP(TRUE,ISNUMBER(SEARCH(" "&amp;Municipality[Municipality]&amp;" ",H_unit[[#This Row],[Info string]])),Municipality[Municipality],"")</f>
        <v/>
      </c>
      <c r="K168" s="246" t="str" cm="1">
        <f t="array" ref="K168">IF(H_unit[[#This Row],[Exact]]&lt;&gt;"","",_xlfn.XLOOKUP(TRUE,ISNUMBER(SEARCH(" "&amp;Municipality[Municipality]&amp;"n ",H_unit[[#This Row],[Info string]])),Municipality[Municipality],""))</f>
        <v/>
      </c>
      <c r="L168" s="246" t="s">
        <v>1007</v>
      </c>
      <c r="M168" s="244" t="s">
        <v>2896</v>
      </c>
      <c r="N168" s="246" t="str">
        <f>_xlfn.TEXTJOIN("",TRUE,H_unit[[#This Row],[Exact]],H_unit[[#This Row],[Exact+n]],H_unit[[#This Row],[Copilot]])</f>
        <v>Varkaus</v>
      </c>
      <c r="O168" s="246" t="str">
        <f>_xlfn.XLOOKUP(H_unit[[#This Row],[Municipality]],Municipality[Municipality],Municipality[Model],"")</f>
        <v>East</v>
      </c>
      <c r="P168" s="236"/>
    </row>
    <row r="169" spans="1:16">
      <c r="A169" s="238" t="s">
        <v>1725</v>
      </c>
      <c r="B169" s="238" t="s">
        <v>1726</v>
      </c>
      <c r="C169" s="240" t="str" cm="1">
        <f t="array" ref="C169">" "&amp;LOWER(_xlfn.REDUCE(H_unit[[#This Row],[Company]]&amp;" "&amp;H_unit[[#This Row],[Unit]],{",",".","(",")","/"},_xlfn.LAMBDA(_xlpm.txt,_xlpm.delim,SUBSTITUTE(_xlpm.txt,_xlpm.delim," "))))&amp;" "</f>
        <v xml:space="preserve"> lahti energia oy  hollola keskikankaantie </v>
      </c>
      <c r="D169" s="242">
        <v>1991</v>
      </c>
      <c r="E169" s="243">
        <v>24</v>
      </c>
      <c r="F169" s="243"/>
      <c r="G169" s="247"/>
      <c r="H169" s="267" t="s">
        <v>1453</v>
      </c>
      <c r="I169" s="248" t="s">
        <v>1142</v>
      </c>
      <c r="J169" s="246" t="str" cm="1">
        <f t="array" ref="J169">_xlfn.XLOOKUP(TRUE,ISNUMBER(SEARCH(" "&amp;Municipality[Municipality]&amp;" ",H_unit[[#This Row],[Info string]])),Municipality[Municipality],"")</f>
        <v>Hollola</v>
      </c>
      <c r="K169" s="246" t="str" cm="1">
        <f t="array" ref="K169">IF(H_unit[[#This Row],[Exact]]&lt;&gt;"","",_xlfn.XLOOKUP(TRUE,ISNUMBER(SEARCH(" "&amp;Municipality[Municipality]&amp;"n ",H_unit[[#This Row],[Info string]])),Municipality[Municipality],""))</f>
        <v/>
      </c>
      <c r="L169" s="246"/>
      <c r="M169" s="244"/>
      <c r="N169" s="246" t="str">
        <f>_xlfn.TEXTJOIN("",TRUE,H_unit[[#This Row],[Exact]],H_unit[[#This Row],[Exact+n]],H_unit[[#This Row],[Copilot]])</f>
        <v>Hollola</v>
      </c>
      <c r="O169" s="246" t="str">
        <f>_xlfn.XLOOKUP(H_unit[[#This Row],[Municipality]],Municipality[Municipality],Municipality[Model],"")</f>
        <v>South East</v>
      </c>
      <c r="P169" s="236"/>
    </row>
    <row r="170" spans="1:16">
      <c r="A170" s="238" t="s">
        <v>1834</v>
      </c>
      <c r="B170" s="238" t="s">
        <v>1837</v>
      </c>
      <c r="C170" s="240" t="str" cm="1">
        <f t="array" ref="C170">" "&amp;LOWER(_xlfn.REDUCE(H_unit[[#This Row],[Company]]&amp;" "&amp;H_unit[[#This Row],[Unit]],{",",".","(",")","/"},_xlfn.LAMBDA(_xlpm.txt,_xlpm.delim,SUBSTITUTE(_xlpm.txt,_xlpm.delim," "))))&amp;" "</f>
        <v xml:space="preserve"> loimua oy  heinola sahanniemi </v>
      </c>
      <c r="D170" s="242">
        <v>1991</v>
      </c>
      <c r="E170" s="243">
        <v>24</v>
      </c>
      <c r="F170" s="243"/>
      <c r="G170" s="247"/>
      <c r="H170" s="267" t="s">
        <v>1430</v>
      </c>
      <c r="I170" s="248" t="s">
        <v>1141</v>
      </c>
      <c r="J170" s="246" t="str" cm="1">
        <f t="array" ref="J170">_xlfn.XLOOKUP(TRUE,ISNUMBER(SEARCH(" "&amp;Municipality[Municipality]&amp;" ",H_unit[[#This Row],[Info string]])),Municipality[Municipality],"")</f>
        <v>Heinola</v>
      </c>
      <c r="K170" s="246" t="str" cm="1">
        <f t="array" ref="K170">IF(H_unit[[#This Row],[Exact]]&lt;&gt;"","",_xlfn.XLOOKUP(TRUE,ISNUMBER(SEARCH(" "&amp;Municipality[Municipality]&amp;"n ",H_unit[[#This Row],[Info string]])),Municipality[Municipality],""))</f>
        <v/>
      </c>
      <c r="L170" s="246"/>
      <c r="M170" s="244"/>
      <c r="N170" s="246" t="str">
        <f>_xlfn.TEXTJOIN("",TRUE,H_unit[[#This Row],[Exact]],H_unit[[#This Row],[Exact+n]],H_unit[[#This Row],[Copilot]])</f>
        <v>Heinola</v>
      </c>
      <c r="O170" s="246" t="str">
        <f>_xlfn.XLOOKUP(H_unit[[#This Row],[Municipality]],Municipality[Municipality],Municipality[Model],"")</f>
        <v>South East</v>
      </c>
      <c r="P170" s="236"/>
    </row>
    <row r="171" spans="1:16">
      <c r="A171" s="238" t="s">
        <v>1678</v>
      </c>
      <c r="B171" s="238" t="s">
        <v>1684</v>
      </c>
      <c r="C171" s="240" t="str" cm="1">
        <f t="array" ref="C171">" "&amp;LOWER(_xlfn.REDUCE(H_unit[[#This Row],[Company]]&amp;" "&amp;H_unit[[#This Row],[Unit]],{",",".","(",")","/"},_xlfn.LAMBDA(_xlpm.txt,_xlpm.delim,SUBSTITUTE(_xlpm.txt,_xlpm.delim," "))))&amp;" "</f>
        <v xml:space="preserve"> kuopion energia oy päiväranta </v>
      </c>
      <c r="D171" s="242">
        <v>1994</v>
      </c>
      <c r="E171" s="243">
        <v>24</v>
      </c>
      <c r="F171" s="243"/>
      <c r="G171" s="247"/>
      <c r="H171" s="267" t="s">
        <v>1430</v>
      </c>
      <c r="I171" s="248" t="s">
        <v>1141</v>
      </c>
      <c r="J171" s="246" t="str" cm="1">
        <f t="array" ref="J171">_xlfn.XLOOKUP(TRUE,ISNUMBER(SEARCH(" "&amp;Municipality[Municipality]&amp;" ",H_unit[[#This Row],[Info string]])),Municipality[Municipality],"")</f>
        <v/>
      </c>
      <c r="K171" s="246" t="str" cm="1">
        <f t="array" ref="K171">IF(H_unit[[#This Row],[Exact]]&lt;&gt;"","",_xlfn.XLOOKUP(TRUE,ISNUMBER(SEARCH(" "&amp;Municipality[Municipality]&amp;"n ",H_unit[[#This Row],[Info string]])),Municipality[Municipality],""))</f>
        <v>Kuopio</v>
      </c>
      <c r="L171" s="246"/>
      <c r="M171" s="244"/>
      <c r="N171" s="246" t="str">
        <f>_xlfn.TEXTJOIN("",TRUE,H_unit[[#This Row],[Exact]],H_unit[[#This Row],[Exact+n]],H_unit[[#This Row],[Copilot]])</f>
        <v>Kuopio</v>
      </c>
      <c r="O171" s="246" t="str">
        <f>_xlfn.XLOOKUP(H_unit[[#This Row],[Municipality]],Municipality[Municipality],Municipality[Model],"")</f>
        <v>East</v>
      </c>
      <c r="P171" s="236"/>
    </row>
    <row r="172" spans="1:16">
      <c r="A172" s="238" t="s">
        <v>1728</v>
      </c>
      <c r="B172" s="238" t="s">
        <v>1729</v>
      </c>
      <c r="C172" s="240" t="str" cm="1">
        <f t="array" ref="C172">" "&amp;LOWER(_xlfn.REDUCE(H_unit[[#This Row],[Company]]&amp;" "&amp;H_unit[[#This Row],[Unit]],{",",".","(",")","/"},_xlfn.LAMBDA(_xlpm.txt,_xlpm.delim,SUBSTITUTE(_xlpm.txt,_xlpm.delim," "))))&amp;" "</f>
        <v xml:space="preserve"> lahti energia oy  lahti keskussairaala </v>
      </c>
      <c r="D172" s="242">
        <v>2013</v>
      </c>
      <c r="E172" s="243">
        <v>24</v>
      </c>
      <c r="F172" s="243"/>
      <c r="G172" s="247"/>
      <c r="H172" s="267" t="s">
        <v>1453</v>
      </c>
      <c r="I172" s="248" t="s">
        <v>1142</v>
      </c>
      <c r="J172" s="246" t="str" cm="1">
        <f t="array" ref="J172">_xlfn.XLOOKUP(TRUE,ISNUMBER(SEARCH(" "&amp;Municipality[Municipality]&amp;" ",H_unit[[#This Row],[Info string]])),Municipality[Municipality],"")</f>
        <v>Lahti</v>
      </c>
      <c r="K172" s="246" t="str" cm="1">
        <f t="array" ref="K172">IF(H_unit[[#This Row],[Exact]]&lt;&gt;"","",_xlfn.XLOOKUP(TRUE,ISNUMBER(SEARCH(" "&amp;Municipality[Municipality]&amp;"n ",H_unit[[#This Row],[Info string]])),Municipality[Municipality],""))</f>
        <v/>
      </c>
      <c r="L172" s="246"/>
      <c r="M172" s="244"/>
      <c r="N172" s="246" t="str">
        <f>_xlfn.TEXTJOIN("",TRUE,H_unit[[#This Row],[Exact]],H_unit[[#This Row],[Exact+n]],H_unit[[#This Row],[Copilot]])</f>
        <v>Lahti</v>
      </c>
      <c r="O172" s="246" t="str">
        <f>_xlfn.XLOOKUP(H_unit[[#This Row],[Municipality]],Municipality[Municipality],Municipality[Model],"")</f>
        <v>South East</v>
      </c>
      <c r="P172" s="236"/>
    </row>
    <row r="173" spans="1:16">
      <c r="A173" s="238" t="s">
        <v>2175</v>
      </c>
      <c r="B173" s="238" t="s">
        <v>2176</v>
      </c>
      <c r="C173" s="240" t="str" cm="1">
        <f t="array" ref="C173">" "&amp;LOWER(_xlfn.REDUCE(H_unit[[#This Row],[Company]]&amp;" "&amp;H_unit[[#This Row],[Unit]],{",",".","(",")","/"},_xlfn.LAMBDA(_xlpm.txt,_xlpm.delim,SUBSTITUTE(_xlpm.txt,_xlpm.delim," "))))&amp;" "</f>
        <v xml:space="preserve"> tampereen energia oy  pirkkala ollikka </v>
      </c>
      <c r="D173" s="242">
        <v>2021</v>
      </c>
      <c r="E173" s="243">
        <v>24</v>
      </c>
      <c r="F173" s="243"/>
      <c r="G173" s="247"/>
      <c r="H173" s="267" t="s">
        <v>1453</v>
      </c>
      <c r="I173" s="248" t="s">
        <v>1142</v>
      </c>
      <c r="J173" s="246" t="str" cm="1">
        <f t="array" ref="J173">_xlfn.XLOOKUP(TRUE,ISNUMBER(SEARCH(" "&amp;Municipality[Municipality]&amp;" ",H_unit[[#This Row],[Info string]])),Municipality[Municipality],"")</f>
        <v>Pirkkala</v>
      </c>
      <c r="K173" s="246" t="str" cm="1">
        <f t="array" ref="K173">IF(H_unit[[#This Row],[Exact]]&lt;&gt;"","",_xlfn.XLOOKUP(TRUE,ISNUMBER(SEARCH(" "&amp;Municipality[Municipality]&amp;"n ",H_unit[[#This Row],[Info string]])),Municipality[Municipality],""))</f>
        <v/>
      </c>
      <c r="L173" s="246"/>
      <c r="M173" s="244"/>
      <c r="N173" s="246" t="str">
        <f>_xlfn.TEXTJOIN("",TRUE,H_unit[[#This Row],[Exact]],H_unit[[#This Row],[Exact+n]],H_unit[[#This Row],[Copilot]])</f>
        <v>Pirkkala</v>
      </c>
      <c r="O173" s="246" t="str">
        <f>_xlfn.XLOOKUP(H_unit[[#This Row],[Municipality]],Municipality[Municipality],Municipality[Model],"")</f>
        <v>Center</v>
      </c>
      <c r="P173" s="236"/>
    </row>
    <row r="174" spans="1:16">
      <c r="A174" s="238" t="s">
        <v>2220</v>
      </c>
      <c r="B174" s="238" t="s">
        <v>2221</v>
      </c>
      <c r="C174" s="240" t="str" cm="1">
        <f t="array" ref="C174">" "&amp;LOWER(_xlfn.REDUCE(H_unit[[#This Row],[Company]]&amp;" "&amp;H_unit[[#This Row],[Unit]],{",",".","(",")","/"},_xlfn.LAMBDA(_xlpm.txt,_xlpm.delim,SUBSTITUTE(_xlpm.txt,_xlpm.delim," "))))&amp;" "</f>
        <v xml:space="preserve"> varissuon lämpö oy varissuo öljylämpökeskus </v>
      </c>
      <c r="D174" s="242">
        <v>1977</v>
      </c>
      <c r="E174" s="243">
        <v>23</v>
      </c>
      <c r="F174" s="243"/>
      <c r="G174" s="247"/>
      <c r="H174" s="267" t="s">
        <v>1430</v>
      </c>
      <c r="I174" s="248" t="s">
        <v>1141</v>
      </c>
      <c r="J174" s="246" t="str" cm="1">
        <f t="array" ref="J174">_xlfn.XLOOKUP(TRUE,ISNUMBER(SEARCH(" "&amp;Municipality[Municipality]&amp;" ",H_unit[[#This Row],[Info string]])),Municipality[Municipality],"")</f>
        <v/>
      </c>
      <c r="K174" s="246" t="str" cm="1">
        <f t="array" ref="K174">IF(H_unit[[#This Row],[Exact]]&lt;&gt;"","",_xlfn.XLOOKUP(TRUE,ISNUMBER(SEARCH(" "&amp;Municipality[Municipality]&amp;"n ",H_unit[[#This Row],[Info string]])),Municipality[Municipality],""))</f>
        <v/>
      </c>
      <c r="L174" s="246" t="s">
        <v>2855</v>
      </c>
      <c r="M174" s="244" t="s">
        <v>2901</v>
      </c>
      <c r="N174" s="246" t="str">
        <f>_xlfn.TEXTJOIN("",TRUE,H_unit[[#This Row],[Exact]],H_unit[[#This Row],[Exact+n]],H_unit[[#This Row],[Copilot]])</f>
        <v>Turku</v>
      </c>
      <c r="O174" s="246" t="str">
        <f>_xlfn.XLOOKUP(H_unit[[#This Row],[Municipality]],Municipality[Municipality],Municipality[Model],"")</f>
        <v>South West</v>
      </c>
      <c r="P174" s="236"/>
    </row>
    <row r="175" spans="1:16">
      <c r="A175" s="238" t="s">
        <v>1920</v>
      </c>
      <c r="B175" s="238" t="s">
        <v>1921</v>
      </c>
      <c r="C175" s="240" t="str" cm="1">
        <f t="array" ref="C175">" "&amp;LOWER(_xlfn.REDUCE(H_unit[[#This Row],[Company]]&amp;" "&amp;H_unit[[#This Row],[Unit]],{",",".","(",")","/"},_xlfn.LAMBDA(_xlpm.txt,_xlpm.delim,SUBSTITUTE(_xlpm.txt,_xlpm.delim," "))))&amp;" "</f>
        <v xml:space="preserve"> nevel oy  lieksa rantakylä </v>
      </c>
      <c r="D175" s="242">
        <v>1984</v>
      </c>
      <c r="E175" s="243">
        <v>22</v>
      </c>
      <c r="F175" s="243"/>
      <c r="G175" s="247"/>
      <c r="H175" s="267" t="s">
        <v>1418</v>
      </c>
      <c r="I175" s="248" t="s">
        <v>1141</v>
      </c>
      <c r="J175" s="246" t="str" cm="1">
        <f t="array" ref="J175">_xlfn.XLOOKUP(TRUE,ISNUMBER(SEARCH(" "&amp;Municipality[Municipality]&amp;" ",H_unit[[#This Row],[Info string]])),Municipality[Municipality],"")</f>
        <v>Lieksa</v>
      </c>
      <c r="K175" s="246" t="str" cm="1">
        <f t="array" ref="K175">IF(H_unit[[#This Row],[Exact]]&lt;&gt;"","",_xlfn.XLOOKUP(TRUE,ISNUMBER(SEARCH(" "&amp;Municipality[Municipality]&amp;"n ",H_unit[[#This Row],[Info string]])),Municipality[Municipality],""))</f>
        <v/>
      </c>
      <c r="L175" s="246"/>
      <c r="M175" s="244"/>
      <c r="N175" s="246" t="str">
        <f>_xlfn.TEXTJOIN("",TRUE,H_unit[[#This Row],[Exact]],H_unit[[#This Row],[Exact+n]],H_unit[[#This Row],[Copilot]])</f>
        <v>Lieksa</v>
      </c>
      <c r="O175" s="246" t="str">
        <f>_xlfn.XLOOKUP(H_unit[[#This Row],[Municipality]],Municipality[Municipality],Municipality[Model],"")</f>
        <v>East</v>
      </c>
      <c r="P175" s="236"/>
    </row>
    <row r="176" spans="1:16">
      <c r="A176" s="238" t="s">
        <v>1974</v>
      </c>
      <c r="B176" s="238" t="s">
        <v>1975</v>
      </c>
      <c r="C176" s="240" t="str" cm="1">
        <f t="array" ref="C176">" "&amp;LOWER(_xlfn.REDUCE(H_unit[[#This Row],[Company]]&amp;" "&amp;H_unit[[#This Row],[Unit]],{",",".","(",")","/"},_xlfn.LAMBDA(_xlpm.txt,_xlpm.delim,SUBSTITUTE(_xlpm.txt,_xlpm.delim," "))))&amp;" "</f>
        <v xml:space="preserve"> nurmeksen lämpö oy ritoniemi </v>
      </c>
      <c r="D176" s="242">
        <v>1985</v>
      </c>
      <c r="E176" s="243">
        <v>22</v>
      </c>
      <c r="F176" s="243"/>
      <c r="G176" s="247"/>
      <c r="H176" s="267" t="s">
        <v>1439</v>
      </c>
      <c r="I176" s="248" t="s">
        <v>1143</v>
      </c>
      <c r="J176" s="246" t="str" cm="1">
        <f t="array" ref="J176">_xlfn.XLOOKUP(TRUE,ISNUMBER(SEARCH(" "&amp;Municipality[Municipality]&amp;" ",H_unit[[#This Row],[Info string]])),Municipality[Municipality],"")</f>
        <v/>
      </c>
      <c r="K176" s="246" t="str" cm="1">
        <f t="array" ref="K176">IF(H_unit[[#This Row],[Exact]]&lt;&gt;"","",_xlfn.XLOOKUP(TRUE,ISNUMBER(SEARCH(" "&amp;Municipality[Municipality]&amp;"n ",H_unit[[#This Row],[Info string]])),Municipality[Municipality],""))</f>
        <v/>
      </c>
      <c r="L176" s="246" t="s">
        <v>2694</v>
      </c>
      <c r="M176" s="244" t="s">
        <v>2902</v>
      </c>
      <c r="N176" s="246" t="str">
        <f>_xlfn.TEXTJOIN("",TRUE,H_unit[[#This Row],[Exact]],H_unit[[#This Row],[Exact+n]],H_unit[[#This Row],[Copilot]])</f>
        <v>Nurmes</v>
      </c>
      <c r="O176" s="246" t="str">
        <f>_xlfn.XLOOKUP(H_unit[[#This Row],[Municipality]],Municipality[Municipality],Municipality[Model],"")</f>
        <v>East</v>
      </c>
      <c r="P176" s="236"/>
    </row>
    <row r="177" spans="1:16">
      <c r="A177" s="238" t="s">
        <v>1992</v>
      </c>
      <c r="B177" s="238" t="s">
        <v>1994</v>
      </c>
      <c r="C177" s="240" t="str" cm="1">
        <f t="array" ref="C177">" "&amp;LOWER(_xlfn.REDUCE(H_unit[[#This Row],[Company]]&amp;" "&amp;H_unit[[#This Row],[Unit]],{",",".","(",")","/"},_xlfn.LAMBDA(_xlpm.txt,_xlpm.delim,SUBSTITUTE(_xlpm.txt,_xlpm.delim," "))))&amp;" "</f>
        <v xml:space="preserve"> okun energia oy  outokumpu kehkola nestekaasu </v>
      </c>
      <c r="D177" s="242">
        <v>1997</v>
      </c>
      <c r="E177" s="243">
        <v>22</v>
      </c>
      <c r="F177" s="243"/>
      <c r="G177" s="247"/>
      <c r="H177" s="267" t="s">
        <v>1458</v>
      </c>
      <c r="I177" s="248" t="s">
        <v>1443</v>
      </c>
      <c r="J177" s="246" t="str" cm="1">
        <f t="array" ref="J177">_xlfn.XLOOKUP(TRUE,ISNUMBER(SEARCH(" "&amp;Municipality[Municipality]&amp;" ",H_unit[[#This Row],[Info string]])),Municipality[Municipality],"")</f>
        <v>Outokumpu</v>
      </c>
      <c r="K177" s="246" t="str" cm="1">
        <f t="array" ref="K177">IF(H_unit[[#This Row],[Exact]]&lt;&gt;"","",_xlfn.XLOOKUP(TRUE,ISNUMBER(SEARCH(" "&amp;Municipality[Municipality]&amp;"n ",H_unit[[#This Row],[Info string]])),Municipality[Municipality],""))</f>
        <v/>
      </c>
      <c r="L177" s="246"/>
      <c r="M177" s="244"/>
      <c r="N177" s="246" t="str">
        <f>_xlfn.TEXTJOIN("",TRUE,H_unit[[#This Row],[Exact]],H_unit[[#This Row],[Exact+n]],H_unit[[#This Row],[Copilot]])</f>
        <v>Outokumpu</v>
      </c>
      <c r="O177" s="246" t="str">
        <f>_xlfn.XLOOKUP(H_unit[[#This Row],[Municipality]],Municipality[Municipality],Municipality[Model],"")</f>
        <v>East</v>
      </c>
      <c r="P177" s="236"/>
    </row>
    <row r="178" spans="1:16">
      <c r="A178" s="238" t="s">
        <v>1655</v>
      </c>
      <c r="B178" s="238" t="s">
        <v>1659</v>
      </c>
      <c r="C178" s="240" t="str" cm="1">
        <f t="array" ref="C178">" "&amp;LOWER(_xlfn.REDUCE(H_unit[[#This Row],[Company]]&amp;" "&amp;H_unit[[#This Row],[Unit]],{",",".","(",")","/"},_xlfn.LAMBDA(_xlpm.txt,_xlpm.delim,SUBSTITUTE(_xlpm.txt,_xlpm.delim," "))))&amp;" "</f>
        <v xml:space="preserve"> kotkan energia oy hyötyvoimala </v>
      </c>
      <c r="D178" s="242">
        <v>2008</v>
      </c>
      <c r="E178" s="243">
        <v>22</v>
      </c>
      <c r="F178" s="243">
        <v>8</v>
      </c>
      <c r="G178" s="247"/>
      <c r="H178" s="267" t="s">
        <v>1660</v>
      </c>
      <c r="I178" s="248" t="s">
        <v>1154</v>
      </c>
      <c r="J178" s="246" t="str" cm="1">
        <f t="array" ref="J178">_xlfn.XLOOKUP(TRUE,ISNUMBER(SEARCH(" "&amp;Municipality[Municipality]&amp;" ",H_unit[[#This Row],[Info string]])),Municipality[Municipality],"")</f>
        <v/>
      </c>
      <c r="K178" s="246" t="str" cm="1">
        <f t="array" ref="K178">IF(H_unit[[#This Row],[Exact]]&lt;&gt;"","",_xlfn.XLOOKUP(TRUE,ISNUMBER(SEARCH(" "&amp;Municipality[Municipality]&amp;"n ",H_unit[[#This Row],[Info string]])),Municipality[Municipality],""))</f>
        <v>Kotka</v>
      </c>
      <c r="L178" s="246"/>
      <c r="M178" s="244"/>
      <c r="N178" s="246" t="str">
        <f>_xlfn.TEXTJOIN("",TRUE,H_unit[[#This Row],[Exact]],H_unit[[#This Row],[Exact+n]],H_unit[[#This Row],[Copilot]])</f>
        <v>Kotka</v>
      </c>
      <c r="O178" s="246" t="str">
        <f>_xlfn.XLOOKUP(H_unit[[#This Row],[Municipality]],Municipality[Municipality],Municipality[Model],"")</f>
        <v>South East</v>
      </c>
      <c r="P178" s="236"/>
    </row>
    <row r="179" spans="1:16">
      <c r="A179" s="238" t="s">
        <v>1576</v>
      </c>
      <c r="B179" s="238" t="s">
        <v>1577</v>
      </c>
      <c r="C179" s="240" t="str" cm="1">
        <f t="array" ref="C179">" "&amp;LOWER(_xlfn.REDUCE(H_unit[[#This Row],[Company]]&amp;" "&amp;H_unit[[#This Row],[Unit]],{",",".","(",")","/"},_xlfn.LAMBDA(_xlpm.txt,_xlpm.delim,SUBSTITUTE(_xlpm.txt,_xlpm.delim," "))))&amp;" "</f>
        <v xml:space="preserve"> kannuksen kaukolämpö oy kpa-keskus </v>
      </c>
      <c r="D179" s="242">
        <v>1980</v>
      </c>
      <c r="E179" s="243">
        <v>21.9</v>
      </c>
      <c r="F179" s="243"/>
      <c r="G179" s="247"/>
      <c r="H179" s="267" t="s">
        <v>1423</v>
      </c>
      <c r="I179" s="248" t="s">
        <v>1143</v>
      </c>
      <c r="J179" s="246" t="str" cm="1">
        <f t="array" ref="J179">_xlfn.XLOOKUP(TRUE,ISNUMBER(SEARCH(" "&amp;Municipality[Municipality]&amp;" ",H_unit[[#This Row],[Info string]])),Municipality[Municipality],"")</f>
        <v/>
      </c>
      <c r="K179" s="246" t="str" cm="1">
        <f t="array" ref="K179">IF(H_unit[[#This Row],[Exact]]&lt;&gt;"","",_xlfn.XLOOKUP(TRUE,ISNUMBER(SEARCH(" "&amp;Municipality[Municipality]&amp;"n ",H_unit[[#This Row],[Info string]])),Municipality[Municipality],""))</f>
        <v/>
      </c>
      <c r="L179" s="246" t="s">
        <v>674</v>
      </c>
      <c r="M179" s="244" t="s">
        <v>2924</v>
      </c>
      <c r="N179" s="246" t="str">
        <f>_xlfn.TEXTJOIN("",TRUE,H_unit[[#This Row],[Exact]],H_unit[[#This Row],[Exact+n]],H_unit[[#This Row],[Copilot]])</f>
        <v>Kannus</v>
      </c>
      <c r="O179" s="246" t="str">
        <f>_xlfn.XLOOKUP(H_unit[[#This Row],[Municipality]],Municipality[Municipality],Municipality[Model],"")</f>
        <v>West</v>
      </c>
      <c r="P179" s="236"/>
    </row>
    <row r="180" spans="1:16">
      <c r="A180" s="238" t="s">
        <v>1910</v>
      </c>
      <c r="B180" s="238" t="s">
        <v>1911</v>
      </c>
      <c r="C180" s="240" t="str" cm="1">
        <f t="array" ref="C180">" "&amp;LOWER(_xlfn.REDUCE(H_unit[[#This Row],[Company]]&amp;" "&amp;H_unit[[#This Row],[Unit]],{",",".","(",")","/"},_xlfn.LAMBDA(_xlpm.txt,_xlpm.delim,SUBSTITUTE(_xlpm.txt,_xlpm.delim," "))))&amp;" "</f>
        <v xml:space="preserve"> nevel oy  ilomantsi teollisuustie </v>
      </c>
      <c r="D180" s="242" t="s">
        <v>1448</v>
      </c>
      <c r="E180" s="243">
        <v>21.6</v>
      </c>
      <c r="F180" s="243"/>
      <c r="G180" s="247"/>
      <c r="H180" s="267" t="s">
        <v>1423</v>
      </c>
      <c r="I180" s="248" t="s">
        <v>1143</v>
      </c>
      <c r="J180" s="246" t="str" cm="1">
        <f t="array" ref="J180">_xlfn.XLOOKUP(TRUE,ISNUMBER(SEARCH(" "&amp;Municipality[Municipality]&amp;" ",H_unit[[#This Row],[Info string]])),Municipality[Municipality],"")</f>
        <v>Ilomantsi</v>
      </c>
      <c r="K180" s="246" t="str" cm="1">
        <f t="array" ref="K180">IF(H_unit[[#This Row],[Exact]]&lt;&gt;"","",_xlfn.XLOOKUP(TRUE,ISNUMBER(SEARCH(" "&amp;Municipality[Municipality]&amp;"n ",H_unit[[#This Row],[Info string]])),Municipality[Municipality],""))</f>
        <v/>
      </c>
      <c r="L180" s="246"/>
      <c r="M180" s="244"/>
      <c r="N180" s="246" t="str">
        <f>_xlfn.TEXTJOIN("",TRUE,H_unit[[#This Row],[Exact]],H_unit[[#This Row],[Exact+n]],H_unit[[#This Row],[Copilot]])</f>
        <v>Ilomantsi</v>
      </c>
      <c r="O180" s="246" t="str">
        <f>_xlfn.XLOOKUP(H_unit[[#This Row],[Municipality]],Municipality[Municipality],Municipality[Model],"")</f>
        <v>East</v>
      </c>
      <c r="P180" s="236"/>
    </row>
    <row r="181" spans="1:16">
      <c r="A181" s="238" t="s">
        <v>1522</v>
      </c>
      <c r="B181" s="238" t="s">
        <v>1524</v>
      </c>
      <c r="C181" s="240" t="str" cm="1">
        <f t="array" ref="C181">" "&amp;LOWER(_xlfn.REDUCE(H_unit[[#This Row],[Company]]&amp;" "&amp;H_unit[[#This Row],[Unit]],{",",".","(",")","/"},_xlfn.LAMBDA(_xlpm.txt,_xlpm.delim,SUBSTITUTE(_xlpm.txt,_xlpm.delim," "))))&amp;" "</f>
        <v xml:space="preserve"> herrfors oy ab  ylivieska tulolantie </v>
      </c>
      <c r="D181" s="242">
        <v>1993</v>
      </c>
      <c r="E181" s="243">
        <v>21</v>
      </c>
      <c r="F181" s="243">
        <v>5.8</v>
      </c>
      <c r="G181" s="247"/>
      <c r="H181" s="267" t="s">
        <v>1439</v>
      </c>
      <c r="I181" s="248" t="s">
        <v>1153</v>
      </c>
      <c r="J181" s="246" t="str" cm="1">
        <f t="array" ref="J181">_xlfn.XLOOKUP(TRUE,ISNUMBER(SEARCH(" "&amp;Municipality[Municipality]&amp;" ",H_unit[[#This Row],[Info string]])),Municipality[Municipality],"")</f>
        <v>Ylivieska</v>
      </c>
      <c r="K181" s="246" t="str" cm="1">
        <f t="array" ref="K181">IF(H_unit[[#This Row],[Exact]]&lt;&gt;"","",_xlfn.XLOOKUP(TRUE,ISNUMBER(SEARCH(" "&amp;Municipality[Municipality]&amp;"n ",H_unit[[#This Row],[Info string]])),Municipality[Municipality],""))</f>
        <v/>
      </c>
      <c r="L181" s="246"/>
      <c r="M181" s="244"/>
      <c r="N181" s="246" t="str">
        <f>_xlfn.TEXTJOIN("",TRUE,H_unit[[#This Row],[Exact]],H_unit[[#This Row],[Exact+n]],H_unit[[#This Row],[Copilot]])</f>
        <v>Ylivieska</v>
      </c>
      <c r="O181" s="246" t="str">
        <f>_xlfn.XLOOKUP(H_unit[[#This Row],[Municipality]],Municipality[Municipality],Municipality[Model],"")</f>
        <v>North</v>
      </c>
      <c r="P181" s="236"/>
    </row>
    <row r="182" spans="1:16">
      <c r="A182" s="238" t="s">
        <v>1655</v>
      </c>
      <c r="B182" s="238" t="s">
        <v>1657</v>
      </c>
      <c r="C182" s="240" t="str" cm="1">
        <f t="array" ref="C182">" "&amp;LOWER(_xlfn.REDUCE(H_unit[[#This Row],[Company]]&amp;" "&amp;H_unit[[#This Row],[Unit]],{",",".","(",")","/"},_xlfn.LAMBDA(_xlpm.txt,_xlpm.delim,SUBSTITUTE(_xlpm.txt,_xlpm.delim," "))))&amp;" "</f>
        <v xml:space="preserve"> kotkan energia oy loitsutie 2 </v>
      </c>
      <c r="D182" s="242">
        <v>1972</v>
      </c>
      <c r="E182" s="243">
        <v>20.9</v>
      </c>
      <c r="F182" s="243"/>
      <c r="G182" s="247"/>
      <c r="H182" s="267" t="s">
        <v>1430</v>
      </c>
      <c r="I182" s="248" t="s">
        <v>1141</v>
      </c>
      <c r="J182" s="246" t="str" cm="1">
        <f t="array" ref="J182">_xlfn.XLOOKUP(TRUE,ISNUMBER(SEARCH(" "&amp;Municipality[Municipality]&amp;" ",H_unit[[#This Row],[Info string]])),Municipality[Municipality],"")</f>
        <v/>
      </c>
      <c r="K182" s="246" t="str" cm="1">
        <f t="array" ref="K182">IF(H_unit[[#This Row],[Exact]]&lt;&gt;"","",_xlfn.XLOOKUP(TRUE,ISNUMBER(SEARCH(" "&amp;Municipality[Municipality]&amp;"n ",H_unit[[#This Row],[Info string]])),Municipality[Municipality],""))</f>
        <v>Kotka</v>
      </c>
      <c r="L182" s="246"/>
      <c r="M182" s="244"/>
      <c r="N182" s="246" t="str">
        <f>_xlfn.TEXTJOIN("",TRUE,H_unit[[#This Row],[Exact]],H_unit[[#This Row],[Exact+n]],H_unit[[#This Row],[Copilot]])</f>
        <v>Kotka</v>
      </c>
      <c r="O182" s="246" t="str">
        <f>_xlfn.XLOOKUP(H_unit[[#This Row],[Municipality]],Municipality[Municipality],Municipality[Model],"")</f>
        <v>South East</v>
      </c>
      <c r="P182" s="236"/>
    </row>
    <row r="183" spans="1:16">
      <c r="A183" s="238" t="s">
        <v>2253</v>
      </c>
      <c r="B183" s="238" t="s">
        <v>2256</v>
      </c>
      <c r="C183" s="240" t="str" cm="1">
        <f t="array" ref="C183">" "&amp;LOWER(_xlfn.REDUCE(H_unit[[#This Row],[Company]]&amp;" "&amp;H_unit[[#This Row],[Unit]],{",",".","(",")","/"},_xlfn.LAMBDA(_xlpm.txt,_xlpm.delim,SUBSTITUTE(_xlpm.txt,_xlpm.delim," "))))&amp;" "</f>
        <v xml:space="preserve"> vsv energia oy valmet </v>
      </c>
      <c r="D183" s="242">
        <v>1968</v>
      </c>
      <c r="E183" s="243">
        <v>20</v>
      </c>
      <c r="F183" s="243"/>
      <c r="G183" s="247"/>
      <c r="H183" s="267" t="s">
        <v>1418</v>
      </c>
      <c r="I183" s="248" t="s">
        <v>1141</v>
      </c>
      <c r="J183" s="246" t="str" cm="1">
        <f t="array" ref="J183">_xlfn.XLOOKUP(TRUE,ISNUMBER(SEARCH(" "&amp;Municipality[Municipality]&amp;" ",H_unit[[#This Row],[Info string]])),Municipality[Municipality],"")</f>
        <v/>
      </c>
      <c r="K183" s="246" t="str" cm="1">
        <f t="array" ref="K183">IF(H_unit[[#This Row],[Exact]]&lt;&gt;"","",_xlfn.XLOOKUP(TRUE,ISNUMBER(SEARCH(" "&amp;Municipality[Municipality]&amp;"n ",H_unit[[#This Row],[Info string]])),Municipality[Municipality],""))</f>
        <v/>
      </c>
      <c r="L183" s="246" t="s">
        <v>955</v>
      </c>
      <c r="M183" s="244" t="s">
        <v>2899</v>
      </c>
      <c r="N183" s="246" t="str">
        <f>_xlfn.TEXTJOIN("",TRUE,H_unit[[#This Row],[Exact]],H_unit[[#This Row],[Exact+n]],H_unit[[#This Row],[Copilot]])</f>
        <v>Uusikaupunki</v>
      </c>
      <c r="O183" s="246" t="str">
        <f>_xlfn.XLOOKUP(H_unit[[#This Row],[Municipality]],Municipality[Municipality],Municipality[Model],"")</f>
        <v>South West</v>
      </c>
      <c r="P183" s="236"/>
    </row>
    <row r="184" spans="1:16">
      <c r="A184" s="238" t="s">
        <v>1942</v>
      </c>
      <c r="B184" s="238" t="s">
        <v>946</v>
      </c>
      <c r="C184" s="240" t="str" cm="1">
        <f t="array" ref="C184">" "&amp;LOWER(_xlfn.REDUCE(H_unit[[#This Row],[Company]]&amp;" "&amp;H_unit[[#This Row],[Unit]],{",",".","(",")","/"},_xlfn.LAMBDA(_xlpm.txt,_xlpm.delim,SUBSTITUTE(_xlpm.txt,_xlpm.delim," "))))&amp;" "</f>
        <v xml:space="preserve"> nevel oy  sotkamo sotkamo </v>
      </c>
      <c r="D184" s="242">
        <v>1981</v>
      </c>
      <c r="E184" s="243">
        <v>20</v>
      </c>
      <c r="F184" s="243">
        <v>2</v>
      </c>
      <c r="G184" s="247"/>
      <c r="H184" s="267" t="s">
        <v>1428</v>
      </c>
      <c r="I184" s="248" t="s">
        <v>1153</v>
      </c>
      <c r="J184" s="246" t="str" cm="1">
        <f t="array" ref="J184">_xlfn.XLOOKUP(TRUE,ISNUMBER(SEARCH(" "&amp;Municipality[Municipality]&amp;" ",H_unit[[#This Row],[Info string]])),Municipality[Municipality],"")</f>
        <v>Sotkamo</v>
      </c>
      <c r="K184" s="246" t="str" cm="1">
        <f t="array" ref="K184">IF(H_unit[[#This Row],[Exact]]&lt;&gt;"","",_xlfn.XLOOKUP(TRUE,ISNUMBER(SEARCH(" "&amp;Municipality[Municipality]&amp;"n ",H_unit[[#This Row],[Info string]])),Municipality[Municipality],""))</f>
        <v/>
      </c>
      <c r="L184" s="246"/>
      <c r="M184" s="244"/>
      <c r="N184" s="246" t="str">
        <f>_xlfn.TEXTJOIN("",TRUE,H_unit[[#This Row],[Exact]],H_unit[[#This Row],[Exact+n]],H_unit[[#This Row],[Copilot]])</f>
        <v>Sotkamo</v>
      </c>
      <c r="O184" s="246" t="str">
        <f>_xlfn.XLOOKUP(H_unit[[#This Row],[Municipality]],Municipality[Municipality],Municipality[Model],"")</f>
        <v>East</v>
      </c>
      <c r="P184" s="236"/>
    </row>
    <row r="185" spans="1:16">
      <c r="A185" s="238" t="s">
        <v>2197</v>
      </c>
      <c r="B185" s="238" t="s">
        <v>2200</v>
      </c>
      <c r="C185" s="240" t="str" cm="1">
        <f t="array" ref="C185">" "&amp;LOWER(_xlfn.REDUCE(H_unit[[#This Row],[Company]]&amp;" "&amp;H_unit[[#This Row],[Unit]],{",",".","(",")","/"},_xlfn.LAMBDA(_xlpm.txt,_xlpm.delim,SUBSTITUTE(_xlpm.txt,_xlpm.delim," "))))&amp;" "</f>
        <v xml:space="preserve"> vaasan sähkö oy vaasa 1 </v>
      </c>
      <c r="D185" s="242">
        <v>1984</v>
      </c>
      <c r="E185" s="243">
        <v>20</v>
      </c>
      <c r="F185" s="243"/>
      <c r="G185" s="247"/>
      <c r="H185" s="267" t="s">
        <v>1772</v>
      </c>
      <c r="I185" s="248" t="s">
        <v>1146</v>
      </c>
      <c r="J185" s="246" t="str" cm="1">
        <f t="array" ref="J185">_xlfn.XLOOKUP(TRUE,ISNUMBER(SEARCH(" "&amp;Municipality[Municipality]&amp;" ",H_unit[[#This Row],[Info string]])),Municipality[Municipality],"")</f>
        <v>Vaasa</v>
      </c>
      <c r="K185" s="246" t="str" cm="1">
        <f t="array" ref="K185">IF(H_unit[[#This Row],[Exact]]&lt;&gt;"","",_xlfn.XLOOKUP(TRUE,ISNUMBER(SEARCH(" "&amp;Municipality[Municipality]&amp;"n ",H_unit[[#This Row],[Info string]])),Municipality[Municipality],""))</f>
        <v/>
      </c>
      <c r="L185" s="246"/>
      <c r="M185" s="244"/>
      <c r="N185" s="246" t="str">
        <f>_xlfn.TEXTJOIN("",TRUE,H_unit[[#This Row],[Exact]],H_unit[[#This Row],[Exact+n]],H_unit[[#This Row],[Copilot]])</f>
        <v>Vaasa</v>
      </c>
      <c r="O185" s="246" t="str">
        <f>_xlfn.XLOOKUP(H_unit[[#This Row],[Municipality]],Municipality[Municipality],Municipality[Model],"")</f>
        <v>West</v>
      </c>
      <c r="P185" s="236"/>
    </row>
    <row r="186" spans="1:16">
      <c r="A186" s="238" t="s">
        <v>1612</v>
      </c>
      <c r="B186" s="238" t="s">
        <v>1613</v>
      </c>
      <c r="C186" s="240" t="str" cm="1">
        <f t="array" ref="C186">" "&amp;LOWER(_xlfn.REDUCE(H_unit[[#This Row],[Company]]&amp;" "&amp;H_unit[[#This Row],[Unit]],{",",".","(",")","/"},_xlfn.LAMBDA(_xlpm.txt,_xlpm.delim,SUBSTITUTE(_xlpm.txt,_xlpm.delim," "))))&amp;" "</f>
        <v xml:space="preserve"> keravan energia oy  kerava ylikerava </v>
      </c>
      <c r="D186" s="242">
        <v>1985</v>
      </c>
      <c r="E186" s="243">
        <v>20</v>
      </c>
      <c r="F186" s="243"/>
      <c r="G186" s="247"/>
      <c r="H186" s="267" t="s">
        <v>1423</v>
      </c>
      <c r="I186" s="248" t="s">
        <v>1143</v>
      </c>
      <c r="J186" s="246" t="str" cm="1">
        <f t="array" ref="J186">_xlfn.XLOOKUP(TRUE,ISNUMBER(SEARCH(" "&amp;Municipality[Municipality]&amp;" ",H_unit[[#This Row],[Info string]])),Municipality[Municipality],"")</f>
        <v>Kerava</v>
      </c>
      <c r="K186" s="246" t="str" cm="1">
        <f t="array" ref="K186">IF(H_unit[[#This Row],[Exact]]&lt;&gt;"","",_xlfn.XLOOKUP(TRUE,ISNUMBER(SEARCH(" "&amp;Municipality[Municipality]&amp;"n ",H_unit[[#This Row],[Info string]])),Municipality[Municipality],""))</f>
        <v/>
      </c>
      <c r="L186" s="246"/>
      <c r="M186" s="244"/>
      <c r="N186" s="246" t="str">
        <f>_xlfn.TEXTJOIN("",TRUE,H_unit[[#This Row],[Exact]],H_unit[[#This Row],[Exact+n]],H_unit[[#This Row],[Copilot]])</f>
        <v>Kerava</v>
      </c>
      <c r="O186" s="246" t="str">
        <f>_xlfn.XLOOKUP(H_unit[[#This Row],[Municipality]],Municipality[Municipality],Municipality[Model],"")</f>
        <v>Uusimaa</v>
      </c>
      <c r="P186" s="236"/>
    </row>
    <row r="187" spans="1:16">
      <c r="A187" s="238" t="s">
        <v>2028</v>
      </c>
      <c r="B187" s="238" t="s">
        <v>2029</v>
      </c>
      <c r="C187" s="240" t="str" cm="1">
        <f t="array" ref="C187">" "&amp;LOWER(_xlfn.REDUCE(H_unit[[#This Row],[Company]]&amp;" "&amp;H_unit[[#This Row],[Unit]],{",",".","(",")","/"},_xlfn.LAMBDA(_xlpm.txt,_xlpm.delim,SUBSTITUTE(_xlpm.txt,_xlpm.delim," "))))&amp;" "</f>
        <v xml:space="preserve"> paimion lämpökeskus oy por </v>
      </c>
      <c r="D187" s="242">
        <v>1990</v>
      </c>
      <c r="E187" s="243">
        <v>20</v>
      </c>
      <c r="F187" s="243"/>
      <c r="G187" s="247"/>
      <c r="H187" s="267" t="s">
        <v>1418</v>
      </c>
      <c r="I187" s="248" t="s">
        <v>1141</v>
      </c>
      <c r="J187" s="246" t="str" cm="1">
        <f t="array" ref="J187">_xlfn.XLOOKUP(TRUE,ISNUMBER(SEARCH(" "&amp;Municipality[Municipality]&amp;" ",H_unit[[#This Row],[Info string]])),Municipality[Municipality],"")</f>
        <v/>
      </c>
      <c r="K187" s="246" t="str" cm="1">
        <f t="array" ref="K187">IF(H_unit[[#This Row],[Exact]]&lt;&gt;"","",_xlfn.XLOOKUP(TRUE,ISNUMBER(SEARCH(" "&amp;Municipality[Municipality]&amp;"n ",H_unit[[#This Row],[Info string]])),Municipality[Municipality],""))</f>
        <v>Paimio</v>
      </c>
      <c r="L187" s="246"/>
      <c r="M187" s="244"/>
      <c r="N187" s="246" t="str">
        <f>_xlfn.TEXTJOIN("",TRUE,H_unit[[#This Row],[Exact]],H_unit[[#This Row],[Exact+n]],H_unit[[#This Row],[Copilot]])</f>
        <v>Paimio</v>
      </c>
      <c r="O187" s="246" t="str">
        <f>_xlfn.XLOOKUP(H_unit[[#This Row],[Municipality]],Municipality[Municipality],Municipality[Model],"")</f>
        <v>South West</v>
      </c>
      <c r="P187" s="236"/>
    </row>
    <row r="188" spans="1:16">
      <c r="A188" s="238" t="s">
        <v>1570</v>
      </c>
      <c r="B188" s="238" t="s">
        <v>1572</v>
      </c>
      <c r="C188" s="240" t="str" cm="1">
        <f t="array" ref="C188">" "&amp;LOWER(_xlfn.REDUCE(H_unit[[#This Row],[Company]]&amp;" "&amp;H_unit[[#This Row],[Unit]],{",",".","(",")","/"},_xlfn.LAMBDA(_xlpm.txt,_xlpm.delim,SUBSTITUTE(_xlpm.txt,_xlpm.delim," "))))&amp;" "</f>
        <v xml:space="preserve"> kangasalan lämpö oy pikonkangas </v>
      </c>
      <c r="D188" s="242">
        <v>1999</v>
      </c>
      <c r="E188" s="243">
        <v>20</v>
      </c>
      <c r="F188" s="243"/>
      <c r="G188" s="247"/>
      <c r="H188" s="267" t="s">
        <v>1453</v>
      </c>
      <c r="I188" s="248" t="s">
        <v>1142</v>
      </c>
      <c r="J188" s="246" t="str" cm="1">
        <f t="array" ref="J188">_xlfn.XLOOKUP(TRUE,ISNUMBER(SEARCH(" "&amp;Municipality[Municipality]&amp;" ",H_unit[[#This Row],[Info string]])),Municipality[Municipality],"")</f>
        <v/>
      </c>
      <c r="K188" s="246" t="str" cm="1">
        <f t="array" ref="K188">IF(H_unit[[#This Row],[Exact]]&lt;&gt;"","",_xlfn.XLOOKUP(TRUE,ISNUMBER(SEARCH(" "&amp;Municipality[Municipality]&amp;"n ",H_unit[[#This Row],[Info string]])),Municipality[Municipality],""))</f>
        <v>Kangasala</v>
      </c>
      <c r="L188" s="246"/>
      <c r="M188" s="244"/>
      <c r="N188" s="246" t="str">
        <f>_xlfn.TEXTJOIN("",TRUE,H_unit[[#This Row],[Exact]],H_unit[[#This Row],[Exact+n]],H_unit[[#This Row],[Copilot]])</f>
        <v>Kangasala</v>
      </c>
      <c r="O188" s="246" t="str">
        <f>_xlfn.XLOOKUP(H_unit[[#This Row],[Municipality]],Municipality[Municipality],Municipality[Model],"")</f>
        <v>Center</v>
      </c>
      <c r="P188" s="236"/>
    </row>
    <row r="189" spans="1:16">
      <c r="A189" s="238" t="s">
        <v>2113</v>
      </c>
      <c r="B189" s="238" t="s">
        <v>2119</v>
      </c>
      <c r="C189" s="240" t="str" cm="1">
        <f t="array" ref="C189">" "&amp;LOWER(_xlfn.REDUCE(H_unit[[#This Row],[Company]]&amp;" "&amp;H_unit[[#This Row],[Unit]],{",",".","(",")","/"},_xlfn.LAMBDA(_xlpm.txt,_xlpm.delim,SUBSTITUTE(_xlpm.txt,_xlpm.delim," "))))&amp;" "</f>
        <v xml:space="preserve"> savon voima oyj  joensuu noljakka </v>
      </c>
      <c r="D189" s="242">
        <v>2002</v>
      </c>
      <c r="E189" s="243">
        <v>20</v>
      </c>
      <c r="F189" s="243"/>
      <c r="G189" s="247"/>
      <c r="H189" s="267" t="s">
        <v>1430</v>
      </c>
      <c r="I189" s="248" t="s">
        <v>1141</v>
      </c>
      <c r="J189" s="246" t="str" cm="1">
        <f t="array" ref="J189">_xlfn.XLOOKUP(TRUE,ISNUMBER(SEARCH(" "&amp;Municipality[Municipality]&amp;" ",H_unit[[#This Row],[Info string]])),Municipality[Municipality],"")</f>
        <v>Joensuu</v>
      </c>
      <c r="K189" s="246" t="str" cm="1">
        <f t="array" ref="K189">IF(H_unit[[#This Row],[Exact]]&lt;&gt;"","",_xlfn.XLOOKUP(TRUE,ISNUMBER(SEARCH(" "&amp;Municipality[Municipality]&amp;"n ",H_unit[[#This Row],[Info string]])),Municipality[Municipality],""))</f>
        <v/>
      </c>
      <c r="L189" s="246"/>
      <c r="M189" s="244"/>
      <c r="N189" s="246" t="str">
        <f>_xlfn.TEXTJOIN("",TRUE,H_unit[[#This Row],[Exact]],H_unit[[#This Row],[Exact+n]],H_unit[[#This Row],[Copilot]])</f>
        <v>Joensuu</v>
      </c>
      <c r="O189" s="246" t="str">
        <f>_xlfn.XLOOKUP(H_unit[[#This Row],[Municipality]],Municipality[Municipality],Municipality[Model],"")</f>
        <v>East</v>
      </c>
      <c r="P189" s="236"/>
    </row>
    <row r="190" spans="1:16">
      <c r="A190" s="238" t="s">
        <v>2101</v>
      </c>
      <c r="B190" s="238" t="s">
        <v>2104</v>
      </c>
      <c r="C190" s="240" t="str" cm="1">
        <f t="array" ref="C190">" "&amp;LOWER(_xlfn.REDUCE(H_unit[[#This Row],[Company]]&amp;" "&amp;H_unit[[#This Row],[Unit]],{",",".","(",")","/"},_xlfn.LAMBDA(_xlpm.txt,_xlpm.delim,SUBSTITUTE(_xlpm.txt,_xlpm.delim," "))))&amp;" "</f>
        <v xml:space="preserve"> salon kaukolämpö oy meriniitty </v>
      </c>
      <c r="D190" s="242">
        <v>2003</v>
      </c>
      <c r="E190" s="243">
        <v>20</v>
      </c>
      <c r="F190" s="243"/>
      <c r="G190" s="247"/>
      <c r="H190" s="267" t="s">
        <v>1418</v>
      </c>
      <c r="I190" s="248" t="s">
        <v>1141</v>
      </c>
      <c r="J190" s="246" t="str" cm="1">
        <f t="array" ref="J190">_xlfn.XLOOKUP(TRUE,ISNUMBER(SEARCH(" "&amp;Municipality[Municipality]&amp;" ",H_unit[[#This Row],[Info string]])),Municipality[Municipality],"")</f>
        <v/>
      </c>
      <c r="K190" s="246" t="str" cm="1">
        <f t="array" ref="K190">IF(H_unit[[#This Row],[Exact]]&lt;&gt;"","",_xlfn.XLOOKUP(TRUE,ISNUMBER(SEARCH(" "&amp;Municipality[Municipality]&amp;"n ",H_unit[[#This Row],[Info string]])),Municipality[Municipality],""))</f>
        <v>Salo</v>
      </c>
      <c r="L190" s="246"/>
      <c r="M190" s="244"/>
      <c r="N190" s="246" t="str">
        <f>_xlfn.TEXTJOIN("",TRUE,H_unit[[#This Row],[Exact]],H_unit[[#This Row],[Exact+n]],H_unit[[#This Row],[Copilot]])</f>
        <v>Salo</v>
      </c>
      <c r="O190" s="246" t="str">
        <f>_xlfn.XLOOKUP(H_unit[[#This Row],[Municipality]],Municipality[Municipality],Municipality[Model],"")</f>
        <v>South West</v>
      </c>
      <c r="P190" s="236"/>
    </row>
    <row r="191" spans="1:16">
      <c r="A191" s="238" t="s">
        <v>2191</v>
      </c>
      <c r="B191" s="238" t="s">
        <v>2193</v>
      </c>
      <c r="C191" s="240" t="str" cm="1">
        <f t="array" ref="C191">" "&amp;LOWER(_xlfn.REDUCE(H_unit[[#This Row],[Company]]&amp;" "&amp;H_unit[[#This Row],[Unit]],{",",".","(",")","/"},_xlfn.LAMBDA(_xlpm.txt,_xlpm.delim,SUBSTITUTE(_xlpm.txt,_xlpm.delim," "))))&amp;" "</f>
        <v xml:space="preserve"> tornion energia oy aukiokatu 2 </v>
      </c>
      <c r="D191" s="242">
        <v>2015</v>
      </c>
      <c r="E191" s="243">
        <v>20</v>
      </c>
      <c r="F191" s="243"/>
      <c r="G191" s="247"/>
      <c r="H191" s="267" t="s">
        <v>1430</v>
      </c>
      <c r="I191" s="248" t="s">
        <v>1141</v>
      </c>
      <c r="J191" s="246" t="str" cm="1">
        <f t="array" ref="J191">_xlfn.XLOOKUP(TRUE,ISNUMBER(SEARCH(" "&amp;Municipality[Municipality]&amp;" ",H_unit[[#This Row],[Info string]])),Municipality[Municipality],"")</f>
        <v/>
      </c>
      <c r="K191" s="246" t="str" cm="1">
        <f t="array" ref="K191">IF(H_unit[[#This Row],[Exact]]&lt;&gt;"","",_xlfn.XLOOKUP(TRUE,ISNUMBER(SEARCH(" "&amp;Municipality[Municipality]&amp;"n ",H_unit[[#This Row],[Info string]])),Municipality[Municipality],""))</f>
        <v>Tornio</v>
      </c>
      <c r="L191" s="246"/>
      <c r="M191" s="244"/>
      <c r="N191" s="246" t="str">
        <f>_xlfn.TEXTJOIN("",TRUE,H_unit[[#This Row],[Exact]],H_unit[[#This Row],[Exact+n]],H_unit[[#This Row],[Copilot]])</f>
        <v>Tornio</v>
      </c>
      <c r="O191" s="246" t="str">
        <f>_xlfn.XLOOKUP(H_unit[[#This Row],[Municipality]],Municipality[Municipality],Municipality[Model],"")</f>
        <v>North</v>
      </c>
      <c r="P191" s="236"/>
    </row>
    <row r="192" spans="1:16">
      <c r="A192" s="238" t="s">
        <v>2253</v>
      </c>
      <c r="B192" s="238" t="s">
        <v>1932</v>
      </c>
      <c r="C192" s="240" t="str" cm="1">
        <f t="array" ref="C192">" "&amp;LOWER(_xlfn.REDUCE(H_unit[[#This Row],[Company]]&amp;" "&amp;H_unit[[#This Row],[Unit]],{",",".","(",")","/"},_xlfn.LAMBDA(_xlpm.txt,_xlpm.delim,SUBSTITUTE(_xlpm.txt,_xlpm.delim," "))))&amp;" "</f>
        <v xml:space="preserve"> vsv energia oy kpa </v>
      </c>
      <c r="D192" s="242">
        <v>2015</v>
      </c>
      <c r="E192" s="243">
        <v>20</v>
      </c>
      <c r="F192" s="243"/>
      <c r="G192" s="247"/>
      <c r="H192" s="267" t="s">
        <v>1423</v>
      </c>
      <c r="I192" s="248" t="s">
        <v>1143</v>
      </c>
      <c r="J192" s="246" t="str" cm="1">
        <f t="array" ref="J192">_xlfn.XLOOKUP(TRUE,ISNUMBER(SEARCH(" "&amp;Municipality[Municipality]&amp;" ",H_unit[[#This Row],[Info string]])),Municipality[Municipality],"")</f>
        <v/>
      </c>
      <c r="K192" s="246" t="str" cm="1">
        <f t="array" ref="K192">IF(H_unit[[#This Row],[Exact]]&lt;&gt;"","",_xlfn.XLOOKUP(TRUE,ISNUMBER(SEARCH(" "&amp;Municipality[Municipality]&amp;"n ",H_unit[[#This Row],[Info string]])),Municipality[Municipality],""))</f>
        <v/>
      </c>
      <c r="L192" s="246" t="s">
        <v>955</v>
      </c>
      <c r="M192" s="244" t="s">
        <v>2899</v>
      </c>
      <c r="N192" s="246" t="str">
        <f>_xlfn.TEXTJOIN("",TRUE,H_unit[[#This Row],[Exact]],H_unit[[#This Row],[Exact+n]],H_unit[[#This Row],[Copilot]])</f>
        <v>Uusikaupunki</v>
      </c>
      <c r="O192" s="246" t="str">
        <f>_xlfn.XLOOKUP(H_unit[[#This Row],[Municipality]],Municipality[Municipality],Municipality[Model],"")</f>
        <v>South West</v>
      </c>
      <c r="P192" s="236"/>
    </row>
    <row r="193" spans="1:16">
      <c r="A193" s="238" t="s">
        <v>1796</v>
      </c>
      <c r="B193" s="238" t="s">
        <v>1798</v>
      </c>
      <c r="C193" s="240" t="str" cm="1">
        <f t="array" ref="C193">" "&amp;LOWER(_xlfn.REDUCE(H_unit[[#This Row],[Company]]&amp;" "&amp;H_unit[[#This Row],[Unit]],{",",".","(",")","/"},_xlfn.LAMBDA(_xlpm.txt,_xlpm.delim,SUBSTITUTE(_xlpm.txt,_xlpm.delim," "))))&amp;" "</f>
        <v xml:space="preserve"> leppäkosken lämpö oy  nokia voimalaitoksen lämpökeskus </v>
      </c>
      <c r="D193" s="242">
        <v>2017</v>
      </c>
      <c r="E193" s="243">
        <v>20</v>
      </c>
      <c r="F193" s="243"/>
      <c r="G193" s="247"/>
      <c r="H193" s="267" t="s">
        <v>1453</v>
      </c>
      <c r="I193" s="248" t="s">
        <v>1142</v>
      </c>
      <c r="J193" s="246" t="str" cm="1">
        <f t="array" ref="J193">_xlfn.XLOOKUP(TRUE,ISNUMBER(SEARCH(" "&amp;Municipality[Municipality]&amp;" ",H_unit[[#This Row],[Info string]])),Municipality[Municipality],"")</f>
        <v>Nokia</v>
      </c>
      <c r="K193" s="246" t="str" cm="1">
        <f t="array" ref="K193">IF(H_unit[[#This Row],[Exact]]&lt;&gt;"","",_xlfn.XLOOKUP(TRUE,ISNUMBER(SEARCH(" "&amp;Municipality[Municipality]&amp;"n ",H_unit[[#This Row],[Info string]])),Municipality[Municipality],""))</f>
        <v/>
      </c>
      <c r="L193" s="246"/>
      <c r="M193" s="244"/>
      <c r="N193" s="246" t="str">
        <f>_xlfn.TEXTJOIN("",TRUE,H_unit[[#This Row],[Exact]],H_unit[[#This Row],[Exact+n]],H_unit[[#This Row],[Copilot]])</f>
        <v>Nokia</v>
      </c>
      <c r="O193" s="246" t="str">
        <f>_xlfn.XLOOKUP(H_unit[[#This Row],[Municipality]],Municipality[Municipality],Municipality[Model],"")</f>
        <v>Center</v>
      </c>
      <c r="P193" s="236"/>
    </row>
    <row r="194" spans="1:16">
      <c r="A194" s="238" t="s">
        <v>1506</v>
      </c>
      <c r="B194" s="238" t="s">
        <v>1510</v>
      </c>
      <c r="C194" s="240" t="str" cm="1">
        <f t="array" ref="C194">" "&amp;LOWER(_xlfn.REDUCE(H_unit[[#This Row],[Company]]&amp;" "&amp;H_unit[[#This Row],[Unit]],{",",".","(",")","/"},_xlfn.LAMBDA(_xlpm.txt,_xlpm.delim,SUBSTITUTE(_xlpm.txt,_xlpm.delim," "))))&amp;" "</f>
        <v xml:space="preserve"> haapajärven lämpö oy rantakatu 26 a </v>
      </c>
      <c r="D194" s="242">
        <v>2020</v>
      </c>
      <c r="E194" s="243">
        <v>20</v>
      </c>
      <c r="F194" s="243"/>
      <c r="G194" s="247"/>
      <c r="H194" s="267" t="s">
        <v>1423</v>
      </c>
      <c r="I194" s="248" t="s">
        <v>1143</v>
      </c>
      <c r="J194" s="246" t="str" cm="1">
        <f t="array" ref="J194">_xlfn.XLOOKUP(TRUE,ISNUMBER(SEARCH(" "&amp;Municipality[Municipality]&amp;" ",H_unit[[#This Row],[Info string]])),Municipality[Municipality],"")</f>
        <v/>
      </c>
      <c r="K194" s="246" t="str" cm="1">
        <f t="array" ref="K194">IF(H_unit[[#This Row],[Exact]]&lt;&gt;"","",_xlfn.XLOOKUP(TRUE,ISNUMBER(SEARCH(" "&amp;Municipality[Municipality]&amp;"n ",H_unit[[#This Row],[Info string]])),Municipality[Municipality],""))</f>
        <v/>
      </c>
      <c r="L194" s="246" t="s">
        <v>2519</v>
      </c>
      <c r="M194" s="244" t="s">
        <v>2903</v>
      </c>
      <c r="N194" s="246" t="str">
        <f>_xlfn.TEXTJOIN("",TRUE,H_unit[[#This Row],[Exact]],H_unit[[#This Row],[Exact+n]],H_unit[[#This Row],[Copilot]])</f>
        <v>Haapajärvi</v>
      </c>
      <c r="O194" s="246" t="str">
        <f>_xlfn.XLOOKUP(H_unit[[#This Row],[Municipality]],Municipality[Municipality],Municipality[Model],"")</f>
        <v>North</v>
      </c>
      <c r="P194" s="236"/>
    </row>
    <row r="195" spans="1:16">
      <c r="A195" s="238" t="s">
        <v>1854</v>
      </c>
      <c r="B195" s="238" t="s">
        <v>1855</v>
      </c>
      <c r="C195" s="240" t="str" cm="1">
        <f t="array" ref="C195">" "&amp;LOWER(_xlfn.REDUCE(H_unit[[#This Row],[Company]]&amp;" "&amp;H_unit[[#This Row],[Unit]],{",",".","(",")","/"},_xlfn.LAMBDA(_xlpm.txt,_xlpm.delim,SUBSTITUTE(_xlpm.txt,_xlpm.delim," "))))&amp;" "</f>
        <v xml:space="preserve"> loimua oy  janakkala turengin lk </v>
      </c>
      <c r="D195" s="242" t="s">
        <v>1448</v>
      </c>
      <c r="E195" s="243">
        <v>20</v>
      </c>
      <c r="F195" s="243"/>
      <c r="G195" s="247"/>
      <c r="H195" s="267" t="s">
        <v>1453</v>
      </c>
      <c r="I195" s="248" t="s">
        <v>1142</v>
      </c>
      <c r="J195" s="246" t="str" cm="1">
        <f t="array" ref="J195">_xlfn.XLOOKUP(TRUE,ISNUMBER(SEARCH(" "&amp;Municipality[Municipality]&amp;" ",H_unit[[#This Row],[Info string]])),Municipality[Municipality],"")</f>
        <v>Janakkala</v>
      </c>
      <c r="K195" s="246" t="str" cm="1">
        <f t="array" ref="K195">IF(H_unit[[#This Row],[Exact]]&lt;&gt;"","",_xlfn.XLOOKUP(TRUE,ISNUMBER(SEARCH(" "&amp;Municipality[Municipality]&amp;"n ",H_unit[[#This Row],[Info string]])),Municipality[Municipality],""))</f>
        <v/>
      </c>
      <c r="L195" s="246"/>
      <c r="M195" s="244"/>
      <c r="N195" s="246" t="str">
        <f>_xlfn.TEXTJOIN("",TRUE,H_unit[[#This Row],[Exact]],H_unit[[#This Row],[Exact+n]],H_unit[[#This Row],[Copilot]])</f>
        <v>Janakkala</v>
      </c>
      <c r="O195" s="246" t="str">
        <f>_xlfn.XLOOKUP(H_unit[[#This Row],[Municipality]],Municipality[Municipality],Municipality[Model],"")</f>
        <v>South West</v>
      </c>
      <c r="P195" s="236"/>
    </row>
    <row r="196" spans="1:16">
      <c r="A196" s="238" t="s">
        <v>2354</v>
      </c>
      <c r="B196" s="238" t="s">
        <v>908</v>
      </c>
      <c r="C196" s="240" t="str" cm="1">
        <f t="array" ref="C196">" "&amp;LOWER(_xlfn.REDUCE(H_unit[[#This Row],[Company]]&amp;" "&amp;H_unit[[#This Row],[Unit]],{",",".","(",")","/"},_xlfn.LAMBDA(_xlpm.txt,_xlpm.delim,SUBSTITUTE(_xlpm.txt,_xlpm.delim," "))))&amp;" "</f>
        <v xml:space="preserve"> neova oy  ilomantsin laitosalue ilomantsin pellettitehdas </v>
      </c>
      <c r="D196" s="242">
        <v>2006</v>
      </c>
      <c r="E196" s="243">
        <v>19.899999999999999</v>
      </c>
      <c r="F196" s="243">
        <v>3.5</v>
      </c>
      <c r="G196" s="247"/>
      <c r="H196" s="267" t="s">
        <v>1428</v>
      </c>
      <c r="I196" s="248" t="s">
        <v>2345</v>
      </c>
      <c r="J196" s="246" t="str" cm="1">
        <f t="array" ref="J196">_xlfn.XLOOKUP(TRUE,ISNUMBER(SEARCH(" "&amp;Municipality[Municipality]&amp;" ",H_unit[[#This Row],[Info string]])),Municipality[Municipality],"")</f>
        <v/>
      </c>
      <c r="K196" s="246" t="str" cm="1">
        <f t="array" ref="K196">IF(H_unit[[#This Row],[Exact]]&lt;&gt;"","",_xlfn.XLOOKUP(TRUE,ISNUMBER(SEARCH(" "&amp;Municipality[Municipality]&amp;"n ",H_unit[[#This Row],[Info string]])),Municipality[Municipality],""))</f>
        <v>Ilomantsi</v>
      </c>
      <c r="L196" s="246"/>
      <c r="M196" s="244"/>
      <c r="N196" s="246" t="str">
        <f>_xlfn.TEXTJOIN("",TRUE,H_unit[[#This Row],[Exact]],H_unit[[#This Row],[Exact+n]],H_unit[[#This Row],[Copilot]])</f>
        <v>Ilomantsi</v>
      </c>
      <c r="O196" s="246" t="str">
        <f>_xlfn.XLOOKUP(H_unit[[#This Row],[Municipality]],Municipality[Municipality],Municipality[Model],"")</f>
        <v>East</v>
      </c>
      <c r="P196" s="236"/>
    </row>
    <row r="197" spans="1:16">
      <c r="A197" s="238" t="s">
        <v>2038</v>
      </c>
      <c r="B197" s="238" t="s">
        <v>2039</v>
      </c>
      <c r="C197" s="240" t="str" cm="1">
        <f t="array" ref="C197">" "&amp;LOWER(_xlfn.REDUCE(H_unit[[#This Row],[Company]]&amp;" "&amp;H_unit[[#This Row],[Unit]],{",",".","(",")","/"},_xlfn.LAMBDA(_xlpm.txt,_xlpm.delim,SUBSTITUTE(_xlpm.txt,_xlpm.delim," "))))&amp;" "</f>
        <v xml:space="preserve"> pori energia oy  harjavalta harjavalta 1 </v>
      </c>
      <c r="D197" s="242">
        <v>1967</v>
      </c>
      <c r="E197" s="243">
        <v>19.8</v>
      </c>
      <c r="F197" s="243"/>
      <c r="G197" s="247"/>
      <c r="H197" s="267" t="s">
        <v>1430</v>
      </c>
      <c r="I197" s="248" t="s">
        <v>1141</v>
      </c>
      <c r="J197" s="246" t="str" cm="1">
        <f t="array" ref="J197">_xlfn.XLOOKUP(TRUE,ISNUMBER(SEARCH(" "&amp;Municipality[Municipality]&amp;" ",H_unit[[#This Row],[Info string]])),Municipality[Municipality],"")</f>
        <v>Pori</v>
      </c>
      <c r="K197" s="246" t="str" cm="1">
        <f t="array" ref="K197">IF(H_unit[[#This Row],[Exact]]&lt;&gt;"","",_xlfn.XLOOKUP(TRUE,ISNUMBER(SEARCH(" "&amp;Municipality[Municipality]&amp;"n ",H_unit[[#This Row],[Info string]])),Municipality[Municipality],""))</f>
        <v/>
      </c>
      <c r="L197" s="246"/>
      <c r="M197" s="244"/>
      <c r="N197" s="246" t="str">
        <f>_xlfn.TEXTJOIN("",TRUE,H_unit[[#This Row],[Exact]],H_unit[[#This Row],[Exact+n]],H_unit[[#This Row],[Copilot]])</f>
        <v>Pori</v>
      </c>
      <c r="O197" s="246" t="str">
        <f>_xlfn.XLOOKUP(H_unit[[#This Row],[Municipality]],Municipality[Municipality],Municipality[Model],"")</f>
        <v>West</v>
      </c>
      <c r="P197" s="236"/>
    </row>
    <row r="198" spans="1:16">
      <c r="A198" s="238" t="s">
        <v>2205</v>
      </c>
      <c r="B198" s="238" t="s">
        <v>1508</v>
      </c>
      <c r="C198" s="240" t="str" cm="1">
        <f t="array" ref="C198">" "&amp;LOWER(_xlfn.REDUCE(H_unit[[#This Row],[Company]]&amp;" "&amp;H_unit[[#This Row],[Unit]],{",",".","(",")","/"},_xlfn.LAMBDA(_xlpm.txt,_xlpm.delim,SUBSTITUTE(_xlpm.txt,_xlpm.delim," "))))&amp;" "</f>
        <v xml:space="preserve"> valkeakosken energia oy klk 2 </v>
      </c>
      <c r="D198" s="242">
        <v>1990</v>
      </c>
      <c r="E198" s="243">
        <v>19.100000000000001</v>
      </c>
      <c r="F198" s="243"/>
      <c r="G198" s="247"/>
      <c r="H198" s="267" t="s">
        <v>1453</v>
      </c>
      <c r="I198" s="248" t="s">
        <v>1142</v>
      </c>
      <c r="J198" s="246" t="str" cm="1">
        <f t="array" ref="J198">_xlfn.XLOOKUP(TRUE,ISNUMBER(SEARCH(" "&amp;Municipality[Municipality]&amp;" ",H_unit[[#This Row],[Info string]])),Municipality[Municipality],"")</f>
        <v/>
      </c>
      <c r="K198" s="246" t="str" cm="1">
        <f t="array" ref="K198">IF(H_unit[[#This Row],[Exact]]&lt;&gt;"","",_xlfn.XLOOKUP(TRUE,ISNUMBER(SEARCH(" "&amp;Municipality[Municipality]&amp;"n ",H_unit[[#This Row],[Info string]])),Municipality[Municipality],""))</f>
        <v/>
      </c>
      <c r="L198" s="246" t="s">
        <v>2821</v>
      </c>
      <c r="M198" s="244" t="s">
        <v>2904</v>
      </c>
      <c r="N198" s="246" t="str">
        <f>_xlfn.TEXTJOIN("",TRUE,H_unit[[#This Row],[Exact]],H_unit[[#This Row],[Exact+n]],H_unit[[#This Row],[Copilot]])</f>
        <v>Valkeakoski</v>
      </c>
      <c r="O198" s="246" t="str">
        <f>_xlfn.XLOOKUP(H_unit[[#This Row],[Municipality]],Municipality[Municipality],Municipality[Model],"")</f>
        <v>Center</v>
      </c>
      <c r="P198" s="236"/>
    </row>
    <row r="199" spans="1:16">
      <c r="A199" s="238" t="s">
        <v>2260</v>
      </c>
      <c r="B199" s="238" t="s">
        <v>2261</v>
      </c>
      <c r="C199" s="240" t="str" cm="1">
        <f t="array" ref="C199">" "&amp;LOWER(_xlfn.REDUCE(H_unit[[#This Row],[Company]]&amp;" "&amp;H_unit[[#This Row],[Unit]],{",",".","(",")","/"},_xlfn.LAMBDA(_xlpm.txt,_xlpm.delim,SUBSTITUTE(_xlpm.txt,_xlpm.delim," "))))&amp;" "</f>
        <v xml:space="preserve"> äänekosken energia oy äänekoski saunatie </v>
      </c>
      <c r="D199" s="242">
        <v>2010</v>
      </c>
      <c r="E199" s="243">
        <v>19.100000000000001</v>
      </c>
      <c r="F199" s="243"/>
      <c r="G199" s="247"/>
      <c r="H199" s="267" t="s">
        <v>1430</v>
      </c>
      <c r="I199" s="248" t="s">
        <v>1141</v>
      </c>
      <c r="J199" s="246" t="str" cm="1">
        <f t="array" ref="J199">_xlfn.XLOOKUP(TRUE,ISNUMBER(SEARCH(" "&amp;Municipality[Municipality]&amp;" ",H_unit[[#This Row],[Info string]])),Municipality[Municipality],"")</f>
        <v>Äänekoski</v>
      </c>
      <c r="K199" s="246" t="str" cm="1">
        <f t="array" ref="K199">IF(H_unit[[#This Row],[Exact]]&lt;&gt;"","",_xlfn.XLOOKUP(TRUE,ISNUMBER(SEARCH(" "&amp;Municipality[Municipality]&amp;"n ",H_unit[[#This Row],[Info string]])),Municipality[Municipality],""))</f>
        <v/>
      </c>
      <c r="L199" s="246"/>
      <c r="M199" s="244"/>
      <c r="N199" s="246" t="str">
        <f>_xlfn.TEXTJOIN("",TRUE,H_unit[[#This Row],[Exact]],H_unit[[#This Row],[Exact+n]],H_unit[[#This Row],[Copilot]])</f>
        <v>Äänekoski</v>
      </c>
      <c r="O199" s="246" t="str">
        <f>_xlfn.XLOOKUP(H_unit[[#This Row],[Municipality]],Municipality[Municipality],Municipality[Model],"")</f>
        <v>Center</v>
      </c>
      <c r="P199" s="236"/>
    </row>
    <row r="200" spans="1:16">
      <c r="A200" s="238" t="s">
        <v>1782</v>
      </c>
      <c r="B200" s="238" t="s">
        <v>1784</v>
      </c>
      <c r="C200" s="240" t="str" cm="1">
        <f t="array" ref="C200">" "&amp;LOWER(_xlfn.REDUCE(H_unit[[#This Row],[Company]]&amp;" "&amp;H_unit[[#This Row],[Unit]],{",",".","(",")","/"},_xlfn.LAMBDA(_xlpm.txt,_xlpm.delim,SUBSTITUTE(_xlpm.txt,_xlpm.delim," "))))&amp;" "</f>
        <v xml:space="preserve"> lempäälän lämpö oy makasiinitie </v>
      </c>
      <c r="D200" s="242">
        <v>1994</v>
      </c>
      <c r="E200" s="243">
        <v>19</v>
      </c>
      <c r="F200" s="243"/>
      <c r="G200" s="247"/>
      <c r="H200" s="267" t="s">
        <v>1453</v>
      </c>
      <c r="I200" s="248" t="s">
        <v>1142</v>
      </c>
      <c r="J200" s="246" t="str" cm="1">
        <f t="array" ref="J200">_xlfn.XLOOKUP(TRUE,ISNUMBER(SEARCH(" "&amp;Municipality[Municipality]&amp;" ",H_unit[[#This Row],[Info string]])),Municipality[Municipality],"")</f>
        <v/>
      </c>
      <c r="K200" s="246" t="str" cm="1">
        <f t="array" ref="K200">IF(H_unit[[#This Row],[Exact]]&lt;&gt;"","",_xlfn.XLOOKUP(TRUE,ISNUMBER(SEARCH(" "&amp;Municipality[Municipality]&amp;"n ",H_unit[[#This Row],[Info string]])),Municipality[Municipality],""))</f>
        <v>Lempäälä</v>
      </c>
      <c r="L200" s="246"/>
      <c r="M200" s="244"/>
      <c r="N200" s="246" t="str">
        <f>_xlfn.TEXTJOIN("",TRUE,H_unit[[#This Row],[Exact]],H_unit[[#This Row],[Exact+n]],H_unit[[#This Row],[Copilot]])</f>
        <v>Lempäälä</v>
      </c>
      <c r="O200" s="246" t="str">
        <f>_xlfn.XLOOKUP(H_unit[[#This Row],[Municipality]],Municipality[Municipality],Municipality[Model],"")</f>
        <v>Center</v>
      </c>
      <c r="P200" s="236"/>
    </row>
    <row r="201" spans="1:16">
      <c r="A201" s="238" t="s">
        <v>1530</v>
      </c>
      <c r="B201" s="238" t="s">
        <v>1537</v>
      </c>
      <c r="C201" s="240" t="str" cm="1">
        <f t="array" ref="C201">" "&amp;LOWER(_xlfn.REDUCE(H_unit[[#This Row],[Company]]&amp;" "&amp;H_unit[[#This Row],[Unit]],{",",".","(",")","/"},_xlfn.LAMBDA(_xlpm.txt,_xlpm.delim,SUBSTITUTE(_xlpm.txt,_xlpm.delim," "))))&amp;" "</f>
        <v xml:space="preserve"> imatran lämpö oy honkaharju </v>
      </c>
      <c r="D201" s="242">
        <v>2007</v>
      </c>
      <c r="E201" s="243">
        <v>19</v>
      </c>
      <c r="F201" s="243"/>
      <c r="G201" s="247"/>
      <c r="H201" s="267" t="s">
        <v>1453</v>
      </c>
      <c r="I201" s="248" t="s">
        <v>1142</v>
      </c>
      <c r="J201" s="246" t="str" cm="1">
        <f t="array" ref="J201">_xlfn.XLOOKUP(TRUE,ISNUMBER(SEARCH(" "&amp;Municipality[Municipality]&amp;" ",H_unit[[#This Row],[Info string]])),Municipality[Municipality],"")</f>
        <v/>
      </c>
      <c r="K201" s="246" t="str" cm="1">
        <f t="array" ref="K201">IF(H_unit[[#This Row],[Exact]]&lt;&gt;"","",_xlfn.XLOOKUP(TRUE,ISNUMBER(SEARCH(" "&amp;Municipality[Municipality]&amp;"n ",H_unit[[#This Row],[Info string]])),Municipality[Municipality],""))</f>
        <v>Imatra</v>
      </c>
      <c r="L201" s="246"/>
      <c r="M201" s="244"/>
      <c r="N201" s="246" t="str">
        <f>_xlfn.TEXTJOIN("",TRUE,H_unit[[#This Row],[Exact]],H_unit[[#This Row],[Exact+n]],H_unit[[#This Row],[Copilot]])</f>
        <v>Imatra</v>
      </c>
      <c r="O201" s="246" t="str">
        <f>_xlfn.XLOOKUP(H_unit[[#This Row],[Municipality]],Municipality[Municipality],Municipality[Model],"")</f>
        <v>South East</v>
      </c>
      <c r="P201" s="236"/>
    </row>
    <row r="202" spans="1:16">
      <c r="A202" s="238" t="s">
        <v>1963</v>
      </c>
      <c r="B202" s="238" t="s">
        <v>1966</v>
      </c>
      <c r="C202" s="240" t="str" cm="1">
        <f t="array" ref="C202">" "&amp;LOWER(_xlfn.REDUCE(H_unit[[#This Row],[Company]]&amp;" "&amp;H_unit[[#This Row],[Unit]],{",",".","(",")","/"},_xlfn.LAMBDA(_xlpm.txt,_xlpm.delim,SUBSTITUTE(_xlpm.txt,_xlpm.delim," "))))&amp;" "</f>
        <v xml:space="preserve"> nivos vesi ja lämpö oy  mäntsälä liedontie </v>
      </c>
      <c r="D202" s="242">
        <v>2007</v>
      </c>
      <c r="E202" s="243">
        <v>19</v>
      </c>
      <c r="F202" s="243"/>
      <c r="G202" s="247"/>
      <c r="H202" s="267" t="s">
        <v>1453</v>
      </c>
      <c r="I202" s="248" t="s">
        <v>1142</v>
      </c>
      <c r="J202" s="246" t="str" cm="1">
        <f t="array" ref="J202">_xlfn.XLOOKUP(TRUE,ISNUMBER(SEARCH(" "&amp;Municipality[Municipality]&amp;" ",H_unit[[#This Row],[Info string]])),Municipality[Municipality],"")</f>
        <v>Mäntsälä</v>
      </c>
      <c r="K202" s="246" t="str" cm="1">
        <f t="array" ref="K202">IF(H_unit[[#This Row],[Exact]]&lt;&gt;"","",_xlfn.XLOOKUP(TRUE,ISNUMBER(SEARCH(" "&amp;Municipality[Municipality]&amp;"n ",H_unit[[#This Row],[Info string]])),Municipality[Municipality],""))</f>
        <v/>
      </c>
      <c r="L202" s="246"/>
      <c r="M202" s="244"/>
      <c r="N202" s="246" t="str">
        <f>_xlfn.TEXTJOIN("",TRUE,H_unit[[#This Row],[Exact]],H_unit[[#This Row],[Exact+n]],H_unit[[#This Row],[Copilot]])</f>
        <v>Mäntsälä</v>
      </c>
      <c r="O202" s="246" t="str">
        <f>_xlfn.XLOOKUP(H_unit[[#This Row],[Municipality]],Municipality[Municipality],Municipality[Model],"")</f>
        <v>Uusimaa</v>
      </c>
      <c r="P202" s="236"/>
    </row>
    <row r="203" spans="1:16">
      <c r="A203" s="238" t="s">
        <v>1624</v>
      </c>
      <c r="B203" s="238" t="s">
        <v>1632</v>
      </c>
      <c r="C203" s="240" t="str" cm="1">
        <f t="array" ref="C203">" "&amp;LOWER(_xlfn.REDUCE(H_unit[[#This Row],[Company]]&amp;" "&amp;H_unit[[#This Row],[Unit]],{",",".","(",")","/"},_xlfn.LAMBDA(_xlpm.txt,_xlpm.delim,SUBSTITUTE(_xlpm.txt,_xlpm.delim," "))))&amp;" "</f>
        <v xml:space="preserve"> keuruun lämpövoima oy varissaari 1 </v>
      </c>
      <c r="D203" s="242">
        <v>2010</v>
      </c>
      <c r="E203" s="243">
        <v>18.899999999999999</v>
      </c>
      <c r="F203" s="243">
        <v>5</v>
      </c>
      <c r="G203" s="247"/>
      <c r="H203" s="267" t="s">
        <v>1423</v>
      </c>
      <c r="I203" s="248" t="s">
        <v>1153</v>
      </c>
      <c r="J203" s="246" t="str" cm="1">
        <f t="array" ref="J203">_xlfn.XLOOKUP(TRUE,ISNUMBER(SEARCH(" "&amp;Municipality[Municipality]&amp;" ",H_unit[[#This Row],[Info string]])),Municipality[Municipality],"")</f>
        <v/>
      </c>
      <c r="K203" s="246" t="str" cm="1">
        <f t="array" ref="K203">IF(H_unit[[#This Row],[Exact]]&lt;&gt;"","",_xlfn.XLOOKUP(TRUE,ISNUMBER(SEARCH(" "&amp;Municipality[Municipality]&amp;"n ",H_unit[[#This Row],[Info string]])),Municipality[Municipality],""))</f>
        <v>Keuruu</v>
      </c>
      <c r="L203" s="246"/>
      <c r="M203" s="244"/>
      <c r="N203" s="246" t="str">
        <f>_xlfn.TEXTJOIN("",TRUE,H_unit[[#This Row],[Exact]],H_unit[[#This Row],[Exact+n]],H_unit[[#This Row],[Copilot]])</f>
        <v>Keuruu</v>
      </c>
      <c r="O203" s="246" t="str">
        <f>_xlfn.XLOOKUP(H_unit[[#This Row],[Municipality]],Municipality[Municipality],Municipality[Model],"")</f>
        <v>Center</v>
      </c>
      <c r="P203" s="236"/>
    </row>
    <row r="204" spans="1:16">
      <c r="A204" s="238" t="s">
        <v>2101</v>
      </c>
      <c r="B204" s="238" t="s">
        <v>2102</v>
      </c>
      <c r="C204" s="240" t="str" cm="1">
        <f t="array" ref="C204">" "&amp;LOWER(_xlfn.REDUCE(H_unit[[#This Row],[Company]]&amp;" "&amp;H_unit[[#This Row],[Unit]],{",",".","(",")","/"},_xlfn.LAMBDA(_xlpm.txt,_xlpm.delim,SUBSTITUTE(_xlpm.txt,_xlpm.delim," "))))&amp;" "</f>
        <v xml:space="preserve"> salon kaukolämpö oy uhrilähteenkatu </v>
      </c>
      <c r="D204" s="242">
        <v>1996</v>
      </c>
      <c r="E204" s="243">
        <v>18.2</v>
      </c>
      <c r="F204" s="243"/>
      <c r="G204" s="247"/>
      <c r="H204" s="267" t="s">
        <v>1418</v>
      </c>
      <c r="I204" s="248" t="s">
        <v>1141</v>
      </c>
      <c r="J204" s="246" t="str" cm="1">
        <f t="array" ref="J204">_xlfn.XLOOKUP(TRUE,ISNUMBER(SEARCH(" "&amp;Municipality[Municipality]&amp;" ",H_unit[[#This Row],[Info string]])),Municipality[Municipality],"")</f>
        <v/>
      </c>
      <c r="K204" s="246" t="str" cm="1">
        <f t="array" ref="K204">IF(H_unit[[#This Row],[Exact]]&lt;&gt;"","",_xlfn.XLOOKUP(TRUE,ISNUMBER(SEARCH(" "&amp;Municipality[Municipality]&amp;"n ",H_unit[[#This Row],[Info string]])),Municipality[Municipality],""))</f>
        <v>Salo</v>
      </c>
      <c r="L204" s="246"/>
      <c r="M204" s="244"/>
      <c r="N204" s="246" t="str">
        <f>_xlfn.TEXTJOIN("",TRUE,H_unit[[#This Row],[Exact]],H_unit[[#This Row],[Exact+n]],H_unit[[#This Row],[Copilot]])</f>
        <v>Salo</v>
      </c>
      <c r="O204" s="246" t="str">
        <f>_xlfn.XLOOKUP(H_unit[[#This Row],[Municipality]],Municipality[Municipality],Municipality[Model],"")</f>
        <v>South West</v>
      </c>
      <c r="P204" s="236"/>
    </row>
    <row r="205" spans="1:16">
      <c r="A205" s="238" t="s">
        <v>1697</v>
      </c>
      <c r="B205" s="238" t="s">
        <v>1698</v>
      </c>
      <c r="C205" s="240" t="str" cm="1">
        <f t="array" ref="C205">" "&amp;LOWER(_xlfn.REDUCE(H_unit[[#This Row],[Company]]&amp;" "&amp;H_unit[[#This Row],[Unit]],{",",".","(",")","/"},_xlfn.LAMBDA(_xlpm.txt,_xlpm.delim,SUBSTITUTE(_xlpm.txt,_xlpm.delim," "))))&amp;" "</f>
        <v xml:space="preserve"> kurikan energia oy jousimiehenk  3  kurikka </v>
      </c>
      <c r="D205" s="242">
        <v>1987</v>
      </c>
      <c r="E205" s="243">
        <v>18</v>
      </c>
      <c r="F205" s="243"/>
      <c r="G205" s="247"/>
      <c r="H205" s="267" t="s">
        <v>1423</v>
      </c>
      <c r="I205" s="248" t="s">
        <v>1143</v>
      </c>
      <c r="J205" s="246" t="str" cm="1">
        <f t="array" ref="J205">_xlfn.XLOOKUP(TRUE,ISNUMBER(SEARCH(" "&amp;Municipality[Municipality]&amp;" ",H_unit[[#This Row],[Info string]])),Municipality[Municipality],"")</f>
        <v>Kurikka</v>
      </c>
      <c r="K205" s="246" t="str" cm="1">
        <f t="array" ref="K205">IF(H_unit[[#This Row],[Exact]]&lt;&gt;"","",_xlfn.XLOOKUP(TRUE,ISNUMBER(SEARCH(" "&amp;Municipality[Municipality]&amp;"n ",H_unit[[#This Row],[Info string]])),Municipality[Municipality],""))</f>
        <v/>
      </c>
      <c r="L205" s="246"/>
      <c r="M205" s="244"/>
      <c r="N205" s="246" t="str">
        <f>_xlfn.TEXTJOIN("",TRUE,H_unit[[#This Row],[Exact]],H_unit[[#This Row],[Exact+n]],H_unit[[#This Row],[Copilot]])</f>
        <v>Kurikka</v>
      </c>
      <c r="O205" s="246" t="str">
        <f>_xlfn.XLOOKUP(H_unit[[#This Row],[Municipality]],Municipality[Municipality],Municipality[Model],"")</f>
        <v>West</v>
      </c>
      <c r="P205" s="236"/>
    </row>
    <row r="206" spans="1:16">
      <c r="A206" s="238" t="s">
        <v>2229</v>
      </c>
      <c r="B206" s="238" t="s">
        <v>466</v>
      </c>
      <c r="C206" s="240" t="str" cm="1">
        <f t="array" ref="C206">" "&amp;LOWER(_xlfn.REDUCE(H_unit[[#This Row],[Company]]&amp;" "&amp;H_unit[[#This Row],[Unit]],{",",".","(",")","/"},_xlfn.LAMBDA(_xlpm.txt,_xlpm.delim,SUBSTITUTE(_xlpm.txt,_xlpm.delim," "))))&amp;" "</f>
        <v xml:space="preserve"> vatajankoski oy kankaanpää </v>
      </c>
      <c r="D206" s="242">
        <v>1992</v>
      </c>
      <c r="E206" s="243">
        <v>18</v>
      </c>
      <c r="F206" s="243">
        <v>6</v>
      </c>
      <c r="G206" s="247"/>
      <c r="H206" s="267" t="s">
        <v>1423</v>
      </c>
      <c r="I206" s="248" t="s">
        <v>1153</v>
      </c>
      <c r="J206" s="246" t="str" cm="1">
        <f t="array" ref="J206">_xlfn.XLOOKUP(TRUE,ISNUMBER(SEARCH(" "&amp;Municipality[Municipality]&amp;" ",H_unit[[#This Row],[Info string]])),Municipality[Municipality],"")</f>
        <v>Kankaanpää</v>
      </c>
      <c r="K206" s="246" t="str" cm="1">
        <f t="array" ref="K206">IF(H_unit[[#This Row],[Exact]]&lt;&gt;"","",_xlfn.XLOOKUP(TRUE,ISNUMBER(SEARCH(" "&amp;Municipality[Municipality]&amp;"n ",H_unit[[#This Row],[Info string]])),Municipality[Municipality],""))</f>
        <v/>
      </c>
      <c r="L206" s="246"/>
      <c r="M206" s="244"/>
      <c r="N206" s="246" t="str">
        <f>_xlfn.TEXTJOIN("",TRUE,H_unit[[#This Row],[Exact]],H_unit[[#This Row],[Exact+n]],H_unit[[#This Row],[Copilot]])</f>
        <v>Kankaanpää</v>
      </c>
      <c r="O206" s="246" t="str">
        <f>_xlfn.XLOOKUP(H_unit[[#This Row],[Municipality]],Municipality[Municipality],Municipality[Model],"")</f>
        <v>West</v>
      </c>
      <c r="P206" s="236"/>
    </row>
    <row r="207" spans="1:16">
      <c r="A207" s="238" t="s">
        <v>2346</v>
      </c>
      <c r="B207" s="238" t="s">
        <v>2347</v>
      </c>
      <c r="C207" s="240" t="str" cm="1">
        <f t="array" ref="C207">" "&amp;LOWER(_xlfn.REDUCE(H_unit[[#This Row],[Company]]&amp;" "&amp;H_unit[[#This Row],[Unit]],{",",".","(",")","/"},_xlfn.LAMBDA(_xlpm.txt,_xlpm.delim,SUBSTITUTE(_xlpm.txt,_xlpm.delim," "))))&amp;" "</f>
        <v xml:space="preserve"> metsä fibre oy  vilppulan saha öljykattilat </v>
      </c>
      <c r="D207" s="242">
        <v>2003</v>
      </c>
      <c r="E207" s="243">
        <v>18</v>
      </c>
      <c r="F207" s="243"/>
      <c r="G207" s="247"/>
      <c r="H207" s="267" t="s">
        <v>1418</v>
      </c>
      <c r="I207" s="248" t="s">
        <v>1443</v>
      </c>
      <c r="J207" s="246" t="str" cm="1">
        <f t="array" ref="J207">_xlfn.XLOOKUP(TRUE,ISNUMBER(SEARCH(" "&amp;Municipality[Municipality]&amp;" ",H_unit[[#This Row],[Info string]])),Municipality[Municipality],"")</f>
        <v/>
      </c>
      <c r="K207" s="246" t="str" cm="1">
        <f t="array" ref="K207">IF(H_unit[[#This Row],[Exact]]&lt;&gt;"","",_xlfn.XLOOKUP(TRUE,ISNUMBER(SEARCH(" "&amp;Municipality[Municipality]&amp;"n ",H_unit[[#This Row],[Info string]])),Municipality[Municipality],""))</f>
        <v>Vilppula</v>
      </c>
      <c r="L207" s="246"/>
      <c r="M207" s="244"/>
      <c r="N207" s="246" t="str">
        <f>_xlfn.TEXTJOIN("",TRUE,H_unit[[#This Row],[Exact]],H_unit[[#This Row],[Exact+n]],H_unit[[#This Row],[Copilot]])</f>
        <v>Vilppula</v>
      </c>
      <c r="O207" s="246" t="str">
        <f>_xlfn.XLOOKUP(H_unit[[#This Row],[Municipality]],Municipality[Municipality],Municipality[Model],"")</f>
        <v>Center</v>
      </c>
      <c r="P207" s="236"/>
    </row>
    <row r="208" spans="1:16">
      <c r="A208" s="238" t="s">
        <v>2172</v>
      </c>
      <c r="B208" s="238" t="s">
        <v>2173</v>
      </c>
      <c r="C208" s="240" t="str" cm="1">
        <f t="array" ref="C208">" "&amp;LOWER(_xlfn.REDUCE(H_unit[[#This Row],[Company]]&amp;" "&amp;H_unit[[#This Row],[Unit]],{",",".","(",")","/"},_xlfn.LAMBDA(_xlpm.txt,_xlpm.delim,SUBSTITUTE(_xlpm.txt,_xlpm.delim," "))))&amp;" "</f>
        <v xml:space="preserve"> suomussalmen energia oy siikaranta kpa </v>
      </c>
      <c r="D208" s="242">
        <v>2004</v>
      </c>
      <c r="E208" s="243">
        <v>18</v>
      </c>
      <c r="F208" s="243"/>
      <c r="G208" s="247"/>
      <c r="H208" s="267" t="s">
        <v>1423</v>
      </c>
      <c r="I208" s="248" t="s">
        <v>1143</v>
      </c>
      <c r="J208" s="246" t="str" cm="1">
        <f t="array" ref="J208">_xlfn.XLOOKUP(TRUE,ISNUMBER(SEARCH(" "&amp;Municipality[Municipality]&amp;" ",H_unit[[#This Row],[Info string]])),Municipality[Municipality],"")</f>
        <v/>
      </c>
      <c r="K208" s="246" t="str" cm="1">
        <f t="array" ref="K208">IF(H_unit[[#This Row],[Exact]]&lt;&gt;"","",_xlfn.XLOOKUP(TRUE,ISNUMBER(SEARCH(" "&amp;Municipality[Municipality]&amp;"n ",H_unit[[#This Row],[Info string]])),Municipality[Municipality],""))</f>
        <v/>
      </c>
      <c r="L208" s="246" t="s">
        <v>2789</v>
      </c>
      <c r="M208" s="244" t="s">
        <v>2927</v>
      </c>
      <c r="N208" s="246" t="str">
        <f>_xlfn.TEXTJOIN("",TRUE,H_unit[[#This Row],[Exact]],H_unit[[#This Row],[Exact+n]],H_unit[[#This Row],[Copilot]])</f>
        <v>Suomussalmi</v>
      </c>
      <c r="O208" s="246" t="str">
        <f>_xlfn.XLOOKUP(H_unit[[#This Row],[Municipality]],Municipality[Municipality],Municipality[Model],"")</f>
        <v>East</v>
      </c>
      <c r="P208" s="236"/>
    </row>
    <row r="209" spans="1:16">
      <c r="A209" s="238" t="s">
        <v>2162</v>
      </c>
      <c r="B209" s="238" t="s">
        <v>2163</v>
      </c>
      <c r="C209" s="240" t="str" cm="1">
        <f t="array" ref="C209">" "&amp;LOWER(_xlfn.REDUCE(H_unit[[#This Row],[Company]]&amp;" "&amp;H_unit[[#This Row],[Unit]],{",",".","(",")","/"},_xlfn.LAMBDA(_xlpm.txt,_xlpm.delim,SUBSTITUTE(_xlpm.txt,_xlpm.delim," "))))&amp;" "</f>
        <v xml:space="preserve"> savon voima oyj  suonenjoki lk25  kimpankatu </v>
      </c>
      <c r="D209" s="242">
        <v>2012</v>
      </c>
      <c r="E209" s="243">
        <v>18</v>
      </c>
      <c r="F209" s="243"/>
      <c r="G209" s="247"/>
      <c r="H209" s="267" t="s">
        <v>1423</v>
      </c>
      <c r="I209" s="248" t="s">
        <v>1143</v>
      </c>
      <c r="J209" s="246" t="str" cm="1">
        <f t="array" ref="J209">_xlfn.XLOOKUP(TRUE,ISNUMBER(SEARCH(" "&amp;Municipality[Municipality]&amp;" ",H_unit[[#This Row],[Info string]])),Municipality[Municipality],"")</f>
        <v>Suonenjoki</v>
      </c>
      <c r="K209" s="246" t="str" cm="1">
        <f t="array" ref="K209">IF(H_unit[[#This Row],[Exact]]&lt;&gt;"","",_xlfn.XLOOKUP(TRUE,ISNUMBER(SEARCH(" "&amp;Municipality[Municipality]&amp;"n ",H_unit[[#This Row],[Info string]])),Municipality[Municipality],""))</f>
        <v/>
      </c>
      <c r="L209" s="246"/>
      <c r="M209" s="244"/>
      <c r="N209" s="246" t="str">
        <f>_xlfn.TEXTJOIN("",TRUE,H_unit[[#This Row],[Exact]],H_unit[[#This Row],[Exact+n]],H_unit[[#This Row],[Copilot]])</f>
        <v>Suonenjoki</v>
      </c>
      <c r="O209" s="246" t="str">
        <f>_xlfn.XLOOKUP(H_unit[[#This Row],[Municipality]],Municipality[Municipality],Municipality[Model],"")</f>
        <v>East</v>
      </c>
      <c r="P209" s="236"/>
    </row>
    <row r="210" spans="1:16">
      <c r="A210" s="238" t="s">
        <v>1655</v>
      </c>
      <c r="B210" s="238" t="s">
        <v>1658</v>
      </c>
      <c r="C210" s="240" t="str" cm="1">
        <f t="array" ref="C210">" "&amp;LOWER(_xlfn.REDUCE(H_unit[[#This Row],[Company]]&amp;" "&amp;H_unit[[#This Row],[Unit]],{",",".","(",")","/"},_xlfn.LAMBDA(_xlpm.txt,_xlpm.delim,SUBSTITUTE(_xlpm.txt,_xlpm.delim," "))))&amp;" "</f>
        <v xml:space="preserve"> kotkan energia oy kuitukatu 3 </v>
      </c>
      <c r="D210" s="242">
        <v>2013</v>
      </c>
      <c r="E210" s="243">
        <v>18</v>
      </c>
      <c r="F210" s="243"/>
      <c r="G210" s="247"/>
      <c r="H210" s="267" t="s">
        <v>1423</v>
      </c>
      <c r="I210" s="248" t="s">
        <v>1143</v>
      </c>
      <c r="J210" s="246" t="str" cm="1">
        <f t="array" ref="J210">_xlfn.XLOOKUP(TRUE,ISNUMBER(SEARCH(" "&amp;Municipality[Municipality]&amp;" ",H_unit[[#This Row],[Info string]])),Municipality[Municipality],"")</f>
        <v/>
      </c>
      <c r="K210" s="246" t="str" cm="1">
        <f t="array" ref="K210">IF(H_unit[[#This Row],[Exact]]&lt;&gt;"","",_xlfn.XLOOKUP(TRUE,ISNUMBER(SEARCH(" "&amp;Municipality[Municipality]&amp;"n ",H_unit[[#This Row],[Info string]])),Municipality[Municipality],""))</f>
        <v>Kotka</v>
      </c>
      <c r="L210" s="246"/>
      <c r="M210" s="244"/>
      <c r="N210" s="246" t="str">
        <f>_xlfn.TEXTJOIN("",TRUE,H_unit[[#This Row],[Exact]],H_unit[[#This Row],[Exact+n]],H_unit[[#This Row],[Copilot]])</f>
        <v>Kotka</v>
      </c>
      <c r="O210" s="246" t="str">
        <f>_xlfn.XLOOKUP(H_unit[[#This Row],[Municipality]],Municipality[Municipality],Municipality[Model],"")</f>
        <v>South East</v>
      </c>
      <c r="P210" s="236"/>
    </row>
    <row r="211" spans="1:16">
      <c r="A211" s="238" t="s">
        <v>1776</v>
      </c>
      <c r="B211" s="238" t="s">
        <v>1781</v>
      </c>
      <c r="C211" s="240" t="str" cm="1">
        <f t="array" ref="C211">" "&amp;LOWER(_xlfn.REDUCE(H_unit[[#This Row],[Company]]&amp;" "&amp;H_unit[[#This Row],[Unit]],{",",".","(",")","/"},_xlfn.LAMBDA(_xlpm.txt,_xlpm.delim,SUBSTITUTE(_xlpm.txt,_xlpm.delim," "))))&amp;" "</f>
        <v xml:space="preserve"> lempeä lämpö oy  savonlinna laitaatsillan biolämpölaitos </v>
      </c>
      <c r="D211" s="242">
        <v>2013</v>
      </c>
      <c r="E211" s="243">
        <v>18</v>
      </c>
      <c r="F211" s="243"/>
      <c r="G211" s="247"/>
      <c r="H211" s="267" t="s">
        <v>1423</v>
      </c>
      <c r="I211" s="248" t="s">
        <v>1143</v>
      </c>
      <c r="J211" s="246" t="str" cm="1">
        <f t="array" ref="J211">_xlfn.XLOOKUP(TRUE,ISNUMBER(SEARCH(" "&amp;Municipality[Municipality]&amp;" ",H_unit[[#This Row],[Info string]])),Municipality[Municipality],"")</f>
        <v>Savonlinna</v>
      </c>
      <c r="K211" s="246" t="str" cm="1">
        <f t="array" ref="K211">IF(H_unit[[#This Row],[Exact]]&lt;&gt;"","",_xlfn.XLOOKUP(TRUE,ISNUMBER(SEARCH(" "&amp;Municipality[Municipality]&amp;"n ",H_unit[[#This Row],[Info string]])),Municipality[Municipality],""))</f>
        <v/>
      </c>
      <c r="L211" s="246"/>
      <c r="M211" s="244"/>
      <c r="N211" s="246" t="str">
        <f>_xlfn.TEXTJOIN("",TRUE,H_unit[[#This Row],[Exact]],H_unit[[#This Row],[Exact+n]],H_unit[[#This Row],[Copilot]])</f>
        <v>Savonlinna</v>
      </c>
      <c r="O211" s="246" t="str">
        <f>_xlfn.XLOOKUP(H_unit[[#This Row],[Municipality]],Municipality[Municipality],Municipality[Model],"")</f>
        <v>East</v>
      </c>
      <c r="P211" s="236"/>
    </row>
    <row r="212" spans="1:16">
      <c r="A212" s="238" t="s">
        <v>1482</v>
      </c>
      <c r="B212" s="238" t="s">
        <v>1483</v>
      </c>
      <c r="C212" s="240" t="str" cm="1">
        <f t="array" ref="C212">" "&amp;LOWER(_xlfn.REDUCE(H_unit[[#This Row],[Company]]&amp;" "&amp;H_unit[[#This Row],[Unit]],{",",".","(",")","/"},_xlfn.LAMBDA(_xlpm.txt,_xlpm.delim,SUBSTITUTE(_xlpm.txt,_xlpm.delim," "))))&amp;" "</f>
        <v xml:space="preserve"> alajärven lämpö oy alajärvi </v>
      </c>
      <c r="D212" s="242">
        <v>2021</v>
      </c>
      <c r="E212" s="243">
        <v>18</v>
      </c>
      <c r="F212" s="243"/>
      <c r="G212" s="247"/>
      <c r="H212" s="267" t="s">
        <v>1423</v>
      </c>
      <c r="I212" s="248" t="s">
        <v>1143</v>
      </c>
      <c r="J212" s="246" t="str" cm="1">
        <f t="array" ref="J212">_xlfn.XLOOKUP(TRUE,ISNUMBER(SEARCH(" "&amp;Municipality[Municipality]&amp;" ",H_unit[[#This Row],[Info string]])),Municipality[Municipality],"")</f>
        <v>Alajärvi</v>
      </c>
      <c r="K212" s="246" t="str" cm="1">
        <f t="array" ref="K212">IF(H_unit[[#This Row],[Exact]]&lt;&gt;"","",_xlfn.XLOOKUP(TRUE,ISNUMBER(SEARCH(" "&amp;Municipality[Municipality]&amp;"n ",H_unit[[#This Row],[Info string]])),Municipality[Municipality],""))</f>
        <v/>
      </c>
      <c r="L212" s="246"/>
      <c r="M212" s="244"/>
      <c r="N212" s="246" t="str">
        <f>_xlfn.TEXTJOIN("",TRUE,H_unit[[#This Row],[Exact]],H_unit[[#This Row],[Exact+n]],H_unit[[#This Row],[Copilot]])</f>
        <v>Alajärvi</v>
      </c>
      <c r="O212" s="246" t="str">
        <f>_xlfn.XLOOKUP(H_unit[[#This Row],[Municipality]],Municipality[Municipality],Municipality[Model],"")</f>
        <v>West</v>
      </c>
      <c r="P212" s="236"/>
    </row>
    <row r="213" spans="1:16">
      <c r="A213" s="238" t="s">
        <v>1506</v>
      </c>
      <c r="B213" s="238" t="s">
        <v>1507</v>
      </c>
      <c r="C213" s="240" t="str" cm="1">
        <f t="array" ref="C213">" "&amp;LOWER(_xlfn.REDUCE(H_unit[[#This Row],[Company]]&amp;" "&amp;H_unit[[#This Row],[Unit]],{",",".","(",")","/"},_xlfn.LAMBDA(_xlpm.txt,_xlpm.delim,SUBSTITUTE(_xlpm.txt,_xlpm.delim," "))))&amp;" "</f>
        <v xml:space="preserve"> haapajärven lämpö oy viikatetie  </v>
      </c>
      <c r="D213" s="242">
        <v>1993</v>
      </c>
      <c r="E213" s="243">
        <v>17</v>
      </c>
      <c r="F213" s="243"/>
      <c r="G213" s="247"/>
      <c r="H213" s="267" t="s">
        <v>1423</v>
      </c>
      <c r="I213" s="248" t="s">
        <v>1143</v>
      </c>
      <c r="J213" s="246" t="str" cm="1">
        <f t="array" ref="J213">_xlfn.XLOOKUP(TRUE,ISNUMBER(SEARCH(" "&amp;Municipality[Municipality]&amp;" ",H_unit[[#This Row],[Info string]])),Municipality[Municipality],"")</f>
        <v/>
      </c>
      <c r="K213" s="246" t="str" cm="1">
        <f t="array" ref="K213">IF(H_unit[[#This Row],[Exact]]&lt;&gt;"","",_xlfn.XLOOKUP(TRUE,ISNUMBER(SEARCH(" "&amp;Municipality[Municipality]&amp;"n ",H_unit[[#This Row],[Info string]])),Municipality[Municipality],""))</f>
        <v/>
      </c>
      <c r="L213" s="246" t="s">
        <v>2519</v>
      </c>
      <c r="M213" s="244" t="s">
        <v>2903</v>
      </c>
      <c r="N213" s="246" t="str">
        <f>_xlfn.TEXTJOIN("",TRUE,H_unit[[#This Row],[Exact]],H_unit[[#This Row],[Exact+n]],H_unit[[#This Row],[Copilot]])</f>
        <v>Haapajärvi</v>
      </c>
      <c r="O213" s="246" t="str">
        <f>_xlfn.XLOOKUP(H_unit[[#This Row],[Municipality]],Municipality[Municipality],Municipality[Model],"")</f>
        <v>North</v>
      </c>
      <c r="P213" s="236"/>
    </row>
    <row r="214" spans="1:16">
      <c r="A214" s="238" t="s">
        <v>2070</v>
      </c>
      <c r="B214" s="238" t="s">
        <v>1034</v>
      </c>
      <c r="C214" s="240" t="str" cm="1">
        <f t="array" ref="C214">" "&amp;LOWER(_xlfn.REDUCE(H_unit[[#This Row],[Company]]&amp;" "&amp;H_unit[[#This Row],[Unit]],{",",".","(",")","/"},_xlfn.LAMBDA(_xlpm.txt,_xlpm.delim,SUBSTITUTE(_xlpm.txt,_xlpm.delim," "))))&amp;" "</f>
        <v xml:space="preserve"> raseborgs energi ab björknäs kraftvärmeverk </v>
      </c>
      <c r="D214" s="242">
        <v>2009</v>
      </c>
      <c r="E214" s="243">
        <v>17</v>
      </c>
      <c r="F214" s="243">
        <v>3.5</v>
      </c>
      <c r="G214" s="247"/>
      <c r="H214" s="267" t="s">
        <v>1423</v>
      </c>
      <c r="I214" s="248" t="s">
        <v>1153</v>
      </c>
      <c r="J214" s="246" t="str" cm="1">
        <f t="array" ref="J214">_xlfn.XLOOKUP(TRUE,ISNUMBER(SEARCH(" "&amp;Municipality[Municipality]&amp;" ",H_unit[[#This Row],[Info string]])),Municipality[Municipality],"")</f>
        <v/>
      </c>
      <c r="K214" s="246" t="str" cm="1">
        <f t="array" ref="K214">IF(H_unit[[#This Row],[Exact]]&lt;&gt;"","",_xlfn.XLOOKUP(TRUE,ISNUMBER(SEARCH(" "&amp;Municipality[Municipality]&amp;"n ",H_unit[[#This Row],[Info string]])),Municipality[Municipality],""))</f>
        <v/>
      </c>
      <c r="L214" s="246" t="s">
        <v>2502</v>
      </c>
      <c r="M214" s="244" t="s">
        <v>2928</v>
      </c>
      <c r="N214" s="246" t="str">
        <f>_xlfn.TEXTJOIN("",TRUE,H_unit[[#This Row],[Exact]],H_unit[[#This Row],[Exact+n]],H_unit[[#This Row],[Copilot]])</f>
        <v>Tammisaari</v>
      </c>
      <c r="O214" s="246" t="str">
        <f>_xlfn.XLOOKUP(H_unit[[#This Row],[Municipality]],Municipality[Municipality],Municipality[Model],"")</f>
        <v>Uusimaa</v>
      </c>
      <c r="P214" s="236"/>
    </row>
    <row r="215" spans="1:16">
      <c r="A215" s="238" t="s">
        <v>1831</v>
      </c>
      <c r="B215" s="238" t="s">
        <v>1833</v>
      </c>
      <c r="C215" s="240" t="str" cm="1">
        <f t="array" ref="C215">" "&amp;LOWER(_xlfn.REDUCE(H_unit[[#This Row],[Company]]&amp;" "&amp;H_unit[[#This Row],[Unit]],{",",".","(",")","/"},_xlfn.LAMBDA(_xlpm.txt,_xlpm.delim,SUBSTITUTE(_xlpm.txt,_xlpm.delim," "))))&amp;" "</f>
        <v xml:space="preserve"> loimua oy  akaa käenoja </v>
      </c>
      <c r="D215" s="242" t="s">
        <v>1448</v>
      </c>
      <c r="E215" s="243">
        <v>17</v>
      </c>
      <c r="F215" s="243"/>
      <c r="G215" s="247"/>
      <c r="H215" s="267" t="s">
        <v>1423</v>
      </c>
      <c r="I215" s="248" t="s">
        <v>1143</v>
      </c>
      <c r="J215" s="246" t="str" cm="1">
        <f t="array" ref="J215">_xlfn.XLOOKUP(TRUE,ISNUMBER(SEARCH(" "&amp;Municipality[Municipality]&amp;" ",H_unit[[#This Row],[Info string]])),Municipality[Municipality],"")</f>
        <v/>
      </c>
      <c r="K215" s="246" t="str" cm="1">
        <f t="array" ref="K215">IF(H_unit[[#This Row],[Exact]]&lt;&gt;"","",_xlfn.XLOOKUP(TRUE,ISNUMBER(SEARCH(" "&amp;Municipality[Municipality]&amp;"n ",H_unit[[#This Row],[Info string]])),Municipality[Municipality],""))</f>
        <v/>
      </c>
      <c r="L215" s="246" t="s">
        <v>2803</v>
      </c>
      <c r="M215" s="244" t="s">
        <v>2929</v>
      </c>
      <c r="N215" s="246" t="str">
        <f>_xlfn.TEXTJOIN("",TRUE,H_unit[[#This Row],[Exact]],H_unit[[#This Row],[Exact+n]],H_unit[[#This Row],[Copilot]])</f>
        <v>Toijala</v>
      </c>
      <c r="O215" s="246" t="str">
        <f>_xlfn.XLOOKUP(H_unit[[#This Row],[Municipality]],Municipality[Municipality],Municipality[Model],"")</f>
        <v>Center</v>
      </c>
      <c r="P215" s="236"/>
    </row>
    <row r="216" spans="1:16">
      <c r="A216" s="238" t="s">
        <v>1530</v>
      </c>
      <c r="B216" s="238" t="s">
        <v>1534</v>
      </c>
      <c r="C216" s="240" t="str" cm="1">
        <f t="array" ref="C216">" "&amp;LOWER(_xlfn.REDUCE(H_unit[[#This Row],[Company]]&amp;" "&amp;H_unit[[#This Row],[Unit]],{",",".","(",")","/"},_xlfn.LAMBDA(_xlpm.txt,_xlpm.delim,SUBSTITUTE(_xlpm.txt,_xlpm.delim," "))))&amp;" "</f>
        <v xml:space="preserve"> imatran lämpö oy kuusirinne </v>
      </c>
      <c r="D216" s="242">
        <v>1977</v>
      </c>
      <c r="E216" s="243">
        <v>16.5</v>
      </c>
      <c r="F216" s="243"/>
      <c r="G216" s="247"/>
      <c r="H216" s="267" t="s">
        <v>1453</v>
      </c>
      <c r="I216" s="248" t="s">
        <v>1142</v>
      </c>
      <c r="J216" s="246" t="str" cm="1">
        <f t="array" ref="J216">_xlfn.XLOOKUP(TRUE,ISNUMBER(SEARCH(" "&amp;Municipality[Municipality]&amp;" ",H_unit[[#This Row],[Info string]])),Municipality[Municipality],"")</f>
        <v/>
      </c>
      <c r="K216" s="246" t="str" cm="1">
        <f t="array" ref="K216">IF(H_unit[[#This Row],[Exact]]&lt;&gt;"","",_xlfn.XLOOKUP(TRUE,ISNUMBER(SEARCH(" "&amp;Municipality[Municipality]&amp;"n ",H_unit[[#This Row],[Info string]])),Municipality[Municipality],""))</f>
        <v>Imatra</v>
      </c>
      <c r="L216" s="246"/>
      <c r="M216" s="244"/>
      <c r="N216" s="246" t="str">
        <f>_xlfn.TEXTJOIN("",TRUE,H_unit[[#This Row],[Exact]],H_unit[[#This Row],[Exact+n]],H_unit[[#This Row],[Copilot]])</f>
        <v>Imatra</v>
      </c>
      <c r="O216" s="246" t="str">
        <f>_xlfn.XLOOKUP(H_unit[[#This Row],[Municipality]],Municipality[Municipality],Municipality[Model],"")</f>
        <v>South East</v>
      </c>
      <c r="P216" s="236"/>
    </row>
    <row r="217" spans="1:16">
      <c r="A217" s="238" t="s">
        <v>1587</v>
      </c>
      <c r="B217" s="238" t="s">
        <v>1589</v>
      </c>
      <c r="C217" s="240" t="str" cm="1">
        <f t="array" ref="C217">" "&amp;LOWER(_xlfn.REDUCE(H_unit[[#This Row],[Company]]&amp;" "&amp;H_unit[[#This Row],[Unit]],{",",".","(",")","/"},_xlfn.LAMBDA(_xlpm.txt,_xlpm.delim,SUBSTITUTE(_xlpm.txt,_xlpm.delim," "))))&amp;" "</f>
        <v xml:space="preserve"> kauhavan kaukolämpö oy kahava vanha </v>
      </c>
      <c r="D217" s="242">
        <v>1984</v>
      </c>
      <c r="E217" s="243">
        <v>16.5</v>
      </c>
      <c r="F217" s="243"/>
      <c r="G217" s="247"/>
      <c r="H217" s="267" t="s">
        <v>1428</v>
      </c>
      <c r="I217" s="248" t="s">
        <v>1143</v>
      </c>
      <c r="J217" s="246" t="str" cm="1">
        <f t="array" ref="J217">_xlfn.XLOOKUP(TRUE,ISNUMBER(SEARCH(" "&amp;Municipality[Municipality]&amp;" ",H_unit[[#This Row],[Info string]])),Municipality[Municipality],"")</f>
        <v/>
      </c>
      <c r="K217" s="246" t="str" cm="1">
        <f t="array" ref="K217">IF(H_unit[[#This Row],[Exact]]&lt;&gt;"","",_xlfn.XLOOKUP(TRUE,ISNUMBER(SEARCH(" "&amp;Municipality[Municipality]&amp;"n ",H_unit[[#This Row],[Info string]])),Municipality[Municipality],""))</f>
        <v>Kauhava</v>
      </c>
      <c r="L217" s="246"/>
      <c r="M217" s="244"/>
      <c r="N217" s="246" t="str">
        <f>_xlfn.TEXTJOIN("",TRUE,H_unit[[#This Row],[Exact]],H_unit[[#This Row],[Exact+n]],H_unit[[#This Row],[Copilot]])</f>
        <v>Kauhava</v>
      </c>
      <c r="O217" s="246" t="str">
        <f>_xlfn.XLOOKUP(H_unit[[#This Row],[Municipality]],Municipality[Municipality],Municipality[Model],"")</f>
        <v>West</v>
      </c>
      <c r="P217" s="236"/>
    </row>
    <row r="218" spans="1:16">
      <c r="A218" s="238" t="s">
        <v>1697</v>
      </c>
      <c r="B218" s="238" t="s">
        <v>1708</v>
      </c>
      <c r="C218" s="240" t="str" cm="1">
        <f t="array" ref="C218">" "&amp;LOWER(_xlfn.REDUCE(H_unit[[#This Row],[Company]]&amp;" "&amp;H_unit[[#This Row],[Unit]],{",",".","(",")","/"},_xlfn.LAMBDA(_xlpm.txt,_xlpm.delim,SUBSTITUTE(_xlpm.txt,_xlpm.delim," "))))&amp;" "</f>
        <v xml:space="preserve"> kurikan energia oy lähdetie 2  jalasjärvi </v>
      </c>
      <c r="D218" s="242">
        <v>1987</v>
      </c>
      <c r="E218" s="243">
        <v>16.5</v>
      </c>
      <c r="F218" s="243"/>
      <c r="G218" s="247"/>
      <c r="H218" s="267" t="s">
        <v>1423</v>
      </c>
      <c r="I218" s="248" t="s">
        <v>1143</v>
      </c>
      <c r="J218" s="246" t="str" cm="1">
        <f t="array" ref="J218">_xlfn.XLOOKUP(TRUE,ISNUMBER(SEARCH(" "&amp;Municipality[Municipality]&amp;" ",H_unit[[#This Row],[Info string]])),Municipality[Municipality],"")</f>
        <v>Jalasjärvi</v>
      </c>
      <c r="K218" s="246" t="str" cm="1">
        <f t="array" ref="K218">IF(H_unit[[#This Row],[Exact]]&lt;&gt;"","",_xlfn.XLOOKUP(TRUE,ISNUMBER(SEARCH(" "&amp;Municipality[Municipality]&amp;"n ",H_unit[[#This Row],[Info string]])),Municipality[Municipality],""))</f>
        <v/>
      </c>
      <c r="L218" s="246"/>
      <c r="M218" s="244"/>
      <c r="N218" s="246" t="str">
        <f>_xlfn.TEXTJOIN("",TRUE,H_unit[[#This Row],[Exact]],H_unit[[#This Row],[Exact+n]],H_unit[[#This Row],[Copilot]])</f>
        <v>Jalasjärvi</v>
      </c>
      <c r="O218" s="246" t="str">
        <f>_xlfn.XLOOKUP(H_unit[[#This Row],[Municipality]],Municipality[Municipality],Municipality[Model],"")</f>
        <v>West</v>
      </c>
      <c r="P218" s="236"/>
    </row>
    <row r="219" spans="1:16">
      <c r="A219" s="238" t="s">
        <v>1697</v>
      </c>
      <c r="B219" s="238" t="s">
        <v>1703</v>
      </c>
      <c r="C219" s="240" t="str" cm="1">
        <f t="array" ref="C219">" "&amp;LOWER(_xlfn.REDUCE(H_unit[[#This Row],[Company]]&amp;" "&amp;H_unit[[#This Row],[Unit]],{",",".","(",")","/"},_xlfn.LAMBDA(_xlpm.txt,_xlpm.delim,SUBSTITUTE(_xlpm.txt,_xlpm.delim," "))))&amp;" "</f>
        <v xml:space="preserve"> kurikan energia oy palkkitie  ilmajoki </v>
      </c>
      <c r="D219" s="242">
        <v>2001</v>
      </c>
      <c r="E219" s="243">
        <v>16.5</v>
      </c>
      <c r="F219" s="243"/>
      <c r="G219" s="247"/>
      <c r="H219" s="267" t="s">
        <v>1423</v>
      </c>
      <c r="I219" s="248" t="s">
        <v>1143</v>
      </c>
      <c r="J219" s="246" t="str" cm="1">
        <f t="array" ref="J219">_xlfn.XLOOKUP(TRUE,ISNUMBER(SEARCH(" "&amp;Municipality[Municipality]&amp;" ",H_unit[[#This Row],[Info string]])),Municipality[Municipality],"")</f>
        <v>Ilmajoki</v>
      </c>
      <c r="K219" s="246" t="str" cm="1">
        <f t="array" ref="K219">IF(H_unit[[#This Row],[Exact]]&lt;&gt;"","",_xlfn.XLOOKUP(TRUE,ISNUMBER(SEARCH(" "&amp;Municipality[Municipality]&amp;"n ",H_unit[[#This Row],[Info string]])),Municipality[Municipality],""))</f>
        <v/>
      </c>
      <c r="L219" s="246"/>
      <c r="M219" s="244"/>
      <c r="N219" s="246" t="str">
        <f>_xlfn.TEXTJOIN("",TRUE,H_unit[[#This Row],[Exact]],H_unit[[#This Row],[Exact+n]],H_unit[[#This Row],[Copilot]])</f>
        <v>Ilmajoki</v>
      </c>
      <c r="O219" s="246" t="str">
        <f>_xlfn.XLOOKUP(H_unit[[#This Row],[Municipality]],Municipality[Municipality],Municipality[Model],"")</f>
        <v>West</v>
      </c>
      <c r="P219" s="236"/>
    </row>
    <row r="220" spans="1:16">
      <c r="A220" s="238" t="s">
        <v>2284</v>
      </c>
      <c r="B220" s="238" t="s">
        <v>2284</v>
      </c>
      <c r="C220" s="240" t="str" cm="1">
        <f t="array" ref="C220">" "&amp;LOWER(_xlfn.REDUCE(H_unit[[#This Row],[Company]]&amp;" "&amp;H_unit[[#This Row],[Unit]],{",",".","(",")","/"},_xlfn.LAMBDA(_xlpm.txt,_xlpm.delim,SUBSTITUTE(_xlpm.txt,_xlpm.delim," "))))&amp;" "</f>
        <v xml:space="preserve"> hämeenkyrön voima oy hämeenkyrön voima oy </v>
      </c>
      <c r="D220" s="242">
        <v>1972</v>
      </c>
      <c r="E220" s="243">
        <v>16</v>
      </c>
      <c r="F220" s="243">
        <v>16</v>
      </c>
      <c r="G220" s="247"/>
      <c r="H220" s="267" t="s">
        <v>1423</v>
      </c>
      <c r="I220" s="248" t="s">
        <v>1153</v>
      </c>
      <c r="J220" s="246" t="str" cm="1">
        <f t="array" ref="J220">_xlfn.XLOOKUP(TRUE,ISNUMBER(SEARCH(" "&amp;Municipality[Municipality]&amp;" ",H_unit[[#This Row],[Info string]])),Municipality[Municipality],"")</f>
        <v/>
      </c>
      <c r="K220" s="246" t="str" cm="1">
        <f t="array" ref="K220">IF(H_unit[[#This Row],[Exact]]&lt;&gt;"","",_xlfn.XLOOKUP(TRUE,ISNUMBER(SEARCH(" "&amp;Municipality[Municipality]&amp;"n ",H_unit[[#This Row],[Info string]])),Municipality[Municipality],""))</f>
        <v>Hämeenkyrö</v>
      </c>
      <c r="L220" s="246"/>
      <c r="M220" s="244"/>
      <c r="N220" s="246" t="str">
        <f>_xlfn.TEXTJOIN("",TRUE,H_unit[[#This Row],[Exact]],H_unit[[#This Row],[Exact+n]],H_unit[[#This Row],[Copilot]])</f>
        <v>Hämeenkyrö</v>
      </c>
      <c r="O220" s="246" t="str">
        <f>_xlfn.XLOOKUP(H_unit[[#This Row],[Municipality]],Municipality[Municipality],Municipality[Model],"")</f>
        <v>Center</v>
      </c>
      <c r="P220" s="236"/>
    </row>
    <row r="221" spans="1:16">
      <c r="A221" s="238" t="s">
        <v>2388</v>
      </c>
      <c r="B221" s="238" t="s">
        <v>2390</v>
      </c>
      <c r="C221" s="240" t="str" cm="1">
        <f t="array" ref="C221">" "&amp;LOWER(_xlfn.REDUCE(H_unit[[#This Row],[Company]]&amp;" "&amp;H_unit[[#This Row],[Unit]],{",",".","(",")","/"},_xlfn.LAMBDA(_xlpm.txt,_xlpm.delim,SUBSTITUTE(_xlpm.txt,_xlpm.delim," "))))&amp;" "</f>
        <v xml:space="preserve"> ssab europe oy  hämeenlinna kattilalaitos kaukolämpövaihtimet </v>
      </c>
      <c r="D221" s="242">
        <v>1972</v>
      </c>
      <c r="E221" s="243">
        <v>16</v>
      </c>
      <c r="F221" s="243"/>
      <c r="G221" s="247"/>
      <c r="H221" s="267" t="s">
        <v>2391</v>
      </c>
      <c r="I221" s="248" t="s">
        <v>1443</v>
      </c>
      <c r="J221" s="246" t="str" cm="1">
        <f t="array" ref="J221">_xlfn.XLOOKUP(TRUE,ISNUMBER(SEARCH(" "&amp;Municipality[Municipality]&amp;" ",H_unit[[#This Row],[Info string]])),Municipality[Municipality],"")</f>
        <v>Hämeenlinna</v>
      </c>
      <c r="K221" s="246" t="str" cm="1">
        <f t="array" ref="K221">IF(H_unit[[#This Row],[Exact]]&lt;&gt;"","",_xlfn.XLOOKUP(TRUE,ISNUMBER(SEARCH(" "&amp;Municipality[Municipality]&amp;"n ",H_unit[[#This Row],[Info string]])),Municipality[Municipality],""))</f>
        <v/>
      </c>
      <c r="L221" s="246"/>
      <c r="M221" s="244"/>
      <c r="N221" s="246" t="str">
        <f>_xlfn.TEXTJOIN("",TRUE,H_unit[[#This Row],[Exact]],H_unit[[#This Row],[Exact+n]],H_unit[[#This Row],[Copilot]])</f>
        <v>Hämeenlinna</v>
      </c>
      <c r="O221" s="246" t="str">
        <f>_xlfn.XLOOKUP(H_unit[[#This Row],[Municipality]],Municipality[Municipality],Municipality[Model],"")</f>
        <v>South West</v>
      </c>
      <c r="P221" s="236"/>
    </row>
    <row r="222" spans="1:16">
      <c r="A222" s="238" t="s">
        <v>1661</v>
      </c>
      <c r="B222" s="238" t="s">
        <v>1665</v>
      </c>
      <c r="C222" s="240" t="str" cm="1">
        <f t="array" ref="C222">" "&amp;LOWER(_xlfn.REDUCE(H_unit[[#This Row],[Company]]&amp;" "&amp;H_unit[[#This Row],[Unit]],{",",".","(",")","/"},_xlfn.LAMBDA(_xlpm.txt,_xlpm.delim,SUBSTITUTE(_xlpm.txt,_xlpm.delim," "))))&amp;" "</f>
        <v xml:space="preserve"> kss lämpö oy  kouvola urheilualue </v>
      </c>
      <c r="D222" s="242">
        <v>1979</v>
      </c>
      <c r="E222" s="243">
        <v>16</v>
      </c>
      <c r="F222" s="243"/>
      <c r="G222" s="247"/>
      <c r="H222" s="267" t="s">
        <v>1453</v>
      </c>
      <c r="I222" s="248" t="s">
        <v>1142</v>
      </c>
      <c r="J222" s="246" t="str" cm="1">
        <f t="array" ref="J222">_xlfn.XLOOKUP(TRUE,ISNUMBER(SEARCH(" "&amp;Municipality[Municipality]&amp;" ",H_unit[[#This Row],[Info string]])),Municipality[Municipality],"")</f>
        <v>Kouvola</v>
      </c>
      <c r="K222" s="246" t="str" cm="1">
        <f t="array" ref="K222">IF(H_unit[[#This Row],[Exact]]&lt;&gt;"","",_xlfn.XLOOKUP(TRUE,ISNUMBER(SEARCH(" "&amp;Municipality[Municipality]&amp;"n ",H_unit[[#This Row],[Info string]])),Municipality[Municipality],""))</f>
        <v/>
      </c>
      <c r="L222" s="246"/>
      <c r="M222" s="244"/>
      <c r="N222" s="246" t="str">
        <f>_xlfn.TEXTJOIN("",TRUE,H_unit[[#This Row],[Exact]],H_unit[[#This Row],[Exact+n]],H_unit[[#This Row],[Copilot]])</f>
        <v>Kouvola</v>
      </c>
      <c r="O222" s="246" t="str">
        <f>_xlfn.XLOOKUP(H_unit[[#This Row],[Municipality]],Municipality[Municipality],Municipality[Model],"")</f>
        <v>South East</v>
      </c>
      <c r="P222" s="236"/>
    </row>
    <row r="223" spans="1:16">
      <c r="A223" s="238" t="s">
        <v>1757</v>
      </c>
      <c r="B223" s="238" t="s">
        <v>1758</v>
      </c>
      <c r="C223" s="240" t="str" cm="1">
        <f t="array" ref="C223">" "&amp;LOWER(_xlfn.REDUCE(H_unit[[#This Row],[Company]]&amp;" "&amp;H_unit[[#This Row],[Unit]],{",",".","(",")","/"},_xlfn.LAMBDA(_xlpm.txt,_xlpm.delim,SUBSTITUTE(_xlpm.txt,_xlpm.delim," "))))&amp;" "</f>
        <v xml:space="preserve"> lempeä lämpö oy  juva puutarhatien lämpölaitos </v>
      </c>
      <c r="D223" s="242">
        <v>1985</v>
      </c>
      <c r="E223" s="243">
        <v>16</v>
      </c>
      <c r="F223" s="243"/>
      <c r="G223" s="247"/>
      <c r="H223" s="267" t="s">
        <v>1423</v>
      </c>
      <c r="I223" s="248" t="s">
        <v>1143</v>
      </c>
      <c r="J223" s="246" t="str" cm="1">
        <f t="array" ref="J223">_xlfn.XLOOKUP(TRUE,ISNUMBER(SEARCH(" "&amp;Municipality[Municipality]&amp;" ",H_unit[[#This Row],[Info string]])),Municipality[Municipality],"")</f>
        <v>Juva</v>
      </c>
      <c r="K223" s="246" t="str" cm="1">
        <f t="array" ref="K223">IF(H_unit[[#This Row],[Exact]]&lt;&gt;"","",_xlfn.XLOOKUP(TRUE,ISNUMBER(SEARCH(" "&amp;Municipality[Municipality]&amp;"n ",H_unit[[#This Row],[Info string]])),Municipality[Municipality],""))</f>
        <v/>
      </c>
      <c r="L223" s="246"/>
      <c r="M223" s="244"/>
      <c r="N223" s="246" t="str">
        <f>_xlfn.TEXTJOIN("",TRUE,H_unit[[#This Row],[Exact]],H_unit[[#This Row],[Exact+n]],H_unit[[#This Row],[Copilot]])</f>
        <v>Juva</v>
      </c>
      <c r="O223" s="246" t="str">
        <f>_xlfn.XLOOKUP(H_unit[[#This Row],[Municipality]],Municipality[Municipality],Municipality[Model],"")</f>
        <v>East</v>
      </c>
      <c r="P223" s="236"/>
    </row>
    <row r="224" spans="1:16">
      <c r="A224" s="238" t="s">
        <v>2061</v>
      </c>
      <c r="B224" s="238" t="s">
        <v>2063</v>
      </c>
      <c r="C224" s="240" t="str" cm="1">
        <f t="array" ref="C224">" "&amp;LOWER(_xlfn.REDUCE(H_unit[[#This Row],[Company]]&amp;" "&amp;H_unit[[#This Row],[Unit]],{",",".","(",")","/"},_xlfn.LAMBDA(_xlpm.txt,_xlpm.delim,SUBSTITUTE(_xlpm.txt,_xlpm.delim," "))))&amp;" "</f>
        <v xml:space="preserve"> raahen energia oy lk-1 </v>
      </c>
      <c r="D224" s="242">
        <v>1985</v>
      </c>
      <c r="E224" s="243">
        <v>16</v>
      </c>
      <c r="F224" s="243"/>
      <c r="G224" s="247"/>
      <c r="H224" s="267" t="s">
        <v>1430</v>
      </c>
      <c r="I224" s="248" t="s">
        <v>1141</v>
      </c>
      <c r="J224" s="246" t="str" cm="1">
        <f t="array" ref="J224">_xlfn.XLOOKUP(TRUE,ISNUMBER(SEARCH(" "&amp;Municipality[Municipality]&amp;" ",H_unit[[#This Row],[Info string]])),Municipality[Municipality],"")</f>
        <v/>
      </c>
      <c r="K224" s="246" t="str" cm="1">
        <f t="array" ref="K224">IF(H_unit[[#This Row],[Exact]]&lt;&gt;"","",_xlfn.XLOOKUP(TRUE,ISNUMBER(SEARCH(" "&amp;Municipality[Municipality]&amp;"n ",H_unit[[#This Row],[Info string]])),Municipality[Municipality],""))</f>
        <v>Raahe</v>
      </c>
      <c r="L224" s="246"/>
      <c r="M224" s="244"/>
      <c r="N224" s="246" t="str">
        <f>_xlfn.TEXTJOIN("",TRUE,H_unit[[#This Row],[Exact]],H_unit[[#This Row],[Exact+n]],H_unit[[#This Row],[Copilot]])</f>
        <v>Raahe</v>
      </c>
      <c r="O224" s="246" t="str">
        <f>_xlfn.XLOOKUP(H_unit[[#This Row],[Municipality]],Municipality[Municipality],Municipality[Model],"")</f>
        <v>North</v>
      </c>
      <c r="P224" s="236"/>
    </row>
    <row r="225" spans="1:16">
      <c r="A225" s="238" t="s">
        <v>1978</v>
      </c>
      <c r="B225" s="238" t="s">
        <v>1979</v>
      </c>
      <c r="C225" s="240" t="str" cm="1">
        <f t="array" ref="C225">" "&amp;LOWER(_xlfn.REDUCE(H_unit[[#This Row],[Company]]&amp;" "&amp;H_unit[[#This Row],[Unit]],{",",".","(",")","/"},_xlfn.LAMBDA(_xlpm.txt,_xlpm.delim,SUBSTITUTE(_xlpm.txt,_xlpm.delim," "))))&amp;" "</f>
        <v xml:space="preserve"> nurmijärven sähkö oy kirkonkylä kpö-kattila </v>
      </c>
      <c r="D225" s="242">
        <v>1988</v>
      </c>
      <c r="E225" s="243">
        <v>16</v>
      </c>
      <c r="F225" s="243"/>
      <c r="G225" s="247"/>
      <c r="H225" s="267" t="s">
        <v>1430</v>
      </c>
      <c r="I225" s="248" t="s">
        <v>1141</v>
      </c>
      <c r="J225" s="246" t="str" cm="1">
        <f t="array" ref="J225">_xlfn.XLOOKUP(TRUE,ISNUMBER(SEARCH(" "&amp;Municipality[Municipality]&amp;" ",H_unit[[#This Row],[Info string]])),Municipality[Municipality],"")</f>
        <v/>
      </c>
      <c r="K225" s="246" t="str" cm="1">
        <f t="array" ref="K225">IF(H_unit[[#This Row],[Exact]]&lt;&gt;"","",_xlfn.XLOOKUP(TRUE,ISNUMBER(SEARCH(" "&amp;Municipality[Municipality]&amp;"n ",H_unit[[#This Row],[Info string]])),Municipality[Municipality],""))</f>
        <v/>
      </c>
      <c r="L225" s="246" t="s">
        <v>2695</v>
      </c>
      <c r="M225" s="244" t="s">
        <v>2905</v>
      </c>
      <c r="N225" s="246" t="str">
        <f>_xlfn.TEXTJOIN("",TRUE,H_unit[[#This Row],[Exact]],H_unit[[#This Row],[Exact+n]],H_unit[[#This Row],[Copilot]])</f>
        <v>Nurmijärvi</v>
      </c>
      <c r="O225" s="246" t="str">
        <f>_xlfn.XLOOKUP(H_unit[[#This Row],[Municipality]],Municipality[Municipality],Municipality[Model],"")</f>
        <v>Uusimaa</v>
      </c>
      <c r="P225" s="236"/>
    </row>
    <row r="226" spans="1:16">
      <c r="A226" s="238" t="s">
        <v>1612</v>
      </c>
      <c r="B226" s="238" t="s">
        <v>1071</v>
      </c>
      <c r="C226" s="240" t="str" cm="1">
        <f t="array" ref="C226">" "&amp;LOWER(_xlfn.REDUCE(H_unit[[#This Row],[Company]]&amp;" "&amp;H_unit[[#This Row],[Unit]],{",",".","(",")","/"},_xlfn.LAMBDA(_xlpm.txt,_xlpm.delim,SUBSTITUTE(_xlpm.txt,_xlpm.delim," "))))&amp;" "</f>
        <v xml:space="preserve"> keravan energia oy  kerava savio </v>
      </c>
      <c r="D226" s="242">
        <v>1991</v>
      </c>
      <c r="E226" s="243">
        <v>16</v>
      </c>
      <c r="F226" s="243"/>
      <c r="G226" s="247"/>
      <c r="H226" s="267" t="s">
        <v>1453</v>
      </c>
      <c r="I226" s="248" t="s">
        <v>1142</v>
      </c>
      <c r="J226" s="246" t="str" cm="1">
        <f t="array" ref="J226">_xlfn.XLOOKUP(TRUE,ISNUMBER(SEARCH(" "&amp;Municipality[Municipality]&amp;" ",H_unit[[#This Row],[Info string]])),Municipality[Municipality],"")</f>
        <v>Kerava</v>
      </c>
      <c r="K226" s="246" t="str" cm="1">
        <f t="array" ref="K226">IF(H_unit[[#This Row],[Exact]]&lt;&gt;"","",_xlfn.XLOOKUP(TRUE,ISNUMBER(SEARCH(" "&amp;Municipality[Municipality]&amp;"n ",H_unit[[#This Row],[Info string]])),Municipality[Municipality],""))</f>
        <v/>
      </c>
      <c r="L226" s="246"/>
      <c r="M226" s="244"/>
      <c r="N226" s="246" t="str">
        <f>_xlfn.TEXTJOIN("",TRUE,H_unit[[#This Row],[Exact]],H_unit[[#This Row],[Exact+n]],H_unit[[#This Row],[Copilot]])</f>
        <v>Kerava</v>
      </c>
      <c r="O226" s="246" t="str">
        <f>_xlfn.XLOOKUP(H_unit[[#This Row],[Municipality]],Municipality[Municipality],Municipality[Model],"")</f>
        <v>Uusimaa</v>
      </c>
      <c r="P226" s="236"/>
    </row>
    <row r="227" spans="1:16">
      <c r="A227" s="238" t="s">
        <v>1558</v>
      </c>
      <c r="B227" s="238" t="s">
        <v>1559</v>
      </c>
      <c r="C227" s="240" t="str" cm="1">
        <f t="array" ref="C227">" "&amp;LOWER(_xlfn.REDUCE(H_unit[[#This Row],[Company]]&amp;" "&amp;H_unit[[#This Row],[Unit]],{",",".","(",")","/"},_xlfn.LAMBDA(_xlpm.txt,_xlpm.delim,SUBSTITUTE(_xlpm.txt,_xlpm.delim," "))))&amp;" "</f>
        <v xml:space="preserve"> jämsän aluelämpö oy pietilä </v>
      </c>
      <c r="D227" s="242">
        <v>1992</v>
      </c>
      <c r="E227" s="243">
        <v>16</v>
      </c>
      <c r="F227" s="243"/>
      <c r="G227" s="247"/>
      <c r="H227" s="267" t="s">
        <v>1430</v>
      </c>
      <c r="I227" s="248" t="s">
        <v>1141</v>
      </c>
      <c r="J227" s="246" t="str" cm="1">
        <f t="array" ref="J227">_xlfn.XLOOKUP(TRUE,ISNUMBER(SEARCH(" "&amp;Municipality[Municipality]&amp;" ",H_unit[[#This Row],[Info string]])),Municipality[Municipality],"")</f>
        <v/>
      </c>
      <c r="K227" s="246" t="str" cm="1">
        <f t="array" ref="K227">IF(H_unit[[#This Row],[Exact]]&lt;&gt;"","",_xlfn.XLOOKUP(TRUE,ISNUMBER(SEARCH(" "&amp;Municipality[Municipality]&amp;"n ",H_unit[[#This Row],[Info string]])),Municipality[Municipality],""))</f>
        <v>Jämsä</v>
      </c>
      <c r="L227" s="246"/>
      <c r="M227" s="244"/>
      <c r="N227" s="246" t="str">
        <f>_xlfn.TEXTJOIN("",TRUE,H_unit[[#This Row],[Exact]],H_unit[[#This Row],[Exact+n]],H_unit[[#This Row],[Copilot]])</f>
        <v>Jämsä</v>
      </c>
      <c r="O227" s="246" t="str">
        <f>_xlfn.XLOOKUP(H_unit[[#This Row],[Municipality]],Municipality[Municipality],Municipality[Model],"")</f>
        <v>Center</v>
      </c>
      <c r="P227" s="236"/>
    </row>
    <row r="228" spans="1:16">
      <c r="A228" s="238" t="s">
        <v>2061</v>
      </c>
      <c r="B228" s="238" t="s">
        <v>2064</v>
      </c>
      <c r="C228" s="240" t="str" cm="1">
        <f t="array" ref="C228">" "&amp;LOWER(_xlfn.REDUCE(H_unit[[#This Row],[Company]]&amp;" "&amp;H_unit[[#This Row],[Unit]],{",",".","(",")","/"},_xlfn.LAMBDA(_xlpm.txt,_xlpm.delim,SUBSTITUTE(_xlpm.txt,_xlpm.delim," "))))&amp;" "</f>
        <v xml:space="preserve"> raahen energia oy lk-2 </v>
      </c>
      <c r="D228" s="242">
        <v>2004</v>
      </c>
      <c r="E228" s="243">
        <v>16</v>
      </c>
      <c r="F228" s="243"/>
      <c r="G228" s="247"/>
      <c r="H228" s="267" t="s">
        <v>1430</v>
      </c>
      <c r="I228" s="248" t="s">
        <v>1141</v>
      </c>
      <c r="J228" s="246" t="str" cm="1">
        <f t="array" ref="J228">_xlfn.XLOOKUP(TRUE,ISNUMBER(SEARCH(" "&amp;Municipality[Municipality]&amp;" ",H_unit[[#This Row],[Info string]])),Municipality[Municipality],"")</f>
        <v/>
      </c>
      <c r="K228" s="246" t="str" cm="1">
        <f t="array" ref="K228">IF(H_unit[[#This Row],[Exact]]&lt;&gt;"","",_xlfn.XLOOKUP(TRUE,ISNUMBER(SEARCH(" "&amp;Municipality[Municipality]&amp;"n ",H_unit[[#This Row],[Info string]])),Municipality[Municipality],""))</f>
        <v>Raahe</v>
      </c>
      <c r="L228" s="246"/>
      <c r="M228" s="244"/>
      <c r="N228" s="246" t="str">
        <f>_xlfn.TEXTJOIN("",TRUE,H_unit[[#This Row],[Exact]],H_unit[[#This Row],[Exact+n]],H_unit[[#This Row],[Copilot]])</f>
        <v>Raahe</v>
      </c>
      <c r="O228" s="246" t="str">
        <f>_xlfn.XLOOKUP(H_unit[[#This Row],[Municipality]],Municipality[Municipality],Municipality[Model],"")</f>
        <v>North</v>
      </c>
      <c r="P228" s="236"/>
    </row>
    <row r="229" spans="1:16">
      <c r="A229" s="238" t="s">
        <v>1599</v>
      </c>
      <c r="B229" s="238" t="s">
        <v>1604</v>
      </c>
      <c r="C229" s="240" t="str" cm="1">
        <f t="array" ref="C229">" "&amp;LOWER(_xlfn.REDUCE(H_unit[[#This Row],[Company]]&amp;" "&amp;H_unit[[#This Row],[Unit]],{",",".","(",")","/"},_xlfn.LAMBDA(_xlpm.txt,_xlpm.delim,SUBSTITUTE(_xlpm.txt,_xlpm.delim," "))))&amp;" "</f>
        <v xml:space="preserve"> kemijärven lämpö ja vesi oy kevo </v>
      </c>
      <c r="D229" s="242">
        <v>2010</v>
      </c>
      <c r="E229" s="243">
        <v>16</v>
      </c>
      <c r="F229" s="243">
        <v>4.5</v>
      </c>
      <c r="G229" s="247"/>
      <c r="H229" s="267" t="s">
        <v>1428</v>
      </c>
      <c r="I229" s="248" t="s">
        <v>1153</v>
      </c>
      <c r="J229" s="246" t="str" cm="1">
        <f t="array" ref="J229">_xlfn.XLOOKUP(TRUE,ISNUMBER(SEARCH(" "&amp;Municipality[Municipality]&amp;" ",H_unit[[#This Row],[Info string]])),Municipality[Municipality],"")</f>
        <v/>
      </c>
      <c r="K229" s="246" t="str" cm="1">
        <f t="array" ref="K229">IF(H_unit[[#This Row],[Exact]]&lt;&gt;"","",_xlfn.XLOOKUP(TRUE,ISNUMBER(SEARCH(" "&amp;Municipality[Municipality]&amp;"n ",H_unit[[#This Row],[Info string]])),Municipality[Municipality],""))</f>
        <v/>
      </c>
      <c r="L229" s="246" t="s">
        <v>1044</v>
      </c>
      <c r="M229" s="244" t="s">
        <v>2898</v>
      </c>
      <c r="N229" s="246" t="str">
        <f>_xlfn.TEXTJOIN("",TRUE,H_unit[[#This Row],[Exact]],H_unit[[#This Row],[Exact+n]],H_unit[[#This Row],[Copilot]])</f>
        <v>Kemijärvi</v>
      </c>
      <c r="O229" s="246" t="str">
        <f>_xlfn.XLOOKUP(H_unit[[#This Row],[Municipality]],Municipality[Municipality],Municipality[Model],"")</f>
        <v>North</v>
      </c>
      <c r="P229" s="236"/>
    </row>
    <row r="230" spans="1:16">
      <c r="A230" s="238" t="s">
        <v>1570</v>
      </c>
      <c r="B230" s="238" t="s">
        <v>1575</v>
      </c>
      <c r="C230" s="240" t="str" cm="1">
        <f t="array" ref="C230">" "&amp;LOWER(_xlfn.REDUCE(H_unit[[#This Row],[Company]]&amp;" "&amp;H_unit[[#This Row],[Unit]],{",",".","(",")","/"},_xlfn.LAMBDA(_xlpm.txt,_xlpm.delim,SUBSTITUTE(_xlpm.txt,_xlpm.delim," "))))&amp;" "</f>
        <v xml:space="preserve"> kangasalan lämpö oy ranta-koivisto </v>
      </c>
      <c r="D230" s="242">
        <v>2020</v>
      </c>
      <c r="E230" s="243">
        <v>16</v>
      </c>
      <c r="F230" s="243"/>
      <c r="G230" s="247"/>
      <c r="H230" s="267" t="s">
        <v>1423</v>
      </c>
      <c r="I230" s="248" t="s">
        <v>1143</v>
      </c>
      <c r="J230" s="246" t="str" cm="1">
        <f t="array" ref="J230">_xlfn.XLOOKUP(TRUE,ISNUMBER(SEARCH(" "&amp;Municipality[Municipality]&amp;" ",H_unit[[#This Row],[Info string]])),Municipality[Municipality],"")</f>
        <v/>
      </c>
      <c r="K230" s="246" t="str" cm="1">
        <f t="array" ref="K230">IF(H_unit[[#This Row],[Exact]]&lt;&gt;"","",_xlfn.XLOOKUP(TRUE,ISNUMBER(SEARCH(" "&amp;Municipality[Municipality]&amp;"n ",H_unit[[#This Row],[Info string]])),Municipality[Municipality],""))</f>
        <v>Kangasala</v>
      </c>
      <c r="L230" s="246"/>
      <c r="M230" s="244"/>
      <c r="N230" s="246" t="str">
        <f>_xlfn.TEXTJOIN("",TRUE,H_unit[[#This Row],[Exact]],H_unit[[#This Row],[Exact+n]],H_unit[[#This Row],[Copilot]])</f>
        <v>Kangasala</v>
      </c>
      <c r="O230" s="246" t="str">
        <f>_xlfn.XLOOKUP(H_unit[[#This Row],[Municipality]],Municipality[Municipality],Municipality[Model],"")</f>
        <v>Center</v>
      </c>
      <c r="P230" s="236"/>
    </row>
    <row r="231" spans="1:16">
      <c r="A231" s="238" t="s">
        <v>1916</v>
      </c>
      <c r="B231" s="238" t="s">
        <v>1918</v>
      </c>
      <c r="C231" s="240" t="str" cm="1">
        <f t="array" ref="C231">" "&amp;LOWER(_xlfn.REDUCE(H_unit[[#This Row],[Company]]&amp;" "&amp;H_unit[[#This Row],[Unit]],{",",".","(",")","/"},_xlfn.LAMBDA(_xlpm.txt,_xlpm.delim,SUBSTITUTE(_xlpm.txt,_xlpm.delim," "))))&amp;" "</f>
        <v xml:space="preserve"> nevel oy  karkkila karkkila puhdistamontie </v>
      </c>
      <c r="D231" s="242">
        <v>2004</v>
      </c>
      <c r="E231" s="243">
        <v>15.4</v>
      </c>
      <c r="F231" s="243"/>
      <c r="G231" s="247"/>
      <c r="H231" s="267" t="s">
        <v>1428</v>
      </c>
      <c r="I231" s="248" t="s">
        <v>1143</v>
      </c>
      <c r="J231" s="246" t="str" cm="1">
        <f t="array" ref="J231">_xlfn.XLOOKUP(TRUE,ISNUMBER(SEARCH(" "&amp;Municipality[Municipality]&amp;" ",H_unit[[#This Row],[Info string]])),Municipality[Municipality],"")</f>
        <v>Karkkila</v>
      </c>
      <c r="K231" s="246" t="str" cm="1">
        <f t="array" ref="K231">IF(H_unit[[#This Row],[Exact]]&lt;&gt;"","",_xlfn.XLOOKUP(TRUE,ISNUMBER(SEARCH(" "&amp;Municipality[Municipality]&amp;"n ",H_unit[[#This Row],[Info string]])),Municipality[Municipality],""))</f>
        <v/>
      </c>
      <c r="L231" s="246"/>
      <c r="M231" s="244"/>
      <c r="N231" s="246" t="str">
        <f>_xlfn.TEXTJOIN("",TRUE,H_unit[[#This Row],[Exact]],H_unit[[#This Row],[Exact+n]],H_unit[[#This Row],[Copilot]])</f>
        <v>Karkkila</v>
      </c>
      <c r="O231" s="246" t="str">
        <f>_xlfn.XLOOKUP(H_unit[[#This Row],[Municipality]],Municipality[Municipality],Municipality[Model],"")</f>
        <v>Uusimaa</v>
      </c>
      <c r="P231" s="236"/>
    </row>
    <row r="232" spans="1:16">
      <c r="A232" s="238" t="s">
        <v>2250</v>
      </c>
      <c r="B232" s="238" t="s">
        <v>2251</v>
      </c>
      <c r="C232" s="240" t="str" cm="1">
        <f t="array" ref="C232">" "&amp;LOWER(_xlfn.REDUCE(H_unit[[#This Row],[Company]]&amp;" "&amp;H_unit[[#This Row],[Unit]],{",",".","(",")","/"},_xlfn.LAMBDA(_xlpm.txt,_xlpm.delim,SUBSTITUTE(_xlpm.txt,_xlpm.delim," "))))&amp;" "</f>
        <v xml:space="preserve"> virtain energia oy kaukolämpölaitos </v>
      </c>
      <c r="D232" s="242">
        <v>1979</v>
      </c>
      <c r="E232" s="243">
        <v>15</v>
      </c>
      <c r="F232" s="243"/>
      <c r="G232" s="247"/>
      <c r="H232" s="267" t="s">
        <v>1423</v>
      </c>
      <c r="I232" s="248" t="s">
        <v>1143</v>
      </c>
      <c r="J232" s="246" t="str" cm="1">
        <f t="array" ref="J232">_xlfn.XLOOKUP(TRUE,ISNUMBER(SEARCH(" "&amp;Municipality[Municipality]&amp;" ",H_unit[[#This Row],[Info string]])),Municipality[Municipality],"")</f>
        <v/>
      </c>
      <c r="K232" s="246" t="str" cm="1">
        <f t="array" ref="K232">IF(H_unit[[#This Row],[Exact]]&lt;&gt;"","",_xlfn.XLOOKUP(TRUE,ISNUMBER(SEARCH(" "&amp;Municipality[Municipality]&amp;"n ",H_unit[[#This Row],[Info string]])),Municipality[Municipality],""))</f>
        <v/>
      </c>
      <c r="L232" s="246" t="s">
        <v>2840</v>
      </c>
      <c r="M232" s="244" t="s">
        <v>2906</v>
      </c>
      <c r="N232" s="246" t="str">
        <f>_xlfn.TEXTJOIN("",TRUE,H_unit[[#This Row],[Exact]],H_unit[[#This Row],[Exact+n]],H_unit[[#This Row],[Copilot]])</f>
        <v>Virrat</v>
      </c>
      <c r="O232" s="246" t="str">
        <f>_xlfn.XLOOKUP(H_unit[[#This Row],[Municipality]],Municipality[Municipality],Municipality[Model],"")</f>
        <v>Center</v>
      </c>
      <c r="P232" s="236"/>
    </row>
    <row r="233" spans="1:16">
      <c r="A233" s="238" t="s">
        <v>2368</v>
      </c>
      <c r="B233" s="238" t="s">
        <v>2370</v>
      </c>
      <c r="C233" s="240" t="str" cm="1">
        <f t="array" ref="C233">" "&amp;LOWER(_xlfn.REDUCE(H_unit[[#This Row],[Company]]&amp;" "&amp;H_unit[[#This Row],[Unit]],{",",".","(",")","/"},_xlfn.LAMBDA(_xlpm.txt,_xlpm.delim,SUBSTITUTE(_xlpm.txt,_xlpm.delim," "))))&amp;" "</f>
        <v xml:space="preserve"> picea oy ab  laitila rauma-repola </v>
      </c>
      <c r="D233" s="242">
        <v>1980</v>
      </c>
      <c r="E233" s="243">
        <v>15</v>
      </c>
      <c r="F233" s="243"/>
      <c r="G233" s="247"/>
      <c r="H233" s="267" t="s">
        <v>1439</v>
      </c>
      <c r="I233" s="248" t="s">
        <v>1443</v>
      </c>
      <c r="J233" s="246" t="str" cm="1">
        <f t="array" ref="J233">_xlfn.XLOOKUP(TRUE,ISNUMBER(SEARCH(" "&amp;Municipality[Municipality]&amp;" ",H_unit[[#This Row],[Info string]])),Municipality[Municipality],"")</f>
        <v>Laitila</v>
      </c>
      <c r="K233" s="246" t="str" cm="1">
        <f t="array" ref="K233">IF(H_unit[[#This Row],[Exact]]&lt;&gt;"","",_xlfn.XLOOKUP(TRUE,ISNUMBER(SEARCH(" "&amp;Municipality[Municipality]&amp;"n ",H_unit[[#This Row],[Info string]])),Municipality[Municipality],""))</f>
        <v/>
      </c>
      <c r="L233" s="246"/>
      <c r="M233" s="244"/>
      <c r="N233" s="246" t="str">
        <f>_xlfn.TEXTJOIN("",TRUE,H_unit[[#This Row],[Exact]],H_unit[[#This Row],[Exact+n]],H_unit[[#This Row],[Copilot]])</f>
        <v>Laitila</v>
      </c>
      <c r="O233" s="246" t="str">
        <f>_xlfn.XLOOKUP(H_unit[[#This Row],[Municipality]],Municipality[Municipality],Municipality[Model],"")</f>
        <v>South West</v>
      </c>
      <c r="P233" s="236"/>
    </row>
    <row r="234" spans="1:16">
      <c r="A234" s="238" t="s">
        <v>2215</v>
      </c>
      <c r="B234" s="238" t="s">
        <v>2216</v>
      </c>
      <c r="C234" s="240" t="str" cm="1">
        <f t="array" ref="C234">" "&amp;LOWER(_xlfn.REDUCE(H_unit[[#This Row],[Company]]&amp;" "&amp;H_unit[[#This Row],[Unit]],{",",".","(",")","/"},_xlfn.LAMBDA(_xlpm.txt,_xlpm.delim,SUBSTITUTE(_xlpm.txt,_xlpm.delim," "))))&amp;" "</f>
        <v xml:space="preserve"> vantaan energia keski-uusimaa oy  tuusula kievari </v>
      </c>
      <c r="D234" s="242">
        <v>1991</v>
      </c>
      <c r="E234" s="243">
        <v>15</v>
      </c>
      <c r="F234" s="243"/>
      <c r="G234" s="247"/>
      <c r="H234" s="267" t="s">
        <v>1453</v>
      </c>
      <c r="I234" s="248" t="s">
        <v>1142</v>
      </c>
      <c r="J234" s="246" t="str" cm="1">
        <f t="array" ref="J234">_xlfn.XLOOKUP(TRUE,ISNUMBER(SEARCH(" "&amp;Municipality[Municipality]&amp;" ",H_unit[[#This Row],[Info string]])),Municipality[Municipality],"")</f>
        <v>Tuusula</v>
      </c>
      <c r="K234" s="246" t="str" cm="1">
        <f t="array" ref="K234">IF(H_unit[[#This Row],[Exact]]&lt;&gt;"","",_xlfn.XLOOKUP(TRUE,ISNUMBER(SEARCH(" "&amp;Municipality[Municipality]&amp;"n ",H_unit[[#This Row],[Info string]])),Municipality[Municipality],""))</f>
        <v/>
      </c>
      <c r="L234" s="246"/>
      <c r="M234" s="244"/>
      <c r="N234" s="246" t="str">
        <f>_xlfn.TEXTJOIN("",TRUE,H_unit[[#This Row],[Exact]],H_unit[[#This Row],[Exact+n]],H_unit[[#This Row],[Copilot]])</f>
        <v>Tuusula</v>
      </c>
      <c r="O234" s="246" t="str">
        <f>_xlfn.XLOOKUP(H_unit[[#This Row],[Municipality]],Municipality[Municipality],Municipality[Model],"")</f>
        <v>Uusimaa</v>
      </c>
      <c r="P234" s="236"/>
    </row>
    <row r="235" spans="1:16">
      <c r="A235" s="238" t="s">
        <v>1466</v>
      </c>
      <c r="B235" s="238" t="s">
        <v>1467</v>
      </c>
      <c r="C235" s="240" t="str" cm="1">
        <f t="array" ref="C235">" "&amp;LOWER(_xlfn.REDUCE(H_unit[[#This Row],[Company]]&amp;" "&amp;H_unit[[#This Row],[Unit]],{",",".","(",")","/"},_xlfn.LAMBDA(_xlpm.txt,_xlpm.delim,SUBSTITUTE(_xlpm.txt,_xlpm.delim," "))))&amp;" "</f>
        <v xml:space="preserve"> adven oy  sastamala  vammala  vammala  </v>
      </c>
      <c r="D235" s="242">
        <v>2001</v>
      </c>
      <c r="E235" s="243">
        <v>15</v>
      </c>
      <c r="F235" s="243"/>
      <c r="G235" s="247"/>
      <c r="H235" s="267" t="s">
        <v>1439</v>
      </c>
      <c r="I235" s="248" t="s">
        <v>1143</v>
      </c>
      <c r="J235" s="246" t="str" cm="1">
        <f t="array" ref="J235">_xlfn.XLOOKUP(TRUE,ISNUMBER(SEARCH(" "&amp;Municipality[Municipality]&amp;" ",H_unit[[#This Row],[Info string]])),Municipality[Municipality],"")</f>
        <v>Vammala</v>
      </c>
      <c r="K235" s="246" t="str" cm="1">
        <f t="array" ref="K235">IF(H_unit[[#This Row],[Exact]]&lt;&gt;"","",_xlfn.XLOOKUP(TRUE,ISNUMBER(SEARCH(" "&amp;Municipality[Municipality]&amp;"n ",H_unit[[#This Row],[Info string]])),Municipality[Municipality],""))</f>
        <v/>
      </c>
      <c r="L235" s="246"/>
      <c r="M235" s="244"/>
      <c r="N235" s="246" t="str">
        <f>_xlfn.TEXTJOIN("",TRUE,H_unit[[#This Row],[Exact]],H_unit[[#This Row],[Exact+n]],H_unit[[#This Row],[Copilot]])</f>
        <v>Vammala</v>
      </c>
      <c r="O235" s="246" t="str">
        <f>_xlfn.XLOOKUP(H_unit[[#This Row],[Municipality]],Municipality[Municipality],Municipality[Model],"")</f>
        <v>Center</v>
      </c>
      <c r="P235" s="236"/>
    </row>
    <row r="236" spans="1:16">
      <c r="A236" s="238" t="s">
        <v>2070</v>
      </c>
      <c r="B236" s="238" t="s">
        <v>2072</v>
      </c>
      <c r="C236" s="240" t="str" cm="1">
        <f t="array" ref="C236">" "&amp;LOWER(_xlfn.REDUCE(H_unit[[#This Row],[Company]]&amp;" "&amp;H_unit[[#This Row],[Unit]],{",",".","(",")","/"},_xlfn.LAMBDA(_xlpm.txt,_xlpm.delim,SUBSTITUTE(_xlpm.txt,_xlpm.delim," "))))&amp;" "</f>
        <v xml:space="preserve"> raseborgs energi ab björknäs biovärmecentral </v>
      </c>
      <c r="D236" s="242">
        <v>2001</v>
      </c>
      <c r="E236" s="243">
        <v>15</v>
      </c>
      <c r="F236" s="243"/>
      <c r="G236" s="247"/>
      <c r="H236" s="267" t="s">
        <v>1423</v>
      </c>
      <c r="I236" s="248" t="s">
        <v>1143</v>
      </c>
      <c r="J236" s="246" t="str" cm="1">
        <f t="array" ref="J236">_xlfn.XLOOKUP(TRUE,ISNUMBER(SEARCH(" "&amp;Municipality[Municipality]&amp;" ",H_unit[[#This Row],[Info string]])),Municipality[Municipality],"")</f>
        <v/>
      </c>
      <c r="K236" s="246" t="str" cm="1">
        <f t="array" ref="K236">IF(H_unit[[#This Row],[Exact]]&lt;&gt;"","",_xlfn.XLOOKUP(TRUE,ISNUMBER(SEARCH(" "&amp;Municipality[Municipality]&amp;"n ",H_unit[[#This Row],[Info string]])),Municipality[Municipality],""))</f>
        <v/>
      </c>
      <c r="L236" s="246" t="s">
        <v>2502</v>
      </c>
      <c r="M236" s="244" t="s">
        <v>2928</v>
      </c>
      <c r="N236" s="246" t="str">
        <f>_xlfn.TEXTJOIN("",TRUE,H_unit[[#This Row],[Exact]],H_unit[[#This Row],[Exact+n]],H_unit[[#This Row],[Copilot]])</f>
        <v>Tammisaari</v>
      </c>
      <c r="O236" s="246" t="str">
        <f>_xlfn.XLOOKUP(H_unit[[#This Row],[Municipality]],Municipality[Municipality],Municipality[Model],"")</f>
        <v>Uusimaa</v>
      </c>
      <c r="P236" s="236"/>
    </row>
    <row r="237" spans="1:16">
      <c r="A237" s="238" t="s">
        <v>2028</v>
      </c>
      <c r="B237" s="238" t="s">
        <v>2030</v>
      </c>
      <c r="C237" s="240" t="str" cm="1">
        <f t="array" ref="C237">" "&amp;LOWER(_xlfn.REDUCE(H_unit[[#This Row],[Company]]&amp;" "&amp;H_unit[[#This Row],[Unit]],{",",".","(",")","/"},_xlfn.LAMBDA(_xlpm.txt,_xlpm.delim,SUBSTITUTE(_xlpm.txt,_xlpm.delim," "))))&amp;" "</f>
        <v xml:space="preserve"> paimion lämpökeskus oy hake </v>
      </c>
      <c r="D237" s="242">
        <v>2003</v>
      </c>
      <c r="E237" s="243">
        <v>15</v>
      </c>
      <c r="F237" s="243"/>
      <c r="G237" s="247"/>
      <c r="H237" s="267" t="s">
        <v>1423</v>
      </c>
      <c r="I237" s="248" t="s">
        <v>1143</v>
      </c>
      <c r="J237" s="246" t="str" cm="1">
        <f t="array" ref="J237">_xlfn.XLOOKUP(TRUE,ISNUMBER(SEARCH(" "&amp;Municipality[Municipality]&amp;" ",H_unit[[#This Row],[Info string]])),Municipality[Municipality],"")</f>
        <v/>
      </c>
      <c r="K237" s="246" t="str" cm="1">
        <f t="array" ref="K237">IF(H_unit[[#This Row],[Exact]]&lt;&gt;"","",_xlfn.XLOOKUP(TRUE,ISNUMBER(SEARCH(" "&amp;Municipality[Municipality]&amp;"n ",H_unit[[#This Row],[Info string]])),Municipality[Municipality],""))</f>
        <v>Paimio</v>
      </c>
      <c r="L237" s="246"/>
      <c r="M237" s="244"/>
      <c r="N237" s="246" t="str">
        <f>_xlfn.TEXTJOIN("",TRUE,H_unit[[#This Row],[Exact]],H_unit[[#This Row],[Exact+n]],H_unit[[#This Row],[Copilot]])</f>
        <v>Paimio</v>
      </c>
      <c r="O237" s="246" t="str">
        <f>_xlfn.XLOOKUP(H_unit[[#This Row],[Municipality]],Municipality[Municipality],Municipality[Model],"")</f>
        <v>South West</v>
      </c>
      <c r="P237" s="236"/>
    </row>
    <row r="238" spans="1:16">
      <c r="A238" s="238" t="s">
        <v>1978</v>
      </c>
      <c r="B238" s="238" t="s">
        <v>1983</v>
      </c>
      <c r="C238" s="240" t="str" cm="1">
        <f t="array" ref="C238">" "&amp;LOWER(_xlfn.REDUCE(H_unit[[#This Row],[Company]]&amp;" "&amp;H_unit[[#This Row],[Unit]],{",",".","(",")","/"},_xlfn.LAMBDA(_xlpm.txt,_xlpm.delim,SUBSTITUTE(_xlpm.txt,_xlpm.delim," "))))&amp;" "</f>
        <v xml:space="preserve"> nurmijärven sähkö oy klaukkala kpö-kattila </v>
      </c>
      <c r="D238" s="242">
        <v>2005</v>
      </c>
      <c r="E238" s="243">
        <v>15</v>
      </c>
      <c r="F238" s="243"/>
      <c r="G238" s="247"/>
      <c r="H238" s="267" t="s">
        <v>1430</v>
      </c>
      <c r="I238" s="248" t="s">
        <v>1141</v>
      </c>
      <c r="J238" s="246" t="str" cm="1">
        <f t="array" ref="J238">_xlfn.XLOOKUP(TRUE,ISNUMBER(SEARCH(" "&amp;Municipality[Municipality]&amp;" ",H_unit[[#This Row],[Info string]])),Municipality[Municipality],"")</f>
        <v/>
      </c>
      <c r="K238" s="246" t="str" cm="1">
        <f t="array" ref="K238">IF(H_unit[[#This Row],[Exact]]&lt;&gt;"","",_xlfn.XLOOKUP(TRUE,ISNUMBER(SEARCH(" "&amp;Municipality[Municipality]&amp;"n ",H_unit[[#This Row],[Info string]])),Municipality[Municipality],""))</f>
        <v/>
      </c>
      <c r="L238" s="246" t="s">
        <v>2695</v>
      </c>
      <c r="M238" s="244" t="s">
        <v>2905</v>
      </c>
      <c r="N238" s="246" t="str">
        <f>_xlfn.TEXTJOIN("",TRUE,H_unit[[#This Row],[Exact]],H_unit[[#This Row],[Exact+n]],H_unit[[#This Row],[Copilot]])</f>
        <v>Nurmijärvi</v>
      </c>
      <c r="O238" s="246" t="str">
        <f>_xlfn.XLOOKUP(H_unit[[#This Row],[Municipality]],Municipality[Municipality],Municipality[Model],"")</f>
        <v>Uusimaa</v>
      </c>
      <c r="P238" s="236"/>
    </row>
    <row r="239" spans="1:16">
      <c r="A239" s="238" t="s">
        <v>1728</v>
      </c>
      <c r="B239" s="238" t="s">
        <v>1736</v>
      </c>
      <c r="C239" s="240" t="str" cm="1">
        <f t="array" ref="C239">" "&amp;LOWER(_xlfn.REDUCE(H_unit[[#This Row],[Company]]&amp;" "&amp;H_unit[[#This Row],[Unit]],{",",".","(",")","/"},_xlfn.LAMBDA(_xlpm.txt,_xlpm.delim,SUBSTITUTE(_xlpm.txt,_xlpm.delim," "))))&amp;" "</f>
        <v xml:space="preserve"> lahti energia oy  lahti ahtialan lämpökeskus </v>
      </c>
      <c r="D239" s="242">
        <v>2012</v>
      </c>
      <c r="E239" s="243">
        <v>15</v>
      </c>
      <c r="F239" s="243"/>
      <c r="G239" s="247"/>
      <c r="H239" s="267" t="s">
        <v>1453</v>
      </c>
      <c r="I239" s="248" t="s">
        <v>1142</v>
      </c>
      <c r="J239" s="246" t="str" cm="1">
        <f t="array" ref="J239">_xlfn.XLOOKUP(TRUE,ISNUMBER(SEARCH(" "&amp;Municipality[Municipality]&amp;" ",H_unit[[#This Row],[Info string]])),Municipality[Municipality],"")</f>
        <v>Lahti</v>
      </c>
      <c r="K239" s="246" t="str" cm="1">
        <f t="array" ref="K239">IF(H_unit[[#This Row],[Exact]]&lt;&gt;"","",_xlfn.XLOOKUP(TRUE,ISNUMBER(SEARCH(" "&amp;Municipality[Municipality]&amp;"n ",H_unit[[#This Row],[Info string]])),Municipality[Municipality],""))</f>
        <v/>
      </c>
      <c r="L239" s="246"/>
      <c r="M239" s="244"/>
      <c r="N239" s="246" t="str">
        <f>_xlfn.TEXTJOIN("",TRUE,H_unit[[#This Row],[Exact]],H_unit[[#This Row],[Exact+n]],H_unit[[#This Row],[Copilot]])</f>
        <v>Lahti</v>
      </c>
      <c r="O239" s="246" t="str">
        <f>_xlfn.XLOOKUP(H_unit[[#This Row],[Municipality]],Municipality[Municipality],Municipality[Model],"")</f>
        <v>South East</v>
      </c>
      <c r="P239" s="236"/>
    </row>
    <row r="240" spans="1:16">
      <c r="A240" s="238" t="s">
        <v>1859</v>
      </c>
      <c r="B240" s="238" t="s">
        <v>1860</v>
      </c>
      <c r="C240" s="240" t="str" cm="1">
        <f t="array" ref="C240">" "&amp;LOWER(_xlfn.REDUCE(H_unit[[#This Row],[Company]]&amp;" "&amp;H_unit[[#This Row],[Unit]],{",",".","(",")","/"},_xlfn.LAMBDA(_xlpm.txt,_xlpm.delim,SUBSTITUTE(_xlpm.txt,_xlpm.delim," "))))&amp;" "</f>
        <v xml:space="preserve"> loimua oy  jyväskylän seutu kantolantie laukaa </v>
      </c>
      <c r="D240" s="242">
        <v>2019</v>
      </c>
      <c r="E240" s="243">
        <v>14.5</v>
      </c>
      <c r="F240" s="243"/>
      <c r="G240" s="247"/>
      <c r="H240" s="267" t="s">
        <v>1423</v>
      </c>
      <c r="I240" s="248" t="s">
        <v>1143</v>
      </c>
      <c r="J240" s="246" t="str" cm="1">
        <f t="array" ref="J240">_xlfn.XLOOKUP(TRUE,ISNUMBER(SEARCH(" "&amp;Municipality[Municipality]&amp;" ",H_unit[[#This Row],[Info string]])),Municipality[Municipality],"")</f>
        <v>Jyväskylän</v>
      </c>
      <c r="K240" s="246" t="str" cm="1">
        <f t="array" ref="K240">IF(H_unit[[#This Row],[Exact]]&lt;&gt;"","",_xlfn.XLOOKUP(TRUE,ISNUMBER(SEARCH(" "&amp;Municipality[Municipality]&amp;"n ",H_unit[[#This Row],[Info string]])),Municipality[Municipality],""))</f>
        <v/>
      </c>
      <c r="L240" s="246"/>
      <c r="M240" s="244"/>
      <c r="N240" s="246" t="str">
        <f>_xlfn.TEXTJOIN("",TRUE,H_unit[[#This Row],[Exact]],H_unit[[#This Row],[Exact+n]],H_unit[[#This Row],[Copilot]])</f>
        <v>Jyväskylän</v>
      </c>
      <c r="O240" s="246" t="str">
        <f>_xlfn.XLOOKUP(H_unit[[#This Row],[Municipality]],Municipality[Municipality],Municipality[Model],"")</f>
        <v>Center</v>
      </c>
      <c r="P240" s="236"/>
    </row>
    <row r="241" spans="1:16">
      <c r="A241" s="238" t="s">
        <v>1859</v>
      </c>
      <c r="B241" s="238" t="s">
        <v>1865</v>
      </c>
      <c r="C241" s="240" t="str" cm="1">
        <f t="array" ref="C241">" "&amp;LOWER(_xlfn.REDUCE(H_unit[[#This Row],[Company]]&amp;" "&amp;H_unit[[#This Row],[Unit]],{",",".","(",")","/"},_xlfn.LAMBDA(_xlpm.txt,_xlpm.delim,SUBSTITUTE(_xlpm.txt,_xlpm.delim," "))))&amp;" "</f>
        <v xml:space="preserve"> loimua oy  jyväskylän seutu elementtitie tikkakoski </v>
      </c>
      <c r="D241" s="242">
        <v>2020</v>
      </c>
      <c r="E241" s="243">
        <v>14.5</v>
      </c>
      <c r="F241" s="243"/>
      <c r="G241" s="247"/>
      <c r="H241" s="267" t="s">
        <v>1423</v>
      </c>
      <c r="I241" s="248" t="s">
        <v>1143</v>
      </c>
      <c r="J241" s="246" t="str" cm="1">
        <f t="array" ref="J241">_xlfn.XLOOKUP(TRUE,ISNUMBER(SEARCH(" "&amp;Municipality[Municipality]&amp;" ",H_unit[[#This Row],[Info string]])),Municipality[Municipality],"")</f>
        <v>Jyväskylän</v>
      </c>
      <c r="K241" s="246" t="str" cm="1">
        <f t="array" ref="K241">IF(H_unit[[#This Row],[Exact]]&lt;&gt;"","",_xlfn.XLOOKUP(TRUE,ISNUMBER(SEARCH(" "&amp;Municipality[Municipality]&amp;"n ",H_unit[[#This Row],[Info string]])),Municipality[Municipality],""))</f>
        <v/>
      </c>
      <c r="L241" s="246"/>
      <c r="M241" s="244"/>
      <c r="N241" s="246" t="str">
        <f>_xlfn.TEXTJOIN("",TRUE,H_unit[[#This Row],[Exact]],H_unit[[#This Row],[Exact+n]],H_unit[[#This Row],[Copilot]])</f>
        <v>Jyväskylän</v>
      </c>
      <c r="O241" s="246" t="str">
        <f>_xlfn.XLOOKUP(H_unit[[#This Row],[Municipality]],Municipality[Municipality],Municipality[Model],"")</f>
        <v>Center</v>
      </c>
      <c r="P241" s="236"/>
    </row>
    <row r="242" spans="1:16">
      <c r="A242" s="238" t="s">
        <v>1581</v>
      </c>
      <c r="B242" s="238" t="s">
        <v>1585</v>
      </c>
      <c r="C242" s="240" t="str" cm="1">
        <f t="array" ref="C242">" "&amp;LOWER(_xlfn.REDUCE(H_unit[[#This Row],[Company]]&amp;" "&amp;H_unit[[#This Row],[Unit]],{",",".","(",")","/"},_xlfn.LAMBDA(_xlpm.txt,_xlpm.delim,SUBSTITUTE(_xlpm.txt,_xlpm.delim," "))))&amp;" "</f>
        <v xml:space="preserve"> kauhajoen lämpöhuolto oy pikikuja kpa </v>
      </c>
      <c r="D242" s="242">
        <v>2019</v>
      </c>
      <c r="E242" s="243">
        <v>14.4</v>
      </c>
      <c r="F242" s="243"/>
      <c r="G242" s="247"/>
      <c r="H242" s="267" t="s">
        <v>1428</v>
      </c>
      <c r="I242" s="248" t="s">
        <v>1143</v>
      </c>
      <c r="J242" s="246" t="str" cm="1">
        <f t="array" ref="J242">_xlfn.XLOOKUP(TRUE,ISNUMBER(SEARCH(" "&amp;Municipality[Municipality]&amp;" ",H_unit[[#This Row],[Info string]])),Municipality[Municipality],"")</f>
        <v/>
      </c>
      <c r="K242" s="246" t="str" cm="1">
        <f t="array" ref="K242">IF(H_unit[[#This Row],[Exact]]&lt;&gt;"","",_xlfn.XLOOKUP(TRUE,ISNUMBER(SEARCH(" "&amp;Municipality[Municipality]&amp;"n ",H_unit[[#This Row],[Info string]])),Municipality[Municipality],""))</f>
        <v/>
      </c>
      <c r="L242" s="246" t="s">
        <v>2577</v>
      </c>
      <c r="M242" s="244" t="s">
        <v>2918</v>
      </c>
      <c r="N242" s="246" t="str">
        <f>_xlfn.TEXTJOIN("",TRUE,H_unit[[#This Row],[Exact]],H_unit[[#This Row],[Exact+n]],H_unit[[#This Row],[Copilot]])</f>
        <v>Kauhajoki</v>
      </c>
      <c r="O242" s="246" t="str">
        <f>_xlfn.XLOOKUP(H_unit[[#This Row],[Municipality]],Municipality[Municipality],Municipality[Model],"")</f>
        <v>West</v>
      </c>
      <c r="P242" s="236"/>
    </row>
    <row r="243" spans="1:16">
      <c r="A243" s="238" t="s">
        <v>2422</v>
      </c>
      <c r="B243" s="238" t="s">
        <v>2423</v>
      </c>
      <c r="C243" s="240" t="str" cm="1">
        <f t="array" ref="C243">" "&amp;LOWER(_xlfn.REDUCE(H_unit[[#This Row],[Company]]&amp;" "&amp;H_unit[[#This Row],[Unit]],{",",".","(",")","/"},_xlfn.LAMBDA(_xlpm.txt,_xlpm.delim,SUBSTITUTE(_xlpm.txt,_xlpm.delim," "))))&amp;" "</f>
        <v xml:space="preserve"> versowood oy 14 mw biokattila </v>
      </c>
      <c r="D243" s="242">
        <v>1991</v>
      </c>
      <c r="E243" s="243">
        <v>14</v>
      </c>
      <c r="F243" s="243"/>
      <c r="G243" s="247"/>
      <c r="H243" s="267" t="s">
        <v>1439</v>
      </c>
      <c r="I243" s="248" t="s">
        <v>1143</v>
      </c>
      <c r="J243" s="246" t="str" cm="1">
        <f t="array" ref="J243">_xlfn.XLOOKUP(TRUE,ISNUMBER(SEARCH(" "&amp;Municipality[Municipality]&amp;" ",H_unit[[#This Row],[Info string]])),Municipality[Municipality],"")</f>
        <v/>
      </c>
      <c r="K243" s="246" t="str" cm="1">
        <f t="array" ref="K243">IF(H_unit[[#This Row],[Exact]]&lt;&gt;"","",_xlfn.XLOOKUP(TRUE,ISNUMBER(SEARCH(" "&amp;Municipality[Municipality]&amp;"n ",H_unit[[#This Row],[Info string]])),Municipality[Municipality],""))</f>
        <v/>
      </c>
      <c r="L243" s="246"/>
      <c r="M243" s="244"/>
      <c r="N243" s="246" t="str">
        <f>_xlfn.TEXTJOIN("",TRUE,H_unit[[#This Row],[Exact]],H_unit[[#This Row],[Exact+n]],H_unit[[#This Row],[Copilot]])</f>
        <v/>
      </c>
      <c r="O243" s="246" t="str">
        <f>_xlfn.XLOOKUP(H_unit[[#This Row],[Municipality]],Municipality[Municipality],Municipality[Model],"")</f>
        <v/>
      </c>
      <c r="P243" s="236"/>
    </row>
    <row r="244" spans="1:16">
      <c r="A244" s="238" t="s">
        <v>1609</v>
      </c>
      <c r="B244" s="238" t="s">
        <v>1610</v>
      </c>
      <c r="C244" s="240" t="str" cm="1">
        <f t="array" ref="C244">" "&amp;LOWER(_xlfn.REDUCE(H_unit[[#This Row],[Company]]&amp;" "&amp;H_unit[[#This Row],[Unit]],{",",".","(",")","/"},_xlfn.LAMBDA(_xlpm.txt,_xlpm.delim,SUBSTITUTE(_xlpm.txt,_xlpm.delim," "))))&amp;" "</f>
        <v xml:space="preserve"> keminmaan energia ja vesi oy kpa-lämpölaitos </v>
      </c>
      <c r="D244" s="242">
        <v>1998</v>
      </c>
      <c r="E244" s="243">
        <v>14</v>
      </c>
      <c r="F244" s="243"/>
      <c r="G244" s="247"/>
      <c r="H244" s="267" t="s">
        <v>1428</v>
      </c>
      <c r="I244" s="248" t="s">
        <v>1143</v>
      </c>
      <c r="J244" s="246" t="str" cm="1">
        <f t="array" ref="J244">_xlfn.XLOOKUP(TRUE,ISNUMBER(SEARCH(" "&amp;Municipality[Municipality]&amp;" ",H_unit[[#This Row],[Info string]])),Municipality[Municipality],"")</f>
        <v/>
      </c>
      <c r="K244" s="246" t="str" cm="1">
        <f t="array" ref="K244">IF(H_unit[[#This Row],[Exact]]&lt;&gt;"","",_xlfn.XLOOKUP(TRUE,ISNUMBER(SEARCH(" "&amp;Municipality[Municipality]&amp;"n ",H_unit[[#This Row],[Info string]])),Municipality[Municipality],""))</f>
        <v>Keminmaa</v>
      </c>
      <c r="L244" s="246"/>
      <c r="M244" s="244"/>
      <c r="N244" s="246" t="str">
        <f>_xlfn.TEXTJOIN("",TRUE,H_unit[[#This Row],[Exact]],H_unit[[#This Row],[Exact+n]],H_unit[[#This Row],[Copilot]])</f>
        <v>Keminmaa</v>
      </c>
      <c r="O244" s="246" t="str">
        <f>_xlfn.XLOOKUP(H_unit[[#This Row],[Municipality]],Municipality[Municipality],Municipality[Model],"")</f>
        <v>North</v>
      </c>
      <c r="P244" s="236"/>
    </row>
    <row r="245" spans="1:16">
      <c r="A245" s="238" t="s">
        <v>1530</v>
      </c>
      <c r="B245" s="238" t="s">
        <v>1536</v>
      </c>
      <c r="C245" s="240" t="str" cm="1">
        <f t="array" ref="C245">" "&amp;LOWER(_xlfn.REDUCE(H_unit[[#This Row],[Company]]&amp;" "&amp;H_unit[[#This Row],[Unit]],{",",".","(",")","/"},_xlfn.LAMBDA(_xlpm.txt,_xlpm.delim,SUBSTITUTE(_xlpm.txt,_xlpm.delim," "))))&amp;" "</f>
        <v xml:space="preserve"> imatran lämpö oy imatrankoski </v>
      </c>
      <c r="D245" s="242">
        <v>2003</v>
      </c>
      <c r="E245" s="243">
        <v>14</v>
      </c>
      <c r="F245" s="243"/>
      <c r="G245" s="247"/>
      <c r="H245" s="267" t="s">
        <v>1453</v>
      </c>
      <c r="I245" s="248" t="s">
        <v>1142</v>
      </c>
      <c r="J245" s="246" t="str" cm="1">
        <f t="array" ref="J245">_xlfn.XLOOKUP(TRUE,ISNUMBER(SEARCH(" "&amp;Municipality[Municipality]&amp;" ",H_unit[[#This Row],[Info string]])),Municipality[Municipality],"")</f>
        <v/>
      </c>
      <c r="K245" s="246" t="str" cm="1">
        <f t="array" ref="K245">IF(H_unit[[#This Row],[Exact]]&lt;&gt;"","",_xlfn.XLOOKUP(TRUE,ISNUMBER(SEARCH(" "&amp;Municipality[Municipality]&amp;"n ",H_unit[[#This Row],[Info string]])),Municipality[Municipality],""))</f>
        <v>Imatra</v>
      </c>
      <c r="L245" s="246"/>
      <c r="M245" s="244"/>
      <c r="N245" s="246" t="str">
        <f>_xlfn.TEXTJOIN("",TRUE,H_unit[[#This Row],[Exact]],H_unit[[#This Row],[Exact+n]],H_unit[[#This Row],[Copilot]])</f>
        <v>Imatra</v>
      </c>
      <c r="O245" s="246" t="str">
        <f>_xlfn.XLOOKUP(H_unit[[#This Row],[Municipality]],Municipality[Municipality],Municipality[Model],"")</f>
        <v>South East</v>
      </c>
      <c r="P245" s="236"/>
    </row>
    <row r="246" spans="1:16">
      <c r="A246" s="238" t="s">
        <v>1455</v>
      </c>
      <c r="B246" s="238" t="s">
        <v>1456</v>
      </c>
      <c r="C246" s="240" t="str" cm="1">
        <f t="array" ref="C246">" "&amp;LOWER(_xlfn.REDUCE(H_unit[[#This Row],[Company]]&amp;" "&amp;H_unit[[#This Row],[Unit]],{",",".","(",")","/"},_xlfn.LAMBDA(_xlpm.txt,_xlpm.delim,SUBSTITUTE(_xlpm.txt,_xlpm.delim," "))))&amp;" "</f>
        <v xml:space="preserve"> adven oy  nummela nummela kpa </v>
      </c>
      <c r="D246" s="242">
        <v>2006</v>
      </c>
      <c r="E246" s="243">
        <v>14</v>
      </c>
      <c r="F246" s="243"/>
      <c r="G246" s="247"/>
      <c r="H246" s="267" t="s">
        <v>1423</v>
      </c>
      <c r="I246" s="248" t="s">
        <v>1143</v>
      </c>
      <c r="J246" s="246" t="str" cm="1">
        <f t="array" ref="J246">_xlfn.XLOOKUP(TRUE,ISNUMBER(SEARCH(" "&amp;Municipality[Municipality]&amp;" ",H_unit[[#This Row],[Info string]])),Municipality[Municipality],"")</f>
        <v/>
      </c>
      <c r="K246" s="246" t="str" cm="1">
        <f t="array" ref="K246">IF(H_unit[[#This Row],[Exact]]&lt;&gt;"","",_xlfn.XLOOKUP(TRUE,ISNUMBER(SEARCH(" "&amp;Municipality[Municipality]&amp;"n ",H_unit[[#This Row],[Info string]])),Municipality[Municipality],""))</f>
        <v/>
      </c>
      <c r="L246" s="246" t="s">
        <v>2832</v>
      </c>
      <c r="M246" s="244" t="s">
        <v>2890</v>
      </c>
      <c r="N246" s="246" t="str">
        <f>_xlfn.TEXTJOIN("",TRUE,H_unit[[#This Row],[Exact]],H_unit[[#This Row],[Exact+n]],H_unit[[#This Row],[Copilot]])</f>
        <v>Vihti</v>
      </c>
      <c r="O246" s="246" t="str">
        <f>_xlfn.XLOOKUP(H_unit[[#This Row],[Municipality]],Municipality[Municipality],Municipality[Model],"")</f>
        <v>Uusimaa</v>
      </c>
      <c r="P246" s="236"/>
    </row>
    <row r="247" spans="1:16">
      <c r="A247" s="238" t="s">
        <v>1506</v>
      </c>
      <c r="B247" s="238" t="s">
        <v>1509</v>
      </c>
      <c r="C247" s="240" t="str" cm="1">
        <f t="array" ref="C247">" "&amp;LOWER(_xlfn.REDUCE(H_unit[[#This Row],[Company]]&amp;" "&amp;H_unit[[#This Row],[Unit]],{",",".","(",")","/"},_xlfn.LAMBDA(_xlpm.txt,_xlpm.delim,SUBSTITUTE(_xlpm.txt,_xlpm.delim," "))))&amp;" "</f>
        <v xml:space="preserve"> haapajärven lämpö oy rantakatu </v>
      </c>
      <c r="D247" s="242">
        <v>2008</v>
      </c>
      <c r="E247" s="243">
        <v>14</v>
      </c>
      <c r="F247" s="243"/>
      <c r="G247" s="247"/>
      <c r="H247" s="267" t="s">
        <v>1423</v>
      </c>
      <c r="I247" s="248" t="s">
        <v>1143</v>
      </c>
      <c r="J247" s="246" t="str" cm="1">
        <f t="array" ref="J247">_xlfn.XLOOKUP(TRUE,ISNUMBER(SEARCH(" "&amp;Municipality[Municipality]&amp;" ",H_unit[[#This Row],[Info string]])),Municipality[Municipality],"")</f>
        <v/>
      </c>
      <c r="K247" s="246" t="str" cm="1">
        <f t="array" ref="K247">IF(H_unit[[#This Row],[Exact]]&lt;&gt;"","",_xlfn.XLOOKUP(TRUE,ISNUMBER(SEARCH(" "&amp;Municipality[Municipality]&amp;"n ",H_unit[[#This Row],[Info string]])),Municipality[Municipality],""))</f>
        <v/>
      </c>
      <c r="L247" s="246" t="s">
        <v>2519</v>
      </c>
      <c r="M247" s="244" t="s">
        <v>2903</v>
      </c>
      <c r="N247" s="246" t="str">
        <f>_xlfn.TEXTJOIN("",TRUE,H_unit[[#This Row],[Exact]],H_unit[[#This Row],[Exact+n]],H_unit[[#This Row],[Copilot]])</f>
        <v>Haapajärvi</v>
      </c>
      <c r="O247" s="246" t="str">
        <f>_xlfn.XLOOKUP(H_unit[[#This Row],[Municipality]],Municipality[Municipality],Municipality[Model],"")</f>
        <v>North</v>
      </c>
      <c r="P247" s="236"/>
    </row>
    <row r="248" spans="1:16">
      <c r="A248" s="238" t="s">
        <v>1525</v>
      </c>
      <c r="B248" s="238" t="s">
        <v>1526</v>
      </c>
      <c r="C248" s="240" t="str" cm="1">
        <f t="array" ref="C248">" "&amp;LOWER(_xlfn.REDUCE(H_unit[[#This Row],[Company]]&amp;" "&amp;H_unit[[#This Row],[Unit]],{",",".","(",")","/"},_xlfn.LAMBDA(_xlpm.txt,_xlpm.delim,SUBSTITUTE(_xlpm.txt,_xlpm.delim," "))))&amp;" "</f>
        <v xml:space="preserve"> hyvinkään lämpövoima oy sahanmäki </v>
      </c>
      <c r="D248" s="242">
        <v>2020</v>
      </c>
      <c r="E248" s="243">
        <v>14</v>
      </c>
      <c r="F248" s="243"/>
      <c r="G248" s="247"/>
      <c r="H248" s="267" t="s">
        <v>1453</v>
      </c>
      <c r="I248" s="248" t="s">
        <v>1142</v>
      </c>
      <c r="J248" s="246" t="str" cm="1">
        <f t="array" ref="J248">_xlfn.XLOOKUP(TRUE,ISNUMBER(SEARCH(" "&amp;Municipality[Municipality]&amp;" ",H_unit[[#This Row],[Info string]])),Municipality[Municipality],"")</f>
        <v/>
      </c>
      <c r="K248" s="246" t="str" cm="1">
        <f t="array" ref="K248">IF(H_unit[[#This Row],[Exact]]&lt;&gt;"","",_xlfn.XLOOKUP(TRUE,ISNUMBER(SEARCH(" "&amp;Municipality[Municipality]&amp;"n ",H_unit[[#This Row],[Info string]])),Municipality[Municipality],""))</f>
        <v>Hyvinkää</v>
      </c>
      <c r="L248" s="246"/>
      <c r="M248" s="244"/>
      <c r="N248" s="246" t="str">
        <f>_xlfn.TEXTJOIN("",TRUE,H_unit[[#This Row],[Exact]],H_unit[[#This Row],[Exact+n]],H_unit[[#This Row],[Copilot]])</f>
        <v>Hyvinkää</v>
      </c>
      <c r="O248" s="246" t="str">
        <f>_xlfn.XLOOKUP(H_unit[[#This Row],[Municipality]],Municipality[Municipality],Municipality[Model],"")</f>
        <v>Uusimaa</v>
      </c>
      <c r="P248" s="236"/>
    </row>
    <row r="249" spans="1:16">
      <c r="A249" s="238" t="s">
        <v>1650</v>
      </c>
      <c r="B249" s="238" t="s">
        <v>1652</v>
      </c>
      <c r="C249" s="240" t="str" cm="1">
        <f t="array" ref="C249">" "&amp;LOWER(_xlfn.REDUCE(H_unit[[#This Row],[Company]]&amp;" "&amp;H_unit[[#This Row],[Unit]],{",",".","(",")","/"},_xlfn.LAMBDA(_xlpm.txt,_xlpm.delim,SUBSTITUTE(_xlpm.txt,_xlpm.delim," "))))&amp;" "</f>
        <v xml:space="preserve"> kokkolan energia boliden kokkola oy rikkihappotehtaan lämmön talteenotto </v>
      </c>
      <c r="D249" s="242" t="s">
        <v>1448</v>
      </c>
      <c r="E249" s="243">
        <v>14</v>
      </c>
      <c r="F249" s="243"/>
      <c r="G249" s="247"/>
      <c r="H249" s="267" t="s">
        <v>1473</v>
      </c>
      <c r="I249" s="248" t="s">
        <v>1443</v>
      </c>
      <c r="J249" s="246" t="str" cm="1">
        <f t="array" ref="J249">_xlfn.XLOOKUP(TRUE,ISNUMBER(SEARCH(" "&amp;Municipality[Municipality]&amp;" ",H_unit[[#This Row],[Info string]])),Municipality[Municipality],"")</f>
        <v>Kokkola</v>
      </c>
      <c r="K249" s="246" t="str" cm="1">
        <f t="array" ref="K249">IF(H_unit[[#This Row],[Exact]]&lt;&gt;"","",_xlfn.XLOOKUP(TRUE,ISNUMBER(SEARCH(" "&amp;Municipality[Municipality]&amp;"n ",H_unit[[#This Row],[Info string]])),Municipality[Municipality],""))</f>
        <v/>
      </c>
      <c r="L249" s="246"/>
      <c r="M249" s="244"/>
      <c r="N249" s="246" t="str">
        <f>_xlfn.TEXTJOIN("",TRUE,H_unit[[#This Row],[Exact]],H_unit[[#This Row],[Exact+n]],H_unit[[#This Row],[Copilot]])</f>
        <v>Kokkola</v>
      </c>
      <c r="O249" s="246" t="str">
        <f>_xlfn.XLOOKUP(H_unit[[#This Row],[Municipality]],Municipality[Municipality],Municipality[Model],"")</f>
        <v>West</v>
      </c>
      <c r="P249" s="236"/>
    </row>
    <row r="250" spans="1:16">
      <c r="A250" s="238" t="s">
        <v>1721</v>
      </c>
      <c r="B250" s="238" t="s">
        <v>1722</v>
      </c>
      <c r="C250" s="240" t="str" cm="1">
        <f t="array" ref="C250">" "&amp;LOWER(_xlfn.REDUCE(H_unit[[#This Row],[Company]]&amp;" "&amp;H_unit[[#This Row],[Unit]],{",",".","(",")","/"},_xlfn.LAMBDA(_xlpm.txt,_xlpm.delim,SUBSTITUTE(_xlpm.txt,_xlpm.delim," "))))&amp;" "</f>
        <v xml:space="preserve"> lahti energia oy  asikkala tunnelinsuu </v>
      </c>
      <c r="D250" s="242" t="s">
        <v>1723</v>
      </c>
      <c r="E250" s="243">
        <v>14</v>
      </c>
      <c r="F250" s="243"/>
      <c r="G250" s="247"/>
      <c r="H250" s="267" t="s">
        <v>1453</v>
      </c>
      <c r="I250" s="248" t="s">
        <v>1142</v>
      </c>
      <c r="J250" s="246" t="str" cm="1">
        <f t="array" ref="J250">_xlfn.XLOOKUP(TRUE,ISNUMBER(SEARCH(" "&amp;Municipality[Municipality]&amp;" ",H_unit[[#This Row],[Info string]])),Municipality[Municipality],"")</f>
        <v>Asikkala</v>
      </c>
      <c r="K250" s="246" t="str" cm="1">
        <f t="array" ref="K250">IF(H_unit[[#This Row],[Exact]]&lt;&gt;"","",_xlfn.XLOOKUP(TRUE,ISNUMBER(SEARCH(" "&amp;Municipality[Municipality]&amp;"n ",H_unit[[#This Row],[Info string]])),Municipality[Municipality],""))</f>
        <v/>
      </c>
      <c r="L250" s="246"/>
      <c r="M250" s="244"/>
      <c r="N250" s="246" t="str">
        <f>_xlfn.TEXTJOIN("",TRUE,H_unit[[#This Row],[Exact]],H_unit[[#This Row],[Exact+n]],H_unit[[#This Row],[Copilot]])</f>
        <v>Asikkala</v>
      </c>
      <c r="O250" s="246" t="str">
        <f>_xlfn.XLOOKUP(H_unit[[#This Row],[Municipality]],Municipality[Municipality],Municipality[Model],"")</f>
        <v>South East</v>
      </c>
      <c r="P250" s="236"/>
    </row>
    <row r="251" spans="1:16">
      <c r="A251" s="238" t="s">
        <v>1834</v>
      </c>
      <c r="B251" s="238" t="s">
        <v>1835</v>
      </c>
      <c r="C251" s="240" t="str" cm="1">
        <f t="array" ref="C251">" "&amp;LOWER(_xlfn.REDUCE(H_unit[[#This Row],[Company]]&amp;" "&amp;H_unit[[#This Row],[Unit]],{",",".","(",")","/"},_xlfn.LAMBDA(_xlpm.txt,_xlpm.delim,SUBSTITUTE(_xlpm.txt,_xlpm.delim," "))))&amp;" "</f>
        <v xml:space="preserve"> loimua oy  heinola jyränkö </v>
      </c>
      <c r="D251" s="242">
        <v>1977</v>
      </c>
      <c r="E251" s="243">
        <v>13.5</v>
      </c>
      <c r="F251" s="243"/>
      <c r="G251" s="247"/>
      <c r="H251" s="267" t="s">
        <v>1430</v>
      </c>
      <c r="I251" s="248" t="s">
        <v>1141</v>
      </c>
      <c r="J251" s="246" t="str" cm="1">
        <f t="array" ref="J251">_xlfn.XLOOKUP(TRUE,ISNUMBER(SEARCH(" "&amp;Municipality[Municipality]&amp;" ",H_unit[[#This Row],[Info string]])),Municipality[Municipality],"")</f>
        <v>Heinola</v>
      </c>
      <c r="K251" s="246" t="str" cm="1">
        <f t="array" ref="K251">IF(H_unit[[#This Row],[Exact]]&lt;&gt;"","",_xlfn.XLOOKUP(TRUE,ISNUMBER(SEARCH(" "&amp;Municipality[Municipality]&amp;"n ",H_unit[[#This Row],[Info string]])),Municipality[Municipality],""))</f>
        <v/>
      </c>
      <c r="L251" s="246"/>
      <c r="M251" s="244"/>
      <c r="N251" s="246" t="str">
        <f>_xlfn.TEXTJOIN("",TRUE,H_unit[[#This Row],[Exact]],H_unit[[#This Row],[Exact+n]],H_unit[[#This Row],[Copilot]])</f>
        <v>Heinola</v>
      </c>
      <c r="O251" s="246" t="str">
        <f>_xlfn.XLOOKUP(H_unit[[#This Row],[Municipality]],Municipality[Municipality],Municipality[Model],"")</f>
        <v>South East</v>
      </c>
      <c r="P251" s="236"/>
    </row>
    <row r="252" spans="1:16">
      <c r="A252" s="238" t="s">
        <v>2130</v>
      </c>
      <c r="B252" s="238" t="s">
        <v>2134</v>
      </c>
      <c r="C252" s="240" t="str" cm="1">
        <f t="array" ref="C252">" "&amp;LOWER(_xlfn.REDUCE(H_unit[[#This Row],[Company]]&amp;" "&amp;H_unit[[#This Row],[Unit]],{",",".","(",")","/"},_xlfn.LAMBDA(_xlpm.txt,_xlpm.delim,SUBSTITUTE(_xlpm.txt,_xlpm.delim," "))))&amp;" "</f>
        <v xml:space="preserve"> savon voima oyj  kiuruvesi lk66   vl3  sahatie </v>
      </c>
      <c r="D252" s="242">
        <v>1994</v>
      </c>
      <c r="E252" s="243">
        <v>13.5</v>
      </c>
      <c r="F252" s="243"/>
      <c r="G252" s="247"/>
      <c r="H252" s="267" t="s">
        <v>1439</v>
      </c>
      <c r="I252" s="248" t="s">
        <v>1143</v>
      </c>
      <c r="J252" s="246" t="str" cm="1">
        <f t="array" ref="J252">_xlfn.XLOOKUP(TRUE,ISNUMBER(SEARCH(" "&amp;Municipality[Municipality]&amp;" ",H_unit[[#This Row],[Info string]])),Municipality[Municipality],"")</f>
        <v>Kiuruvesi</v>
      </c>
      <c r="K252" s="246" t="str" cm="1">
        <f t="array" ref="K252">IF(H_unit[[#This Row],[Exact]]&lt;&gt;"","",_xlfn.XLOOKUP(TRUE,ISNUMBER(SEARCH(" "&amp;Municipality[Municipality]&amp;"n ",H_unit[[#This Row],[Info string]])),Municipality[Municipality],""))</f>
        <v/>
      </c>
      <c r="L252" s="246"/>
      <c r="M252" s="244"/>
      <c r="N252" s="246" t="str">
        <f>_xlfn.TEXTJOIN("",TRUE,H_unit[[#This Row],[Exact]],H_unit[[#This Row],[Exact+n]],H_unit[[#This Row],[Copilot]])</f>
        <v>Kiuruvesi</v>
      </c>
      <c r="O252" s="246" t="str">
        <f>_xlfn.XLOOKUP(H_unit[[#This Row],[Municipality]],Municipality[Municipality],Municipality[Model],"")</f>
        <v>East</v>
      </c>
      <c r="P252" s="236"/>
    </row>
    <row r="253" spans="1:16">
      <c r="A253" s="238" t="s">
        <v>2101</v>
      </c>
      <c r="B253" s="238" t="s">
        <v>2103</v>
      </c>
      <c r="C253" s="240" t="str" cm="1">
        <f t="array" ref="C253">" "&amp;LOWER(_xlfn.REDUCE(H_unit[[#This Row],[Company]]&amp;" "&amp;H_unit[[#This Row],[Unit]],{",",".","(",")","/"},_xlfn.LAMBDA(_xlpm.txt,_xlpm.delim,SUBSTITUTE(_xlpm.txt,_xlpm.delim," "))))&amp;" "</f>
        <v xml:space="preserve"> salon kaukolämpö oy ollikkala </v>
      </c>
      <c r="D253" s="242">
        <v>1980</v>
      </c>
      <c r="E253" s="243">
        <v>13.3</v>
      </c>
      <c r="F253" s="243"/>
      <c r="G253" s="247"/>
      <c r="H253" s="267" t="s">
        <v>1430</v>
      </c>
      <c r="I253" s="248" t="s">
        <v>1141</v>
      </c>
      <c r="J253" s="246" t="str" cm="1">
        <f t="array" ref="J253">_xlfn.XLOOKUP(TRUE,ISNUMBER(SEARCH(" "&amp;Municipality[Municipality]&amp;" ",H_unit[[#This Row],[Info string]])),Municipality[Municipality],"")</f>
        <v/>
      </c>
      <c r="K253" s="246" t="str" cm="1">
        <f t="array" ref="K253">IF(H_unit[[#This Row],[Exact]]&lt;&gt;"","",_xlfn.XLOOKUP(TRUE,ISNUMBER(SEARCH(" "&amp;Municipality[Municipality]&amp;"n ",H_unit[[#This Row],[Info string]])),Municipality[Municipality],""))</f>
        <v>Salo</v>
      </c>
      <c r="L253" s="246"/>
      <c r="M253" s="244"/>
      <c r="N253" s="246" t="str">
        <f>_xlfn.TEXTJOIN("",TRUE,H_unit[[#This Row],[Exact]],H_unit[[#This Row],[Exact+n]],H_unit[[#This Row],[Copilot]])</f>
        <v>Salo</v>
      </c>
      <c r="O253" s="246" t="str">
        <f>_xlfn.XLOOKUP(H_unit[[#This Row],[Municipality]],Municipality[Municipality],Municipality[Model],"")</f>
        <v>South West</v>
      </c>
      <c r="P253" s="236"/>
    </row>
    <row r="254" spans="1:16">
      <c r="A254" s="238" t="s">
        <v>1997</v>
      </c>
      <c r="B254" s="238" t="s">
        <v>1998</v>
      </c>
      <c r="C254" s="240" t="str" cm="1">
        <f t="array" ref="C254">" "&amp;LOWER(_xlfn.REDUCE(H_unit[[#This Row],[Company]]&amp;" "&amp;H_unit[[#This Row],[Unit]],{",",".","(",")","/"},_xlfn.LAMBDA(_xlpm.txt,_xlpm.delim,SUBSTITUTE(_xlpm.txt,_xlpm.delim," "))))&amp;" "</f>
        <v xml:space="preserve"> orimattilan lämpö oy orion </v>
      </c>
      <c r="D254" s="242">
        <v>1971</v>
      </c>
      <c r="E254" s="243">
        <v>13</v>
      </c>
      <c r="F254" s="243"/>
      <c r="G254" s="247"/>
      <c r="H254" s="267" t="s">
        <v>1453</v>
      </c>
      <c r="I254" s="248" t="s">
        <v>1142</v>
      </c>
      <c r="J254" s="246" t="str" cm="1">
        <f t="array" ref="J254">_xlfn.XLOOKUP(TRUE,ISNUMBER(SEARCH(" "&amp;Municipality[Municipality]&amp;" ",H_unit[[#This Row],[Info string]])),Municipality[Municipality],"")</f>
        <v/>
      </c>
      <c r="K254" s="246" t="str" cm="1">
        <f t="array" ref="K254">IF(H_unit[[#This Row],[Exact]]&lt;&gt;"","",_xlfn.XLOOKUP(TRUE,ISNUMBER(SEARCH(" "&amp;Municipality[Municipality]&amp;"n ",H_unit[[#This Row],[Info string]])),Municipality[Municipality],""))</f>
        <v>Orimattila</v>
      </c>
      <c r="L254" s="246"/>
      <c r="M254" s="244"/>
      <c r="N254" s="246" t="str">
        <f>_xlfn.TEXTJOIN("",TRUE,H_unit[[#This Row],[Exact]],H_unit[[#This Row],[Exact+n]],H_unit[[#This Row],[Copilot]])</f>
        <v>Orimattila</v>
      </c>
      <c r="O254" s="246" t="str">
        <f>_xlfn.XLOOKUP(H_unit[[#This Row],[Municipality]],Municipality[Municipality],Municipality[Model],"")</f>
        <v>Uusimaa</v>
      </c>
      <c r="P254" s="236"/>
    </row>
    <row r="255" spans="1:16">
      <c r="A255" s="238" t="s">
        <v>2229</v>
      </c>
      <c r="B255" s="238" t="s">
        <v>2230</v>
      </c>
      <c r="C255" s="240" t="str" cm="1">
        <f t="array" ref="C255">" "&amp;LOWER(_xlfn.REDUCE(H_unit[[#This Row],[Company]]&amp;" "&amp;H_unit[[#This Row],[Unit]],{",",".","(",")","/"},_xlfn.LAMBDA(_xlpm.txt,_xlpm.delim,SUBSTITUTE(_xlpm.txt,_xlpm.delim," "))))&amp;" "</f>
        <v xml:space="preserve"> vatajankoski oy koskenoja </v>
      </c>
      <c r="D255" s="242">
        <v>1981</v>
      </c>
      <c r="E255" s="243">
        <v>13</v>
      </c>
      <c r="F255" s="243"/>
      <c r="G255" s="247"/>
      <c r="H255" s="267" t="s">
        <v>2122</v>
      </c>
      <c r="I255" s="248" t="s">
        <v>1141</v>
      </c>
      <c r="J255" s="246" t="str" cm="1">
        <f t="array" ref="J255">_xlfn.XLOOKUP(TRUE,ISNUMBER(SEARCH(" "&amp;Municipality[Municipality]&amp;" ",H_unit[[#This Row],[Info string]])),Municipality[Municipality],"")</f>
        <v/>
      </c>
      <c r="K255" s="246" t="str" cm="1">
        <f t="array" ref="K255">IF(H_unit[[#This Row],[Exact]]&lt;&gt;"","",_xlfn.XLOOKUP(TRUE,ISNUMBER(SEARCH(" "&amp;Municipality[Municipality]&amp;"n ",H_unit[[#This Row],[Info string]])),Municipality[Municipality],""))</f>
        <v/>
      </c>
      <c r="L255" s="246" t="s">
        <v>466</v>
      </c>
      <c r="M255" s="244" t="s">
        <v>2907</v>
      </c>
      <c r="N255" s="246" t="str">
        <f>_xlfn.TEXTJOIN("",TRUE,H_unit[[#This Row],[Exact]],H_unit[[#This Row],[Exact+n]],H_unit[[#This Row],[Copilot]])</f>
        <v>Kankaanpää</v>
      </c>
      <c r="O255" s="246" t="str">
        <f>_xlfn.XLOOKUP(H_unit[[#This Row],[Municipality]],Municipality[Municipality],Municipality[Model],"")</f>
        <v>West</v>
      </c>
      <c r="P255" s="236"/>
    </row>
    <row r="256" spans="1:16">
      <c r="A256" s="238" t="s">
        <v>1920</v>
      </c>
      <c r="B256" s="238" t="s">
        <v>1922</v>
      </c>
      <c r="C256" s="240" t="str" cm="1">
        <f t="array" ref="C256">" "&amp;LOWER(_xlfn.REDUCE(H_unit[[#This Row],[Company]]&amp;" "&amp;H_unit[[#This Row],[Unit]],{",",".","(",")","/"},_xlfn.LAMBDA(_xlpm.txt,_xlpm.delim,SUBSTITUTE(_xlpm.txt,_xlpm.delim," "))))&amp;" "</f>
        <v xml:space="preserve"> nevel oy  lieksa teollisuuskylä </v>
      </c>
      <c r="D256" s="242">
        <v>1985</v>
      </c>
      <c r="E256" s="243">
        <v>13</v>
      </c>
      <c r="F256" s="243"/>
      <c r="G256" s="247"/>
      <c r="H256" s="267" t="s">
        <v>1418</v>
      </c>
      <c r="I256" s="248" t="s">
        <v>1141</v>
      </c>
      <c r="J256" s="246" t="str" cm="1">
        <f t="array" ref="J256">_xlfn.XLOOKUP(TRUE,ISNUMBER(SEARCH(" "&amp;Municipality[Municipality]&amp;" ",H_unit[[#This Row],[Info string]])),Municipality[Municipality],"")</f>
        <v>Lieksa</v>
      </c>
      <c r="K256" s="246" t="str" cm="1">
        <f t="array" ref="K256">IF(H_unit[[#This Row],[Exact]]&lt;&gt;"","",_xlfn.XLOOKUP(TRUE,ISNUMBER(SEARCH(" "&amp;Municipality[Municipality]&amp;"n ",H_unit[[#This Row],[Info string]])),Municipality[Municipality],""))</f>
        <v/>
      </c>
      <c r="L256" s="246"/>
      <c r="M256" s="244"/>
      <c r="N256" s="246" t="str">
        <f>_xlfn.TEXTJOIN("",TRUE,H_unit[[#This Row],[Exact]],H_unit[[#This Row],[Exact+n]],H_unit[[#This Row],[Copilot]])</f>
        <v>Lieksa</v>
      </c>
      <c r="O256" s="246" t="str">
        <f>_xlfn.XLOOKUP(H_unit[[#This Row],[Municipality]],Municipality[Municipality],Municipality[Model],"")</f>
        <v>East</v>
      </c>
      <c r="P256" s="236"/>
    </row>
    <row r="257" spans="1:16">
      <c r="A257" s="238" t="s">
        <v>2009</v>
      </c>
      <c r="B257" s="238" t="s">
        <v>2011</v>
      </c>
      <c r="C257" s="240" t="str" cm="1">
        <f t="array" ref="C257">" "&amp;LOWER(_xlfn.REDUCE(H_unit[[#This Row],[Company]]&amp;" "&amp;H_unit[[#This Row],[Unit]],{",",".","(",")","/"},_xlfn.LAMBDA(_xlpm.txt,_xlpm.delim,SUBSTITUTE(_xlpm.txt,_xlpm.delim," "))))&amp;" "</f>
        <v xml:space="preserve"> oulun seudun sähkö  kempele haapamaa-honk  </v>
      </c>
      <c r="D257" s="242">
        <v>1991</v>
      </c>
      <c r="E257" s="243">
        <v>13</v>
      </c>
      <c r="F257" s="243"/>
      <c r="G257" s="247"/>
      <c r="H257" s="267" t="s">
        <v>1430</v>
      </c>
      <c r="I257" s="248" t="s">
        <v>1141</v>
      </c>
      <c r="J257" s="246" t="str" cm="1">
        <f t="array" ref="J257">_xlfn.XLOOKUP(TRUE,ISNUMBER(SEARCH(" "&amp;Municipality[Municipality]&amp;" ",H_unit[[#This Row],[Info string]])),Municipality[Municipality],"")</f>
        <v>Kempele</v>
      </c>
      <c r="K257" s="246" t="str" cm="1">
        <f t="array" ref="K257">IF(H_unit[[#This Row],[Exact]]&lt;&gt;"","",_xlfn.XLOOKUP(TRUE,ISNUMBER(SEARCH(" "&amp;Municipality[Municipality]&amp;"n ",H_unit[[#This Row],[Info string]])),Municipality[Municipality],""))</f>
        <v/>
      </c>
      <c r="L257" s="246"/>
      <c r="M257" s="244"/>
      <c r="N257" s="246" t="str">
        <f>_xlfn.TEXTJOIN("",TRUE,H_unit[[#This Row],[Exact]],H_unit[[#This Row],[Exact+n]],H_unit[[#This Row],[Copilot]])</f>
        <v>Kempele</v>
      </c>
      <c r="O257" s="246" t="str">
        <f>_xlfn.XLOOKUP(H_unit[[#This Row],[Municipality]],Municipality[Municipality],Municipality[Model],"")</f>
        <v>North</v>
      </c>
      <c r="P257" s="236"/>
    </row>
    <row r="258" spans="1:16">
      <c r="A258" s="238" t="s">
        <v>1824</v>
      </c>
      <c r="B258" s="238" t="s">
        <v>1825</v>
      </c>
      <c r="C258" s="240" t="str" cm="1">
        <f t="array" ref="C258">" "&amp;LOWER(_xlfn.REDUCE(H_unit[[#This Row],[Company]]&amp;" "&amp;H_unit[[#This Row],[Unit]],{",",".","(",")","/"},_xlfn.LAMBDA(_xlpm.txt,_xlpm.delim,SUBSTITUTE(_xlpm.txt,_xlpm.delim," "))))&amp;" "</f>
        <v xml:space="preserve"> loimaan kaukolämpö oy lämpövarikko </v>
      </c>
      <c r="D258" s="242">
        <v>1994</v>
      </c>
      <c r="E258" s="243">
        <v>13</v>
      </c>
      <c r="F258" s="243"/>
      <c r="G258" s="247"/>
      <c r="H258" s="267" t="s">
        <v>1430</v>
      </c>
      <c r="I258" s="248" t="s">
        <v>1141</v>
      </c>
      <c r="J258" s="246" t="str" cm="1">
        <f t="array" ref="J258">_xlfn.XLOOKUP(TRUE,ISNUMBER(SEARCH(" "&amp;Municipality[Municipality]&amp;" ",H_unit[[#This Row],[Info string]])),Municipality[Municipality],"")</f>
        <v/>
      </c>
      <c r="K258" s="246" t="str" cm="1">
        <f t="array" ref="K258">IF(H_unit[[#This Row],[Exact]]&lt;&gt;"","",_xlfn.XLOOKUP(TRUE,ISNUMBER(SEARCH(" "&amp;Municipality[Municipality]&amp;"n ",H_unit[[#This Row],[Info string]])),Municipality[Municipality],""))</f>
        <v>Loimaa</v>
      </c>
      <c r="L258" s="246"/>
      <c r="M258" s="244"/>
      <c r="N258" s="246" t="str">
        <f>_xlfn.TEXTJOIN("",TRUE,H_unit[[#This Row],[Exact]],H_unit[[#This Row],[Exact+n]],H_unit[[#This Row],[Copilot]])</f>
        <v>Loimaa</v>
      </c>
      <c r="O258" s="246" t="str">
        <f>_xlfn.XLOOKUP(H_unit[[#This Row],[Municipality]],Municipality[Municipality],Municipality[Model],"")</f>
        <v>South West</v>
      </c>
      <c r="P258" s="236"/>
    </row>
    <row r="259" spans="1:16">
      <c r="A259" s="238" t="s">
        <v>1725</v>
      </c>
      <c r="B259" s="238" t="s">
        <v>1727</v>
      </c>
      <c r="C259" s="240" t="str" cm="1">
        <f t="array" ref="C259">" "&amp;LOWER(_xlfn.REDUCE(H_unit[[#This Row],[Company]]&amp;" "&amp;H_unit[[#This Row],[Unit]],{",",".","(",")","/"},_xlfn.LAMBDA(_xlpm.txt,_xlpm.delim,SUBSTITUTE(_xlpm.txt,_xlpm.delim," "))))&amp;" "</f>
        <v xml:space="preserve"> lahti energia oy  hollola soramäki </v>
      </c>
      <c r="D259" s="242">
        <v>1998</v>
      </c>
      <c r="E259" s="243">
        <v>13</v>
      </c>
      <c r="F259" s="243"/>
      <c r="G259" s="247"/>
      <c r="H259" s="267" t="s">
        <v>1453</v>
      </c>
      <c r="I259" s="248" t="s">
        <v>1142</v>
      </c>
      <c r="J259" s="246" t="str" cm="1">
        <f t="array" ref="J259">_xlfn.XLOOKUP(TRUE,ISNUMBER(SEARCH(" "&amp;Municipality[Municipality]&amp;" ",H_unit[[#This Row],[Info string]])),Municipality[Municipality],"")</f>
        <v>Hollola</v>
      </c>
      <c r="K259" s="246" t="str" cm="1">
        <f t="array" ref="K259">IF(H_unit[[#This Row],[Exact]]&lt;&gt;"","",_xlfn.XLOOKUP(TRUE,ISNUMBER(SEARCH(" "&amp;Municipality[Municipality]&amp;"n ",H_unit[[#This Row],[Info string]])),Municipality[Municipality],""))</f>
        <v/>
      </c>
      <c r="L259" s="246"/>
      <c r="M259" s="244"/>
      <c r="N259" s="246" t="str">
        <f>_xlfn.TEXTJOIN("",TRUE,H_unit[[#This Row],[Exact]],H_unit[[#This Row],[Exact+n]],H_unit[[#This Row],[Copilot]])</f>
        <v>Hollola</v>
      </c>
      <c r="O259" s="246" t="str">
        <f>_xlfn.XLOOKUP(H_unit[[#This Row],[Municipality]],Municipality[Municipality],Municipality[Model],"")</f>
        <v>South East</v>
      </c>
      <c r="P259" s="236"/>
    </row>
    <row r="260" spans="1:16">
      <c r="A260" s="238" t="s">
        <v>2205</v>
      </c>
      <c r="B260" s="238" t="s">
        <v>2210</v>
      </c>
      <c r="C260" s="240" t="str" cm="1">
        <f t="array" ref="C260">" "&amp;LOWER(_xlfn.REDUCE(H_unit[[#This Row],[Company]]&amp;" "&amp;H_unit[[#This Row],[Unit]],{",",".","(",")","/"},_xlfn.LAMBDA(_xlpm.txt,_xlpm.delim,SUBSTITUTE(_xlpm.txt,_xlpm.delim," "))))&amp;" "</f>
        <v xml:space="preserve"> valkeakosken energia oy mvl 1 </v>
      </c>
      <c r="D260" s="242">
        <v>1999</v>
      </c>
      <c r="E260" s="243">
        <v>13</v>
      </c>
      <c r="F260" s="243">
        <v>12</v>
      </c>
      <c r="G260" s="247"/>
      <c r="H260" s="267" t="s">
        <v>1453</v>
      </c>
      <c r="I260" s="248" t="s">
        <v>1145</v>
      </c>
      <c r="J260" s="246" t="str" cm="1">
        <f t="array" ref="J260">_xlfn.XLOOKUP(TRUE,ISNUMBER(SEARCH(" "&amp;Municipality[Municipality]&amp;" ",H_unit[[#This Row],[Info string]])),Municipality[Municipality],"")</f>
        <v/>
      </c>
      <c r="K260" s="246" t="str" cm="1">
        <f t="array" ref="K260">IF(H_unit[[#This Row],[Exact]]&lt;&gt;"","",_xlfn.XLOOKUP(TRUE,ISNUMBER(SEARCH(" "&amp;Municipality[Municipality]&amp;"n ",H_unit[[#This Row],[Info string]])),Municipality[Municipality],""))</f>
        <v/>
      </c>
      <c r="L260" s="246" t="s">
        <v>2821</v>
      </c>
      <c r="M260" s="244" t="s">
        <v>2904</v>
      </c>
      <c r="N260" s="246" t="str">
        <f>_xlfn.TEXTJOIN("",TRUE,H_unit[[#This Row],[Exact]],H_unit[[#This Row],[Exact+n]],H_unit[[#This Row],[Copilot]])</f>
        <v>Valkeakoski</v>
      </c>
      <c r="O260" s="246" t="str">
        <f>_xlfn.XLOOKUP(H_unit[[#This Row],[Municipality]],Municipality[Municipality],Municipality[Model],"")</f>
        <v>Center</v>
      </c>
      <c r="P260" s="236"/>
    </row>
    <row r="261" spans="1:16">
      <c r="A261" s="238" t="s">
        <v>1558</v>
      </c>
      <c r="B261" s="238" t="s">
        <v>1561</v>
      </c>
      <c r="C261" s="240" t="str" cm="1">
        <f t="array" ref="C261">" "&amp;LOWER(_xlfn.REDUCE(H_unit[[#This Row],[Company]]&amp;" "&amp;H_unit[[#This Row],[Unit]],{",",".","(",")","/"},_xlfn.LAMBDA(_xlpm.txt,_xlpm.delim,SUBSTITUTE(_xlpm.txt,_xlpm.delim," "))))&amp;" "</f>
        <v xml:space="preserve"> jämsän aluelämpö oy halli </v>
      </c>
      <c r="D261" s="242">
        <v>2004</v>
      </c>
      <c r="E261" s="243">
        <v>13</v>
      </c>
      <c r="F261" s="243"/>
      <c r="G261" s="247"/>
      <c r="H261" s="267" t="s">
        <v>1423</v>
      </c>
      <c r="I261" s="248" t="s">
        <v>1143</v>
      </c>
      <c r="J261" s="246" t="str" cm="1">
        <f t="array" ref="J261">_xlfn.XLOOKUP(TRUE,ISNUMBER(SEARCH(" "&amp;Municipality[Municipality]&amp;" ",H_unit[[#This Row],[Info string]])),Municipality[Municipality],"")</f>
        <v/>
      </c>
      <c r="K261" s="246" t="str" cm="1">
        <f t="array" ref="K261">IF(H_unit[[#This Row],[Exact]]&lt;&gt;"","",_xlfn.XLOOKUP(TRUE,ISNUMBER(SEARCH(" "&amp;Municipality[Municipality]&amp;"n ",H_unit[[#This Row],[Info string]])),Municipality[Municipality],""))</f>
        <v>Jämsä</v>
      </c>
      <c r="L261" s="246"/>
      <c r="M261" s="244"/>
      <c r="N261" s="246" t="str">
        <f>_xlfn.TEXTJOIN("",TRUE,H_unit[[#This Row],[Exact]],H_unit[[#This Row],[Exact+n]],H_unit[[#This Row],[Copilot]])</f>
        <v>Jämsä</v>
      </c>
      <c r="O261" s="246" t="str">
        <f>_xlfn.XLOOKUP(H_unit[[#This Row],[Municipality]],Municipality[Municipality],Municipality[Model],"")</f>
        <v>Center</v>
      </c>
      <c r="P261" s="236"/>
    </row>
    <row r="262" spans="1:16">
      <c r="A262" s="238" t="s">
        <v>1814</v>
      </c>
      <c r="B262" s="238" t="s">
        <v>1815</v>
      </c>
      <c r="C262" s="240" t="str" cm="1">
        <f t="array" ref="C262">" "&amp;LOWER(_xlfn.REDUCE(H_unit[[#This Row],[Company]]&amp;" "&amp;H_unit[[#This Row],[Unit]],{",",".","(",")","/"},_xlfn.LAMBDA(_xlpm.txt,_xlpm.delim,SUBSTITUTE(_xlpm.txt,_xlpm.delim," "))))&amp;" "</f>
        <v xml:space="preserve"> lohjan energiahuolto oy loher tytyri </v>
      </c>
      <c r="D262" s="242">
        <v>2005</v>
      </c>
      <c r="E262" s="243">
        <v>13</v>
      </c>
      <c r="F262" s="243"/>
      <c r="G262" s="247"/>
      <c r="H262" s="267" t="s">
        <v>1418</v>
      </c>
      <c r="I262" s="248" t="s">
        <v>1141</v>
      </c>
      <c r="J262" s="246" t="str" cm="1">
        <f t="array" ref="J262">_xlfn.XLOOKUP(TRUE,ISNUMBER(SEARCH(" "&amp;Municipality[Municipality]&amp;" ",H_unit[[#This Row],[Info string]])),Municipality[Municipality],"")</f>
        <v/>
      </c>
      <c r="K262" s="246" t="str" cm="1">
        <f t="array" ref="K262">IF(H_unit[[#This Row],[Exact]]&lt;&gt;"","",_xlfn.XLOOKUP(TRUE,ISNUMBER(SEARCH(" "&amp;Municipality[Municipality]&amp;"n ",H_unit[[#This Row],[Info string]])),Municipality[Municipality],""))</f>
        <v>Lohja</v>
      </c>
      <c r="L262" s="246"/>
      <c r="M262" s="244"/>
      <c r="N262" s="246" t="str">
        <f>_xlfn.TEXTJOIN("",TRUE,H_unit[[#This Row],[Exact]],H_unit[[#This Row],[Exact+n]],H_unit[[#This Row],[Copilot]])</f>
        <v>Lohja</v>
      </c>
      <c r="O262" s="246" t="str">
        <f>_xlfn.XLOOKUP(H_unit[[#This Row],[Municipality]],Municipality[Municipality],Municipality[Model],"")</f>
        <v>Uusimaa</v>
      </c>
      <c r="P262" s="236"/>
    </row>
    <row r="263" spans="1:16">
      <c r="A263" s="238" t="s">
        <v>1978</v>
      </c>
      <c r="B263" s="238" t="s">
        <v>1986</v>
      </c>
      <c r="C263" s="240" t="str" cm="1">
        <f t="array" ref="C263">" "&amp;LOWER(_xlfn.REDUCE(H_unit[[#This Row],[Company]]&amp;" "&amp;H_unit[[#This Row],[Unit]],{",",".","(",")","/"},_xlfn.LAMBDA(_xlpm.txt,_xlpm.delim,SUBSTITUTE(_xlpm.txt,_xlpm.delim," "))))&amp;" "</f>
        <v xml:space="preserve"> nurmijärven sähkö oy rajamäki kpa-kattila </v>
      </c>
      <c r="D263" s="242">
        <v>2007</v>
      </c>
      <c r="E263" s="243">
        <v>13</v>
      </c>
      <c r="F263" s="243"/>
      <c r="G263" s="247"/>
      <c r="H263" s="267" t="s">
        <v>1423</v>
      </c>
      <c r="I263" s="248" t="s">
        <v>1143</v>
      </c>
      <c r="J263" s="246" t="str" cm="1">
        <f t="array" ref="J263">_xlfn.XLOOKUP(TRUE,ISNUMBER(SEARCH(" "&amp;Municipality[Municipality]&amp;" ",H_unit[[#This Row],[Info string]])),Municipality[Municipality],"")</f>
        <v/>
      </c>
      <c r="K263" s="246" t="str" cm="1">
        <f t="array" ref="K263">IF(H_unit[[#This Row],[Exact]]&lt;&gt;"","",_xlfn.XLOOKUP(TRUE,ISNUMBER(SEARCH(" "&amp;Municipality[Municipality]&amp;"n ",H_unit[[#This Row],[Info string]])),Municipality[Municipality],""))</f>
        <v/>
      </c>
      <c r="L263" s="246" t="s">
        <v>2695</v>
      </c>
      <c r="M263" s="244" t="s">
        <v>2905</v>
      </c>
      <c r="N263" s="246" t="str">
        <f>_xlfn.TEXTJOIN("",TRUE,H_unit[[#This Row],[Exact]],H_unit[[#This Row],[Exact+n]],H_unit[[#This Row],[Copilot]])</f>
        <v>Nurmijärvi</v>
      </c>
      <c r="O263" s="246" t="str">
        <f>_xlfn.XLOOKUP(H_unit[[#This Row],[Municipality]],Municipality[Municipality],Municipality[Model],"")</f>
        <v>Uusimaa</v>
      </c>
      <c r="P263" s="236"/>
    </row>
    <row r="264" spans="1:16">
      <c r="A264" s="238" t="s">
        <v>2339</v>
      </c>
      <c r="B264" s="238" t="s">
        <v>2341</v>
      </c>
      <c r="C264" s="240" t="str" cm="1">
        <f t="array" ref="C264">" "&amp;LOWER(_xlfn.REDUCE(H_unit[[#This Row],[Company]]&amp;" "&amp;H_unit[[#This Row],[Unit]],{",",".","(",")","/"},_xlfn.LAMBDA(_xlpm.txt,_xlpm.delim,SUBSTITUTE(_xlpm.txt,_xlpm.delim," "))))&amp;" "</f>
        <v xml:space="preserve"> mariehamns bioenergi ab bioenergi 11 mw kvv </v>
      </c>
      <c r="D264" s="242">
        <v>2007</v>
      </c>
      <c r="E264" s="243">
        <v>13</v>
      </c>
      <c r="F264" s="243">
        <v>2.1</v>
      </c>
      <c r="G264" s="247"/>
      <c r="H264" s="267" t="s">
        <v>1423</v>
      </c>
      <c r="I264" s="248" t="s">
        <v>1153</v>
      </c>
      <c r="J264" s="246" t="str" cm="1">
        <f t="array" ref="J264">_xlfn.XLOOKUP(TRUE,ISNUMBER(SEARCH(" "&amp;Municipality[Municipality]&amp;" ",H_unit[[#This Row],[Info string]])),Municipality[Municipality],"")</f>
        <v/>
      </c>
      <c r="K264" s="246" t="str" cm="1">
        <f t="array" ref="K264">IF(H_unit[[#This Row],[Exact]]&lt;&gt;"","",_xlfn.XLOOKUP(TRUE,ISNUMBER(SEARCH(" "&amp;Municipality[Municipality]&amp;"n ",H_unit[[#This Row],[Info string]])),Municipality[Municipality],""))</f>
        <v/>
      </c>
      <c r="L264" s="246" t="s">
        <v>2668</v>
      </c>
      <c r="M264" s="244" t="s">
        <v>2926</v>
      </c>
      <c r="N264" s="246" t="str">
        <f>_xlfn.TEXTJOIN("",TRUE,H_unit[[#This Row],[Exact]],H_unit[[#This Row],[Exact+n]],H_unit[[#This Row],[Copilot]])</f>
        <v>Maarianhamina</v>
      </c>
      <c r="O264" s="246" t="str">
        <f>_xlfn.XLOOKUP(H_unit[[#This Row],[Municipality]],Municipality[Municipality],Municipality[Model],"")</f>
        <v>South West</v>
      </c>
      <c r="P264" s="236"/>
    </row>
    <row r="265" spans="1:16">
      <c r="A265" s="238" t="s">
        <v>1879</v>
      </c>
      <c r="B265" s="238" t="s">
        <v>1883</v>
      </c>
      <c r="C265" s="240" t="str" cm="1">
        <f t="array" ref="C265">" "&amp;LOWER(_xlfn.REDUCE(H_unit[[#This Row],[Company]]&amp;" "&amp;H_unit[[#This Row],[Unit]],{",",".","(",")","/"},_xlfn.LAMBDA(_xlpm.txt,_xlpm.delim,SUBSTITUTE(_xlpm.txt,_xlpm.delim," "))))&amp;" "</f>
        <v xml:space="preserve"> loviisan lämpö oy  loviisa  pornainen  pukkila  pyhtää määrlahden lämpölaitos </v>
      </c>
      <c r="D265" s="242">
        <v>2009</v>
      </c>
      <c r="E265" s="243">
        <v>13</v>
      </c>
      <c r="F265" s="243"/>
      <c r="G265" s="247"/>
      <c r="H265" s="267" t="s">
        <v>1430</v>
      </c>
      <c r="I265" s="248" t="s">
        <v>1141</v>
      </c>
      <c r="J265" s="246" t="str" cm="1">
        <f t="array" ref="J265">_xlfn.XLOOKUP(TRUE,ISNUMBER(SEARCH(" "&amp;Municipality[Municipality]&amp;" ",H_unit[[#This Row],[Info string]])),Municipality[Municipality],"")</f>
        <v>Pornainen</v>
      </c>
      <c r="K265" s="246" t="str" cm="1">
        <f t="array" ref="K265">IF(H_unit[[#This Row],[Exact]]&lt;&gt;"","",_xlfn.XLOOKUP(TRUE,ISNUMBER(SEARCH(" "&amp;Municipality[Municipality]&amp;"n ",H_unit[[#This Row],[Info string]])),Municipality[Municipality],""))</f>
        <v/>
      </c>
      <c r="L265" s="246"/>
      <c r="M265" s="244"/>
      <c r="N265" s="246" t="str">
        <f>_xlfn.TEXTJOIN("",TRUE,H_unit[[#This Row],[Exact]],H_unit[[#This Row],[Exact+n]],H_unit[[#This Row],[Copilot]])</f>
        <v>Pornainen</v>
      </c>
      <c r="O265" s="246" t="str">
        <f>_xlfn.XLOOKUP(H_unit[[#This Row],[Municipality]],Municipality[Municipality],Municipality[Model],"")</f>
        <v>Uusimaa</v>
      </c>
      <c r="P265" s="236"/>
    </row>
    <row r="266" spans="1:16">
      <c r="A266" s="238" t="s">
        <v>1997</v>
      </c>
      <c r="B266" s="238" t="s">
        <v>2002</v>
      </c>
      <c r="C266" s="240" t="str" cm="1">
        <f t="array" ref="C266">" "&amp;LOWER(_xlfn.REDUCE(H_unit[[#This Row],[Company]]&amp;" "&amp;H_unit[[#This Row],[Unit]],{",",".","(",")","/"},_xlfn.LAMBDA(_xlpm.txt,_xlpm.delim,SUBSTITUTE(_xlpm.txt,_xlpm.delim," "))))&amp;" "</f>
        <v xml:space="preserve"> orimattilan lämpö oy viljamaan kpa-laitos </v>
      </c>
      <c r="D266" s="242">
        <v>2010</v>
      </c>
      <c r="E266" s="243">
        <v>13</v>
      </c>
      <c r="F266" s="243"/>
      <c r="G266" s="247"/>
      <c r="H266" s="267" t="s">
        <v>1423</v>
      </c>
      <c r="I266" s="248" t="s">
        <v>1143</v>
      </c>
      <c r="J266" s="246" t="str" cm="1">
        <f t="array" ref="J266">_xlfn.XLOOKUP(TRUE,ISNUMBER(SEARCH(" "&amp;Municipality[Municipality]&amp;" ",H_unit[[#This Row],[Info string]])),Municipality[Municipality],"")</f>
        <v/>
      </c>
      <c r="K266" s="246" t="str" cm="1">
        <f t="array" ref="K266">IF(H_unit[[#This Row],[Exact]]&lt;&gt;"","",_xlfn.XLOOKUP(TRUE,ISNUMBER(SEARCH(" "&amp;Municipality[Municipality]&amp;"n ",H_unit[[#This Row],[Info string]])),Municipality[Municipality],""))</f>
        <v>Orimattila</v>
      </c>
      <c r="L266" s="246"/>
      <c r="M266" s="244"/>
      <c r="N266" s="246" t="str">
        <f>_xlfn.TEXTJOIN("",TRUE,H_unit[[#This Row],[Exact]],H_unit[[#This Row],[Exact+n]],H_unit[[#This Row],[Copilot]])</f>
        <v>Orimattila</v>
      </c>
      <c r="O266" s="246" t="str">
        <f>_xlfn.XLOOKUP(H_unit[[#This Row],[Municipality]],Municipality[Municipality],Municipality[Model],"")</f>
        <v>Uusimaa</v>
      </c>
      <c r="P266" s="236"/>
    </row>
    <row r="267" spans="1:16">
      <c r="A267" s="238" t="s">
        <v>2105</v>
      </c>
      <c r="B267" s="238" t="s">
        <v>2108</v>
      </c>
      <c r="C267" s="240" t="str" cm="1">
        <f t="array" ref="C267">" "&amp;LOWER(_xlfn.REDUCE(H_unit[[#This Row],[Company]]&amp;" "&amp;H_unit[[#This Row],[Unit]],{",",".","(",")","/"},_xlfn.LAMBDA(_xlpm.txt,_xlpm.delim,SUBSTITUTE(_xlpm.txt,_xlpm.delim," "))))&amp;" "</f>
        <v xml:space="preserve"> savon voima oyj  iisalmi lk91 kivirannankuja </v>
      </c>
      <c r="D267" s="242">
        <v>2005</v>
      </c>
      <c r="E267" s="243">
        <v>12.8</v>
      </c>
      <c r="F267" s="243"/>
      <c r="G267" s="247"/>
      <c r="H267" s="267" t="s">
        <v>1430</v>
      </c>
      <c r="I267" s="248" t="s">
        <v>1141</v>
      </c>
      <c r="J267" s="246" t="str" cm="1">
        <f t="array" ref="J267">_xlfn.XLOOKUP(TRUE,ISNUMBER(SEARCH(" "&amp;Municipality[Municipality]&amp;" ",H_unit[[#This Row],[Info string]])),Municipality[Municipality],"")</f>
        <v>Iisalmi</v>
      </c>
      <c r="K267" s="246" t="str" cm="1">
        <f t="array" ref="K267">IF(H_unit[[#This Row],[Exact]]&lt;&gt;"","",_xlfn.XLOOKUP(TRUE,ISNUMBER(SEARCH(" "&amp;Municipality[Municipality]&amp;"n ",H_unit[[#This Row],[Info string]])),Municipality[Municipality],""))</f>
        <v/>
      </c>
      <c r="L267" s="246"/>
      <c r="M267" s="244"/>
      <c r="N267" s="246" t="str">
        <f>_xlfn.TEXTJOIN("",TRUE,H_unit[[#This Row],[Exact]],H_unit[[#This Row],[Exact+n]],H_unit[[#This Row],[Copilot]])</f>
        <v>Iisalmi</v>
      </c>
      <c r="O267" s="246" t="str">
        <f>_xlfn.XLOOKUP(H_unit[[#This Row],[Municipality]],Municipality[Municipality],Municipality[Model],"")</f>
        <v>East</v>
      </c>
      <c r="P267" s="236"/>
    </row>
    <row r="268" spans="1:16">
      <c r="A268" s="238" t="s">
        <v>2113</v>
      </c>
      <c r="B268" s="238" t="s">
        <v>2120</v>
      </c>
      <c r="C268" s="240" t="str" cm="1">
        <f t="array" ref="C268">" "&amp;LOWER(_xlfn.REDUCE(H_unit[[#This Row],[Company]]&amp;" "&amp;H_unit[[#This Row],[Unit]],{",",".","(",")","/"},_xlfn.LAMBDA(_xlpm.txt,_xlpm.delim,SUBSTITUTE(_xlpm.txt,_xlpm.delim," "))))&amp;" "</f>
        <v xml:space="preserve"> savon voima oyj  joensuu hasanniemi </v>
      </c>
      <c r="D268" s="242">
        <v>2005</v>
      </c>
      <c r="E268" s="243">
        <v>12.8</v>
      </c>
      <c r="F268" s="243"/>
      <c r="G268" s="247"/>
      <c r="H268" s="267" t="s">
        <v>1430</v>
      </c>
      <c r="I268" s="248" t="s">
        <v>1141</v>
      </c>
      <c r="J268" s="246" t="str" cm="1">
        <f t="array" ref="J268">_xlfn.XLOOKUP(TRUE,ISNUMBER(SEARCH(" "&amp;Municipality[Municipality]&amp;" ",H_unit[[#This Row],[Info string]])),Municipality[Municipality],"")</f>
        <v>Joensuu</v>
      </c>
      <c r="K268" s="246" t="str" cm="1">
        <f t="array" ref="K268">IF(H_unit[[#This Row],[Exact]]&lt;&gt;"","",_xlfn.XLOOKUP(TRUE,ISNUMBER(SEARCH(" "&amp;Municipality[Municipality]&amp;"n ",H_unit[[#This Row],[Info string]])),Municipality[Municipality],""))</f>
        <v/>
      </c>
      <c r="L268" s="246"/>
      <c r="M268" s="244"/>
      <c r="N268" s="246" t="str">
        <f>_xlfn.TEXTJOIN("",TRUE,H_unit[[#This Row],[Exact]],H_unit[[#This Row],[Exact+n]],H_unit[[#This Row],[Copilot]])</f>
        <v>Joensuu</v>
      </c>
      <c r="O268" s="246" t="str">
        <f>_xlfn.XLOOKUP(H_unit[[#This Row],[Municipality]],Municipality[Municipality],Municipality[Model],"")</f>
        <v>East</v>
      </c>
      <c r="P268" s="236"/>
    </row>
    <row r="269" spans="1:16">
      <c r="A269" s="238" t="s">
        <v>2105</v>
      </c>
      <c r="B269" s="238" t="s">
        <v>2109</v>
      </c>
      <c r="C269" s="240" t="str" cm="1">
        <f t="array" ref="C269">" "&amp;LOWER(_xlfn.REDUCE(H_unit[[#This Row],[Company]]&amp;" "&amp;H_unit[[#This Row],[Unit]],{",",".","(",")","/"},_xlfn.LAMBDA(_xlpm.txt,_xlpm.delim,SUBSTITUTE(_xlpm.txt,_xlpm.delim," "))))&amp;" "</f>
        <v xml:space="preserve"> savon voima oyj  iisalmi lk96  kiviranta </v>
      </c>
      <c r="D269" s="242">
        <v>2012</v>
      </c>
      <c r="E269" s="243">
        <v>12.8</v>
      </c>
      <c r="F269" s="243"/>
      <c r="G269" s="247"/>
      <c r="H269" s="267" t="s">
        <v>1430</v>
      </c>
      <c r="I269" s="248" t="s">
        <v>1141</v>
      </c>
      <c r="J269" s="246" t="str" cm="1">
        <f t="array" ref="J269">_xlfn.XLOOKUP(TRUE,ISNUMBER(SEARCH(" "&amp;Municipality[Municipality]&amp;" ",H_unit[[#This Row],[Info string]])),Municipality[Municipality],"")</f>
        <v>Iisalmi</v>
      </c>
      <c r="K269" s="246" t="str" cm="1">
        <f t="array" ref="K269">IF(H_unit[[#This Row],[Exact]]&lt;&gt;"","",_xlfn.XLOOKUP(TRUE,ISNUMBER(SEARCH(" "&amp;Municipality[Municipality]&amp;"n ",H_unit[[#This Row],[Info string]])),Municipality[Municipality],""))</f>
        <v/>
      </c>
      <c r="L269" s="246"/>
      <c r="M269" s="244"/>
      <c r="N269" s="246" t="str">
        <f>_xlfn.TEXTJOIN("",TRUE,H_unit[[#This Row],[Exact]],H_unit[[#This Row],[Exact+n]],H_unit[[#This Row],[Copilot]])</f>
        <v>Iisalmi</v>
      </c>
      <c r="O269" s="246" t="str">
        <f>_xlfn.XLOOKUP(H_unit[[#This Row],[Municipality]],Municipality[Municipality],Municipality[Model],"")</f>
        <v>East</v>
      </c>
      <c r="P269" s="236"/>
    </row>
    <row r="270" spans="1:16">
      <c r="A270" s="238" t="s">
        <v>2105</v>
      </c>
      <c r="B270" s="238" t="s">
        <v>2110</v>
      </c>
      <c r="C270" s="240" t="str" cm="1">
        <f t="array" ref="C270">" "&amp;LOWER(_xlfn.REDUCE(H_unit[[#This Row],[Company]]&amp;" "&amp;H_unit[[#This Row],[Unit]],{",",".","(",")","/"},_xlfn.LAMBDA(_xlpm.txt,_xlpm.delim,SUBSTITUTE(_xlpm.txt,_xlpm.delim," "))))&amp;" "</f>
        <v xml:space="preserve"> savon voima oyj  iisalmi lk 101 marjahaka </v>
      </c>
      <c r="D270" s="242">
        <v>2013</v>
      </c>
      <c r="E270" s="243">
        <v>12.8</v>
      </c>
      <c r="F270" s="243"/>
      <c r="G270" s="247"/>
      <c r="H270" s="267" t="s">
        <v>1430</v>
      </c>
      <c r="I270" s="248" t="s">
        <v>1141</v>
      </c>
      <c r="J270" s="246" t="str" cm="1">
        <f t="array" ref="J270">_xlfn.XLOOKUP(TRUE,ISNUMBER(SEARCH(" "&amp;Municipality[Municipality]&amp;" ",H_unit[[#This Row],[Info string]])),Municipality[Municipality],"")</f>
        <v>Iisalmi</v>
      </c>
      <c r="K270" s="246" t="str" cm="1">
        <f t="array" ref="K270">IF(H_unit[[#This Row],[Exact]]&lt;&gt;"","",_xlfn.XLOOKUP(TRUE,ISNUMBER(SEARCH(" "&amp;Municipality[Municipality]&amp;"n ",H_unit[[#This Row],[Info string]])),Municipality[Municipality],""))</f>
        <v/>
      </c>
      <c r="L270" s="246"/>
      <c r="M270" s="244"/>
      <c r="N270" s="246" t="str">
        <f>_xlfn.TEXTJOIN("",TRUE,H_unit[[#This Row],[Exact]],H_unit[[#This Row],[Exact+n]],H_unit[[#This Row],[Copilot]])</f>
        <v>Iisalmi</v>
      </c>
      <c r="O270" s="246" t="str">
        <f>_xlfn.XLOOKUP(H_unit[[#This Row],[Municipality]],Municipality[Municipality],Municipality[Model],"")</f>
        <v>East</v>
      </c>
      <c r="P270" s="236"/>
    </row>
    <row r="271" spans="1:16">
      <c r="A271" s="238" t="s">
        <v>2105</v>
      </c>
      <c r="B271" s="238" t="s">
        <v>2111</v>
      </c>
      <c r="C271" s="240" t="str" cm="1">
        <f t="array" ref="C271">" "&amp;LOWER(_xlfn.REDUCE(H_unit[[#This Row],[Company]]&amp;" "&amp;H_unit[[#This Row],[Unit]],{",",".","(",")","/"},_xlfn.LAMBDA(_xlpm.txt,_xlpm.delim,SUBSTITUTE(_xlpm.txt,_xlpm.delim," "))))&amp;" "</f>
        <v xml:space="preserve"> savon voima oyj  iisalmi lk118 levytie </v>
      </c>
      <c r="D271" s="242">
        <v>2018</v>
      </c>
      <c r="E271" s="243">
        <v>12.8</v>
      </c>
      <c r="F271" s="243"/>
      <c r="G271" s="247"/>
      <c r="H271" s="267" t="s">
        <v>1458</v>
      </c>
      <c r="I271" s="248" t="s">
        <v>1143</v>
      </c>
      <c r="J271" s="246" t="str" cm="1">
        <f t="array" ref="J271">_xlfn.XLOOKUP(TRUE,ISNUMBER(SEARCH(" "&amp;Municipality[Municipality]&amp;" ",H_unit[[#This Row],[Info string]])),Municipality[Municipality],"")</f>
        <v>Iisalmi</v>
      </c>
      <c r="K271" s="246" t="str" cm="1">
        <f t="array" ref="K271">IF(H_unit[[#This Row],[Exact]]&lt;&gt;"","",_xlfn.XLOOKUP(TRUE,ISNUMBER(SEARCH(" "&amp;Municipality[Municipality]&amp;"n ",H_unit[[#This Row],[Info string]])),Municipality[Municipality],""))</f>
        <v/>
      </c>
      <c r="L271" s="246"/>
      <c r="M271" s="244"/>
      <c r="N271" s="246" t="str">
        <f>_xlfn.TEXTJOIN("",TRUE,H_unit[[#This Row],[Exact]],H_unit[[#This Row],[Exact+n]],H_unit[[#This Row],[Copilot]])</f>
        <v>Iisalmi</v>
      </c>
      <c r="O271" s="246" t="str">
        <f>_xlfn.XLOOKUP(H_unit[[#This Row],[Municipality]],Municipality[Municipality],Municipality[Model],"")</f>
        <v>East</v>
      </c>
      <c r="P271" s="236"/>
    </row>
    <row r="272" spans="1:16">
      <c r="A272" s="238" t="s">
        <v>1992</v>
      </c>
      <c r="B272" s="238" t="s">
        <v>1995</v>
      </c>
      <c r="C272" s="240" t="str" cm="1">
        <f t="array" ref="C272">" "&amp;LOWER(_xlfn.REDUCE(H_unit[[#This Row],[Company]]&amp;" "&amp;H_unit[[#This Row],[Unit]],{",",".","(",")","/"},_xlfn.LAMBDA(_xlpm.txt,_xlpm.delim,SUBSTITUTE(_xlpm.txt,_xlpm.delim," "))))&amp;" "</f>
        <v xml:space="preserve"> okun energia oy  outokumpu kehkola kpa1 </v>
      </c>
      <c r="D272" s="242">
        <v>2002</v>
      </c>
      <c r="E272" s="243">
        <v>12.5</v>
      </c>
      <c r="F272" s="243"/>
      <c r="G272" s="247"/>
      <c r="H272" s="267" t="s">
        <v>1423</v>
      </c>
      <c r="I272" s="248" t="s">
        <v>1143</v>
      </c>
      <c r="J272" s="246" t="str" cm="1">
        <f t="array" ref="J272">_xlfn.XLOOKUP(TRUE,ISNUMBER(SEARCH(" "&amp;Municipality[Municipality]&amp;" ",H_unit[[#This Row],[Info string]])),Municipality[Municipality],"")</f>
        <v>Outokumpu</v>
      </c>
      <c r="K272" s="246" t="str" cm="1">
        <f t="array" ref="K272">IF(H_unit[[#This Row],[Exact]]&lt;&gt;"","",_xlfn.XLOOKUP(TRUE,ISNUMBER(SEARCH(" "&amp;Municipality[Municipality]&amp;"n ",H_unit[[#This Row],[Info string]])),Municipality[Municipality],""))</f>
        <v/>
      </c>
      <c r="L272" s="246"/>
      <c r="M272" s="244"/>
      <c r="N272" s="246" t="str">
        <f>_xlfn.TEXTJOIN("",TRUE,H_unit[[#This Row],[Exact]],H_unit[[#This Row],[Exact+n]],H_unit[[#This Row],[Copilot]])</f>
        <v>Outokumpu</v>
      </c>
      <c r="O272" s="246" t="str">
        <f>_xlfn.XLOOKUP(H_unit[[#This Row],[Municipality]],Municipality[Municipality],Municipality[Model],"")</f>
        <v>East</v>
      </c>
      <c r="P272" s="236"/>
    </row>
    <row r="273" spans="1:16">
      <c r="A273" s="238" t="s">
        <v>1445</v>
      </c>
      <c r="B273" s="238" t="s">
        <v>1446</v>
      </c>
      <c r="C273" s="240" t="str" cm="1">
        <f t="array" ref="C273">" "&amp;LOWER(_xlfn.REDUCE(H_unit[[#This Row],[Company]]&amp;" "&amp;H_unit[[#This Row],[Unit]],{",",".","(",")","/"},_xlfn.LAMBDA(_xlpm.txt,_xlpm.delim,SUBSTITUTE(_xlpm.txt,_xlpm.delim," "))))&amp;" "</f>
        <v xml:space="preserve"> adven oy  levi levin kaukolämpö  kittilä </v>
      </c>
      <c r="D273" s="242">
        <v>2007</v>
      </c>
      <c r="E273" s="243">
        <v>12.5</v>
      </c>
      <c r="F273" s="243"/>
      <c r="G273" s="247"/>
      <c r="H273" s="267" t="s">
        <v>1423</v>
      </c>
      <c r="I273" s="248" t="s">
        <v>1143</v>
      </c>
      <c r="J273" s="246" t="str" cm="1">
        <f t="array" ref="J273">_xlfn.XLOOKUP(TRUE,ISNUMBER(SEARCH(" "&amp;Municipality[Municipality]&amp;" ",H_unit[[#This Row],[Info string]])),Municipality[Municipality],"")</f>
        <v>Kittilä</v>
      </c>
      <c r="K273" s="246" t="str" cm="1">
        <f t="array" ref="K273">IF(H_unit[[#This Row],[Exact]]&lt;&gt;"","",_xlfn.XLOOKUP(TRUE,ISNUMBER(SEARCH(" "&amp;Municipality[Municipality]&amp;"n ",H_unit[[#This Row],[Info string]])),Municipality[Municipality],""))</f>
        <v/>
      </c>
      <c r="L273" s="246"/>
      <c r="M273" s="244"/>
      <c r="N273" s="246" t="str">
        <f>_xlfn.TEXTJOIN("",TRUE,H_unit[[#This Row],[Exact]],H_unit[[#This Row],[Exact+n]],H_unit[[#This Row],[Copilot]])</f>
        <v>Kittilä</v>
      </c>
      <c r="O273" s="246" t="str">
        <f>_xlfn.XLOOKUP(H_unit[[#This Row],[Municipality]],Municipality[Municipality],Municipality[Model],"")</f>
        <v>North</v>
      </c>
      <c r="P273" s="236"/>
    </row>
    <row r="274" spans="1:16">
      <c r="A274" s="238" t="s">
        <v>1519</v>
      </c>
      <c r="B274" s="238" t="s">
        <v>1520</v>
      </c>
      <c r="C274" s="240" t="str" cm="1">
        <f t="array" ref="C274">" "&amp;LOWER(_xlfn.REDUCE(H_unit[[#This Row],[Company]]&amp;" "&amp;H_unit[[#This Row],[Unit]],{",",".","(",")","/"},_xlfn.LAMBDA(_xlpm.txt,_xlpm.delim,SUBSTITUTE(_xlpm.txt,_xlpm.delim," "))))&amp;" "</f>
        <v xml:space="preserve"> herrfors oy ab  pietarsaari itälä </v>
      </c>
      <c r="D274" s="242">
        <v>2019</v>
      </c>
      <c r="E274" s="243">
        <v>12.5</v>
      </c>
      <c r="F274" s="243"/>
      <c r="G274" s="247"/>
      <c r="H274" s="267" t="s">
        <v>1430</v>
      </c>
      <c r="I274" s="248" t="s">
        <v>1141</v>
      </c>
      <c r="J274" s="246" t="str" cm="1">
        <f t="array" ref="J274">_xlfn.XLOOKUP(TRUE,ISNUMBER(SEARCH(" "&amp;Municipality[Municipality]&amp;" ",H_unit[[#This Row],[Info string]])),Municipality[Municipality],"")</f>
        <v>Pietarsaari</v>
      </c>
      <c r="K274" s="246" t="str" cm="1">
        <f t="array" ref="K274">IF(H_unit[[#This Row],[Exact]]&lt;&gt;"","",_xlfn.XLOOKUP(TRUE,ISNUMBER(SEARCH(" "&amp;Municipality[Municipality]&amp;"n ",H_unit[[#This Row],[Info string]])),Municipality[Municipality],""))</f>
        <v/>
      </c>
      <c r="L274" s="246"/>
      <c r="M274" s="244"/>
      <c r="N274" s="246" t="str">
        <f>_xlfn.TEXTJOIN("",TRUE,H_unit[[#This Row],[Exact]],H_unit[[#This Row],[Exact+n]],H_unit[[#This Row],[Copilot]])</f>
        <v>Pietarsaari</v>
      </c>
      <c r="O274" s="246" t="str">
        <f>_xlfn.XLOOKUP(H_unit[[#This Row],[Municipality]],Municipality[Municipality],Municipality[Model],"")</f>
        <v>West</v>
      </c>
      <c r="P274" s="236"/>
    </row>
    <row r="275" spans="1:16">
      <c r="A275" s="238" t="s">
        <v>1618</v>
      </c>
      <c r="B275" s="238" t="s">
        <v>1620</v>
      </c>
      <c r="C275" s="240" t="str" cm="1">
        <f t="array" ref="C275">" "&amp;LOWER(_xlfn.REDUCE(H_unit[[#This Row],[Company]]&amp;" "&amp;H_unit[[#This Row],[Unit]],{",",".","(",")","/"},_xlfn.LAMBDA(_xlpm.txt,_xlpm.delim,SUBSTITUTE(_xlpm.txt,_xlpm.delim," "))))&amp;" "</f>
        <v xml:space="preserve"> keravan energia oy  sipoo ingman </v>
      </c>
      <c r="D275" s="242" t="s">
        <v>1448</v>
      </c>
      <c r="E275" s="243">
        <v>12.4</v>
      </c>
      <c r="F275" s="243"/>
      <c r="G275" s="247"/>
      <c r="H275" s="267" t="s">
        <v>1453</v>
      </c>
      <c r="I275" s="248" t="s">
        <v>1142</v>
      </c>
      <c r="J275" s="246" t="str" cm="1">
        <f t="array" ref="J275">_xlfn.XLOOKUP(TRUE,ISNUMBER(SEARCH(" "&amp;Municipality[Municipality]&amp;" ",H_unit[[#This Row],[Info string]])),Municipality[Municipality],"")</f>
        <v>Sipoo</v>
      </c>
      <c r="K275" s="246" t="str" cm="1">
        <f t="array" ref="K275">IF(H_unit[[#This Row],[Exact]]&lt;&gt;"","",_xlfn.XLOOKUP(TRUE,ISNUMBER(SEARCH(" "&amp;Municipality[Municipality]&amp;"n ",H_unit[[#This Row],[Info string]])),Municipality[Municipality],""))</f>
        <v/>
      </c>
      <c r="L275" s="246"/>
      <c r="M275" s="244"/>
      <c r="N275" s="246" t="str">
        <f>_xlfn.TEXTJOIN("",TRUE,H_unit[[#This Row],[Exact]],H_unit[[#This Row],[Exact+n]],H_unit[[#This Row],[Copilot]])</f>
        <v>Sipoo</v>
      </c>
      <c r="O275" s="246" t="str">
        <f>_xlfn.XLOOKUP(H_unit[[#This Row],[Municipality]],Municipality[Municipality],Municipality[Model],"")</f>
        <v>Uusimaa</v>
      </c>
      <c r="P275" s="236"/>
    </row>
    <row r="276" spans="1:16">
      <c r="A276" s="238" t="s">
        <v>2318</v>
      </c>
      <c r="B276" s="238" t="s">
        <v>2324</v>
      </c>
      <c r="C276" s="240" t="str" cm="1">
        <f t="array" ref="C276">" "&amp;LOWER(_xlfn.REDUCE(H_unit[[#This Row],[Company]]&amp;" "&amp;H_unit[[#This Row],[Unit]],{",",".","(",")","/"},_xlfn.LAMBDA(_xlpm.txt,_xlpm.delim,SUBSTITUTE(_xlpm.txt,_xlpm.delim," "))))&amp;" "</f>
        <v xml:space="preserve"> lappeenrannan lämpövoima oy kahilanniemi  keskusta  </v>
      </c>
      <c r="D276" s="242">
        <v>1968</v>
      </c>
      <c r="E276" s="243">
        <v>12</v>
      </c>
      <c r="F276" s="243"/>
      <c r="G276" s="247"/>
      <c r="H276" s="267" t="s">
        <v>1453</v>
      </c>
      <c r="I276" s="248" t="s">
        <v>1142</v>
      </c>
      <c r="J276" s="246" t="str" cm="1">
        <f t="array" ref="J276">_xlfn.XLOOKUP(TRUE,ISNUMBER(SEARCH(" "&amp;Municipality[Municipality]&amp;" ",H_unit[[#This Row],[Info string]])),Municipality[Municipality],"")</f>
        <v/>
      </c>
      <c r="K276" s="246" t="str" cm="1">
        <f t="array" ref="K276">IF(H_unit[[#This Row],[Exact]]&lt;&gt;"","",_xlfn.XLOOKUP(TRUE,ISNUMBER(SEARCH(" "&amp;Municipality[Municipality]&amp;"n ",H_unit[[#This Row],[Info string]])),Municipality[Municipality],""))</f>
        <v/>
      </c>
      <c r="L276" s="246" t="s">
        <v>980</v>
      </c>
      <c r="M276" s="244" t="s">
        <v>2892</v>
      </c>
      <c r="N276" s="246" t="str">
        <f>_xlfn.TEXTJOIN("",TRUE,H_unit[[#This Row],[Exact]],H_unit[[#This Row],[Exact+n]],H_unit[[#This Row],[Copilot]])</f>
        <v>Lappeenranta</v>
      </c>
      <c r="O276" s="246" t="str">
        <f>_xlfn.XLOOKUP(H_unit[[#This Row],[Municipality]],Municipality[Municipality],Municipality[Model],"")</f>
        <v>South East</v>
      </c>
      <c r="P276" s="236"/>
    </row>
    <row r="277" spans="1:16">
      <c r="A277" s="238" t="s">
        <v>1612</v>
      </c>
      <c r="B277" s="238" t="s">
        <v>1613</v>
      </c>
      <c r="C277" s="240" t="str" cm="1">
        <f t="array" ref="C277">" "&amp;LOWER(_xlfn.REDUCE(H_unit[[#This Row],[Company]]&amp;" "&amp;H_unit[[#This Row],[Unit]],{",",".","(",")","/"},_xlfn.LAMBDA(_xlpm.txt,_xlpm.delim,SUBSTITUTE(_xlpm.txt,_xlpm.delim," "))))&amp;" "</f>
        <v xml:space="preserve"> keravan energia oy  kerava ylikerava </v>
      </c>
      <c r="D277" s="242">
        <v>1976</v>
      </c>
      <c r="E277" s="243">
        <v>12</v>
      </c>
      <c r="F277" s="243"/>
      <c r="G277" s="247"/>
      <c r="H277" s="267" t="s">
        <v>1430</v>
      </c>
      <c r="I277" s="248" t="s">
        <v>1141</v>
      </c>
      <c r="J277" s="246" t="str" cm="1">
        <f t="array" ref="J277">_xlfn.XLOOKUP(TRUE,ISNUMBER(SEARCH(" "&amp;Municipality[Municipality]&amp;" ",H_unit[[#This Row],[Info string]])),Municipality[Municipality],"")</f>
        <v>Kerava</v>
      </c>
      <c r="K277" s="246" t="str" cm="1">
        <f t="array" ref="K277">IF(H_unit[[#This Row],[Exact]]&lt;&gt;"","",_xlfn.XLOOKUP(TRUE,ISNUMBER(SEARCH(" "&amp;Municipality[Municipality]&amp;"n ",H_unit[[#This Row],[Info string]])),Municipality[Municipality],""))</f>
        <v/>
      </c>
      <c r="L277" s="246"/>
      <c r="M277" s="244"/>
      <c r="N277" s="246" t="str">
        <f>_xlfn.TEXTJOIN("",TRUE,H_unit[[#This Row],[Exact]],H_unit[[#This Row],[Exact+n]],H_unit[[#This Row],[Copilot]])</f>
        <v>Kerava</v>
      </c>
      <c r="O277" s="246" t="str">
        <f>_xlfn.XLOOKUP(H_unit[[#This Row],[Municipality]],Municipality[Municipality],Municipality[Model],"")</f>
        <v>Uusimaa</v>
      </c>
      <c r="P277" s="236"/>
    </row>
    <row r="278" spans="1:16">
      <c r="A278" s="238" t="s">
        <v>1749</v>
      </c>
      <c r="B278" s="238" t="s">
        <v>1750</v>
      </c>
      <c r="C278" s="240" t="str" cm="1">
        <f t="array" ref="C278">" "&amp;LOWER(_xlfn.REDUCE(H_unit[[#This Row],[Company]]&amp;" "&amp;H_unit[[#This Row],[Unit]],{",",".","(",")","/"},_xlfn.LAMBDA(_xlpm.txt,_xlpm.delim,SUBSTITUTE(_xlpm.txt,_xlpm.delim," "))))&amp;" "</f>
        <v xml:space="preserve"> laitilan lämpö oy pappilantien lk </v>
      </c>
      <c r="D278" s="242">
        <v>1976</v>
      </c>
      <c r="E278" s="243">
        <v>12</v>
      </c>
      <c r="F278" s="243"/>
      <c r="G278" s="247"/>
      <c r="H278" s="267" t="s">
        <v>1418</v>
      </c>
      <c r="I278" s="248" t="s">
        <v>1141</v>
      </c>
      <c r="J278" s="246" t="str" cm="1">
        <f t="array" ref="J278">_xlfn.XLOOKUP(TRUE,ISNUMBER(SEARCH(" "&amp;Municipality[Municipality]&amp;" ",H_unit[[#This Row],[Info string]])),Municipality[Municipality],"")</f>
        <v/>
      </c>
      <c r="K278" s="246" t="str" cm="1">
        <f t="array" ref="K278">IF(H_unit[[#This Row],[Exact]]&lt;&gt;"","",_xlfn.XLOOKUP(TRUE,ISNUMBER(SEARCH(" "&amp;Municipality[Municipality]&amp;"n ",H_unit[[#This Row],[Info string]])),Municipality[Municipality],""))</f>
        <v>Laitila</v>
      </c>
      <c r="L278" s="246"/>
      <c r="M278" s="244"/>
      <c r="N278" s="246" t="str">
        <f>_xlfn.TEXTJOIN("",TRUE,H_unit[[#This Row],[Exact]],H_unit[[#This Row],[Exact+n]],H_unit[[#This Row],[Copilot]])</f>
        <v>Laitila</v>
      </c>
      <c r="O278" s="246" t="str">
        <f>_xlfn.XLOOKUP(H_unit[[#This Row],[Municipality]],Municipality[Municipality],Municipality[Model],"")</f>
        <v>South West</v>
      </c>
      <c r="P278" s="236"/>
    </row>
    <row r="279" spans="1:16">
      <c r="A279" s="238" t="s">
        <v>2223</v>
      </c>
      <c r="B279" s="238" t="s">
        <v>2225</v>
      </c>
      <c r="C279" s="240" t="str" cm="1">
        <f t="array" ref="C279">" "&amp;LOWER(_xlfn.REDUCE(H_unit[[#This Row],[Company]]&amp;" "&amp;H_unit[[#This Row],[Unit]],{",",".","(",")","/"},_xlfn.LAMBDA(_xlpm.txt,_xlpm.delim,SUBSTITUTE(_xlpm.txt,_xlpm.delim," "))))&amp;" "</f>
        <v xml:space="preserve"> varkauden aluelämpö oy kuoppakangas </v>
      </c>
      <c r="D279" s="242">
        <v>1979</v>
      </c>
      <c r="E279" s="243">
        <v>12</v>
      </c>
      <c r="F279" s="243"/>
      <c r="G279" s="247"/>
      <c r="H279" s="267" t="s">
        <v>1430</v>
      </c>
      <c r="I279" s="248" t="s">
        <v>1141</v>
      </c>
      <c r="J279" s="246" t="str" cm="1">
        <f t="array" ref="J279">_xlfn.XLOOKUP(TRUE,ISNUMBER(SEARCH(" "&amp;Municipality[Municipality]&amp;" ",H_unit[[#This Row],[Info string]])),Municipality[Municipality],"")</f>
        <v/>
      </c>
      <c r="K279" s="246" t="str" cm="1">
        <f t="array" ref="K279">IF(H_unit[[#This Row],[Exact]]&lt;&gt;"","",_xlfn.XLOOKUP(TRUE,ISNUMBER(SEARCH(" "&amp;Municipality[Municipality]&amp;"n ",H_unit[[#This Row],[Info string]])),Municipality[Municipality],""))</f>
        <v/>
      </c>
      <c r="L279" s="246" t="s">
        <v>1007</v>
      </c>
      <c r="M279" s="244" t="s">
        <v>2896</v>
      </c>
      <c r="N279" s="246" t="str">
        <f>_xlfn.TEXTJOIN("",TRUE,H_unit[[#This Row],[Exact]],H_unit[[#This Row],[Exact+n]],H_unit[[#This Row],[Copilot]])</f>
        <v>Varkaus</v>
      </c>
      <c r="O279" s="246" t="str">
        <f>_xlfn.XLOOKUP(H_unit[[#This Row],[Municipality]],Municipality[Municipality],Municipality[Model],"")</f>
        <v>East</v>
      </c>
      <c r="P279" s="236"/>
    </row>
    <row r="280" spans="1:16">
      <c r="A280" s="238" t="s">
        <v>1776</v>
      </c>
      <c r="B280" s="238" t="s">
        <v>1777</v>
      </c>
      <c r="C280" s="240" t="str" cm="1">
        <f t="array" ref="C280">" "&amp;LOWER(_xlfn.REDUCE(H_unit[[#This Row],[Company]]&amp;" "&amp;H_unit[[#This Row],[Unit]],{",",".","(",")","/"},_xlfn.LAMBDA(_xlpm.txt,_xlpm.delim,SUBSTITUTE(_xlpm.txt,_xlpm.delim," "))))&amp;" "</f>
        <v xml:space="preserve"> lempeä lämpö oy  savonlinna sks </v>
      </c>
      <c r="D280" s="242">
        <v>1980</v>
      </c>
      <c r="E280" s="243">
        <v>12</v>
      </c>
      <c r="F280" s="243"/>
      <c r="G280" s="247"/>
      <c r="H280" s="267" t="s">
        <v>1430</v>
      </c>
      <c r="I280" s="248" t="s">
        <v>1141</v>
      </c>
      <c r="J280" s="246" t="str" cm="1">
        <f t="array" ref="J280">_xlfn.XLOOKUP(TRUE,ISNUMBER(SEARCH(" "&amp;Municipality[Municipality]&amp;" ",H_unit[[#This Row],[Info string]])),Municipality[Municipality],"")</f>
        <v>Savonlinna</v>
      </c>
      <c r="K280" s="246" t="str" cm="1">
        <f t="array" ref="K280">IF(H_unit[[#This Row],[Exact]]&lt;&gt;"","",_xlfn.XLOOKUP(TRUE,ISNUMBER(SEARCH(" "&amp;Municipality[Municipality]&amp;"n ",H_unit[[#This Row],[Info string]])),Municipality[Municipality],""))</f>
        <v/>
      </c>
      <c r="L280" s="246"/>
      <c r="M280" s="244"/>
      <c r="N280" s="246" t="str">
        <f>_xlfn.TEXTJOIN("",TRUE,H_unit[[#This Row],[Exact]],H_unit[[#This Row],[Exact+n]],H_unit[[#This Row],[Copilot]])</f>
        <v>Savonlinna</v>
      </c>
      <c r="O280" s="246" t="str">
        <f>_xlfn.XLOOKUP(H_unit[[#This Row],[Municipality]],Municipality[Municipality],Municipality[Model],"")</f>
        <v>East</v>
      </c>
      <c r="P280" s="236"/>
    </row>
    <row r="281" spans="1:16">
      <c r="A281" s="238" t="s">
        <v>1525</v>
      </c>
      <c r="B281" s="238" t="s">
        <v>1526</v>
      </c>
      <c r="C281" s="240" t="str" cm="1">
        <f t="array" ref="C281">" "&amp;LOWER(_xlfn.REDUCE(H_unit[[#This Row],[Company]]&amp;" "&amp;H_unit[[#This Row],[Unit]],{",",".","(",")","/"},_xlfn.LAMBDA(_xlpm.txt,_xlpm.delim,SUBSTITUTE(_xlpm.txt,_xlpm.delim," "))))&amp;" "</f>
        <v xml:space="preserve"> hyvinkään lämpövoima oy sahanmäki </v>
      </c>
      <c r="D281" s="242">
        <v>1987</v>
      </c>
      <c r="E281" s="243">
        <v>12</v>
      </c>
      <c r="F281" s="243"/>
      <c r="G281" s="247"/>
      <c r="H281" s="267" t="s">
        <v>1453</v>
      </c>
      <c r="I281" s="248" t="s">
        <v>1142</v>
      </c>
      <c r="J281" s="246" t="str" cm="1">
        <f t="array" ref="J281">_xlfn.XLOOKUP(TRUE,ISNUMBER(SEARCH(" "&amp;Municipality[Municipality]&amp;" ",H_unit[[#This Row],[Info string]])),Municipality[Municipality],"")</f>
        <v/>
      </c>
      <c r="K281" s="246" t="str" cm="1">
        <f t="array" ref="K281">IF(H_unit[[#This Row],[Exact]]&lt;&gt;"","",_xlfn.XLOOKUP(TRUE,ISNUMBER(SEARCH(" "&amp;Municipality[Municipality]&amp;"n ",H_unit[[#This Row],[Info string]])),Municipality[Municipality],""))</f>
        <v>Hyvinkää</v>
      </c>
      <c r="L281" s="246"/>
      <c r="M281" s="244"/>
      <c r="N281" s="246" t="str">
        <f>_xlfn.TEXTJOIN("",TRUE,H_unit[[#This Row],[Exact]],H_unit[[#This Row],[Exact+n]],H_unit[[#This Row],[Copilot]])</f>
        <v>Hyvinkää</v>
      </c>
      <c r="O281" s="246" t="str">
        <f>_xlfn.XLOOKUP(H_unit[[#This Row],[Municipality]],Municipality[Municipality],Municipality[Model],"")</f>
        <v>Uusimaa</v>
      </c>
      <c r="P281" s="236"/>
    </row>
    <row r="282" spans="1:16">
      <c r="A282" s="238" t="s">
        <v>1661</v>
      </c>
      <c r="B282" s="238" t="s">
        <v>1664</v>
      </c>
      <c r="C282" s="240" t="str" cm="1">
        <f t="array" ref="C282">" "&amp;LOWER(_xlfn.REDUCE(H_unit[[#This Row],[Company]]&amp;" "&amp;H_unit[[#This Row],[Unit]],{",",".","(",")","/"},_xlfn.LAMBDA(_xlpm.txt,_xlpm.delim,SUBSTITUTE(_xlpm.txt,_xlpm.delim," "))))&amp;" "</f>
        <v xml:space="preserve"> kss lämpö oy  kouvola kymintehdas </v>
      </c>
      <c r="D282" s="242">
        <v>1987</v>
      </c>
      <c r="E282" s="243">
        <v>12</v>
      </c>
      <c r="F282" s="243"/>
      <c r="G282" s="247"/>
      <c r="H282" s="267" t="s">
        <v>1453</v>
      </c>
      <c r="I282" s="248" t="s">
        <v>1142</v>
      </c>
      <c r="J282" s="246" t="str" cm="1">
        <f t="array" ref="J282">_xlfn.XLOOKUP(TRUE,ISNUMBER(SEARCH(" "&amp;Municipality[Municipality]&amp;" ",H_unit[[#This Row],[Info string]])),Municipality[Municipality],"")</f>
        <v>Kouvola</v>
      </c>
      <c r="K282" s="246" t="str" cm="1">
        <f t="array" ref="K282">IF(H_unit[[#This Row],[Exact]]&lt;&gt;"","",_xlfn.XLOOKUP(TRUE,ISNUMBER(SEARCH(" "&amp;Municipality[Municipality]&amp;"n ",H_unit[[#This Row],[Info string]])),Municipality[Municipality],""))</f>
        <v/>
      </c>
      <c r="L282" s="246"/>
      <c r="M282" s="244"/>
      <c r="N282" s="246" t="str">
        <f>_xlfn.TEXTJOIN("",TRUE,H_unit[[#This Row],[Exact]],H_unit[[#This Row],[Exact+n]],H_unit[[#This Row],[Copilot]])</f>
        <v>Kouvola</v>
      </c>
      <c r="O282" s="246" t="str">
        <f>_xlfn.XLOOKUP(H_unit[[#This Row],[Municipality]],Municipality[Municipality],Municipality[Model],"")</f>
        <v>South East</v>
      </c>
      <c r="P282" s="236"/>
    </row>
    <row r="283" spans="1:16">
      <c r="A283" s="238" t="s">
        <v>2087</v>
      </c>
      <c r="B283" s="238" t="s">
        <v>2090</v>
      </c>
      <c r="C283" s="240" t="str" cm="1">
        <f t="array" ref="C283">" "&amp;LOWER(_xlfn.REDUCE(H_unit[[#This Row],[Company]]&amp;" "&amp;H_unit[[#This Row],[Unit]],{",",".","(",")","/"},_xlfn.LAMBDA(_xlpm.txt,_xlpm.delim,SUBSTITUTE(_xlpm.txt,_xlpm.delim," "))))&amp;" "</f>
        <v xml:space="preserve"> riihimäen kaukolämpö oy kaunola </v>
      </c>
      <c r="D283" s="242">
        <v>1987</v>
      </c>
      <c r="E283" s="243">
        <v>12</v>
      </c>
      <c r="F283" s="243"/>
      <c r="G283" s="247"/>
      <c r="H283" s="267" t="s">
        <v>1418</v>
      </c>
      <c r="I283" s="248" t="s">
        <v>1141</v>
      </c>
      <c r="J283" s="246" t="str" cm="1">
        <f t="array" ref="J283">_xlfn.XLOOKUP(TRUE,ISNUMBER(SEARCH(" "&amp;Municipality[Municipality]&amp;" ",H_unit[[#This Row],[Info string]])),Municipality[Municipality],"")</f>
        <v/>
      </c>
      <c r="K283" s="246" t="str" cm="1">
        <f t="array" ref="K283">IF(H_unit[[#This Row],[Exact]]&lt;&gt;"","",_xlfn.XLOOKUP(TRUE,ISNUMBER(SEARCH(" "&amp;Municipality[Municipality]&amp;"n ",H_unit[[#This Row],[Info string]])),Municipality[Municipality],""))</f>
        <v/>
      </c>
      <c r="L283" s="246" t="s">
        <v>2751</v>
      </c>
      <c r="M283" s="244" t="s">
        <v>2908</v>
      </c>
      <c r="N283" s="246" t="str">
        <f>_xlfn.TEXTJOIN("",TRUE,H_unit[[#This Row],[Exact]],H_unit[[#This Row],[Exact+n]],H_unit[[#This Row],[Copilot]])</f>
        <v>Riihimäki</v>
      </c>
      <c r="O283" s="246" t="str">
        <f>_xlfn.XLOOKUP(H_unit[[#This Row],[Municipality]],Municipality[Municipality],Municipality[Model],"")</f>
        <v>South West</v>
      </c>
      <c r="P283" s="236"/>
    </row>
    <row r="284" spans="1:16">
      <c r="A284" s="238" t="s">
        <v>1612</v>
      </c>
      <c r="B284" s="238" t="s">
        <v>1614</v>
      </c>
      <c r="C284" s="240" t="str" cm="1">
        <f t="array" ref="C284">" "&amp;LOWER(_xlfn.REDUCE(H_unit[[#This Row],[Company]]&amp;" "&amp;H_unit[[#This Row],[Unit]],{",",".","(",")","/"},_xlfn.LAMBDA(_xlpm.txt,_xlpm.delim,SUBSTITUTE(_xlpm.txt,_xlpm.delim," "))))&amp;" "</f>
        <v xml:space="preserve"> keravan energia oy  kerava alikerava </v>
      </c>
      <c r="D284" s="242">
        <v>1989</v>
      </c>
      <c r="E284" s="243">
        <v>12</v>
      </c>
      <c r="F284" s="243"/>
      <c r="G284" s="247"/>
      <c r="H284" s="267" t="s">
        <v>1453</v>
      </c>
      <c r="I284" s="248" t="s">
        <v>1142</v>
      </c>
      <c r="J284" s="246" t="str" cm="1">
        <f t="array" ref="J284">_xlfn.XLOOKUP(TRUE,ISNUMBER(SEARCH(" "&amp;Municipality[Municipality]&amp;" ",H_unit[[#This Row],[Info string]])),Municipality[Municipality],"")</f>
        <v>Kerava</v>
      </c>
      <c r="K284" s="246" t="str" cm="1">
        <f t="array" ref="K284">IF(H_unit[[#This Row],[Exact]]&lt;&gt;"","",_xlfn.XLOOKUP(TRUE,ISNUMBER(SEARCH(" "&amp;Municipality[Municipality]&amp;"n ",H_unit[[#This Row],[Info string]])),Municipality[Municipality],""))</f>
        <v/>
      </c>
      <c r="L284" s="246"/>
      <c r="M284" s="244"/>
      <c r="N284" s="246" t="str">
        <f>_xlfn.TEXTJOIN("",TRUE,H_unit[[#This Row],[Exact]],H_unit[[#This Row],[Exact+n]],H_unit[[#This Row],[Copilot]])</f>
        <v>Kerava</v>
      </c>
      <c r="O284" s="246" t="str">
        <f>_xlfn.XLOOKUP(H_unit[[#This Row],[Municipality]],Municipality[Municipality],Municipality[Model],"")</f>
        <v>Uusimaa</v>
      </c>
      <c r="P284" s="236"/>
    </row>
    <row r="285" spans="1:16">
      <c r="A285" s="238" t="s">
        <v>1624</v>
      </c>
      <c r="B285" s="238" t="s">
        <v>1625</v>
      </c>
      <c r="C285" s="240" t="str" cm="1">
        <f t="array" ref="C285">" "&amp;LOWER(_xlfn.REDUCE(H_unit[[#This Row],[Company]]&amp;" "&amp;H_unit[[#This Row],[Unit]],{",",".","(",")","/"},_xlfn.LAMBDA(_xlpm.txt,_xlpm.delim,SUBSTITUTE(_xlpm.txt,_xlpm.delim," "))))&amp;" "</f>
        <v xml:space="preserve"> keuruun lämpövoima oy sepänkuja </v>
      </c>
      <c r="D285" s="242">
        <v>1989</v>
      </c>
      <c r="E285" s="243">
        <v>12</v>
      </c>
      <c r="F285" s="243"/>
      <c r="G285" s="247"/>
      <c r="H285" s="267" t="s">
        <v>1430</v>
      </c>
      <c r="I285" s="248" t="s">
        <v>1141</v>
      </c>
      <c r="J285" s="246" t="str" cm="1">
        <f t="array" ref="J285">_xlfn.XLOOKUP(TRUE,ISNUMBER(SEARCH(" "&amp;Municipality[Municipality]&amp;" ",H_unit[[#This Row],[Info string]])),Municipality[Municipality],"")</f>
        <v/>
      </c>
      <c r="K285" s="246" t="str" cm="1">
        <f t="array" ref="K285">IF(H_unit[[#This Row],[Exact]]&lt;&gt;"","",_xlfn.XLOOKUP(TRUE,ISNUMBER(SEARCH(" "&amp;Municipality[Municipality]&amp;"n ",H_unit[[#This Row],[Info string]])),Municipality[Municipality],""))</f>
        <v>Keuruu</v>
      </c>
      <c r="L285" s="246"/>
      <c r="M285" s="244"/>
      <c r="N285" s="246" t="str">
        <f>_xlfn.TEXTJOIN("",TRUE,H_unit[[#This Row],[Exact]],H_unit[[#This Row],[Exact+n]],H_unit[[#This Row],[Copilot]])</f>
        <v>Keuruu</v>
      </c>
      <c r="O285" s="246" t="str">
        <f>_xlfn.XLOOKUP(H_unit[[#This Row],[Municipality]],Municipality[Municipality],Municipality[Model],"")</f>
        <v>Center</v>
      </c>
      <c r="P285" s="236"/>
    </row>
    <row r="286" spans="1:16">
      <c r="A286" s="238" t="s">
        <v>2177</v>
      </c>
      <c r="B286" s="238" t="s">
        <v>2178</v>
      </c>
      <c r="C286" s="240" t="str" cm="1">
        <f t="array" ref="C286">" "&amp;LOWER(_xlfn.REDUCE(H_unit[[#This Row],[Company]]&amp;" "&amp;H_unit[[#This Row],[Unit]],{",",".","(",")","/"},_xlfn.LAMBDA(_xlpm.txt,_xlpm.delim,SUBSTITUTE(_xlpm.txt,_xlpm.delim," "))))&amp;" "</f>
        <v xml:space="preserve"> tampereen energia oy  ylöjärvi elovainio </v>
      </c>
      <c r="D286" s="242">
        <v>1989</v>
      </c>
      <c r="E286" s="243">
        <v>12</v>
      </c>
      <c r="F286" s="243"/>
      <c r="G286" s="247"/>
      <c r="H286" s="267" t="s">
        <v>1453</v>
      </c>
      <c r="I286" s="248" t="s">
        <v>1142</v>
      </c>
      <c r="J286" s="246" t="str" cm="1">
        <f t="array" ref="J286">_xlfn.XLOOKUP(TRUE,ISNUMBER(SEARCH(" "&amp;Municipality[Municipality]&amp;" ",H_unit[[#This Row],[Info string]])),Municipality[Municipality],"")</f>
        <v>Ylöjärvi</v>
      </c>
      <c r="K286" s="246" t="str" cm="1">
        <f t="array" ref="K286">IF(H_unit[[#This Row],[Exact]]&lt;&gt;"","",_xlfn.XLOOKUP(TRUE,ISNUMBER(SEARCH(" "&amp;Municipality[Municipality]&amp;"n ",H_unit[[#This Row],[Info string]])),Municipality[Municipality],""))</f>
        <v/>
      </c>
      <c r="L286" s="246"/>
      <c r="M286" s="244"/>
      <c r="N286" s="246" t="str">
        <f>_xlfn.TEXTJOIN("",TRUE,H_unit[[#This Row],[Exact]],H_unit[[#This Row],[Exact+n]],H_unit[[#This Row],[Copilot]])</f>
        <v>Ylöjärvi</v>
      </c>
      <c r="O286" s="246" t="str">
        <f>_xlfn.XLOOKUP(H_unit[[#This Row],[Municipality]],Municipality[Municipality],Municipality[Model],"")</f>
        <v>Center</v>
      </c>
      <c r="P286" s="236"/>
    </row>
    <row r="287" spans="1:16">
      <c r="A287" s="238" t="s">
        <v>1876</v>
      </c>
      <c r="B287" s="238" t="s">
        <v>1878</v>
      </c>
      <c r="C287" s="240" t="str" cm="1">
        <f t="array" ref="C287">" "&amp;LOWER(_xlfn.REDUCE(H_unit[[#This Row],[Company]]&amp;" "&amp;H_unit[[#This Row],[Unit]],{",",".","(",")","/"},_xlfn.LAMBDA(_xlpm.txt,_xlpm.delim,SUBSTITUTE(_xlpm.txt,_xlpm.delim," "))))&amp;" "</f>
        <v xml:space="preserve"> loiste lämpö oy lohtaja </v>
      </c>
      <c r="D287" s="242">
        <v>1990</v>
      </c>
      <c r="E287" s="243">
        <v>12</v>
      </c>
      <c r="F287" s="243"/>
      <c r="G287" s="247"/>
      <c r="H287" s="267" t="s">
        <v>1430</v>
      </c>
      <c r="I287" s="248" t="s">
        <v>1141</v>
      </c>
      <c r="J287" s="246" t="str" cm="1">
        <f t="array" ref="J287">_xlfn.XLOOKUP(TRUE,ISNUMBER(SEARCH(" "&amp;Municipality[Municipality]&amp;" ",H_unit[[#This Row],[Info string]])),Municipality[Municipality],"")</f>
        <v>Lohtaja</v>
      </c>
      <c r="K287" s="246" t="str" cm="1">
        <f t="array" ref="K287">IF(H_unit[[#This Row],[Exact]]&lt;&gt;"","",_xlfn.XLOOKUP(TRUE,ISNUMBER(SEARCH(" "&amp;Municipality[Municipality]&amp;"n ",H_unit[[#This Row],[Info string]])),Municipality[Municipality],""))</f>
        <v/>
      </c>
      <c r="L287" s="246"/>
      <c r="M287" s="244"/>
      <c r="N287" s="246" t="str">
        <f>_xlfn.TEXTJOIN("",TRUE,H_unit[[#This Row],[Exact]],H_unit[[#This Row],[Exact+n]],H_unit[[#This Row],[Copilot]])</f>
        <v>Lohtaja</v>
      </c>
      <c r="O287" s="246" t="str">
        <f>_xlfn.XLOOKUP(H_unit[[#This Row],[Municipality]],Municipality[Municipality],Municipality[Model],"")</f>
        <v>West</v>
      </c>
      <c r="P287" s="236"/>
    </row>
    <row r="288" spans="1:16">
      <c r="A288" s="238" t="s">
        <v>1519</v>
      </c>
      <c r="B288" s="238" t="s">
        <v>1521</v>
      </c>
      <c r="C288" s="240" t="str" cm="1">
        <f t="array" ref="C288">" "&amp;LOWER(_xlfn.REDUCE(H_unit[[#This Row],[Company]]&amp;" "&amp;H_unit[[#This Row],[Unit]],{",",".","(",")","/"},_xlfn.LAMBDA(_xlpm.txt,_xlpm.delim,SUBSTITUTE(_xlpm.txt,_xlpm.delim," "))))&amp;" "</f>
        <v xml:space="preserve"> herrfors oy ab  pietarsaari siikaluoto </v>
      </c>
      <c r="D288" s="242">
        <v>1991</v>
      </c>
      <c r="E288" s="243">
        <v>12</v>
      </c>
      <c r="F288" s="243"/>
      <c r="G288" s="247"/>
      <c r="H288" s="267" t="s">
        <v>1430</v>
      </c>
      <c r="I288" s="248" t="s">
        <v>1141</v>
      </c>
      <c r="J288" s="246" t="str" cm="1">
        <f t="array" ref="J288">_xlfn.XLOOKUP(TRUE,ISNUMBER(SEARCH(" "&amp;Municipality[Municipality]&amp;" ",H_unit[[#This Row],[Info string]])),Municipality[Municipality],"")</f>
        <v>Pietarsaari</v>
      </c>
      <c r="K288" s="246" t="str" cm="1">
        <f t="array" ref="K288">IF(H_unit[[#This Row],[Exact]]&lt;&gt;"","",_xlfn.XLOOKUP(TRUE,ISNUMBER(SEARCH(" "&amp;Municipality[Municipality]&amp;"n ",H_unit[[#This Row],[Info string]])),Municipality[Municipality],""))</f>
        <v/>
      </c>
      <c r="L288" s="246"/>
      <c r="M288" s="244"/>
      <c r="N288" s="246" t="str">
        <f>_xlfn.TEXTJOIN("",TRUE,H_unit[[#This Row],[Exact]],H_unit[[#This Row],[Exact+n]],H_unit[[#This Row],[Copilot]])</f>
        <v>Pietarsaari</v>
      </c>
      <c r="O288" s="246" t="str">
        <f>_xlfn.XLOOKUP(H_unit[[#This Row],[Municipality]],Municipality[Municipality],Municipality[Model],"")</f>
        <v>West</v>
      </c>
      <c r="P288" s="236"/>
    </row>
    <row r="289" spans="1:16">
      <c r="A289" s="238" t="s">
        <v>2146</v>
      </c>
      <c r="B289" s="238" t="s">
        <v>2148</v>
      </c>
      <c r="C289" s="240" t="str" cm="1">
        <f t="array" ref="C289">" "&amp;LOWER(_xlfn.REDUCE(H_unit[[#This Row],[Company]]&amp;" "&amp;H_unit[[#This Row],[Unit]],{",",".","(",")","/"},_xlfn.LAMBDA(_xlpm.txt,_xlpm.delim,SUBSTITUTE(_xlpm.txt,_xlpm.delim," "))))&amp;" "</f>
        <v xml:space="preserve"> savon voima oyj  pieksämäki lk2  kutteritie </v>
      </c>
      <c r="D289" s="242">
        <v>1991</v>
      </c>
      <c r="E289" s="243">
        <v>12</v>
      </c>
      <c r="F289" s="243"/>
      <c r="G289" s="247"/>
      <c r="H289" s="267" t="s">
        <v>1430</v>
      </c>
      <c r="I289" s="248" t="s">
        <v>1141</v>
      </c>
      <c r="J289" s="246" t="str" cm="1">
        <f t="array" ref="J289">_xlfn.XLOOKUP(TRUE,ISNUMBER(SEARCH(" "&amp;Municipality[Municipality]&amp;" ",H_unit[[#This Row],[Info string]])),Municipality[Municipality],"")</f>
        <v>Pieksämäki</v>
      </c>
      <c r="K289" s="246" t="str" cm="1">
        <f t="array" ref="K289">IF(H_unit[[#This Row],[Exact]]&lt;&gt;"","",_xlfn.XLOOKUP(TRUE,ISNUMBER(SEARCH(" "&amp;Municipality[Municipality]&amp;"n ",H_unit[[#This Row],[Info string]])),Municipality[Municipality],""))</f>
        <v/>
      </c>
      <c r="L289" s="246"/>
      <c r="M289" s="244"/>
      <c r="N289" s="246" t="str">
        <f>_xlfn.TEXTJOIN("",TRUE,H_unit[[#This Row],[Exact]],H_unit[[#This Row],[Exact+n]],H_unit[[#This Row],[Copilot]])</f>
        <v>Pieksämäki</v>
      </c>
      <c r="O289" s="246" t="str">
        <f>_xlfn.XLOOKUP(H_unit[[#This Row],[Municipality]],Municipality[Municipality],Municipality[Model],"")</f>
        <v>East</v>
      </c>
      <c r="P289" s="236"/>
    </row>
    <row r="290" spans="1:16">
      <c r="A290" s="238" t="s">
        <v>2191</v>
      </c>
      <c r="B290" s="238" t="s">
        <v>2192</v>
      </c>
      <c r="C290" s="240" t="str" cm="1">
        <f t="array" ref="C290">" "&amp;LOWER(_xlfn.REDUCE(H_unit[[#This Row],[Company]]&amp;" "&amp;H_unit[[#This Row],[Unit]],{",",".","(",")","/"},_xlfn.LAMBDA(_xlpm.txt,_xlpm.delim,SUBSTITUTE(_xlpm.txt,_xlpm.delim," "))))&amp;" "</f>
        <v xml:space="preserve"> tornion energia oy aukiokatu </v>
      </c>
      <c r="D290" s="242">
        <v>1991</v>
      </c>
      <c r="E290" s="243">
        <v>12</v>
      </c>
      <c r="F290" s="243"/>
      <c r="G290" s="247"/>
      <c r="H290" s="267" t="s">
        <v>1430</v>
      </c>
      <c r="I290" s="248" t="s">
        <v>1141</v>
      </c>
      <c r="J290" s="246" t="str" cm="1">
        <f t="array" ref="J290">_xlfn.XLOOKUP(TRUE,ISNUMBER(SEARCH(" "&amp;Municipality[Municipality]&amp;" ",H_unit[[#This Row],[Info string]])),Municipality[Municipality],"")</f>
        <v/>
      </c>
      <c r="K290" s="246" t="str" cm="1">
        <f t="array" ref="K290">IF(H_unit[[#This Row],[Exact]]&lt;&gt;"","",_xlfn.XLOOKUP(TRUE,ISNUMBER(SEARCH(" "&amp;Municipality[Municipality]&amp;"n ",H_unit[[#This Row],[Info string]])),Municipality[Municipality],""))</f>
        <v>Tornio</v>
      </c>
      <c r="L290" s="246"/>
      <c r="M290" s="244"/>
      <c r="N290" s="246" t="str">
        <f>_xlfn.TEXTJOIN("",TRUE,H_unit[[#This Row],[Exact]],H_unit[[#This Row],[Exact+n]],H_unit[[#This Row],[Copilot]])</f>
        <v>Tornio</v>
      </c>
      <c r="O290" s="246" t="str">
        <f>_xlfn.XLOOKUP(H_unit[[#This Row],[Municipality]],Municipality[Municipality],Municipality[Model],"")</f>
        <v>North</v>
      </c>
      <c r="P290" s="236"/>
    </row>
    <row r="291" spans="1:16">
      <c r="A291" s="238" t="s">
        <v>2253</v>
      </c>
      <c r="B291" s="238" t="s">
        <v>2254</v>
      </c>
      <c r="C291" s="240" t="str" cm="1">
        <f t="array" ref="C291">" "&amp;LOWER(_xlfn.REDUCE(H_unit[[#This Row],[Company]]&amp;" "&amp;H_unit[[#This Row],[Unit]],{",",".","(",")","/"},_xlfn.LAMBDA(_xlpm.txt,_xlpm.delim,SUBSTITUTE(_xlpm.txt,_xlpm.delim," "))))&amp;" "</f>
        <v xml:space="preserve"> vsv energia oy janhua </v>
      </c>
      <c r="D291" s="242">
        <v>1991</v>
      </c>
      <c r="E291" s="243">
        <v>12</v>
      </c>
      <c r="F291" s="243"/>
      <c r="G291" s="247"/>
      <c r="H291" s="267" t="s">
        <v>1418</v>
      </c>
      <c r="I291" s="248" t="s">
        <v>1141</v>
      </c>
      <c r="J291" s="246" t="str" cm="1">
        <f t="array" ref="J291">_xlfn.XLOOKUP(TRUE,ISNUMBER(SEARCH(" "&amp;Municipality[Municipality]&amp;" ",H_unit[[#This Row],[Info string]])),Municipality[Municipality],"")</f>
        <v/>
      </c>
      <c r="K291" s="246" t="str" cm="1">
        <f t="array" ref="K291">IF(H_unit[[#This Row],[Exact]]&lt;&gt;"","",_xlfn.XLOOKUP(TRUE,ISNUMBER(SEARCH(" "&amp;Municipality[Municipality]&amp;"n ",H_unit[[#This Row],[Info string]])),Municipality[Municipality],""))</f>
        <v/>
      </c>
      <c r="L291" s="246" t="s">
        <v>955</v>
      </c>
      <c r="M291" s="244" t="s">
        <v>2899</v>
      </c>
      <c r="N291" s="246" t="str">
        <f>_xlfn.TEXTJOIN("",TRUE,H_unit[[#This Row],[Exact]],H_unit[[#This Row],[Exact+n]],H_unit[[#This Row],[Copilot]])</f>
        <v>Uusikaupunki</v>
      </c>
      <c r="O291" s="246" t="str">
        <f>_xlfn.XLOOKUP(H_unit[[#This Row],[Municipality]],Municipality[Municipality],Municipality[Model],"")</f>
        <v>South West</v>
      </c>
      <c r="P291" s="236"/>
    </row>
    <row r="292" spans="1:16">
      <c r="A292" s="238" t="s">
        <v>2070</v>
      </c>
      <c r="B292" s="238" t="s">
        <v>2071</v>
      </c>
      <c r="C292" s="240" t="str" cm="1">
        <f t="array" ref="C292">" "&amp;LOWER(_xlfn.REDUCE(H_unit[[#This Row],[Company]]&amp;" "&amp;H_unit[[#This Row],[Unit]],{",",".","(",")","/"},_xlfn.LAMBDA(_xlpm.txt,_xlpm.delim,SUBSTITUTE(_xlpm.txt,_xlpm.delim," "))))&amp;" "</f>
        <v xml:space="preserve"> raseborgs energi ab kabelgränds värmecentral </v>
      </c>
      <c r="D292" s="242">
        <v>1992</v>
      </c>
      <c r="E292" s="243">
        <v>12</v>
      </c>
      <c r="F292" s="243"/>
      <c r="G292" s="247"/>
      <c r="H292" s="267" t="s">
        <v>1418</v>
      </c>
      <c r="I292" s="248" t="s">
        <v>1141</v>
      </c>
      <c r="J292" s="246" t="str" cm="1">
        <f t="array" ref="J292">_xlfn.XLOOKUP(TRUE,ISNUMBER(SEARCH(" "&amp;Municipality[Municipality]&amp;" ",H_unit[[#This Row],[Info string]])),Municipality[Municipality],"")</f>
        <v/>
      </c>
      <c r="K292" s="246" t="str" cm="1">
        <f t="array" ref="K292">IF(H_unit[[#This Row],[Exact]]&lt;&gt;"","",_xlfn.XLOOKUP(TRUE,ISNUMBER(SEARCH(" "&amp;Municipality[Municipality]&amp;"n ",H_unit[[#This Row],[Info string]])),Municipality[Municipality],""))</f>
        <v/>
      </c>
      <c r="L292" s="246" t="s">
        <v>2502</v>
      </c>
      <c r="M292" s="244" t="s">
        <v>2928</v>
      </c>
      <c r="N292" s="246" t="str">
        <f>_xlfn.TEXTJOIN("",TRUE,H_unit[[#This Row],[Exact]],H_unit[[#This Row],[Exact+n]],H_unit[[#This Row],[Copilot]])</f>
        <v>Tammisaari</v>
      </c>
      <c r="O292" s="246" t="str">
        <f>_xlfn.XLOOKUP(H_unit[[#This Row],[Municipality]],Municipality[Municipality],Municipality[Model],"")</f>
        <v>Uusimaa</v>
      </c>
      <c r="P292" s="236"/>
    </row>
    <row r="293" spans="1:16">
      <c r="A293" s="238" t="s">
        <v>2087</v>
      </c>
      <c r="B293" s="238" t="s">
        <v>2091</v>
      </c>
      <c r="C293" s="240" t="str" cm="1">
        <f t="array" ref="C293">" "&amp;LOWER(_xlfn.REDUCE(H_unit[[#This Row],[Company]]&amp;" "&amp;H_unit[[#This Row],[Unit]],{",",".","(",")","/"},_xlfn.LAMBDA(_xlpm.txt,_xlpm.delim,SUBSTITUTE(_xlpm.txt,_xlpm.delim," "))))&amp;" "</f>
        <v xml:space="preserve"> riihimäen kaukolämpö oy peltokylä </v>
      </c>
      <c r="D293" s="242">
        <v>1994</v>
      </c>
      <c r="E293" s="243">
        <v>12</v>
      </c>
      <c r="F293" s="243"/>
      <c r="G293" s="247"/>
      <c r="H293" s="267" t="s">
        <v>1418</v>
      </c>
      <c r="I293" s="248" t="s">
        <v>1141</v>
      </c>
      <c r="J293" s="246" t="str" cm="1">
        <f t="array" ref="J293">_xlfn.XLOOKUP(TRUE,ISNUMBER(SEARCH(" "&amp;Municipality[Municipality]&amp;" ",H_unit[[#This Row],[Info string]])),Municipality[Municipality],"")</f>
        <v/>
      </c>
      <c r="K293" s="246" t="str" cm="1">
        <f t="array" ref="K293">IF(H_unit[[#This Row],[Exact]]&lt;&gt;"","",_xlfn.XLOOKUP(TRUE,ISNUMBER(SEARCH(" "&amp;Municipality[Municipality]&amp;"n ",H_unit[[#This Row],[Info string]])),Municipality[Municipality],""))</f>
        <v/>
      </c>
      <c r="L293" s="246" t="s">
        <v>2751</v>
      </c>
      <c r="M293" s="244" t="s">
        <v>2908</v>
      </c>
      <c r="N293" s="246" t="str">
        <f>_xlfn.TEXTJOIN("",TRUE,H_unit[[#This Row],[Exact]],H_unit[[#This Row],[Exact+n]],H_unit[[#This Row],[Copilot]])</f>
        <v>Riihimäki</v>
      </c>
      <c r="O293" s="246" t="str">
        <f>_xlfn.XLOOKUP(H_unit[[#This Row],[Municipality]],Municipality[Municipality],Municipality[Model],"")</f>
        <v>South West</v>
      </c>
      <c r="P293" s="236"/>
    </row>
    <row r="294" spans="1:16">
      <c r="A294" s="238" t="s">
        <v>2070</v>
      </c>
      <c r="B294" s="238" t="s">
        <v>2071</v>
      </c>
      <c r="C294" s="240" t="str" cm="1">
        <f t="array" ref="C294">" "&amp;LOWER(_xlfn.REDUCE(H_unit[[#This Row],[Company]]&amp;" "&amp;H_unit[[#This Row],[Unit]],{",",".","(",")","/"},_xlfn.LAMBDA(_xlpm.txt,_xlpm.delim,SUBSTITUTE(_xlpm.txt,_xlpm.delim," "))))&amp;" "</f>
        <v xml:space="preserve"> raseborgs energi ab kabelgränds värmecentral </v>
      </c>
      <c r="D294" s="242">
        <v>1996</v>
      </c>
      <c r="E294" s="243">
        <v>12</v>
      </c>
      <c r="F294" s="243"/>
      <c r="G294" s="247"/>
      <c r="H294" s="267" t="s">
        <v>1418</v>
      </c>
      <c r="I294" s="248" t="s">
        <v>1141</v>
      </c>
      <c r="J294" s="246" t="str" cm="1">
        <f t="array" ref="J294">_xlfn.XLOOKUP(TRUE,ISNUMBER(SEARCH(" "&amp;Municipality[Municipality]&amp;" ",H_unit[[#This Row],[Info string]])),Municipality[Municipality],"")</f>
        <v/>
      </c>
      <c r="K294" s="246" t="str" cm="1">
        <f t="array" ref="K294">IF(H_unit[[#This Row],[Exact]]&lt;&gt;"","",_xlfn.XLOOKUP(TRUE,ISNUMBER(SEARCH(" "&amp;Municipality[Municipality]&amp;"n ",H_unit[[#This Row],[Info string]])),Municipality[Municipality],""))</f>
        <v/>
      </c>
      <c r="L294" s="246" t="s">
        <v>2502</v>
      </c>
      <c r="M294" s="244" t="s">
        <v>2928</v>
      </c>
      <c r="N294" s="246" t="str">
        <f>_xlfn.TEXTJOIN("",TRUE,H_unit[[#This Row],[Exact]],H_unit[[#This Row],[Exact+n]],H_unit[[#This Row],[Copilot]])</f>
        <v>Tammisaari</v>
      </c>
      <c r="O294" s="246" t="str">
        <f>_xlfn.XLOOKUP(H_unit[[#This Row],[Municipality]],Municipality[Municipality],Municipality[Model],"")</f>
        <v>Uusimaa</v>
      </c>
      <c r="P294" s="236"/>
    </row>
    <row r="295" spans="1:16">
      <c r="A295" s="238" t="s">
        <v>1661</v>
      </c>
      <c r="B295" s="238" t="s">
        <v>1673</v>
      </c>
      <c r="C295" s="240" t="str" cm="1">
        <f t="array" ref="C295">" "&amp;LOWER(_xlfn.REDUCE(H_unit[[#This Row],[Company]]&amp;" "&amp;H_unit[[#This Row],[Unit]],{",",".","(",")","/"},_xlfn.LAMBDA(_xlpm.txt,_xlpm.delim,SUBSTITUTE(_xlpm.txt,_xlpm.delim," "))))&amp;" "</f>
        <v xml:space="preserve"> kss lämpö oy  kouvola ratatie </v>
      </c>
      <c r="D295" s="242">
        <v>1997</v>
      </c>
      <c r="E295" s="243">
        <v>12</v>
      </c>
      <c r="F295" s="243"/>
      <c r="G295" s="247"/>
      <c r="H295" s="267" t="s">
        <v>1430</v>
      </c>
      <c r="I295" s="248" t="s">
        <v>1141</v>
      </c>
      <c r="J295" s="246" t="str" cm="1">
        <f t="array" ref="J295">_xlfn.XLOOKUP(TRUE,ISNUMBER(SEARCH(" "&amp;Municipality[Municipality]&amp;" ",H_unit[[#This Row],[Info string]])),Municipality[Municipality],"")</f>
        <v>Kouvola</v>
      </c>
      <c r="K295" s="246" t="str" cm="1">
        <f t="array" ref="K295">IF(H_unit[[#This Row],[Exact]]&lt;&gt;"","",_xlfn.XLOOKUP(TRUE,ISNUMBER(SEARCH(" "&amp;Municipality[Municipality]&amp;"n ",H_unit[[#This Row],[Info string]])),Municipality[Municipality],""))</f>
        <v/>
      </c>
      <c r="L295" s="246"/>
      <c r="M295" s="244"/>
      <c r="N295" s="246" t="str">
        <f>_xlfn.TEXTJOIN("",TRUE,H_unit[[#This Row],[Exact]],H_unit[[#This Row],[Exact+n]],H_unit[[#This Row],[Copilot]])</f>
        <v>Kouvola</v>
      </c>
      <c r="O295" s="246" t="str">
        <f>_xlfn.XLOOKUP(H_unit[[#This Row],[Municipality]],Municipality[Municipality],Municipality[Model],"")</f>
        <v>South East</v>
      </c>
      <c r="P295" s="236"/>
    </row>
    <row r="296" spans="1:16">
      <c r="A296" s="238" t="s">
        <v>2061</v>
      </c>
      <c r="B296" s="238" t="s">
        <v>2062</v>
      </c>
      <c r="C296" s="240" t="str" cm="1">
        <f t="array" ref="C296">" "&amp;LOWER(_xlfn.REDUCE(H_unit[[#This Row],[Company]]&amp;" "&amp;H_unit[[#This Row],[Unit]],{",",".","(",")","/"},_xlfn.LAMBDA(_xlpm.txt,_xlpm.delim,SUBSTITUTE(_xlpm.txt,_xlpm.delim," "))))&amp;" "</f>
        <v xml:space="preserve"> raahen energia oy lk-3 </v>
      </c>
      <c r="D296" s="242">
        <v>1997</v>
      </c>
      <c r="E296" s="243">
        <v>12</v>
      </c>
      <c r="F296" s="243"/>
      <c r="G296" s="247"/>
      <c r="H296" s="267" t="s">
        <v>1430</v>
      </c>
      <c r="I296" s="248" t="s">
        <v>1141</v>
      </c>
      <c r="J296" s="246" t="str" cm="1">
        <f t="array" ref="J296">_xlfn.XLOOKUP(TRUE,ISNUMBER(SEARCH(" "&amp;Municipality[Municipality]&amp;" ",H_unit[[#This Row],[Info string]])),Municipality[Municipality],"")</f>
        <v/>
      </c>
      <c r="K296" s="246" t="str" cm="1">
        <f t="array" ref="K296">IF(H_unit[[#This Row],[Exact]]&lt;&gt;"","",_xlfn.XLOOKUP(TRUE,ISNUMBER(SEARCH(" "&amp;Municipality[Municipality]&amp;"n ",H_unit[[#This Row],[Info string]])),Municipality[Municipality],""))</f>
        <v>Raahe</v>
      </c>
      <c r="L296" s="246"/>
      <c r="M296" s="244"/>
      <c r="N296" s="246" t="str">
        <f>_xlfn.TEXTJOIN("",TRUE,H_unit[[#This Row],[Exact]],H_unit[[#This Row],[Exact+n]],H_unit[[#This Row],[Copilot]])</f>
        <v>Raahe</v>
      </c>
      <c r="O296" s="246" t="str">
        <f>_xlfn.XLOOKUP(H_unit[[#This Row],[Municipality]],Municipality[Municipality],Municipality[Model],"")</f>
        <v>North</v>
      </c>
      <c r="P296" s="236"/>
    </row>
    <row r="297" spans="1:16">
      <c r="A297" s="238" t="s">
        <v>1464</v>
      </c>
      <c r="B297" s="238" t="s">
        <v>1465</v>
      </c>
      <c r="C297" s="240" t="str" cm="1">
        <f t="array" ref="C297">" "&amp;LOWER(_xlfn.REDUCE(H_unit[[#This Row],[Company]]&amp;" "&amp;H_unit[[#This Row],[Unit]],{",",".","(",")","/"},_xlfn.LAMBDA(_xlpm.txt,_xlpm.delim,SUBSTITUTE(_xlpm.txt,_xlpm.delim," "))))&amp;" "</f>
        <v xml:space="preserve"> adven oy  sastamala  pehula  pehula </v>
      </c>
      <c r="D297" s="242">
        <v>1999</v>
      </c>
      <c r="E297" s="243">
        <v>12</v>
      </c>
      <c r="F297" s="243"/>
      <c r="G297" s="247"/>
      <c r="H297" s="267" t="s">
        <v>1442</v>
      </c>
      <c r="I297" s="248" t="s">
        <v>1443</v>
      </c>
      <c r="J297" s="246" t="str" cm="1">
        <f t="array" ref="J297">_xlfn.XLOOKUP(TRUE,ISNUMBER(SEARCH(" "&amp;Municipality[Municipality]&amp;" ",H_unit[[#This Row],[Info string]])),Municipality[Municipality],"")</f>
        <v/>
      </c>
      <c r="K297" s="246" t="str" cm="1">
        <f t="array" ref="K297">IF(H_unit[[#This Row],[Exact]]&lt;&gt;"","",_xlfn.XLOOKUP(TRUE,ISNUMBER(SEARCH(" "&amp;Municipality[Municipality]&amp;"n ",H_unit[[#This Row],[Info string]])),Municipality[Municipality],""))</f>
        <v/>
      </c>
      <c r="L297" s="246" t="s">
        <v>386</v>
      </c>
      <c r="M297" s="244" t="s">
        <v>2930</v>
      </c>
      <c r="N297" s="246" t="str">
        <f>_xlfn.TEXTJOIN("",TRUE,H_unit[[#This Row],[Exact]],H_unit[[#This Row],[Exact+n]],H_unit[[#This Row],[Copilot]])</f>
        <v>Äetsä</v>
      </c>
      <c r="O297" s="246" t="str">
        <f>_xlfn.XLOOKUP(H_unit[[#This Row],[Municipality]],Municipality[Municipality],Municipality[Model],"")</f>
        <v>Center</v>
      </c>
      <c r="P297" s="236"/>
    </row>
    <row r="298" spans="1:16">
      <c r="A298" s="238" t="s">
        <v>2077</v>
      </c>
      <c r="B298" s="238" t="s">
        <v>2082</v>
      </c>
      <c r="C298" s="240" t="str" cm="1">
        <f t="array" ref="C298">" "&amp;LOWER(_xlfn.REDUCE(H_unit[[#This Row],[Company]]&amp;" "&amp;H_unit[[#This Row],[Unit]],{",",".","(",")","/"},_xlfn.LAMBDA(_xlpm.txt,_xlpm.delim,SUBSTITUTE(_xlpm.txt,_xlpm.delim," "))))&amp;" "</f>
        <v xml:space="preserve"> rauman energia oy merirauma </v>
      </c>
      <c r="D298" s="242">
        <v>1999</v>
      </c>
      <c r="E298" s="243">
        <v>12</v>
      </c>
      <c r="F298" s="243"/>
      <c r="G298" s="247"/>
      <c r="H298" s="267" t="s">
        <v>1430</v>
      </c>
      <c r="I298" s="248" t="s">
        <v>1141</v>
      </c>
      <c r="J298" s="246" t="str" cm="1">
        <f t="array" ref="J298">_xlfn.XLOOKUP(TRUE,ISNUMBER(SEARCH(" "&amp;Municipality[Municipality]&amp;" ",H_unit[[#This Row],[Info string]])),Municipality[Municipality],"")</f>
        <v>Rauman</v>
      </c>
      <c r="K298" s="246" t="str" cm="1">
        <f t="array" ref="K298">IF(H_unit[[#This Row],[Exact]]&lt;&gt;"","",_xlfn.XLOOKUP(TRUE,ISNUMBER(SEARCH(" "&amp;Municipality[Municipality]&amp;"n ",H_unit[[#This Row],[Info string]])),Municipality[Municipality],""))</f>
        <v/>
      </c>
      <c r="L298" s="246"/>
      <c r="M298" s="244"/>
      <c r="N298" s="246" t="str">
        <f>_xlfn.TEXTJOIN("",TRUE,H_unit[[#This Row],[Exact]],H_unit[[#This Row],[Exact+n]],H_unit[[#This Row],[Copilot]])</f>
        <v>Rauman</v>
      </c>
      <c r="O298" s="246" t="str">
        <f>_xlfn.XLOOKUP(H_unit[[#This Row],[Municipality]],Municipality[Municipality],Municipality[Model],"")</f>
        <v>West</v>
      </c>
      <c r="P298" s="236"/>
    </row>
    <row r="299" spans="1:16">
      <c r="A299" s="238" t="s">
        <v>1519</v>
      </c>
      <c r="B299" s="238" t="s">
        <v>1521</v>
      </c>
      <c r="C299" s="240" t="str" cm="1">
        <f t="array" ref="C299">" "&amp;LOWER(_xlfn.REDUCE(H_unit[[#This Row],[Company]]&amp;" "&amp;H_unit[[#This Row],[Unit]],{",",".","(",")","/"},_xlfn.LAMBDA(_xlpm.txt,_xlpm.delim,SUBSTITUTE(_xlpm.txt,_xlpm.delim," "))))&amp;" "</f>
        <v xml:space="preserve"> herrfors oy ab  pietarsaari siikaluoto </v>
      </c>
      <c r="D299" s="242">
        <v>2001</v>
      </c>
      <c r="E299" s="243">
        <v>12</v>
      </c>
      <c r="F299" s="243"/>
      <c r="G299" s="247"/>
      <c r="H299" s="267" t="s">
        <v>1430</v>
      </c>
      <c r="I299" s="248" t="s">
        <v>1141</v>
      </c>
      <c r="J299" s="246" t="str" cm="1">
        <f t="array" ref="J299">_xlfn.XLOOKUP(TRUE,ISNUMBER(SEARCH(" "&amp;Municipality[Municipality]&amp;" ",H_unit[[#This Row],[Info string]])),Municipality[Municipality],"")</f>
        <v>Pietarsaari</v>
      </c>
      <c r="K299" s="246" t="str" cm="1">
        <f t="array" ref="K299">IF(H_unit[[#This Row],[Exact]]&lt;&gt;"","",_xlfn.XLOOKUP(TRUE,ISNUMBER(SEARCH(" "&amp;Municipality[Municipality]&amp;"n ",H_unit[[#This Row],[Info string]])),Municipality[Municipality],""))</f>
        <v/>
      </c>
      <c r="L299" s="246"/>
      <c r="M299" s="244"/>
      <c r="N299" s="246" t="str">
        <f>_xlfn.TEXTJOIN("",TRUE,H_unit[[#This Row],[Exact]],H_unit[[#This Row],[Exact+n]],H_unit[[#This Row],[Copilot]])</f>
        <v>Pietarsaari</v>
      </c>
      <c r="O299" s="246" t="str">
        <f>_xlfn.XLOOKUP(H_unit[[#This Row],[Municipality]],Municipality[Municipality],Municipality[Model],"")</f>
        <v>West</v>
      </c>
      <c r="P299" s="236"/>
    </row>
    <row r="300" spans="1:16">
      <c r="A300" s="238" t="s">
        <v>1612</v>
      </c>
      <c r="B300" s="238" t="s">
        <v>1616</v>
      </c>
      <c r="C300" s="240" t="str" cm="1">
        <f t="array" ref="C300">" "&amp;LOWER(_xlfn.REDUCE(H_unit[[#This Row],[Company]]&amp;" "&amp;H_unit[[#This Row],[Unit]],{",",".","(",")","/"},_xlfn.LAMBDA(_xlpm.txt,_xlpm.delim,SUBSTITUTE(_xlpm.txt,_xlpm.delim," "))))&amp;" "</f>
        <v xml:space="preserve"> keravan energia oy  kerava pihkaniitty </v>
      </c>
      <c r="D300" s="242">
        <v>2004</v>
      </c>
      <c r="E300" s="243">
        <v>12</v>
      </c>
      <c r="F300" s="243"/>
      <c r="G300" s="247"/>
      <c r="H300" s="267" t="s">
        <v>1430</v>
      </c>
      <c r="I300" s="248" t="s">
        <v>1141</v>
      </c>
      <c r="J300" s="246" t="str" cm="1">
        <f t="array" ref="J300">_xlfn.XLOOKUP(TRUE,ISNUMBER(SEARCH(" "&amp;Municipality[Municipality]&amp;" ",H_unit[[#This Row],[Info string]])),Municipality[Municipality],"")</f>
        <v>Kerava</v>
      </c>
      <c r="K300" s="246" t="str" cm="1">
        <f t="array" ref="K300">IF(H_unit[[#This Row],[Exact]]&lt;&gt;"","",_xlfn.XLOOKUP(TRUE,ISNUMBER(SEARCH(" "&amp;Municipality[Municipality]&amp;"n ",H_unit[[#This Row],[Info string]])),Municipality[Municipality],""))</f>
        <v/>
      </c>
      <c r="L300" s="246"/>
      <c r="M300" s="244"/>
      <c r="N300" s="246" t="str">
        <f>_xlfn.TEXTJOIN("",TRUE,H_unit[[#This Row],[Exact]],H_unit[[#This Row],[Exact+n]],H_unit[[#This Row],[Copilot]])</f>
        <v>Kerava</v>
      </c>
      <c r="O300" s="246" t="str">
        <f>_xlfn.XLOOKUP(H_unit[[#This Row],[Municipality]],Municipality[Municipality],Municipality[Model],"")</f>
        <v>Uusimaa</v>
      </c>
      <c r="P300" s="236"/>
    </row>
    <row r="301" spans="1:16">
      <c r="A301" s="238" t="s">
        <v>1511</v>
      </c>
      <c r="B301" s="238" t="s">
        <v>1513</v>
      </c>
      <c r="C301" s="240" t="str" cm="1">
        <f t="array" ref="C301">" "&amp;LOWER(_xlfn.REDUCE(H_unit[[#This Row],[Company]]&amp;" "&amp;H_unit[[#This Row],[Unit]],{",",".","(",")","/"},_xlfn.LAMBDA(_xlpm.txt,_xlpm.delim,SUBSTITUTE(_xlpm.txt,_xlpm.delim," "))))&amp;" "</f>
        <v xml:space="preserve"> haminan kaukolämpö oy varuskunta keskusta </v>
      </c>
      <c r="D301" s="242">
        <v>2007</v>
      </c>
      <c r="E301" s="243">
        <v>12</v>
      </c>
      <c r="F301" s="243"/>
      <c r="G301" s="247"/>
      <c r="H301" s="267" t="s">
        <v>1453</v>
      </c>
      <c r="I301" s="248" t="s">
        <v>1142</v>
      </c>
      <c r="J301" s="246" t="str" cm="1">
        <f t="array" ref="J301">_xlfn.XLOOKUP(TRUE,ISNUMBER(SEARCH(" "&amp;Municipality[Municipality]&amp;" ",H_unit[[#This Row],[Info string]])),Municipality[Municipality],"")</f>
        <v/>
      </c>
      <c r="K301" s="246" t="str" cm="1">
        <f t="array" ref="K301">IF(H_unit[[#This Row],[Exact]]&lt;&gt;"","",_xlfn.XLOOKUP(TRUE,ISNUMBER(SEARCH(" "&amp;Municipality[Municipality]&amp;"n ",H_unit[[#This Row],[Info string]])),Municipality[Municipality],""))</f>
        <v>Hamina</v>
      </c>
      <c r="L301" s="246"/>
      <c r="M301" s="244"/>
      <c r="N301" s="246" t="str">
        <f>_xlfn.TEXTJOIN("",TRUE,H_unit[[#This Row],[Exact]],H_unit[[#This Row],[Exact+n]],H_unit[[#This Row],[Copilot]])</f>
        <v>Hamina</v>
      </c>
      <c r="O301" s="246" t="str">
        <f>_xlfn.XLOOKUP(H_unit[[#This Row],[Municipality]],Municipality[Municipality],Municipality[Model],"")</f>
        <v>South East</v>
      </c>
      <c r="P301" s="236"/>
    </row>
    <row r="302" spans="1:16">
      <c r="A302" s="238" t="s">
        <v>1978</v>
      </c>
      <c r="B302" s="238" t="s">
        <v>1987</v>
      </c>
      <c r="C302" s="240" t="str" cm="1">
        <f t="array" ref="C302">" "&amp;LOWER(_xlfn.REDUCE(H_unit[[#This Row],[Company]]&amp;" "&amp;H_unit[[#This Row],[Unit]],{",",".","(",")","/"},_xlfn.LAMBDA(_xlpm.txt,_xlpm.delim,SUBSTITUTE(_xlpm.txt,_xlpm.delim," "))))&amp;" "</f>
        <v xml:space="preserve"> nurmijärven sähkö oy rajamäki kpö-kattila </v>
      </c>
      <c r="D302" s="242">
        <v>2007</v>
      </c>
      <c r="E302" s="243">
        <v>12</v>
      </c>
      <c r="F302" s="243"/>
      <c r="G302" s="247"/>
      <c r="H302" s="267" t="s">
        <v>1430</v>
      </c>
      <c r="I302" s="248" t="s">
        <v>1141</v>
      </c>
      <c r="J302" s="246" t="str" cm="1">
        <f t="array" ref="J302">_xlfn.XLOOKUP(TRUE,ISNUMBER(SEARCH(" "&amp;Municipality[Municipality]&amp;" ",H_unit[[#This Row],[Info string]])),Municipality[Municipality],"")</f>
        <v/>
      </c>
      <c r="K302" s="246" t="str" cm="1">
        <f t="array" ref="K302">IF(H_unit[[#This Row],[Exact]]&lt;&gt;"","",_xlfn.XLOOKUP(TRUE,ISNUMBER(SEARCH(" "&amp;Municipality[Municipality]&amp;"n ",H_unit[[#This Row],[Info string]])),Municipality[Municipality],""))</f>
        <v/>
      </c>
      <c r="L302" s="246" t="s">
        <v>2695</v>
      </c>
      <c r="M302" s="244" t="s">
        <v>2905</v>
      </c>
      <c r="N302" s="246" t="str">
        <f>_xlfn.TEXTJOIN("",TRUE,H_unit[[#This Row],[Exact]],H_unit[[#This Row],[Exact+n]],H_unit[[#This Row],[Copilot]])</f>
        <v>Nurmijärvi</v>
      </c>
      <c r="O302" s="246" t="str">
        <f>_xlfn.XLOOKUP(H_unit[[#This Row],[Municipality]],Municipality[Municipality],Municipality[Model],"")</f>
        <v>Uusimaa</v>
      </c>
      <c r="P302" s="236"/>
    </row>
    <row r="303" spans="1:16">
      <c r="A303" s="238" t="s">
        <v>2087</v>
      </c>
      <c r="B303" s="238" t="s">
        <v>2088</v>
      </c>
      <c r="C303" s="240" t="str" cm="1">
        <f t="array" ref="C303">" "&amp;LOWER(_xlfn.REDUCE(H_unit[[#This Row],[Company]]&amp;" "&amp;H_unit[[#This Row],[Unit]],{",",".","(",")","/"},_xlfn.LAMBDA(_xlpm.txt,_xlpm.delim,SUBSTITUTE(_xlpm.txt,_xlpm.delim," "))))&amp;" "</f>
        <v xml:space="preserve"> riihimäen kaukolämpö oy jokikylä </v>
      </c>
      <c r="D303" s="242">
        <v>2007</v>
      </c>
      <c r="E303" s="243">
        <v>12</v>
      </c>
      <c r="F303" s="243"/>
      <c r="G303" s="247"/>
      <c r="H303" s="267" t="s">
        <v>1453</v>
      </c>
      <c r="I303" s="248" t="s">
        <v>1142</v>
      </c>
      <c r="J303" s="246" t="str" cm="1">
        <f t="array" ref="J303">_xlfn.XLOOKUP(TRUE,ISNUMBER(SEARCH(" "&amp;Municipality[Municipality]&amp;" ",H_unit[[#This Row],[Info string]])),Municipality[Municipality],"")</f>
        <v/>
      </c>
      <c r="K303" s="246" t="str" cm="1">
        <f t="array" ref="K303">IF(H_unit[[#This Row],[Exact]]&lt;&gt;"","",_xlfn.XLOOKUP(TRUE,ISNUMBER(SEARCH(" "&amp;Municipality[Municipality]&amp;"n ",H_unit[[#This Row],[Info string]])),Municipality[Municipality],""))</f>
        <v/>
      </c>
      <c r="L303" s="246" t="s">
        <v>2751</v>
      </c>
      <c r="M303" s="244" t="s">
        <v>2908</v>
      </c>
      <c r="N303" s="246" t="str">
        <f>_xlfn.TEXTJOIN("",TRUE,H_unit[[#This Row],[Exact]],H_unit[[#This Row],[Exact+n]],H_unit[[#This Row],[Copilot]])</f>
        <v>Riihimäki</v>
      </c>
      <c r="O303" s="246" t="str">
        <f>_xlfn.XLOOKUP(H_unit[[#This Row],[Municipality]],Municipality[Municipality],Municipality[Model],"")</f>
        <v>South West</v>
      </c>
      <c r="P303" s="236"/>
    </row>
    <row r="304" spans="1:16">
      <c r="A304" s="238" t="s">
        <v>1974</v>
      </c>
      <c r="B304" s="238" t="s">
        <v>1976</v>
      </c>
      <c r="C304" s="240" t="str" cm="1">
        <f t="array" ref="C304">" "&amp;LOWER(_xlfn.REDUCE(H_unit[[#This Row],[Company]]&amp;" "&amp;H_unit[[#This Row],[Unit]],{",",".","(",")","/"},_xlfn.LAMBDA(_xlpm.txt,_xlpm.delim,SUBSTITUTE(_xlpm.txt,_xlpm.delim," "))))&amp;" "</f>
        <v xml:space="preserve"> nurmeksen lämpö oy vinkerlahti </v>
      </c>
      <c r="D304" s="242">
        <v>2008</v>
      </c>
      <c r="E304" s="243">
        <v>12</v>
      </c>
      <c r="F304" s="243"/>
      <c r="G304" s="247"/>
      <c r="H304" s="267" t="s">
        <v>1423</v>
      </c>
      <c r="I304" s="248" t="s">
        <v>1143</v>
      </c>
      <c r="J304" s="246" t="str" cm="1">
        <f t="array" ref="J304">_xlfn.XLOOKUP(TRUE,ISNUMBER(SEARCH(" "&amp;Municipality[Municipality]&amp;" ",H_unit[[#This Row],[Info string]])),Municipality[Municipality],"")</f>
        <v/>
      </c>
      <c r="K304" s="246" t="str" cm="1">
        <f t="array" ref="K304">IF(H_unit[[#This Row],[Exact]]&lt;&gt;"","",_xlfn.XLOOKUP(TRUE,ISNUMBER(SEARCH(" "&amp;Municipality[Municipality]&amp;"n ",H_unit[[#This Row],[Info string]])),Municipality[Municipality],""))</f>
        <v/>
      </c>
      <c r="L304" s="246" t="s">
        <v>2694</v>
      </c>
      <c r="M304" s="244" t="s">
        <v>2902</v>
      </c>
      <c r="N304" s="246" t="str">
        <f>_xlfn.TEXTJOIN("",TRUE,H_unit[[#This Row],[Exact]],H_unit[[#This Row],[Exact+n]],H_unit[[#This Row],[Copilot]])</f>
        <v>Nurmes</v>
      </c>
      <c r="O304" s="246" t="str">
        <f>_xlfn.XLOOKUP(H_unit[[#This Row],[Municipality]],Municipality[Municipality],Municipality[Model],"")</f>
        <v>East</v>
      </c>
      <c r="P304" s="236"/>
    </row>
    <row r="305" spans="1:16">
      <c r="A305" s="238" t="s">
        <v>2172</v>
      </c>
      <c r="B305" s="238" t="s">
        <v>2174</v>
      </c>
      <c r="C305" s="240" t="str" cm="1">
        <f t="array" ref="C305">" "&amp;LOWER(_xlfn.REDUCE(H_unit[[#This Row],[Company]]&amp;" "&amp;H_unit[[#This Row],[Unit]],{",",".","(",")","/"},_xlfn.LAMBDA(_xlpm.txt,_xlpm.delim,SUBSTITUTE(_xlpm.txt,_xlpm.delim," "))))&amp;" "</f>
        <v xml:space="preserve"> suomussalmen energia oy siikaranta pok </v>
      </c>
      <c r="D305" s="242">
        <v>2011</v>
      </c>
      <c r="E305" s="243">
        <v>12</v>
      </c>
      <c r="F305" s="243"/>
      <c r="G305" s="247"/>
      <c r="H305" s="267" t="s">
        <v>1430</v>
      </c>
      <c r="I305" s="248" t="s">
        <v>1141</v>
      </c>
      <c r="J305" s="246" t="str" cm="1">
        <f t="array" ref="J305">_xlfn.XLOOKUP(TRUE,ISNUMBER(SEARCH(" "&amp;Municipality[Municipality]&amp;" ",H_unit[[#This Row],[Info string]])),Municipality[Municipality],"")</f>
        <v/>
      </c>
      <c r="K305" s="246" t="str" cm="1">
        <f t="array" ref="K305">IF(H_unit[[#This Row],[Exact]]&lt;&gt;"","",_xlfn.XLOOKUP(TRUE,ISNUMBER(SEARCH(" "&amp;Municipality[Municipality]&amp;"n ",H_unit[[#This Row],[Info string]])),Municipality[Municipality],""))</f>
        <v/>
      </c>
      <c r="L305" s="246" t="s">
        <v>2789</v>
      </c>
      <c r="M305" s="244" t="s">
        <v>2927</v>
      </c>
      <c r="N305" s="246" t="str">
        <f>_xlfn.TEXTJOIN("",TRUE,H_unit[[#This Row],[Exact]],H_unit[[#This Row],[Exact+n]],H_unit[[#This Row],[Copilot]])</f>
        <v>Suomussalmi</v>
      </c>
      <c r="O305" s="246" t="str">
        <f>_xlfn.XLOOKUP(H_unit[[#This Row],[Municipality]],Municipality[Municipality],Municipality[Model],"")</f>
        <v>East</v>
      </c>
      <c r="P305" s="236"/>
    </row>
    <row r="306" spans="1:16">
      <c r="A306" s="238" t="s">
        <v>2220</v>
      </c>
      <c r="B306" s="238" t="s">
        <v>2222</v>
      </c>
      <c r="C306" s="240" t="str" cm="1">
        <f t="array" ref="C306">" "&amp;LOWER(_xlfn.REDUCE(H_unit[[#This Row],[Company]]&amp;" "&amp;H_unit[[#This Row],[Unit]],{",",".","(",")","/"},_xlfn.LAMBDA(_xlpm.txt,_xlpm.delim,SUBSTITUTE(_xlpm.txt,_xlpm.delim," "))))&amp;" "</f>
        <v xml:space="preserve"> varissuon lämpö oy varissuo kpa </v>
      </c>
      <c r="D306" s="242">
        <v>2011</v>
      </c>
      <c r="E306" s="243">
        <v>12</v>
      </c>
      <c r="F306" s="243"/>
      <c r="G306" s="247"/>
      <c r="H306" s="267" t="s">
        <v>1423</v>
      </c>
      <c r="I306" s="248" t="s">
        <v>1143</v>
      </c>
      <c r="J306" s="246" t="str" cm="1">
        <f t="array" ref="J306">_xlfn.XLOOKUP(TRUE,ISNUMBER(SEARCH(" "&amp;Municipality[Municipality]&amp;" ",H_unit[[#This Row],[Info string]])),Municipality[Municipality],"")</f>
        <v/>
      </c>
      <c r="K306" s="246" t="str" cm="1">
        <f t="array" ref="K306">IF(H_unit[[#This Row],[Exact]]&lt;&gt;"","",_xlfn.XLOOKUP(TRUE,ISNUMBER(SEARCH(" "&amp;Municipality[Municipality]&amp;"n ",H_unit[[#This Row],[Info string]])),Municipality[Municipality],""))</f>
        <v/>
      </c>
      <c r="L306" s="246" t="s">
        <v>2855</v>
      </c>
      <c r="M306" s="244" t="s">
        <v>2901</v>
      </c>
      <c r="N306" s="246" t="str">
        <f>_xlfn.TEXTJOIN("",TRUE,H_unit[[#This Row],[Exact]],H_unit[[#This Row],[Exact+n]],H_unit[[#This Row],[Copilot]])</f>
        <v>Turku</v>
      </c>
      <c r="O306" s="246" t="str">
        <f>_xlfn.XLOOKUP(H_unit[[#This Row],[Municipality]],Municipality[Municipality],Municipality[Model],"")</f>
        <v>South West</v>
      </c>
      <c r="P306" s="236"/>
    </row>
    <row r="307" spans="1:16">
      <c r="A307" s="238" t="s">
        <v>1978</v>
      </c>
      <c r="B307" s="238" t="s">
        <v>1982</v>
      </c>
      <c r="C307" s="240" t="str" cm="1">
        <f t="array" ref="C307">" "&amp;LOWER(_xlfn.REDUCE(H_unit[[#This Row],[Company]]&amp;" "&amp;H_unit[[#This Row],[Unit]],{",",".","(",")","/"},_xlfn.LAMBDA(_xlpm.txt,_xlpm.delim,SUBSTITUTE(_xlpm.txt,_xlpm.delim," "))))&amp;" "</f>
        <v xml:space="preserve"> nurmijärven sähkö oy klaukkala kpa-kattila </v>
      </c>
      <c r="D307" s="242">
        <v>2014</v>
      </c>
      <c r="E307" s="243">
        <v>12</v>
      </c>
      <c r="F307" s="243"/>
      <c r="G307" s="247"/>
      <c r="H307" s="267" t="s">
        <v>1423</v>
      </c>
      <c r="I307" s="248" t="s">
        <v>1143</v>
      </c>
      <c r="J307" s="246" t="str" cm="1">
        <f t="array" ref="J307">_xlfn.XLOOKUP(TRUE,ISNUMBER(SEARCH(" "&amp;Municipality[Municipality]&amp;" ",H_unit[[#This Row],[Info string]])),Municipality[Municipality],"")</f>
        <v/>
      </c>
      <c r="K307" s="246" t="str" cm="1">
        <f t="array" ref="K307">IF(H_unit[[#This Row],[Exact]]&lt;&gt;"","",_xlfn.XLOOKUP(TRUE,ISNUMBER(SEARCH(" "&amp;Municipality[Municipality]&amp;"n ",H_unit[[#This Row],[Info string]])),Municipality[Municipality],""))</f>
        <v/>
      </c>
      <c r="L307" s="246" t="s">
        <v>2695</v>
      </c>
      <c r="M307" s="244" t="s">
        <v>2905</v>
      </c>
      <c r="N307" s="246" t="str">
        <f>_xlfn.TEXTJOIN("",TRUE,H_unit[[#This Row],[Exact]],H_unit[[#This Row],[Exact+n]],H_unit[[#This Row],[Copilot]])</f>
        <v>Nurmijärvi</v>
      </c>
      <c r="O307" s="246" t="str">
        <f>_xlfn.XLOOKUP(H_unit[[#This Row],[Municipality]],Municipality[Municipality],Municipality[Model],"")</f>
        <v>Uusimaa</v>
      </c>
      <c r="P307" s="236"/>
    </row>
    <row r="308" spans="1:16">
      <c r="A308" s="238" t="s">
        <v>2136</v>
      </c>
      <c r="B308" s="238" t="s">
        <v>2139</v>
      </c>
      <c r="C308" s="240" t="str" cm="1">
        <f t="array" ref="C308">" "&amp;LOWER(_xlfn.REDUCE(H_unit[[#This Row],[Company]]&amp;" "&amp;H_unit[[#This Row],[Unit]],{",",".","(",")","/"},_xlfn.LAMBDA(_xlpm.txt,_xlpm.delim,SUBSTITUTE(_xlpm.txt,_xlpm.delim," "))))&amp;" "</f>
        <v xml:space="preserve"> savon voima oyj  kuopio lk103  laitisenmäentie 20 </v>
      </c>
      <c r="D308" s="242">
        <v>2014</v>
      </c>
      <c r="E308" s="243">
        <v>12</v>
      </c>
      <c r="F308" s="243"/>
      <c r="G308" s="247"/>
      <c r="H308" s="267" t="s">
        <v>1423</v>
      </c>
      <c r="I308" s="248" t="s">
        <v>1143</v>
      </c>
      <c r="J308" s="246" t="str" cm="1">
        <f t="array" ref="J308">_xlfn.XLOOKUP(TRUE,ISNUMBER(SEARCH(" "&amp;Municipality[Municipality]&amp;" ",H_unit[[#This Row],[Info string]])),Municipality[Municipality],"")</f>
        <v>Kuopio</v>
      </c>
      <c r="K308" s="246" t="str" cm="1">
        <f t="array" ref="K308">IF(H_unit[[#This Row],[Exact]]&lt;&gt;"","",_xlfn.XLOOKUP(TRUE,ISNUMBER(SEARCH(" "&amp;Municipality[Municipality]&amp;"n ",H_unit[[#This Row],[Info string]])),Municipality[Municipality],""))</f>
        <v/>
      </c>
      <c r="L308" s="246"/>
      <c r="M308" s="244"/>
      <c r="N308" s="246" t="str">
        <f>_xlfn.TEXTJOIN("",TRUE,H_unit[[#This Row],[Exact]],H_unit[[#This Row],[Exact+n]],H_unit[[#This Row],[Copilot]])</f>
        <v>Kuopio</v>
      </c>
      <c r="O308" s="246" t="str">
        <f>_xlfn.XLOOKUP(H_unit[[#This Row],[Municipality]],Municipality[Municipality],Municipality[Model],"")</f>
        <v>East</v>
      </c>
      <c r="P308" s="236"/>
    </row>
    <row r="309" spans="1:16">
      <c r="A309" s="238" t="s">
        <v>1587</v>
      </c>
      <c r="B309" s="238" t="s">
        <v>1590</v>
      </c>
      <c r="C309" s="240" t="str" cm="1">
        <f t="array" ref="C309">" "&amp;LOWER(_xlfn.REDUCE(H_unit[[#This Row],[Company]]&amp;" "&amp;H_unit[[#This Row],[Unit]],{",",".","(",")","/"},_xlfn.LAMBDA(_xlpm.txt,_xlpm.delim,SUBSTITUTE(_xlpm.txt,_xlpm.delim," "))))&amp;" "</f>
        <v xml:space="preserve"> kauhavan kaukolämpö oy kauhava uusi </v>
      </c>
      <c r="D309" s="242">
        <v>2015</v>
      </c>
      <c r="E309" s="243">
        <v>12</v>
      </c>
      <c r="F309" s="243"/>
      <c r="G309" s="247"/>
      <c r="H309" s="267" t="s">
        <v>1428</v>
      </c>
      <c r="I309" s="248" t="s">
        <v>1143</v>
      </c>
      <c r="J309" s="246" t="str" cm="1">
        <f t="array" ref="J309">_xlfn.XLOOKUP(TRUE,ISNUMBER(SEARCH(" "&amp;Municipality[Municipality]&amp;" ",H_unit[[#This Row],[Info string]])),Municipality[Municipality],"")</f>
        <v>Kauhava</v>
      </c>
      <c r="K309" s="246" t="str" cm="1">
        <f t="array" ref="K309">IF(H_unit[[#This Row],[Exact]]&lt;&gt;"","",_xlfn.XLOOKUP(TRUE,ISNUMBER(SEARCH(" "&amp;Municipality[Municipality]&amp;"n ",H_unit[[#This Row],[Info string]])),Municipality[Municipality],""))</f>
        <v/>
      </c>
      <c r="L309" s="246"/>
      <c r="M309" s="244"/>
      <c r="N309" s="246" t="str">
        <f>_xlfn.TEXTJOIN("",TRUE,H_unit[[#This Row],[Exact]],H_unit[[#This Row],[Exact+n]],H_unit[[#This Row],[Copilot]])</f>
        <v>Kauhava</v>
      </c>
      <c r="O309" s="246" t="str">
        <f>_xlfn.XLOOKUP(H_unit[[#This Row],[Municipality]],Municipality[Municipality],Municipality[Model],"")</f>
        <v>West</v>
      </c>
      <c r="P309" s="236"/>
    </row>
    <row r="310" spans="1:16">
      <c r="A310" s="238" t="s">
        <v>1879</v>
      </c>
      <c r="B310" s="238" t="s">
        <v>1884</v>
      </c>
      <c r="C310" s="240" t="str" cm="1">
        <f t="array" ref="C310">" "&amp;LOWER(_xlfn.REDUCE(H_unit[[#This Row],[Company]]&amp;" "&amp;H_unit[[#This Row],[Unit]],{",",".","(",")","/"},_xlfn.LAMBDA(_xlpm.txt,_xlpm.delim,SUBSTITUTE(_xlpm.txt,_xlpm.delim," "))))&amp;" "</f>
        <v xml:space="preserve"> loviisan lämpö oy  loviisa  pornainen  pukkila  pyhtää urakoitsijantie kpa 2 </v>
      </c>
      <c r="D310" s="242">
        <v>2016</v>
      </c>
      <c r="E310" s="243">
        <v>12</v>
      </c>
      <c r="F310" s="243"/>
      <c r="G310" s="247"/>
      <c r="H310" s="267" t="s">
        <v>1423</v>
      </c>
      <c r="I310" s="248" t="s">
        <v>1143</v>
      </c>
      <c r="J310" s="246" t="str" cm="1">
        <f t="array" ref="J310">_xlfn.XLOOKUP(TRUE,ISNUMBER(SEARCH(" "&amp;Municipality[Municipality]&amp;" ",H_unit[[#This Row],[Info string]])),Municipality[Municipality],"")</f>
        <v>Pornainen</v>
      </c>
      <c r="K310" s="246" t="str" cm="1">
        <f t="array" ref="K310">IF(H_unit[[#This Row],[Exact]]&lt;&gt;"","",_xlfn.XLOOKUP(TRUE,ISNUMBER(SEARCH(" "&amp;Municipality[Municipality]&amp;"n ",H_unit[[#This Row],[Info string]])),Municipality[Municipality],""))</f>
        <v/>
      </c>
      <c r="L310" s="246"/>
      <c r="M310" s="244"/>
      <c r="N310" s="246" t="str">
        <f>_xlfn.TEXTJOIN("",TRUE,H_unit[[#This Row],[Exact]],H_unit[[#This Row],[Exact+n]],H_unit[[#This Row],[Copilot]])</f>
        <v>Pornainen</v>
      </c>
      <c r="O310" s="246" t="str">
        <f>_xlfn.XLOOKUP(H_unit[[#This Row],[Municipality]],Municipality[Municipality],Municipality[Model],"")</f>
        <v>Uusimaa</v>
      </c>
      <c r="P310" s="236"/>
    </row>
    <row r="311" spans="1:16">
      <c r="A311" s="238" t="s">
        <v>2260</v>
      </c>
      <c r="B311" s="238" t="s">
        <v>2264</v>
      </c>
      <c r="C311" s="240" t="str" cm="1">
        <f t="array" ref="C311">" "&amp;LOWER(_xlfn.REDUCE(H_unit[[#This Row],[Company]]&amp;" "&amp;H_unit[[#This Row],[Unit]],{",",".","(",")","/"},_xlfn.LAMBDA(_xlpm.txt,_xlpm.delim,SUBSTITUTE(_xlpm.txt,_xlpm.delim," "))))&amp;" "</f>
        <v xml:space="preserve"> äänekosken energia oy äänekoski karhunlähde </v>
      </c>
      <c r="D311" s="242">
        <v>2016</v>
      </c>
      <c r="E311" s="243">
        <v>12</v>
      </c>
      <c r="F311" s="243"/>
      <c r="G311" s="247"/>
      <c r="H311" s="267" t="s">
        <v>1430</v>
      </c>
      <c r="I311" s="248" t="s">
        <v>1141</v>
      </c>
      <c r="J311" s="246" t="str" cm="1">
        <f t="array" ref="J311">_xlfn.XLOOKUP(TRUE,ISNUMBER(SEARCH(" "&amp;Municipality[Municipality]&amp;" ",H_unit[[#This Row],[Info string]])),Municipality[Municipality],"")</f>
        <v>Äänekoski</v>
      </c>
      <c r="K311" s="246" t="str" cm="1">
        <f t="array" ref="K311">IF(H_unit[[#This Row],[Exact]]&lt;&gt;"","",_xlfn.XLOOKUP(TRUE,ISNUMBER(SEARCH(" "&amp;Municipality[Municipality]&amp;"n ",H_unit[[#This Row],[Info string]])),Municipality[Municipality],""))</f>
        <v/>
      </c>
      <c r="L311" s="246"/>
      <c r="M311" s="244"/>
      <c r="N311" s="246" t="str">
        <f>_xlfn.TEXTJOIN("",TRUE,H_unit[[#This Row],[Exact]],H_unit[[#This Row],[Exact+n]],H_unit[[#This Row],[Copilot]])</f>
        <v>Äänekoski</v>
      </c>
      <c r="O311" s="246" t="str">
        <f>_xlfn.XLOOKUP(H_unit[[#This Row],[Municipality]],Municipality[Municipality],Municipality[Model],"")</f>
        <v>Center</v>
      </c>
      <c r="P311" s="236"/>
    </row>
    <row r="312" spans="1:16">
      <c r="A312" s="238" t="s">
        <v>2197</v>
      </c>
      <c r="B312" s="238" t="s">
        <v>2204</v>
      </c>
      <c r="C312" s="240" t="str" cm="1">
        <f t="array" ref="C312">" "&amp;LOWER(_xlfn.REDUCE(H_unit[[#This Row],[Company]]&amp;" "&amp;H_unit[[#This Row],[Unit]],{",",".","(",")","/"},_xlfn.LAMBDA(_xlpm.txt,_xlpm.delim,SUBSTITUTE(_xlpm.txt,_xlpm.delim," "))))&amp;" "</f>
        <v xml:space="preserve"> vaasan sähkö oy pått </v>
      </c>
      <c r="D312" s="242">
        <v>2023</v>
      </c>
      <c r="E312" s="243">
        <v>12</v>
      </c>
      <c r="F312" s="243"/>
      <c r="G312" s="247"/>
      <c r="H312" s="267" t="s">
        <v>1417</v>
      </c>
      <c r="I312" s="248" t="s">
        <v>1144</v>
      </c>
      <c r="J312" s="246" t="str" cm="1">
        <f t="array" ref="J312">_xlfn.XLOOKUP(TRUE,ISNUMBER(SEARCH(" "&amp;Municipality[Municipality]&amp;" ",H_unit[[#This Row],[Info string]])),Municipality[Municipality],"")</f>
        <v/>
      </c>
      <c r="K312" s="246" t="str" cm="1">
        <f t="array" ref="K312">IF(H_unit[[#This Row],[Exact]]&lt;&gt;"","",_xlfn.XLOOKUP(TRUE,ISNUMBER(SEARCH(" "&amp;Municipality[Municipality]&amp;"n ",H_unit[[#This Row],[Info string]])),Municipality[Municipality],""))</f>
        <v>Vaasa</v>
      </c>
      <c r="L312" s="246"/>
      <c r="M312" s="244"/>
      <c r="N312" s="246" t="str">
        <f>_xlfn.TEXTJOIN("",TRUE,H_unit[[#This Row],[Exact]],H_unit[[#This Row],[Exact+n]],H_unit[[#This Row],[Copilot]])</f>
        <v>Vaasa</v>
      </c>
      <c r="O312" s="246" t="str">
        <f>_xlfn.XLOOKUP(H_unit[[#This Row],[Municipality]],Municipality[Municipality],Municipality[Model],"")</f>
        <v>West</v>
      </c>
      <c r="P312" s="236"/>
    </row>
    <row r="313" spans="1:16">
      <c r="A313" s="238" t="s">
        <v>1806</v>
      </c>
      <c r="B313" s="238" t="s">
        <v>1807</v>
      </c>
      <c r="C313" s="240" t="str" cm="1">
        <f t="array" ref="C313">" "&amp;LOWER(_xlfn.REDUCE(H_unit[[#This Row],[Company]]&amp;" "&amp;H_unit[[#This Row],[Unit]],{",",".","(",")","/"},_xlfn.LAMBDA(_xlpm.txt,_xlpm.delim,SUBSTITUTE(_xlpm.txt,_xlpm.delim," "))))&amp;" "</f>
        <v xml:space="preserve"> liedon lämpö oy taatila </v>
      </c>
      <c r="D313" s="242" t="s">
        <v>1448</v>
      </c>
      <c r="E313" s="243">
        <v>12</v>
      </c>
      <c r="F313" s="243"/>
      <c r="G313" s="247"/>
      <c r="H313" s="267" t="s">
        <v>1430</v>
      </c>
      <c r="I313" s="248" t="s">
        <v>1141</v>
      </c>
      <c r="J313" s="246" t="str" cm="1">
        <f t="array" ref="J313">_xlfn.XLOOKUP(TRUE,ISNUMBER(SEARCH(" "&amp;Municipality[Municipality]&amp;" ",H_unit[[#This Row],[Info string]])),Municipality[Municipality],"")</f>
        <v/>
      </c>
      <c r="K313" s="246" t="str" cm="1">
        <f t="array" ref="K313">IF(H_unit[[#This Row],[Exact]]&lt;&gt;"","",_xlfn.XLOOKUP(TRUE,ISNUMBER(SEARCH(" "&amp;Municipality[Municipality]&amp;"n ",H_unit[[#This Row],[Info string]])),Municipality[Municipality],""))</f>
        <v/>
      </c>
      <c r="L313" s="246" t="s">
        <v>2661</v>
      </c>
      <c r="M313" s="244" t="s">
        <v>2909</v>
      </c>
      <c r="N313" s="246" t="str">
        <f>_xlfn.TEXTJOIN("",TRUE,H_unit[[#This Row],[Exact]],H_unit[[#This Row],[Exact+n]],H_unit[[#This Row],[Copilot]])</f>
        <v>Lieto</v>
      </c>
      <c r="O313" s="246" t="str">
        <f>_xlfn.XLOOKUP(H_unit[[#This Row],[Municipality]],Municipality[Municipality],Municipality[Model],"")</f>
        <v>South West</v>
      </c>
      <c r="P313" s="236"/>
    </row>
    <row r="314" spans="1:16">
      <c r="A314" s="238" t="s">
        <v>2223</v>
      </c>
      <c r="B314" s="238" t="s">
        <v>2226</v>
      </c>
      <c r="C314" s="240" t="str" cm="1">
        <f t="array" ref="C314">" "&amp;LOWER(_xlfn.REDUCE(H_unit[[#This Row],[Company]]&amp;" "&amp;H_unit[[#This Row],[Unit]],{",",".","(",")","/"},_xlfn.LAMBDA(_xlpm.txt,_xlpm.delim,SUBSTITUTE(_xlpm.txt,_xlpm.delim," "))))&amp;" "</f>
        <v xml:space="preserve"> varkauden aluelämpö oy hevosharju </v>
      </c>
      <c r="D314" s="242">
        <v>1980</v>
      </c>
      <c r="E314" s="243">
        <v>11.7</v>
      </c>
      <c r="F314" s="243"/>
      <c r="G314" s="247"/>
      <c r="H314" s="267" t="s">
        <v>1430</v>
      </c>
      <c r="I314" s="248" t="s">
        <v>1141</v>
      </c>
      <c r="J314" s="246" t="str" cm="1">
        <f t="array" ref="J314">_xlfn.XLOOKUP(TRUE,ISNUMBER(SEARCH(" "&amp;Municipality[Municipality]&amp;" ",H_unit[[#This Row],[Info string]])),Municipality[Municipality],"")</f>
        <v/>
      </c>
      <c r="K314" s="246" t="str" cm="1">
        <f t="array" ref="K314">IF(H_unit[[#This Row],[Exact]]&lt;&gt;"","",_xlfn.XLOOKUP(TRUE,ISNUMBER(SEARCH(" "&amp;Municipality[Municipality]&amp;"n ",H_unit[[#This Row],[Info string]])),Municipality[Municipality],""))</f>
        <v/>
      </c>
      <c r="L314" s="246" t="s">
        <v>1007</v>
      </c>
      <c r="M314" s="244" t="s">
        <v>2896</v>
      </c>
      <c r="N314" s="246" t="str">
        <f>_xlfn.TEXTJOIN("",TRUE,H_unit[[#This Row],[Exact]],H_unit[[#This Row],[Exact+n]],H_unit[[#This Row],[Copilot]])</f>
        <v>Varkaus</v>
      </c>
      <c r="O314" s="246" t="str">
        <f>_xlfn.XLOOKUP(H_unit[[#This Row],[Municipality]],Municipality[Municipality],Municipality[Model],"")</f>
        <v>East</v>
      </c>
      <c r="P314" s="236"/>
    </row>
    <row r="315" spans="1:16">
      <c r="A315" s="238" t="s">
        <v>1555</v>
      </c>
      <c r="B315" s="238" t="s">
        <v>1556</v>
      </c>
      <c r="C315" s="240" t="str" cm="1">
        <f t="array" ref="C315">" "&amp;LOWER(_xlfn.REDUCE(H_unit[[#This Row],[Company]]&amp;" "&amp;H_unit[[#This Row],[Unit]],{",",".","(",")","/"},_xlfn.LAMBDA(_xlpm.txt,_xlpm.delim,SUBSTITUTE(_xlpm.txt,_xlpm.delim," "))))&amp;" "</f>
        <v xml:space="preserve"> juuan kaukolämpö oy juuan lämpökeskus </v>
      </c>
      <c r="D315" s="242">
        <v>1983</v>
      </c>
      <c r="E315" s="243">
        <v>11.5</v>
      </c>
      <c r="F315" s="243"/>
      <c r="G315" s="247"/>
      <c r="H315" s="267" t="s">
        <v>1423</v>
      </c>
      <c r="I315" s="248" t="s">
        <v>1143</v>
      </c>
      <c r="J315" s="246" t="str" cm="1">
        <f t="array" ref="J315">_xlfn.XLOOKUP(TRUE,ISNUMBER(SEARCH(" "&amp;Municipality[Municipality]&amp;" ",H_unit[[#This Row],[Info string]])),Municipality[Municipality],"")</f>
        <v/>
      </c>
      <c r="K315" s="246" t="str" cm="1">
        <f t="array" ref="K315">IF(H_unit[[#This Row],[Exact]]&lt;&gt;"","",_xlfn.XLOOKUP(TRUE,ISNUMBER(SEARCH(" "&amp;Municipality[Municipality]&amp;"n ",H_unit[[#This Row],[Info string]])),Municipality[Municipality],""))</f>
        <v/>
      </c>
      <c r="L315" s="246" t="s">
        <v>2553</v>
      </c>
      <c r="M315" s="244" t="s">
        <v>2910</v>
      </c>
      <c r="N315" s="246" t="str">
        <f>_xlfn.TEXTJOIN("",TRUE,H_unit[[#This Row],[Exact]],H_unit[[#This Row],[Exact+n]],H_unit[[#This Row],[Copilot]])</f>
        <v>Juuka</v>
      </c>
      <c r="O315" s="246" t="str">
        <f>_xlfn.XLOOKUP(H_unit[[#This Row],[Municipality]],Municipality[Municipality],Municipality[Model],"")</f>
        <v>East</v>
      </c>
      <c r="P315" s="236"/>
    </row>
    <row r="316" spans="1:16">
      <c r="A316" s="238" t="s">
        <v>1618</v>
      </c>
      <c r="B316" s="238" t="s">
        <v>1061</v>
      </c>
      <c r="C316" s="240" t="str" cm="1">
        <f t="array" ref="C316">" "&amp;LOWER(_xlfn.REDUCE(H_unit[[#This Row],[Company]]&amp;" "&amp;H_unit[[#This Row],[Unit]],{",",".","(",")","/"},_xlfn.LAMBDA(_xlpm.txt,_xlpm.delim,SUBSTITUTE(_xlpm.txt,_xlpm.delim," "))))&amp;" "</f>
        <v xml:space="preserve"> keravan energia oy  sipoo nikkilä </v>
      </c>
      <c r="D316" s="242">
        <v>1994</v>
      </c>
      <c r="E316" s="243">
        <v>11.5</v>
      </c>
      <c r="F316" s="243"/>
      <c r="G316" s="247"/>
      <c r="H316" s="267" t="s">
        <v>1453</v>
      </c>
      <c r="I316" s="248" t="s">
        <v>1142</v>
      </c>
      <c r="J316" s="246" t="str" cm="1">
        <f t="array" ref="J316">_xlfn.XLOOKUP(TRUE,ISNUMBER(SEARCH(" "&amp;Municipality[Municipality]&amp;" ",H_unit[[#This Row],[Info string]])),Municipality[Municipality],"")</f>
        <v>Sipoo</v>
      </c>
      <c r="K316" s="246" t="str" cm="1">
        <f t="array" ref="K316">IF(H_unit[[#This Row],[Exact]]&lt;&gt;"","",_xlfn.XLOOKUP(TRUE,ISNUMBER(SEARCH(" "&amp;Municipality[Municipality]&amp;"n ",H_unit[[#This Row],[Info string]])),Municipality[Municipality],""))</f>
        <v/>
      </c>
      <c r="L316" s="246"/>
      <c r="M316" s="244"/>
      <c r="N316" s="246" t="str">
        <f>_xlfn.TEXTJOIN("",TRUE,H_unit[[#This Row],[Exact]],H_unit[[#This Row],[Exact+n]],H_unit[[#This Row],[Copilot]])</f>
        <v>Sipoo</v>
      </c>
      <c r="O316" s="246" t="str">
        <f>_xlfn.XLOOKUP(H_unit[[#This Row],[Municipality]],Municipality[Municipality],Municipality[Model],"")</f>
        <v>Uusimaa</v>
      </c>
      <c r="P316" s="236"/>
    </row>
    <row r="317" spans="1:16">
      <c r="A317" s="238" t="s">
        <v>1788</v>
      </c>
      <c r="B317" s="238" t="s">
        <v>1789</v>
      </c>
      <c r="C317" s="240" t="str" cm="1">
        <f t="array" ref="C317">" "&amp;LOWER(_xlfn.REDUCE(H_unit[[#This Row],[Company]]&amp;" "&amp;H_unit[[#This Row],[Unit]],{",",".","(",")","/"},_xlfn.LAMBDA(_xlpm.txt,_xlpm.delim,SUBSTITUTE(_xlpm.txt,_xlpm.delim," "))))&amp;" "</f>
        <v xml:space="preserve"> leppäkosken lämpö oy  hämeenkyrö puronsuun lk </v>
      </c>
      <c r="D317" s="242">
        <v>2013</v>
      </c>
      <c r="E317" s="243">
        <v>11.5</v>
      </c>
      <c r="F317" s="243"/>
      <c r="G317" s="247"/>
      <c r="H317" s="267" t="s">
        <v>1430</v>
      </c>
      <c r="I317" s="248" t="s">
        <v>1141</v>
      </c>
      <c r="J317" s="246" t="str" cm="1">
        <f t="array" ref="J317">_xlfn.XLOOKUP(TRUE,ISNUMBER(SEARCH(" "&amp;Municipality[Municipality]&amp;" ",H_unit[[#This Row],[Info string]])),Municipality[Municipality],"")</f>
        <v>Hämeenkyrö</v>
      </c>
      <c r="K317" s="246" t="str" cm="1">
        <f t="array" ref="K317">IF(H_unit[[#This Row],[Exact]]&lt;&gt;"","",_xlfn.XLOOKUP(TRUE,ISNUMBER(SEARCH(" "&amp;Municipality[Municipality]&amp;"n ",H_unit[[#This Row],[Info string]])),Municipality[Municipality],""))</f>
        <v/>
      </c>
      <c r="L317" s="246"/>
      <c r="M317" s="244"/>
      <c r="N317" s="246" t="str">
        <f>_xlfn.TEXTJOIN("",TRUE,H_unit[[#This Row],[Exact]],H_unit[[#This Row],[Exact+n]],H_unit[[#This Row],[Copilot]])</f>
        <v>Hämeenkyrö</v>
      </c>
      <c r="O317" s="246" t="str">
        <f>_xlfn.XLOOKUP(H_unit[[#This Row],[Municipality]],Municipality[Municipality],Municipality[Model],"")</f>
        <v>Center</v>
      </c>
      <c r="P317" s="236"/>
    </row>
    <row r="318" spans="1:16">
      <c r="A318" s="238" t="s">
        <v>1890</v>
      </c>
      <c r="B318" s="238" t="s">
        <v>1891</v>
      </c>
      <c r="C318" s="240" t="str" cm="1">
        <f t="array" ref="C318">" "&amp;LOWER(_xlfn.REDUCE(H_unit[[#This Row],[Company]]&amp;" "&amp;H_unit[[#This Row],[Unit]],{",",".","(",")","/"},_xlfn.LAMBDA(_xlpm.txt,_xlpm.delim,SUBSTITUTE(_xlpm.txt,_xlpm.delim," "))))&amp;" "</f>
        <v xml:space="preserve"> lämpö korpela oy sievin lämpölaitos </v>
      </c>
      <c r="D318" s="242">
        <v>2003</v>
      </c>
      <c r="E318" s="243">
        <v>11.3</v>
      </c>
      <c r="F318" s="243"/>
      <c r="G318" s="247"/>
      <c r="H318" s="267" t="s">
        <v>1428</v>
      </c>
      <c r="I318" s="248" t="s">
        <v>1143</v>
      </c>
      <c r="J318" s="246" t="str" cm="1">
        <f t="array" ref="J318">_xlfn.XLOOKUP(TRUE,ISNUMBER(SEARCH(" "&amp;Municipality[Municipality]&amp;" ",H_unit[[#This Row],[Info string]])),Municipality[Municipality],"")</f>
        <v/>
      </c>
      <c r="K318" s="246" t="str" cm="1">
        <f t="array" ref="K318">IF(H_unit[[#This Row],[Exact]]&lt;&gt;"","",_xlfn.XLOOKUP(TRUE,ISNUMBER(SEARCH(" "&amp;Municipality[Municipality]&amp;"n ",H_unit[[#This Row],[Info string]])),Municipality[Municipality],""))</f>
        <v>Sievi</v>
      </c>
      <c r="L318" s="246"/>
      <c r="M318" s="244"/>
      <c r="N318" s="246" t="str">
        <f>_xlfn.TEXTJOIN("",TRUE,H_unit[[#This Row],[Exact]],H_unit[[#This Row],[Exact+n]],H_unit[[#This Row],[Copilot]])</f>
        <v>Sievi</v>
      </c>
      <c r="O318" s="246" t="str">
        <f>_xlfn.XLOOKUP(H_unit[[#This Row],[Municipality]],Municipality[Municipality],Municipality[Model],"")</f>
        <v>North</v>
      </c>
      <c r="P318" s="236"/>
    </row>
    <row r="319" spans="1:16">
      <c r="A319" s="238" t="s">
        <v>1587</v>
      </c>
      <c r="B319" s="238" t="s">
        <v>1588</v>
      </c>
      <c r="C319" s="240" t="str" cm="1">
        <f t="array" ref="C319">" "&amp;LOWER(_xlfn.REDUCE(H_unit[[#This Row],[Company]]&amp;" "&amp;H_unit[[#This Row],[Unit]],{",",".","(",")","/"},_xlfn.LAMBDA(_xlpm.txt,_xlpm.delim,SUBSTITUTE(_xlpm.txt,_xlpm.delim," "))))&amp;" "</f>
        <v xml:space="preserve"> kauhavan kaukolämpö oy alahärmä </v>
      </c>
      <c r="D319" s="242">
        <v>1980</v>
      </c>
      <c r="E319" s="243">
        <v>11</v>
      </c>
      <c r="F319" s="243"/>
      <c r="G319" s="247"/>
      <c r="H319" s="267" t="s">
        <v>1428</v>
      </c>
      <c r="I319" s="248" t="s">
        <v>1143</v>
      </c>
      <c r="J319" s="246" t="str" cm="1">
        <f t="array" ref="J319">_xlfn.XLOOKUP(TRUE,ISNUMBER(SEARCH(" "&amp;Municipality[Municipality]&amp;" ",H_unit[[#This Row],[Info string]])),Municipality[Municipality],"")</f>
        <v>Alahärmä</v>
      </c>
      <c r="K319" s="246" t="str" cm="1">
        <f t="array" ref="K319">IF(H_unit[[#This Row],[Exact]]&lt;&gt;"","",_xlfn.XLOOKUP(TRUE,ISNUMBER(SEARCH(" "&amp;Municipality[Municipality]&amp;"n ",H_unit[[#This Row],[Info string]])),Municipality[Municipality],""))</f>
        <v/>
      </c>
      <c r="L319" s="246"/>
      <c r="M319" s="244"/>
      <c r="N319" s="246" t="str">
        <f>_xlfn.TEXTJOIN("",TRUE,H_unit[[#This Row],[Exact]],H_unit[[#This Row],[Exact+n]],H_unit[[#This Row],[Copilot]])</f>
        <v>Alahärmä</v>
      </c>
      <c r="O319" s="246" t="str">
        <f>_xlfn.XLOOKUP(H_unit[[#This Row],[Municipality]],Municipality[Municipality],Municipality[Model],"")</f>
        <v>West</v>
      </c>
      <c r="P319" s="236"/>
    </row>
    <row r="320" spans="1:16">
      <c r="A320" s="238" t="s">
        <v>1814</v>
      </c>
      <c r="B320" s="238" t="s">
        <v>1821</v>
      </c>
      <c r="C320" s="240" t="str" cm="1">
        <f t="array" ref="C320">" "&amp;LOWER(_xlfn.REDUCE(H_unit[[#This Row],[Company]]&amp;" "&amp;H_unit[[#This Row],[Unit]],{",",".","(",")","/"},_xlfn.LAMBDA(_xlpm.txt,_xlpm.delim,SUBSTITUTE(_xlpm.txt,_xlpm.delim," "))))&amp;" "</f>
        <v xml:space="preserve"> lohjan energiahuolto oy loher virkkala  tynninharjuntie </v>
      </c>
      <c r="D320" s="242">
        <v>1995</v>
      </c>
      <c r="E320" s="243">
        <v>11</v>
      </c>
      <c r="F320" s="243"/>
      <c r="G320" s="247"/>
      <c r="H320" s="267" t="s">
        <v>1453</v>
      </c>
      <c r="I320" s="248" t="s">
        <v>1142</v>
      </c>
      <c r="J320" s="246" t="str" cm="1">
        <f t="array" ref="J320">_xlfn.XLOOKUP(TRUE,ISNUMBER(SEARCH(" "&amp;Municipality[Municipality]&amp;" ",H_unit[[#This Row],[Info string]])),Municipality[Municipality],"")</f>
        <v/>
      </c>
      <c r="K320" s="246" t="str" cm="1">
        <f t="array" ref="K320">IF(H_unit[[#This Row],[Exact]]&lt;&gt;"","",_xlfn.XLOOKUP(TRUE,ISNUMBER(SEARCH(" "&amp;Municipality[Municipality]&amp;"n ",H_unit[[#This Row],[Info string]])),Municipality[Municipality],""))</f>
        <v>Lohja</v>
      </c>
      <c r="L320" s="246"/>
      <c r="M320" s="244"/>
      <c r="N320" s="246" t="str">
        <f>_xlfn.TEXTJOIN("",TRUE,H_unit[[#This Row],[Exact]],H_unit[[#This Row],[Exact+n]],H_unit[[#This Row],[Copilot]])</f>
        <v>Lohja</v>
      </c>
      <c r="O320" s="246" t="str">
        <f>_xlfn.XLOOKUP(H_unit[[#This Row],[Municipality]],Municipality[Municipality],Municipality[Model],"")</f>
        <v>Uusimaa</v>
      </c>
      <c r="P320" s="236"/>
    </row>
    <row r="321" spans="1:16">
      <c r="A321" s="238" t="s">
        <v>1806</v>
      </c>
      <c r="B321" s="238" t="s">
        <v>1807</v>
      </c>
      <c r="C321" s="240" t="str" cm="1">
        <f t="array" ref="C321">" "&amp;LOWER(_xlfn.REDUCE(H_unit[[#This Row],[Company]]&amp;" "&amp;H_unit[[#This Row],[Unit]],{",",".","(",")","/"},_xlfn.LAMBDA(_xlpm.txt,_xlpm.delim,SUBSTITUTE(_xlpm.txt,_xlpm.delim," "))))&amp;" "</f>
        <v xml:space="preserve"> liedon lämpö oy taatila </v>
      </c>
      <c r="D321" s="242">
        <v>2002</v>
      </c>
      <c r="E321" s="243">
        <v>11</v>
      </c>
      <c r="F321" s="243"/>
      <c r="G321" s="247"/>
      <c r="H321" s="267" t="s">
        <v>1423</v>
      </c>
      <c r="I321" s="248" t="s">
        <v>1143</v>
      </c>
      <c r="J321" s="246" t="str" cm="1">
        <f t="array" ref="J321">_xlfn.XLOOKUP(TRUE,ISNUMBER(SEARCH(" "&amp;Municipality[Municipality]&amp;" ",H_unit[[#This Row],[Info string]])),Municipality[Municipality],"")</f>
        <v/>
      </c>
      <c r="K321" s="246" t="str" cm="1">
        <f t="array" ref="K321">IF(H_unit[[#This Row],[Exact]]&lt;&gt;"","",_xlfn.XLOOKUP(TRUE,ISNUMBER(SEARCH(" "&amp;Municipality[Municipality]&amp;"n ",H_unit[[#This Row],[Info string]])),Municipality[Municipality],""))</f>
        <v/>
      </c>
      <c r="L321" s="246" t="s">
        <v>2661</v>
      </c>
      <c r="M321" s="244" t="s">
        <v>2909</v>
      </c>
      <c r="N321" s="246" t="str">
        <f>_xlfn.TEXTJOIN("",TRUE,H_unit[[#This Row],[Exact]],H_unit[[#This Row],[Exact+n]],H_unit[[#This Row],[Copilot]])</f>
        <v>Lieto</v>
      </c>
      <c r="O321" s="246" t="str">
        <f>_xlfn.XLOOKUP(H_unit[[#This Row],[Municipality]],Municipality[Municipality],Municipality[Model],"")</f>
        <v>South West</v>
      </c>
      <c r="P321" s="236"/>
    </row>
    <row r="322" spans="1:16">
      <c r="A322" s="238" t="s">
        <v>1916</v>
      </c>
      <c r="B322" s="238" t="s">
        <v>1917</v>
      </c>
      <c r="C322" s="240" t="str" cm="1">
        <f t="array" ref="C322">" "&amp;LOWER(_xlfn.REDUCE(H_unit[[#This Row],[Company]]&amp;" "&amp;H_unit[[#This Row],[Unit]],{",",".","(",")","/"},_xlfn.LAMBDA(_xlpm.txt,_xlpm.delim,SUBSTITUTE(_xlpm.txt,_xlpm.delim," "))))&amp;" "</f>
        <v xml:space="preserve"> nevel oy  karkkila karkkila huhdintie pok </v>
      </c>
      <c r="D322" s="242">
        <v>2004</v>
      </c>
      <c r="E322" s="243">
        <v>11</v>
      </c>
      <c r="F322" s="243"/>
      <c r="G322" s="247"/>
      <c r="H322" s="267" t="s">
        <v>1430</v>
      </c>
      <c r="I322" s="248" t="s">
        <v>1141</v>
      </c>
      <c r="J322" s="246" t="str" cm="1">
        <f t="array" ref="J322">_xlfn.XLOOKUP(TRUE,ISNUMBER(SEARCH(" "&amp;Municipality[Municipality]&amp;" ",H_unit[[#This Row],[Info string]])),Municipality[Municipality],"")</f>
        <v>Karkkila</v>
      </c>
      <c r="K322" s="246" t="str" cm="1">
        <f t="array" ref="K322">IF(H_unit[[#This Row],[Exact]]&lt;&gt;"","",_xlfn.XLOOKUP(TRUE,ISNUMBER(SEARCH(" "&amp;Municipality[Municipality]&amp;"n ",H_unit[[#This Row],[Info string]])),Municipality[Municipality],""))</f>
        <v/>
      </c>
      <c r="L322" s="246"/>
      <c r="M322" s="244"/>
      <c r="N322" s="246" t="str">
        <f>_xlfn.TEXTJOIN("",TRUE,H_unit[[#This Row],[Exact]],H_unit[[#This Row],[Exact+n]],H_unit[[#This Row],[Copilot]])</f>
        <v>Karkkila</v>
      </c>
      <c r="O322" s="246" t="str">
        <f>_xlfn.XLOOKUP(H_unit[[#This Row],[Municipality]],Municipality[Municipality],Municipality[Model],"")</f>
        <v>Uusimaa</v>
      </c>
      <c r="P322" s="236"/>
    </row>
    <row r="323" spans="1:16">
      <c r="A323" s="238" t="s">
        <v>1824</v>
      </c>
      <c r="B323" s="238" t="s">
        <v>1826</v>
      </c>
      <c r="C323" s="240" t="str" cm="1">
        <f t="array" ref="C323">" "&amp;LOWER(_xlfn.REDUCE(H_unit[[#This Row],[Company]]&amp;" "&amp;H_unit[[#This Row],[Unit]],{",",".","(",")","/"},_xlfn.LAMBDA(_xlpm.txt,_xlpm.delim,SUBSTITUTE(_xlpm.txt,_xlpm.delim," "))))&amp;" "</f>
        <v xml:space="preserve"> loimaan kaukolämpö oy myllykylän keskus </v>
      </c>
      <c r="D323" s="242">
        <v>2012</v>
      </c>
      <c r="E323" s="243">
        <v>11</v>
      </c>
      <c r="F323" s="243"/>
      <c r="G323" s="247"/>
      <c r="H323" s="267" t="s">
        <v>1439</v>
      </c>
      <c r="I323" s="248" t="s">
        <v>1143</v>
      </c>
      <c r="J323" s="246" t="str" cm="1">
        <f t="array" ref="J323">_xlfn.XLOOKUP(TRUE,ISNUMBER(SEARCH(" "&amp;Municipality[Municipality]&amp;" ",H_unit[[#This Row],[Info string]])),Municipality[Municipality],"")</f>
        <v/>
      </c>
      <c r="K323" s="246" t="str" cm="1">
        <f t="array" ref="K323">IF(H_unit[[#This Row],[Exact]]&lt;&gt;"","",_xlfn.XLOOKUP(TRUE,ISNUMBER(SEARCH(" "&amp;Municipality[Municipality]&amp;"n ",H_unit[[#This Row],[Info string]])),Municipality[Municipality],""))</f>
        <v>Loimaa</v>
      </c>
      <c r="L323" s="246"/>
      <c r="M323" s="244"/>
      <c r="N323" s="246" t="str">
        <f>_xlfn.TEXTJOIN("",TRUE,H_unit[[#This Row],[Exact]],H_unit[[#This Row],[Exact+n]],H_unit[[#This Row],[Copilot]])</f>
        <v>Loimaa</v>
      </c>
      <c r="O323" s="246" t="str">
        <f>_xlfn.XLOOKUP(H_unit[[#This Row],[Municipality]],Municipality[Municipality],Municipality[Model],"")</f>
        <v>South West</v>
      </c>
      <c r="P323" s="236"/>
    </row>
    <row r="324" spans="1:16">
      <c r="A324" s="238" t="s">
        <v>2136</v>
      </c>
      <c r="B324" s="238" t="s">
        <v>2140</v>
      </c>
      <c r="C324" s="240" t="str" cm="1">
        <f t="array" ref="C324">" "&amp;LOWER(_xlfn.REDUCE(H_unit[[#This Row],[Company]]&amp;" "&amp;H_unit[[#This Row],[Unit]],{",",".","(",")","/"},_xlfn.LAMBDA(_xlpm.txt,_xlpm.delim,SUBSTITUTE(_xlpm.txt,_xlpm.delim," "))))&amp;" "</f>
        <v xml:space="preserve"> savon voima oyj  kuopio lk 104  opintie </v>
      </c>
      <c r="D324" s="242">
        <v>2014</v>
      </c>
      <c r="E324" s="243">
        <v>11</v>
      </c>
      <c r="F324" s="243"/>
      <c r="G324" s="247"/>
      <c r="H324" s="267" t="s">
        <v>1423</v>
      </c>
      <c r="I324" s="248" t="s">
        <v>1143</v>
      </c>
      <c r="J324" s="246" t="str" cm="1">
        <f t="array" ref="J324">_xlfn.XLOOKUP(TRUE,ISNUMBER(SEARCH(" "&amp;Municipality[Municipality]&amp;" ",H_unit[[#This Row],[Info string]])),Municipality[Municipality],"")</f>
        <v>Kuopio</v>
      </c>
      <c r="K324" s="246" t="str" cm="1">
        <f t="array" ref="K324">IF(H_unit[[#This Row],[Exact]]&lt;&gt;"","",_xlfn.XLOOKUP(TRUE,ISNUMBER(SEARCH(" "&amp;Municipality[Municipality]&amp;"n ",H_unit[[#This Row],[Info string]])),Municipality[Municipality],""))</f>
        <v/>
      </c>
      <c r="L324" s="246"/>
      <c r="M324" s="244"/>
      <c r="N324" s="246" t="str">
        <f>_xlfn.TEXTJOIN("",TRUE,H_unit[[#This Row],[Exact]],H_unit[[#This Row],[Exact+n]],H_unit[[#This Row],[Copilot]])</f>
        <v>Kuopio</v>
      </c>
      <c r="O324" s="246" t="str">
        <f>_xlfn.XLOOKUP(H_unit[[#This Row],[Municipality]],Municipality[Municipality],Municipality[Model],"")</f>
        <v>East</v>
      </c>
      <c r="P324" s="236"/>
    </row>
    <row r="325" spans="1:16">
      <c r="A325" s="238" t="s">
        <v>1484</v>
      </c>
      <c r="B325" s="238" t="s">
        <v>1485</v>
      </c>
      <c r="C325" s="240" t="str" cm="1">
        <f t="array" ref="C325">" "&amp;LOWER(_xlfn.REDUCE(H_unit[[#This Row],[Company]]&amp;" "&amp;H_unit[[#This Row],[Unit]],{",",".","(",")","/"},_xlfn.LAMBDA(_xlpm.txt,_xlpm.delim,SUBSTITUTE(_xlpm.txt,_xlpm.delim," "))))&amp;" "</f>
        <v xml:space="preserve"> alavuden lämpö oy rekolan lämpökeskus </v>
      </c>
      <c r="D325" s="242" t="s">
        <v>1448</v>
      </c>
      <c r="E325" s="243">
        <v>11</v>
      </c>
      <c r="F325" s="243"/>
      <c r="G325" s="247"/>
      <c r="H325" s="267" t="s">
        <v>1428</v>
      </c>
      <c r="I325" s="248" t="s">
        <v>1143</v>
      </c>
      <c r="J325" s="246" t="str" cm="1">
        <f t="array" ref="J325">_xlfn.XLOOKUP(TRUE,ISNUMBER(SEARCH(" "&amp;Municipality[Municipality]&amp;" ",H_unit[[#This Row],[Info string]])),Municipality[Municipality],"")</f>
        <v/>
      </c>
      <c r="K325" s="246" t="str" cm="1">
        <f t="array" ref="K325">IF(H_unit[[#This Row],[Exact]]&lt;&gt;"","",_xlfn.XLOOKUP(TRUE,ISNUMBER(SEARCH(" "&amp;Municipality[Municipality]&amp;"n ",H_unit[[#This Row],[Info string]])),Municipality[Municipality],""))</f>
        <v/>
      </c>
      <c r="L325" s="246" t="s">
        <v>2490</v>
      </c>
      <c r="M325" s="244" t="s">
        <v>2911</v>
      </c>
      <c r="N325" s="246" t="str">
        <f>_xlfn.TEXTJOIN("",TRUE,H_unit[[#This Row],[Exact]],H_unit[[#This Row],[Exact+n]],H_unit[[#This Row],[Copilot]])</f>
        <v>Alavus</v>
      </c>
      <c r="O325" s="246" t="str">
        <f>_xlfn.XLOOKUP(H_unit[[#This Row],[Municipality]],Municipality[Municipality],Municipality[Model],"")</f>
        <v>West</v>
      </c>
      <c r="P325" s="236"/>
    </row>
    <row r="326" spans="1:16">
      <c r="A326" s="238" t="s">
        <v>2022</v>
      </c>
      <c r="B326" s="238" t="s">
        <v>2023</v>
      </c>
      <c r="C326" s="240" t="str" cm="1">
        <f t="array" ref="C326">" "&amp;LOWER(_xlfn.REDUCE(H_unit[[#This Row],[Company]]&amp;" "&amp;H_unit[[#This Row],[Unit]],{",",".","(",")","/"},_xlfn.LAMBDA(_xlpm.txt,_xlpm.delim,SUBSTITUTE(_xlpm.txt,_xlpm.delim," "))))&amp;" "</f>
        <v xml:space="preserve"> oulun seudun sähkö  muhos muhos  veturitie </v>
      </c>
      <c r="D326" s="242">
        <v>1980</v>
      </c>
      <c r="E326" s="243">
        <v>10.5</v>
      </c>
      <c r="F326" s="243"/>
      <c r="G326" s="247"/>
      <c r="H326" s="267" t="s">
        <v>1428</v>
      </c>
      <c r="I326" s="248" t="s">
        <v>1143</v>
      </c>
      <c r="J326" s="246" t="str" cm="1">
        <f t="array" ref="J326">_xlfn.XLOOKUP(TRUE,ISNUMBER(SEARCH(" "&amp;Municipality[Municipality]&amp;" ",H_unit[[#This Row],[Info string]])),Municipality[Municipality],"")</f>
        <v>Muhos</v>
      </c>
      <c r="K326" s="246" t="str" cm="1">
        <f t="array" ref="K326">IF(H_unit[[#This Row],[Exact]]&lt;&gt;"","",_xlfn.XLOOKUP(TRUE,ISNUMBER(SEARCH(" "&amp;Municipality[Municipality]&amp;"n ",H_unit[[#This Row],[Info string]])),Municipality[Municipality],""))</f>
        <v/>
      </c>
      <c r="L326" s="246"/>
      <c r="M326" s="244"/>
      <c r="N326" s="246" t="str">
        <f>_xlfn.TEXTJOIN("",TRUE,H_unit[[#This Row],[Exact]],H_unit[[#This Row],[Exact+n]],H_unit[[#This Row],[Copilot]])</f>
        <v>Muhos</v>
      </c>
      <c r="O326" s="246" t="str">
        <f>_xlfn.XLOOKUP(H_unit[[#This Row],[Municipality]],Municipality[Municipality],Municipality[Model],"")</f>
        <v>North</v>
      </c>
      <c r="P326" s="236"/>
    </row>
    <row r="327" spans="1:16">
      <c r="A327" s="238" t="s">
        <v>1868</v>
      </c>
      <c r="B327" s="238" t="s">
        <v>1872</v>
      </c>
      <c r="C327" s="240" t="str" cm="1">
        <f t="array" ref="C327">" "&amp;LOWER(_xlfn.REDUCE(H_unit[[#This Row],[Company]]&amp;" "&amp;H_unit[[#This Row],[Unit]],{",",".","(",")","/"},_xlfn.LAMBDA(_xlpm.txt,_xlpm.delim,SUBSTITUTE(_xlpm.txt,_xlpm.delim," "))))&amp;" "</f>
        <v xml:space="preserve"> loimua oy  oulainen junnikkala </v>
      </c>
      <c r="D327" s="242">
        <v>2006</v>
      </c>
      <c r="E327" s="243">
        <v>10.199999999999999</v>
      </c>
      <c r="F327" s="243"/>
      <c r="G327" s="247"/>
      <c r="H327" s="267" t="s">
        <v>1423</v>
      </c>
      <c r="I327" s="248" t="s">
        <v>1143</v>
      </c>
      <c r="J327" s="246" t="str" cm="1">
        <f t="array" ref="J327">_xlfn.XLOOKUP(TRUE,ISNUMBER(SEARCH(" "&amp;Municipality[Municipality]&amp;" ",H_unit[[#This Row],[Info string]])),Municipality[Municipality],"")</f>
        <v>Oulainen</v>
      </c>
      <c r="K327" s="246" t="str" cm="1">
        <f t="array" ref="K327">IF(H_unit[[#This Row],[Exact]]&lt;&gt;"","",_xlfn.XLOOKUP(TRUE,ISNUMBER(SEARCH(" "&amp;Municipality[Municipality]&amp;"n ",H_unit[[#This Row],[Info string]])),Municipality[Municipality],""))</f>
        <v/>
      </c>
      <c r="L327" s="246"/>
      <c r="M327" s="244"/>
      <c r="N327" s="246" t="str">
        <f>_xlfn.TEXTJOIN("",TRUE,H_unit[[#This Row],[Exact]],H_unit[[#This Row],[Exact+n]],H_unit[[#This Row],[Copilot]])</f>
        <v>Oulainen</v>
      </c>
      <c r="O327" s="246" t="str">
        <f>_xlfn.XLOOKUP(H_unit[[#This Row],[Municipality]],Municipality[Municipality],Municipality[Model],"")</f>
        <v>North</v>
      </c>
      <c r="P327" s="236"/>
    </row>
    <row r="328" spans="1:16">
      <c r="A328" s="238" t="s">
        <v>2094</v>
      </c>
      <c r="B328" s="238" t="s">
        <v>2096</v>
      </c>
      <c r="C328" s="240" t="str" cm="1">
        <f t="array" ref="C328">" "&amp;LOWER(_xlfn.REDUCE(H_unit[[#This Row],[Company]]&amp;" "&amp;H_unit[[#This Row],[Unit]],{",",".","(",")","/"},_xlfn.LAMBDA(_xlpm.txt,_xlpm.delim,SUBSTITUTE(_xlpm.txt,_xlpm.delim," "))))&amp;" "</f>
        <v xml:space="preserve"> saarijärven kaukolämpö oy keskusta  pok  </v>
      </c>
      <c r="D328" s="242">
        <v>1962</v>
      </c>
      <c r="E328" s="243">
        <v>10</v>
      </c>
      <c r="F328" s="243"/>
      <c r="G328" s="247"/>
      <c r="H328" s="267" t="s">
        <v>1418</v>
      </c>
      <c r="I328" s="248" t="s">
        <v>1141</v>
      </c>
      <c r="J328" s="246" t="str" cm="1">
        <f t="array" ref="J328">_xlfn.XLOOKUP(TRUE,ISNUMBER(SEARCH(" "&amp;Municipality[Municipality]&amp;" ",H_unit[[#This Row],[Info string]])),Municipality[Municipality],"")</f>
        <v/>
      </c>
      <c r="K328" s="246" t="str" cm="1">
        <f t="array" ref="K328">IF(H_unit[[#This Row],[Exact]]&lt;&gt;"","",_xlfn.XLOOKUP(TRUE,ISNUMBER(SEARCH(" "&amp;Municipality[Municipality]&amp;"n ",H_unit[[#This Row],[Info string]])),Municipality[Municipality],""))</f>
        <v/>
      </c>
      <c r="L328" s="246" t="s">
        <v>1680</v>
      </c>
      <c r="M328" s="244" t="s">
        <v>2912</v>
      </c>
      <c r="N328" s="246" t="str">
        <f>_xlfn.TEXTJOIN("",TRUE,H_unit[[#This Row],[Exact]],H_unit[[#This Row],[Exact+n]],H_unit[[#This Row],[Copilot]])</f>
        <v>Saarijärvi</v>
      </c>
      <c r="O328" s="246" t="str">
        <f>_xlfn.XLOOKUP(H_unit[[#This Row],[Municipality]],Municipality[Municipality],Municipality[Model],"")</f>
        <v>Center</v>
      </c>
      <c r="P328" s="236"/>
    </row>
    <row r="329" spans="1:16">
      <c r="A329" s="238" t="s">
        <v>2408</v>
      </c>
      <c r="B329" s="238" t="s">
        <v>1001</v>
      </c>
      <c r="C329" s="240" t="str" cm="1">
        <f t="array" ref="C329">" "&amp;LOWER(_xlfn.REDUCE(H_unit[[#This Row],[Company]]&amp;" "&amp;H_unit[[#This Row],[Unit]],{",",".","(",")","/"},_xlfn.LAMBDA(_xlpm.txt,_xlpm.delim,SUBSTITUTE(_xlpm.txt,_xlpm.delim," "))))&amp;" "</f>
        <v xml:space="preserve"> tervakoski oy  janakkala tervakoski </v>
      </c>
      <c r="D329" s="242">
        <v>1963</v>
      </c>
      <c r="E329" s="243">
        <v>10</v>
      </c>
      <c r="F329" s="243"/>
      <c r="G329" s="247"/>
      <c r="H329" s="267" t="s">
        <v>1453</v>
      </c>
      <c r="I329" s="248" t="s">
        <v>1443</v>
      </c>
      <c r="J329" s="246" t="str" cm="1">
        <f t="array" ref="J329">_xlfn.XLOOKUP(TRUE,ISNUMBER(SEARCH(" "&amp;Municipality[Municipality]&amp;" ",H_unit[[#This Row],[Info string]])),Municipality[Municipality],"")</f>
        <v>Janakkala</v>
      </c>
      <c r="K329" s="246" t="str" cm="1">
        <f t="array" ref="K329">IF(H_unit[[#This Row],[Exact]]&lt;&gt;"","",_xlfn.XLOOKUP(TRUE,ISNUMBER(SEARCH(" "&amp;Municipality[Municipality]&amp;"n ",H_unit[[#This Row],[Info string]])),Municipality[Municipality],""))</f>
        <v/>
      </c>
      <c r="L329" s="246"/>
      <c r="M329" s="244"/>
      <c r="N329" s="246" t="str">
        <f>_xlfn.TEXTJOIN("",TRUE,H_unit[[#This Row],[Exact]],H_unit[[#This Row],[Exact+n]],H_unit[[#This Row],[Copilot]])</f>
        <v>Janakkala</v>
      </c>
      <c r="O329" s="246" t="str">
        <f>_xlfn.XLOOKUP(H_unit[[#This Row],[Municipality]],Municipality[Municipality],Municipality[Model],"")</f>
        <v>South West</v>
      </c>
      <c r="P329" s="236"/>
    </row>
    <row r="330" spans="1:16">
      <c r="A330" s="238" t="s">
        <v>1839</v>
      </c>
      <c r="B330" s="238" t="s">
        <v>1843</v>
      </c>
      <c r="C330" s="240" t="str" cm="1">
        <f t="array" ref="C330">" "&amp;LOWER(_xlfn.REDUCE(H_unit[[#This Row],[Company]]&amp;" "&amp;H_unit[[#This Row],[Unit]],{",",".","(",")","/"},_xlfn.LAMBDA(_xlpm.txt,_xlpm.delim,SUBSTITUTE(_xlpm.txt,_xlpm.delim," "))))&amp;" "</f>
        <v xml:space="preserve"> loimua oy  hämeenlinna katuma </v>
      </c>
      <c r="D330" s="242">
        <v>1980</v>
      </c>
      <c r="E330" s="243">
        <v>10</v>
      </c>
      <c r="F330" s="243"/>
      <c r="G330" s="247"/>
      <c r="H330" s="267" t="s">
        <v>1430</v>
      </c>
      <c r="I330" s="248" t="s">
        <v>1141</v>
      </c>
      <c r="J330" s="246" t="str" cm="1">
        <f t="array" ref="J330">_xlfn.XLOOKUP(TRUE,ISNUMBER(SEARCH(" "&amp;Municipality[Municipality]&amp;" ",H_unit[[#This Row],[Info string]])),Municipality[Municipality],"")</f>
        <v>Hämeenlinna</v>
      </c>
      <c r="K330" s="246" t="str" cm="1">
        <f t="array" ref="K330">IF(H_unit[[#This Row],[Exact]]&lt;&gt;"","",_xlfn.XLOOKUP(TRUE,ISNUMBER(SEARCH(" "&amp;Municipality[Municipality]&amp;"n ",H_unit[[#This Row],[Info string]])),Municipality[Municipality],""))</f>
        <v/>
      </c>
      <c r="L330" s="246"/>
      <c r="M330" s="244"/>
      <c r="N330" s="246" t="str">
        <f>_xlfn.TEXTJOIN("",TRUE,H_unit[[#This Row],[Exact]],H_unit[[#This Row],[Exact+n]],H_unit[[#This Row],[Copilot]])</f>
        <v>Hämeenlinna</v>
      </c>
      <c r="O330" s="246" t="str">
        <f>_xlfn.XLOOKUP(H_unit[[#This Row],[Municipality]],Municipality[Municipality],Municipality[Model],"")</f>
        <v>South West</v>
      </c>
      <c r="P330" s="236"/>
    </row>
    <row r="331" spans="1:16">
      <c r="A331" s="238" t="s">
        <v>1415</v>
      </c>
      <c r="B331" s="238" t="s">
        <v>1419</v>
      </c>
      <c r="C331" s="240" t="str" cm="1">
        <f t="array" ref="C331">" "&amp;LOWER(_xlfn.REDUCE(H_unit[[#This Row],[Company]]&amp;" "&amp;H_unit[[#This Row],[Unit]],{",",".","(",")","/"},_xlfn.LAMBDA(_xlpm.txt,_xlpm.delim,SUBSTITUTE(_xlpm.txt,_xlpm.delim," "))))&amp;" "</f>
        <v xml:space="preserve"> adven oy  eura euran voimalaitos </v>
      </c>
      <c r="D331" s="242">
        <v>1981</v>
      </c>
      <c r="E331" s="243">
        <v>10</v>
      </c>
      <c r="F331" s="243"/>
      <c r="G331" s="247"/>
      <c r="H331" s="267" t="s">
        <v>1420</v>
      </c>
      <c r="I331" s="248" t="s">
        <v>1152</v>
      </c>
      <c r="J331" s="246" t="str" cm="1">
        <f t="array" ref="J331">_xlfn.XLOOKUP(TRUE,ISNUMBER(SEARCH(" "&amp;Municipality[Municipality]&amp;" ",H_unit[[#This Row],[Info string]])),Municipality[Municipality],"")</f>
        <v>Eura</v>
      </c>
      <c r="K331" s="246" t="str" cm="1">
        <f t="array" ref="K331">IF(H_unit[[#This Row],[Exact]]&lt;&gt;"","",_xlfn.XLOOKUP(TRUE,ISNUMBER(SEARCH(" "&amp;Municipality[Municipality]&amp;"n ",H_unit[[#This Row],[Info string]])),Municipality[Municipality],""))</f>
        <v/>
      </c>
      <c r="L331" s="246"/>
      <c r="M331" s="244"/>
      <c r="N331" s="246" t="str">
        <f>_xlfn.TEXTJOIN("",TRUE,H_unit[[#This Row],[Exact]],H_unit[[#This Row],[Exact+n]],H_unit[[#This Row],[Copilot]])</f>
        <v>Eura</v>
      </c>
      <c r="O331" s="246" t="str">
        <f>_xlfn.XLOOKUP(H_unit[[#This Row],[Municipality]],Municipality[Municipality],Municipality[Model],"")</f>
        <v>West</v>
      </c>
      <c r="P331" s="236"/>
    </row>
    <row r="332" spans="1:16">
      <c r="A332" s="238" t="s">
        <v>1934</v>
      </c>
      <c r="B332" s="238" t="s">
        <v>1935</v>
      </c>
      <c r="C332" s="240" t="str" cm="1">
        <f t="array" ref="C332">" "&amp;LOWER(_xlfn.REDUCE(H_unit[[#This Row],[Company]]&amp;" "&amp;H_unit[[#This Row],[Unit]],{",",".","(",")","/"},_xlfn.LAMBDA(_xlpm.txt,_xlpm.delim,SUBSTITUTE(_xlpm.txt,_xlpm.delim," "))))&amp;" "</f>
        <v xml:space="preserve"> nevel oy  ruovesi ruovesi pok </v>
      </c>
      <c r="D332" s="242">
        <v>1981</v>
      </c>
      <c r="E332" s="243">
        <v>10</v>
      </c>
      <c r="F332" s="243"/>
      <c r="G332" s="247"/>
      <c r="H332" s="267" t="s">
        <v>1418</v>
      </c>
      <c r="I332" s="248" t="s">
        <v>1141</v>
      </c>
      <c r="J332" s="246" t="str" cm="1">
        <f t="array" ref="J332">_xlfn.XLOOKUP(TRUE,ISNUMBER(SEARCH(" "&amp;Municipality[Municipality]&amp;" ",H_unit[[#This Row],[Info string]])),Municipality[Municipality],"")</f>
        <v>Ruovesi</v>
      </c>
      <c r="K332" s="246" t="str" cm="1">
        <f t="array" ref="K332">IF(H_unit[[#This Row],[Exact]]&lt;&gt;"","",_xlfn.XLOOKUP(TRUE,ISNUMBER(SEARCH(" "&amp;Municipality[Municipality]&amp;"n ",H_unit[[#This Row],[Info string]])),Municipality[Municipality],""))</f>
        <v/>
      </c>
      <c r="L332" s="246"/>
      <c r="M332" s="244"/>
      <c r="N332" s="246" t="str">
        <f>_xlfn.TEXTJOIN("",TRUE,H_unit[[#This Row],[Exact]],H_unit[[#This Row],[Exact+n]],H_unit[[#This Row],[Copilot]])</f>
        <v>Ruovesi</v>
      </c>
      <c r="O332" s="246" t="str">
        <f>_xlfn.XLOOKUP(H_unit[[#This Row],[Municipality]],Municipality[Municipality],Municipality[Model],"")</f>
        <v>Center</v>
      </c>
      <c r="P332" s="236"/>
    </row>
    <row r="333" spans="1:16">
      <c r="A333" s="238" t="s">
        <v>2077</v>
      </c>
      <c r="B333" s="238" t="s">
        <v>2079</v>
      </c>
      <c r="C333" s="240" t="str" cm="1">
        <f t="array" ref="C333">" "&amp;LOWER(_xlfn.REDUCE(H_unit[[#This Row],[Company]]&amp;" "&amp;H_unit[[#This Row],[Unit]],{",",".","(",")","/"},_xlfn.LAMBDA(_xlpm.txt,_xlpm.delim,SUBSTITUTE(_xlpm.txt,_xlpm.delim," "))))&amp;" "</f>
        <v xml:space="preserve"> rauman energia oy kaivopuisto </v>
      </c>
      <c r="D333" s="242">
        <v>1982</v>
      </c>
      <c r="E333" s="243">
        <v>10</v>
      </c>
      <c r="F333" s="243"/>
      <c r="G333" s="247"/>
      <c r="H333" s="267" t="s">
        <v>1430</v>
      </c>
      <c r="I333" s="248" t="s">
        <v>1141</v>
      </c>
      <c r="J333" s="246" t="str" cm="1">
        <f t="array" ref="J333">_xlfn.XLOOKUP(TRUE,ISNUMBER(SEARCH(" "&amp;Municipality[Municipality]&amp;" ",H_unit[[#This Row],[Info string]])),Municipality[Municipality],"")</f>
        <v>Rauman</v>
      </c>
      <c r="K333" s="246" t="str" cm="1">
        <f t="array" ref="K333">IF(H_unit[[#This Row],[Exact]]&lt;&gt;"","",_xlfn.XLOOKUP(TRUE,ISNUMBER(SEARCH(" "&amp;Municipality[Municipality]&amp;"n ",H_unit[[#This Row],[Info string]])),Municipality[Municipality],""))</f>
        <v/>
      </c>
      <c r="L333" s="246"/>
      <c r="M333" s="244"/>
      <c r="N333" s="246" t="str">
        <f>_xlfn.TEXTJOIN("",TRUE,H_unit[[#This Row],[Exact]],H_unit[[#This Row],[Exact+n]],H_unit[[#This Row],[Copilot]])</f>
        <v>Rauman</v>
      </c>
      <c r="O333" s="246" t="str">
        <f>_xlfn.XLOOKUP(H_unit[[#This Row],[Municipality]],Municipality[Municipality],Municipality[Model],"")</f>
        <v>West</v>
      </c>
      <c r="P333" s="236"/>
    </row>
    <row r="334" spans="1:16">
      <c r="A334" s="238" t="s">
        <v>1776</v>
      </c>
      <c r="B334" s="238" t="s">
        <v>1778</v>
      </c>
      <c r="C334" s="240" t="str" cm="1">
        <f t="array" ref="C334">" "&amp;LOWER(_xlfn.REDUCE(H_unit[[#This Row],[Company]]&amp;" "&amp;H_unit[[#This Row],[Unit]],{",",".","(",")","/"},_xlfn.LAMBDA(_xlpm.txt,_xlpm.delim,SUBSTITUTE(_xlpm.txt,_xlpm.delim," "))))&amp;" "</f>
        <v xml:space="preserve"> lempeä lämpö oy  savonlinna kaikuvuori 1 </v>
      </c>
      <c r="D334" s="242">
        <v>1983</v>
      </c>
      <c r="E334" s="243">
        <v>10</v>
      </c>
      <c r="F334" s="243"/>
      <c r="G334" s="247"/>
      <c r="H334" s="267" t="s">
        <v>1430</v>
      </c>
      <c r="I334" s="248" t="s">
        <v>1141</v>
      </c>
      <c r="J334" s="246" t="str" cm="1">
        <f t="array" ref="J334">_xlfn.XLOOKUP(TRUE,ISNUMBER(SEARCH(" "&amp;Municipality[Municipality]&amp;" ",H_unit[[#This Row],[Info string]])),Municipality[Municipality],"")</f>
        <v>Savonlinna</v>
      </c>
      <c r="K334" s="246" t="str" cm="1">
        <f t="array" ref="K334">IF(H_unit[[#This Row],[Exact]]&lt;&gt;"","",_xlfn.XLOOKUP(TRUE,ISNUMBER(SEARCH(" "&amp;Municipality[Municipality]&amp;"n ",H_unit[[#This Row],[Info string]])),Municipality[Municipality],""))</f>
        <v/>
      </c>
      <c r="L334" s="246"/>
      <c r="M334" s="244"/>
      <c r="N334" s="246" t="str">
        <f>_xlfn.TEXTJOIN("",TRUE,H_unit[[#This Row],[Exact]],H_unit[[#This Row],[Exact+n]],H_unit[[#This Row],[Copilot]])</f>
        <v>Savonlinna</v>
      </c>
      <c r="O334" s="246" t="str">
        <f>_xlfn.XLOOKUP(H_unit[[#This Row],[Municipality]],Municipality[Municipality],Municipality[Model],"")</f>
        <v>East</v>
      </c>
      <c r="P334" s="236"/>
    </row>
    <row r="335" spans="1:16">
      <c r="A335" s="238" t="s">
        <v>1776</v>
      </c>
      <c r="B335" s="238" t="s">
        <v>1779</v>
      </c>
      <c r="C335" s="240" t="str" cm="1">
        <f t="array" ref="C335">" "&amp;LOWER(_xlfn.REDUCE(H_unit[[#This Row],[Company]]&amp;" "&amp;H_unit[[#This Row],[Unit]],{",",".","(",")","/"},_xlfn.LAMBDA(_xlpm.txt,_xlpm.delim,SUBSTITUTE(_xlpm.txt,_xlpm.delim," "))))&amp;" "</f>
        <v xml:space="preserve"> lempeä lämpö oy  savonlinna kaikuvuori 2 </v>
      </c>
      <c r="D335" s="242">
        <v>1988</v>
      </c>
      <c r="E335" s="243">
        <v>10</v>
      </c>
      <c r="F335" s="243"/>
      <c r="G335" s="247"/>
      <c r="H335" s="267" t="s">
        <v>1430</v>
      </c>
      <c r="I335" s="248" t="s">
        <v>1141</v>
      </c>
      <c r="J335" s="246" t="str" cm="1">
        <f t="array" ref="J335">_xlfn.XLOOKUP(TRUE,ISNUMBER(SEARCH(" "&amp;Municipality[Municipality]&amp;" ",H_unit[[#This Row],[Info string]])),Municipality[Municipality],"")</f>
        <v>Savonlinna</v>
      </c>
      <c r="K335" s="246" t="str" cm="1">
        <f t="array" ref="K335">IF(H_unit[[#This Row],[Exact]]&lt;&gt;"","",_xlfn.XLOOKUP(TRUE,ISNUMBER(SEARCH(" "&amp;Municipality[Municipality]&amp;"n ",H_unit[[#This Row],[Info string]])),Municipality[Municipality],""))</f>
        <v/>
      </c>
      <c r="L335" s="246"/>
      <c r="M335" s="244"/>
      <c r="N335" s="246" t="str">
        <f>_xlfn.TEXTJOIN("",TRUE,H_unit[[#This Row],[Exact]],H_unit[[#This Row],[Exact+n]],H_unit[[#This Row],[Copilot]])</f>
        <v>Savonlinna</v>
      </c>
      <c r="O335" s="246" t="str">
        <f>_xlfn.XLOOKUP(H_unit[[#This Row],[Municipality]],Municipality[Municipality],Municipality[Model],"")</f>
        <v>East</v>
      </c>
      <c r="P335" s="236"/>
    </row>
    <row r="336" spans="1:16">
      <c r="A336" s="238" t="s">
        <v>1426</v>
      </c>
      <c r="B336" s="238" t="s">
        <v>1429</v>
      </c>
      <c r="C336" s="240" t="str" cm="1">
        <f t="array" ref="C336">" "&amp;LOWER(_xlfn.REDUCE(H_unit[[#This Row],[Company]]&amp;" "&amp;H_unit[[#This Row],[Unit]],{",",".","(",")","/"},_xlfn.LAMBDA(_xlpm.txt,_xlpm.delim,SUBSTITUTE(_xlpm.txt,_xlpm.delim," "))))&amp;" "</f>
        <v xml:space="preserve"> adven oy  huittinen huittinen </v>
      </c>
      <c r="D336" s="242">
        <v>1990</v>
      </c>
      <c r="E336" s="243">
        <v>10</v>
      </c>
      <c r="F336" s="243"/>
      <c r="G336" s="247"/>
      <c r="H336" s="267" t="s">
        <v>1430</v>
      </c>
      <c r="I336" s="248" t="s">
        <v>1141</v>
      </c>
      <c r="J336" s="246" t="str" cm="1">
        <f t="array" ref="J336">_xlfn.XLOOKUP(TRUE,ISNUMBER(SEARCH(" "&amp;Municipality[Municipality]&amp;" ",H_unit[[#This Row],[Info string]])),Municipality[Municipality],"")</f>
        <v>Huittinen</v>
      </c>
      <c r="K336" s="246" t="str" cm="1">
        <f t="array" ref="K336">IF(H_unit[[#This Row],[Exact]]&lt;&gt;"","",_xlfn.XLOOKUP(TRUE,ISNUMBER(SEARCH(" "&amp;Municipality[Municipality]&amp;"n ",H_unit[[#This Row],[Info string]])),Municipality[Municipality],""))</f>
        <v/>
      </c>
      <c r="L336" s="246"/>
      <c r="M336" s="244"/>
      <c r="N336" s="246" t="str">
        <f>_xlfn.TEXTJOIN("",TRUE,H_unit[[#This Row],[Exact]],H_unit[[#This Row],[Exact+n]],H_unit[[#This Row],[Copilot]])</f>
        <v>Huittinen</v>
      </c>
      <c r="O336" s="246" t="str">
        <f>_xlfn.XLOOKUP(H_unit[[#This Row],[Municipality]],Municipality[Municipality],Municipality[Model],"")</f>
        <v>West</v>
      </c>
      <c r="P336" s="236"/>
    </row>
    <row r="337" spans="1:16">
      <c r="A337" s="238" t="s">
        <v>2113</v>
      </c>
      <c r="B337" s="238" t="s">
        <v>2121</v>
      </c>
      <c r="C337" s="240" t="str" cm="1">
        <f t="array" ref="C337">" "&amp;LOWER(_xlfn.REDUCE(H_unit[[#This Row],[Company]]&amp;" "&amp;H_unit[[#This Row],[Unit]],{",",".","(",")","/"},_xlfn.LAMBDA(_xlpm.txt,_xlpm.delim,SUBSTITUTE(_xlpm.txt,_xlpm.delim," "))))&amp;" "</f>
        <v xml:space="preserve"> savon voima oyj  joensuu pyro-hob </v>
      </c>
      <c r="D337" s="242">
        <v>1998</v>
      </c>
      <c r="E337" s="243">
        <v>10</v>
      </c>
      <c r="F337" s="243"/>
      <c r="G337" s="247"/>
      <c r="H337" s="267" t="s">
        <v>2122</v>
      </c>
      <c r="I337" s="248" t="s">
        <v>1141</v>
      </c>
      <c r="J337" s="246" t="str" cm="1">
        <f t="array" ref="J337">_xlfn.XLOOKUP(TRUE,ISNUMBER(SEARCH(" "&amp;Municipality[Municipality]&amp;" ",H_unit[[#This Row],[Info string]])),Municipality[Municipality],"")</f>
        <v>Joensuu</v>
      </c>
      <c r="K337" s="246" t="str" cm="1">
        <f t="array" ref="K337">IF(H_unit[[#This Row],[Exact]]&lt;&gt;"","",_xlfn.XLOOKUP(TRUE,ISNUMBER(SEARCH(" "&amp;Municipality[Municipality]&amp;"n ",H_unit[[#This Row],[Info string]])),Municipality[Municipality],""))</f>
        <v/>
      </c>
      <c r="L337" s="246"/>
      <c r="M337" s="244"/>
      <c r="N337" s="246" t="str">
        <f>_xlfn.TEXTJOIN("",TRUE,H_unit[[#This Row],[Exact]],H_unit[[#This Row],[Exact+n]],H_unit[[#This Row],[Copilot]])</f>
        <v>Joensuu</v>
      </c>
      <c r="O337" s="246" t="str">
        <f>_xlfn.XLOOKUP(H_unit[[#This Row],[Municipality]],Municipality[Municipality],Municipality[Model],"")</f>
        <v>East</v>
      </c>
      <c r="P337" s="236"/>
    </row>
    <row r="338" spans="1:16">
      <c r="A338" s="238" t="s">
        <v>1543</v>
      </c>
      <c r="B338" s="238" t="s">
        <v>1544</v>
      </c>
      <c r="C338" s="240" t="str" cm="1">
        <f t="array" ref="C338">" "&amp;LOWER(_xlfn.REDUCE(H_unit[[#This Row],[Company]]&amp;" "&amp;H_unit[[#This Row],[Unit]],{",",".","(",")","/"},_xlfn.LAMBDA(_xlpm.txt,_xlpm.delim,SUBSTITUTE(_xlpm.txt,_xlpm.delim," "))))&amp;" "</f>
        <v xml:space="preserve"> inergia lämpö oy ivalo </v>
      </c>
      <c r="D338" s="242">
        <v>2000</v>
      </c>
      <c r="E338" s="243">
        <v>10</v>
      </c>
      <c r="F338" s="243"/>
      <c r="G338" s="247"/>
      <c r="H338" s="267" t="s">
        <v>1423</v>
      </c>
      <c r="I338" s="248" t="s">
        <v>1143</v>
      </c>
      <c r="J338" s="246" t="str" cm="1">
        <f t="array" ref="J338">_xlfn.XLOOKUP(TRUE,ISNUMBER(SEARCH(" "&amp;Municipality[Municipality]&amp;" ",H_unit[[#This Row],[Info string]])),Municipality[Municipality],"")</f>
        <v/>
      </c>
      <c r="K338" s="246" t="str" cm="1">
        <f t="array" ref="K338">IF(H_unit[[#This Row],[Exact]]&lt;&gt;"","",_xlfn.XLOOKUP(TRUE,ISNUMBER(SEARCH(" "&amp;Municipality[Municipality]&amp;"n ",H_unit[[#This Row],[Info string]])),Municipality[Municipality],""))</f>
        <v/>
      </c>
      <c r="L338" s="246" t="s">
        <v>1546</v>
      </c>
      <c r="M338" s="244" t="s">
        <v>2913</v>
      </c>
      <c r="N338" s="246" t="str">
        <f>_xlfn.TEXTJOIN("",TRUE,H_unit[[#This Row],[Exact]],H_unit[[#This Row],[Exact+n]],H_unit[[#This Row],[Copilot]])</f>
        <v>Inari</v>
      </c>
      <c r="O338" s="246" t="str">
        <f>_xlfn.XLOOKUP(H_unit[[#This Row],[Municipality]],Municipality[Municipality],Municipality[Model],"")</f>
        <v>North</v>
      </c>
      <c r="P338" s="236"/>
    </row>
    <row r="339" spans="1:16">
      <c r="A339" s="238" t="s">
        <v>1728</v>
      </c>
      <c r="B339" s="238" t="s">
        <v>1731</v>
      </c>
      <c r="C339" s="240" t="str" cm="1">
        <f t="array" ref="C339">" "&amp;LOWER(_xlfn.REDUCE(H_unit[[#This Row],[Company]]&amp;" "&amp;H_unit[[#This Row],[Unit]],{",",".","(",")","/"},_xlfn.LAMBDA(_xlpm.txt,_xlpm.delim,SUBSTITUTE(_xlpm.txt,_xlpm.delim," "))))&amp;" "</f>
        <v xml:space="preserve"> lahti energia oy  lahti hartwall </v>
      </c>
      <c r="D339" s="242">
        <v>2001</v>
      </c>
      <c r="E339" s="243">
        <v>10</v>
      </c>
      <c r="F339" s="243"/>
      <c r="G339" s="247"/>
      <c r="H339" s="267" t="s">
        <v>1453</v>
      </c>
      <c r="I339" s="248" t="s">
        <v>1142</v>
      </c>
      <c r="J339" s="246" t="str" cm="1">
        <f t="array" ref="J339">_xlfn.XLOOKUP(TRUE,ISNUMBER(SEARCH(" "&amp;Municipality[Municipality]&amp;" ",H_unit[[#This Row],[Info string]])),Municipality[Municipality],"")</f>
        <v>Lahti</v>
      </c>
      <c r="K339" s="246" t="str" cm="1">
        <f t="array" ref="K339">IF(H_unit[[#This Row],[Exact]]&lt;&gt;"","",_xlfn.XLOOKUP(TRUE,ISNUMBER(SEARCH(" "&amp;Municipality[Municipality]&amp;"n ",H_unit[[#This Row],[Info string]])),Municipality[Municipality],""))</f>
        <v/>
      </c>
      <c r="L339" s="246"/>
      <c r="M339" s="244"/>
      <c r="N339" s="246" t="str">
        <f>_xlfn.TEXTJOIN("",TRUE,H_unit[[#This Row],[Exact]],H_unit[[#This Row],[Exact+n]],H_unit[[#This Row],[Copilot]])</f>
        <v>Lahti</v>
      </c>
      <c r="O339" s="246" t="str">
        <f>_xlfn.XLOOKUP(H_unit[[#This Row],[Municipality]],Municipality[Municipality],Municipality[Model],"")</f>
        <v>South East</v>
      </c>
      <c r="P339" s="236"/>
    </row>
    <row r="340" spans="1:16">
      <c r="A340" s="238" t="s">
        <v>2422</v>
      </c>
      <c r="B340" s="238" t="s">
        <v>2424</v>
      </c>
      <c r="C340" s="240" t="str" cm="1">
        <f t="array" ref="C340">" "&amp;LOWER(_xlfn.REDUCE(H_unit[[#This Row],[Company]]&amp;" "&amp;H_unit[[#This Row],[Unit]],{",",".","(",")","/"},_xlfn.LAMBDA(_xlpm.txt,_xlpm.delim,SUBSTITUTE(_xlpm.txt,_xlpm.delim," "))))&amp;" "</f>
        <v xml:space="preserve"> versowood oy 10 mw biokattila </v>
      </c>
      <c r="D340" s="242">
        <v>2001</v>
      </c>
      <c r="E340" s="243">
        <v>10</v>
      </c>
      <c r="F340" s="243"/>
      <c r="G340" s="247"/>
      <c r="H340" s="267" t="s">
        <v>1439</v>
      </c>
      <c r="I340" s="248" t="s">
        <v>1143</v>
      </c>
      <c r="J340" s="246" t="str" cm="1">
        <f t="array" ref="J340">_xlfn.XLOOKUP(TRUE,ISNUMBER(SEARCH(" "&amp;Municipality[Municipality]&amp;" ",H_unit[[#This Row],[Info string]])),Municipality[Municipality],"")</f>
        <v/>
      </c>
      <c r="K340" s="246" t="str" cm="1">
        <f t="array" ref="K340">IF(H_unit[[#This Row],[Exact]]&lt;&gt;"","",_xlfn.XLOOKUP(TRUE,ISNUMBER(SEARCH(" "&amp;Municipality[Municipality]&amp;"n ",H_unit[[#This Row],[Info string]])),Municipality[Municipality],""))</f>
        <v/>
      </c>
      <c r="L340" s="246"/>
      <c r="M340" s="244"/>
      <c r="N340" s="246" t="str">
        <f>_xlfn.TEXTJOIN("",TRUE,H_unit[[#This Row],[Exact]],H_unit[[#This Row],[Exact+n]],H_unit[[#This Row],[Copilot]])</f>
        <v/>
      </c>
      <c r="O340" s="246" t="str">
        <f>_xlfn.XLOOKUP(H_unit[[#This Row],[Municipality]],Municipality[Municipality],Municipality[Model],"")</f>
        <v/>
      </c>
      <c r="P340" s="236"/>
    </row>
    <row r="341" spans="1:16">
      <c r="A341" s="238" t="s">
        <v>1978</v>
      </c>
      <c r="B341" s="238" t="s">
        <v>1981</v>
      </c>
      <c r="C341" s="240" t="str" cm="1">
        <f t="array" ref="C341">" "&amp;LOWER(_xlfn.REDUCE(H_unit[[#This Row],[Company]]&amp;" "&amp;H_unit[[#This Row],[Unit]],{",",".","(",")","/"},_xlfn.LAMBDA(_xlpm.txt,_xlpm.delim,SUBSTITUTE(_xlpm.txt,_xlpm.delim," "))))&amp;" "</f>
        <v xml:space="preserve"> nurmijärven sähkö oy kirkonkylä kpa-kattila </v>
      </c>
      <c r="D341" s="242">
        <v>2002</v>
      </c>
      <c r="E341" s="243">
        <v>10</v>
      </c>
      <c r="F341" s="243"/>
      <c r="G341" s="247"/>
      <c r="H341" s="267" t="s">
        <v>1423</v>
      </c>
      <c r="I341" s="248" t="s">
        <v>1143</v>
      </c>
      <c r="J341" s="246" t="str" cm="1">
        <f t="array" ref="J341">_xlfn.XLOOKUP(TRUE,ISNUMBER(SEARCH(" "&amp;Municipality[Municipality]&amp;" ",H_unit[[#This Row],[Info string]])),Municipality[Municipality],"")</f>
        <v/>
      </c>
      <c r="K341" s="246" t="str" cm="1">
        <f t="array" ref="K341">IF(H_unit[[#This Row],[Exact]]&lt;&gt;"","",_xlfn.XLOOKUP(TRUE,ISNUMBER(SEARCH(" "&amp;Municipality[Municipality]&amp;"n ",H_unit[[#This Row],[Info string]])),Municipality[Municipality],""))</f>
        <v/>
      </c>
      <c r="L341" s="246" t="s">
        <v>2695</v>
      </c>
      <c r="M341" s="244" t="s">
        <v>2905</v>
      </c>
      <c r="N341" s="246" t="str">
        <f>_xlfn.TEXTJOIN("",TRUE,H_unit[[#This Row],[Exact]],H_unit[[#This Row],[Exact+n]],H_unit[[#This Row],[Copilot]])</f>
        <v>Nurmijärvi</v>
      </c>
      <c r="O341" s="246" t="str">
        <f>_xlfn.XLOOKUP(H_unit[[#This Row],[Municipality]],Municipality[Municipality],Municipality[Model],"")</f>
        <v>Uusimaa</v>
      </c>
      <c r="P341" s="236"/>
    </row>
    <row r="342" spans="1:16">
      <c r="A342" s="238" t="s">
        <v>2157</v>
      </c>
      <c r="B342" s="238" t="s">
        <v>2159</v>
      </c>
      <c r="C342" s="240" t="str" cm="1">
        <f t="array" ref="C342">" "&amp;LOWER(_xlfn.REDUCE(H_unit[[#This Row],[Company]]&amp;" "&amp;H_unit[[#This Row],[Unit]],{",",".","(",")","/"},_xlfn.LAMBDA(_xlpm.txt,_xlpm.delim,SUBSTITUTE(_xlpm.txt,_xlpm.delim," "))))&amp;" "</f>
        <v xml:space="preserve"> savon voima oyj  siilinjärvi lk31 siilinjärven biolk </v>
      </c>
      <c r="D342" s="242">
        <v>2002</v>
      </c>
      <c r="E342" s="243">
        <v>10</v>
      </c>
      <c r="F342" s="243"/>
      <c r="G342" s="247"/>
      <c r="H342" s="267" t="s">
        <v>1423</v>
      </c>
      <c r="I342" s="248" t="s">
        <v>1143</v>
      </c>
      <c r="J342" s="246" t="str" cm="1">
        <f t="array" ref="J342">_xlfn.XLOOKUP(TRUE,ISNUMBER(SEARCH(" "&amp;Municipality[Municipality]&amp;" ",H_unit[[#This Row],[Info string]])),Municipality[Municipality],"")</f>
        <v>Siilinjärvi</v>
      </c>
      <c r="K342" s="246" t="str" cm="1">
        <f t="array" ref="K342">IF(H_unit[[#This Row],[Exact]]&lt;&gt;"","",_xlfn.XLOOKUP(TRUE,ISNUMBER(SEARCH(" "&amp;Municipality[Municipality]&amp;"n ",H_unit[[#This Row],[Info string]])),Municipality[Municipality],""))</f>
        <v/>
      </c>
      <c r="L342" s="246"/>
      <c r="M342" s="244"/>
      <c r="N342" s="246" t="str">
        <f>_xlfn.TEXTJOIN("",TRUE,H_unit[[#This Row],[Exact]],H_unit[[#This Row],[Exact+n]],H_unit[[#This Row],[Copilot]])</f>
        <v>Siilinjärvi</v>
      </c>
      <c r="O342" s="246" t="str">
        <f>_xlfn.XLOOKUP(H_unit[[#This Row],[Municipality]],Municipality[Municipality],Municipality[Model],"")</f>
        <v>East</v>
      </c>
      <c r="P342" s="236"/>
    </row>
    <row r="343" spans="1:16">
      <c r="A343" s="238" t="s">
        <v>1879</v>
      </c>
      <c r="B343" s="238" t="s">
        <v>1880</v>
      </c>
      <c r="C343" s="240" t="str" cm="1">
        <f t="array" ref="C343">" "&amp;LOWER(_xlfn.REDUCE(H_unit[[#This Row],[Company]]&amp;" "&amp;H_unit[[#This Row],[Unit]],{",",".","(",")","/"},_xlfn.LAMBDA(_xlpm.txt,_xlpm.delim,SUBSTITUTE(_xlpm.txt,_xlpm.delim," "))))&amp;" "</f>
        <v xml:space="preserve"> loviisan lämpö oy  loviisa  pornainen  pukkila  pyhtää urakoitsijantie tlk </v>
      </c>
      <c r="D343" s="242">
        <v>2003</v>
      </c>
      <c r="E343" s="243">
        <v>10</v>
      </c>
      <c r="F343" s="243"/>
      <c r="G343" s="247"/>
      <c r="H343" s="267" t="s">
        <v>1430</v>
      </c>
      <c r="I343" s="248" t="s">
        <v>1141</v>
      </c>
      <c r="J343" s="246" t="str" cm="1">
        <f t="array" ref="J343">_xlfn.XLOOKUP(TRUE,ISNUMBER(SEARCH(" "&amp;Municipality[Municipality]&amp;" ",H_unit[[#This Row],[Info string]])),Municipality[Municipality],"")</f>
        <v>Pornainen</v>
      </c>
      <c r="K343" s="246" t="str" cm="1">
        <f t="array" ref="K343">IF(H_unit[[#This Row],[Exact]]&lt;&gt;"","",_xlfn.XLOOKUP(TRUE,ISNUMBER(SEARCH(" "&amp;Municipality[Municipality]&amp;"n ",H_unit[[#This Row],[Info string]])),Municipality[Municipality],""))</f>
        <v/>
      </c>
      <c r="L343" s="246"/>
      <c r="M343" s="244"/>
      <c r="N343" s="246" t="str">
        <f>_xlfn.TEXTJOIN("",TRUE,H_unit[[#This Row],[Exact]],H_unit[[#This Row],[Exact+n]],H_unit[[#This Row],[Copilot]])</f>
        <v>Pornainen</v>
      </c>
      <c r="O343" s="246" t="str">
        <f>_xlfn.XLOOKUP(H_unit[[#This Row],[Municipality]],Municipality[Municipality],Municipality[Model],"")</f>
        <v>Uusimaa</v>
      </c>
      <c r="P343" s="236"/>
    </row>
    <row r="344" spans="1:16">
      <c r="A344" s="238" t="s">
        <v>2253</v>
      </c>
      <c r="B344" s="238" t="s">
        <v>2255</v>
      </c>
      <c r="C344" s="240" t="str" cm="1">
        <f t="array" ref="C344">" "&amp;LOWER(_xlfn.REDUCE(H_unit[[#This Row],[Company]]&amp;" "&amp;H_unit[[#This Row],[Unit]],{",",".","(",")","/"},_xlfn.LAMBDA(_xlpm.txt,_xlpm.delim,SUBSTITUTE(_xlpm.txt,_xlpm.delim," "))))&amp;" "</f>
        <v xml:space="preserve"> vsv energia oy hakametsä </v>
      </c>
      <c r="D344" s="242">
        <v>2003</v>
      </c>
      <c r="E344" s="243">
        <v>10</v>
      </c>
      <c r="F344" s="243"/>
      <c r="G344" s="247"/>
      <c r="H344" s="267" t="s">
        <v>1418</v>
      </c>
      <c r="I344" s="248" t="s">
        <v>1141</v>
      </c>
      <c r="J344" s="246" t="str" cm="1">
        <f t="array" ref="J344">_xlfn.XLOOKUP(TRUE,ISNUMBER(SEARCH(" "&amp;Municipality[Municipality]&amp;" ",H_unit[[#This Row],[Info string]])),Municipality[Municipality],"")</f>
        <v/>
      </c>
      <c r="K344" s="246" t="str" cm="1">
        <f t="array" ref="K344">IF(H_unit[[#This Row],[Exact]]&lt;&gt;"","",_xlfn.XLOOKUP(TRUE,ISNUMBER(SEARCH(" "&amp;Municipality[Municipality]&amp;"n ",H_unit[[#This Row],[Info string]])),Municipality[Municipality],""))</f>
        <v/>
      </c>
      <c r="L344" s="246" t="s">
        <v>955</v>
      </c>
      <c r="M344" s="244" t="s">
        <v>2899</v>
      </c>
      <c r="N344" s="246" t="str">
        <f>_xlfn.TEXTJOIN("",TRUE,H_unit[[#This Row],[Exact]],H_unit[[#This Row],[Exact+n]],H_unit[[#This Row],[Copilot]])</f>
        <v>Uusikaupunki</v>
      </c>
      <c r="O344" s="246" t="str">
        <f>_xlfn.XLOOKUP(H_unit[[#This Row],[Municipality]],Municipality[Municipality],Municipality[Model],"")</f>
        <v>South West</v>
      </c>
      <c r="P344" s="236"/>
    </row>
    <row r="345" spans="1:16">
      <c r="A345" s="238" t="s">
        <v>1612</v>
      </c>
      <c r="B345" s="238" t="s">
        <v>1617</v>
      </c>
      <c r="C345" s="240" t="str" cm="1">
        <f t="array" ref="C345">" "&amp;LOWER(_xlfn.REDUCE(H_unit[[#This Row],[Company]]&amp;" "&amp;H_unit[[#This Row],[Unit]],{",",".","(",")","/"},_xlfn.LAMBDA(_xlpm.txt,_xlpm.delim,SUBSTITUTE(_xlpm.txt,_xlpm.delim," "))))&amp;" "</f>
        <v xml:space="preserve"> keravan energia oy  kerava kannisto </v>
      </c>
      <c r="D345" s="242">
        <v>2004</v>
      </c>
      <c r="E345" s="243">
        <v>10</v>
      </c>
      <c r="F345" s="243"/>
      <c r="G345" s="247"/>
      <c r="H345" s="267" t="s">
        <v>1453</v>
      </c>
      <c r="I345" s="248" t="s">
        <v>1142</v>
      </c>
      <c r="J345" s="246" t="str" cm="1">
        <f t="array" ref="J345">_xlfn.XLOOKUP(TRUE,ISNUMBER(SEARCH(" "&amp;Municipality[Municipality]&amp;" ",H_unit[[#This Row],[Info string]])),Municipality[Municipality],"")</f>
        <v>Kerava</v>
      </c>
      <c r="K345" s="246" t="str" cm="1">
        <f t="array" ref="K345">IF(H_unit[[#This Row],[Exact]]&lt;&gt;"","",_xlfn.XLOOKUP(TRUE,ISNUMBER(SEARCH(" "&amp;Municipality[Municipality]&amp;"n ",H_unit[[#This Row],[Info string]])),Municipality[Municipality],""))</f>
        <v/>
      </c>
      <c r="L345" s="246"/>
      <c r="M345" s="244"/>
      <c r="N345" s="246" t="str">
        <f>_xlfn.TEXTJOIN("",TRUE,H_unit[[#This Row],[Exact]],H_unit[[#This Row],[Exact+n]],H_unit[[#This Row],[Copilot]])</f>
        <v>Kerava</v>
      </c>
      <c r="O345" s="246" t="str">
        <f>_xlfn.XLOOKUP(H_unit[[#This Row],[Municipality]],Municipality[Municipality],Municipality[Model],"")</f>
        <v>Uusimaa</v>
      </c>
      <c r="P345" s="236"/>
    </row>
    <row r="346" spans="1:16">
      <c r="A346" s="238" t="s">
        <v>2077</v>
      </c>
      <c r="B346" s="238" t="s">
        <v>2083</v>
      </c>
      <c r="C346" s="240" t="str" cm="1">
        <f t="array" ref="C346">" "&amp;LOWER(_xlfn.REDUCE(H_unit[[#This Row],[Company]]&amp;" "&amp;H_unit[[#This Row],[Unit]],{",",".","(",")","/"},_xlfn.LAMBDA(_xlpm.txt,_xlpm.delim,SUBSTITUTE(_xlpm.txt,_xlpm.delim," "))))&amp;" "</f>
        <v xml:space="preserve"> rauman energia oy satama </v>
      </c>
      <c r="D346" s="242">
        <v>2004</v>
      </c>
      <c r="E346" s="243">
        <v>10</v>
      </c>
      <c r="F346" s="243"/>
      <c r="G346" s="247"/>
      <c r="H346" s="267" t="s">
        <v>1430</v>
      </c>
      <c r="I346" s="248" t="s">
        <v>1141</v>
      </c>
      <c r="J346" s="246" t="str" cm="1">
        <f t="array" ref="J346">_xlfn.XLOOKUP(TRUE,ISNUMBER(SEARCH(" "&amp;Municipality[Municipality]&amp;" ",H_unit[[#This Row],[Info string]])),Municipality[Municipality],"")</f>
        <v>Rauman</v>
      </c>
      <c r="K346" s="246" t="str" cm="1">
        <f t="array" ref="K346">IF(H_unit[[#This Row],[Exact]]&lt;&gt;"","",_xlfn.XLOOKUP(TRUE,ISNUMBER(SEARCH(" "&amp;Municipality[Municipality]&amp;"n ",H_unit[[#This Row],[Info string]])),Municipality[Municipality],""))</f>
        <v/>
      </c>
      <c r="L346" s="246"/>
      <c r="M346" s="244"/>
      <c r="N346" s="246" t="str">
        <f>_xlfn.TEXTJOIN("",TRUE,H_unit[[#This Row],[Exact]],H_unit[[#This Row],[Exact+n]],H_unit[[#This Row],[Copilot]])</f>
        <v>Rauman</v>
      </c>
      <c r="O346" s="246" t="str">
        <f>_xlfn.XLOOKUP(H_unit[[#This Row],[Municipality]],Municipality[Municipality],Municipality[Model],"")</f>
        <v>West</v>
      </c>
      <c r="P346" s="236"/>
    </row>
    <row r="347" spans="1:16">
      <c r="A347" s="238" t="s">
        <v>1824</v>
      </c>
      <c r="B347" s="238" t="s">
        <v>1516</v>
      </c>
      <c r="C347" s="240" t="str" cm="1">
        <f t="array" ref="C347">" "&amp;LOWER(_xlfn.REDUCE(H_unit[[#This Row],[Company]]&amp;" "&amp;H_unit[[#This Row],[Unit]],{",",".","(",")","/"},_xlfn.LAMBDA(_xlpm.txt,_xlpm.delim,SUBSTITUTE(_xlpm.txt,_xlpm.delim," "))))&amp;" "</f>
        <v xml:space="preserve"> loimaan kaukolämpö oy kpa-laitos </v>
      </c>
      <c r="D347" s="242">
        <v>2005</v>
      </c>
      <c r="E347" s="243">
        <v>10</v>
      </c>
      <c r="F347" s="243"/>
      <c r="G347" s="247"/>
      <c r="H347" s="267" t="s">
        <v>1439</v>
      </c>
      <c r="I347" s="248" t="s">
        <v>1143</v>
      </c>
      <c r="J347" s="246" t="str" cm="1">
        <f t="array" ref="J347">_xlfn.XLOOKUP(TRUE,ISNUMBER(SEARCH(" "&amp;Municipality[Municipality]&amp;" ",H_unit[[#This Row],[Info string]])),Municipality[Municipality],"")</f>
        <v/>
      </c>
      <c r="K347" s="246" t="str" cm="1">
        <f t="array" ref="K347">IF(H_unit[[#This Row],[Exact]]&lt;&gt;"","",_xlfn.XLOOKUP(TRUE,ISNUMBER(SEARCH(" "&amp;Municipality[Municipality]&amp;"n ",H_unit[[#This Row],[Info string]])),Municipality[Municipality],""))</f>
        <v>Loimaa</v>
      </c>
      <c r="L347" s="246"/>
      <c r="M347" s="244"/>
      <c r="N347" s="246" t="str">
        <f>_xlfn.TEXTJOIN("",TRUE,H_unit[[#This Row],[Exact]],H_unit[[#This Row],[Exact+n]],H_unit[[#This Row],[Copilot]])</f>
        <v>Loimaa</v>
      </c>
      <c r="O347" s="246" t="str">
        <f>_xlfn.XLOOKUP(H_unit[[#This Row],[Municipality]],Municipality[Municipality],Municipality[Model],"")</f>
        <v>South West</v>
      </c>
      <c r="P347" s="236"/>
    </row>
    <row r="348" spans="1:16">
      <c r="A348" s="238" t="s">
        <v>2368</v>
      </c>
      <c r="B348" s="238" t="s">
        <v>2369</v>
      </c>
      <c r="C348" s="240" t="str" cm="1">
        <f t="array" ref="C348">" "&amp;LOWER(_xlfn.REDUCE(H_unit[[#This Row],[Company]]&amp;" "&amp;H_unit[[#This Row],[Unit]],{",",".","(",")","/"},_xlfn.LAMBDA(_xlpm.txt,_xlpm.delim,SUBSTITUTE(_xlpm.txt,_xlpm.delim," "))))&amp;" "</f>
        <v xml:space="preserve"> picea oy ab  laitila wärtsilä </v>
      </c>
      <c r="D348" s="242">
        <v>2005</v>
      </c>
      <c r="E348" s="243">
        <v>10</v>
      </c>
      <c r="F348" s="243"/>
      <c r="G348" s="247"/>
      <c r="H348" s="267" t="s">
        <v>1439</v>
      </c>
      <c r="I348" s="248" t="s">
        <v>1443</v>
      </c>
      <c r="J348" s="246" t="str" cm="1">
        <f t="array" ref="J348">_xlfn.XLOOKUP(TRUE,ISNUMBER(SEARCH(" "&amp;Municipality[Municipality]&amp;" ",H_unit[[#This Row],[Info string]])),Municipality[Municipality],"")</f>
        <v>Laitila</v>
      </c>
      <c r="K348" s="246" t="str" cm="1">
        <f t="array" ref="K348">IF(H_unit[[#This Row],[Exact]]&lt;&gt;"","",_xlfn.XLOOKUP(TRUE,ISNUMBER(SEARCH(" "&amp;Municipality[Municipality]&amp;"n ",H_unit[[#This Row],[Info string]])),Municipality[Municipality],""))</f>
        <v/>
      </c>
      <c r="L348" s="246"/>
      <c r="M348" s="244"/>
      <c r="N348" s="246" t="str">
        <f>_xlfn.TEXTJOIN("",TRUE,H_unit[[#This Row],[Exact]],H_unit[[#This Row],[Exact+n]],H_unit[[#This Row],[Copilot]])</f>
        <v>Laitila</v>
      </c>
      <c r="O348" s="246" t="str">
        <f>_xlfn.XLOOKUP(H_unit[[#This Row],[Municipality]],Municipality[Municipality],Municipality[Model],"")</f>
        <v>South West</v>
      </c>
      <c r="P348" s="236"/>
    </row>
    <row r="349" spans="1:16">
      <c r="A349" s="238" t="s">
        <v>1839</v>
      </c>
      <c r="B349" s="238" t="s">
        <v>1845</v>
      </c>
      <c r="C349" s="240" t="str" cm="1">
        <f t="array" ref="C349">" "&amp;LOWER(_xlfn.REDUCE(H_unit[[#This Row],[Company]]&amp;" "&amp;H_unit[[#This Row],[Unit]],{",",".","(",")","/"},_xlfn.LAMBDA(_xlpm.txt,_xlpm.delim,SUBSTITUTE(_xlpm.txt,_xlpm.delim," "))))&amp;" "</f>
        <v xml:space="preserve"> loimua oy  hämeenlinna sairionranta </v>
      </c>
      <c r="D349" s="242">
        <v>2007</v>
      </c>
      <c r="E349" s="243">
        <v>10</v>
      </c>
      <c r="F349" s="243"/>
      <c r="G349" s="247"/>
      <c r="H349" s="267" t="s">
        <v>1430</v>
      </c>
      <c r="I349" s="248" t="s">
        <v>1141</v>
      </c>
      <c r="J349" s="246" t="str" cm="1">
        <f t="array" ref="J349">_xlfn.XLOOKUP(TRUE,ISNUMBER(SEARCH(" "&amp;Municipality[Municipality]&amp;" ",H_unit[[#This Row],[Info string]])),Municipality[Municipality],"")</f>
        <v>Hämeenlinna</v>
      </c>
      <c r="K349" s="246" t="str" cm="1">
        <f t="array" ref="K349">IF(H_unit[[#This Row],[Exact]]&lt;&gt;"","",_xlfn.XLOOKUP(TRUE,ISNUMBER(SEARCH(" "&amp;Municipality[Municipality]&amp;"n ",H_unit[[#This Row],[Info string]])),Municipality[Municipality],""))</f>
        <v/>
      </c>
      <c r="L349" s="246"/>
      <c r="M349" s="244"/>
      <c r="N349" s="246" t="str">
        <f>_xlfn.TEXTJOIN("",TRUE,H_unit[[#This Row],[Exact]],H_unit[[#This Row],[Exact+n]],H_unit[[#This Row],[Copilot]])</f>
        <v>Hämeenlinna</v>
      </c>
      <c r="O349" s="246" t="str">
        <f>_xlfn.XLOOKUP(H_unit[[#This Row],[Municipality]],Municipality[Municipality],Municipality[Model],"")</f>
        <v>South West</v>
      </c>
      <c r="P349" s="236"/>
    </row>
    <row r="350" spans="1:16">
      <c r="A350" s="238" t="s">
        <v>2157</v>
      </c>
      <c r="B350" s="238" t="s">
        <v>2160</v>
      </c>
      <c r="C350" s="240" t="str" cm="1">
        <f t="array" ref="C350">" "&amp;LOWER(_xlfn.REDUCE(H_unit[[#This Row],[Company]]&amp;" "&amp;H_unit[[#This Row],[Unit]],{",",".","(",")","/"},_xlfn.LAMBDA(_xlpm.txt,_xlpm.delim,SUBSTITUTE(_xlpm.txt,_xlpm.delim," "))))&amp;" "</f>
        <v xml:space="preserve"> savon voima oyj  siilinjärvi lk92 toivalan biolk </v>
      </c>
      <c r="D350" s="242">
        <v>2007</v>
      </c>
      <c r="E350" s="243">
        <v>10</v>
      </c>
      <c r="F350" s="243"/>
      <c r="G350" s="247"/>
      <c r="H350" s="267" t="s">
        <v>1439</v>
      </c>
      <c r="I350" s="248" t="s">
        <v>1143</v>
      </c>
      <c r="J350" s="246" t="str" cm="1">
        <f t="array" ref="J350">_xlfn.XLOOKUP(TRUE,ISNUMBER(SEARCH(" "&amp;Municipality[Municipality]&amp;" ",H_unit[[#This Row],[Info string]])),Municipality[Municipality],"")</f>
        <v>Siilinjärvi</v>
      </c>
      <c r="K350" s="246" t="str" cm="1">
        <f t="array" ref="K350">IF(H_unit[[#This Row],[Exact]]&lt;&gt;"","",_xlfn.XLOOKUP(TRUE,ISNUMBER(SEARCH(" "&amp;Municipality[Municipality]&amp;"n ",H_unit[[#This Row],[Info string]])),Municipality[Municipality],""))</f>
        <v/>
      </c>
      <c r="L350" s="246"/>
      <c r="M350" s="244"/>
      <c r="N350" s="246" t="str">
        <f>_xlfn.TEXTJOIN("",TRUE,H_unit[[#This Row],[Exact]],H_unit[[#This Row],[Exact+n]],H_unit[[#This Row],[Copilot]])</f>
        <v>Siilinjärvi</v>
      </c>
      <c r="O350" s="246" t="str">
        <f>_xlfn.XLOOKUP(H_unit[[#This Row],[Municipality]],Municipality[Municipality],Municipality[Model],"")</f>
        <v>East</v>
      </c>
      <c r="P350" s="236"/>
    </row>
    <row r="351" spans="1:16">
      <c r="A351" s="238" t="s">
        <v>2197</v>
      </c>
      <c r="B351" s="238" t="s">
        <v>2203</v>
      </c>
      <c r="C351" s="240" t="str" cm="1">
        <f t="array" ref="C351">" "&amp;LOWER(_xlfn.REDUCE(H_unit[[#This Row],[Company]]&amp;" "&amp;H_unit[[#This Row],[Unit]],{",",".","(",")","/"},_xlfn.LAMBDA(_xlpm.txt,_xlpm.delim,SUBSTITUTE(_xlpm.txt,_xlpm.delim," "))))&amp;" "</f>
        <v xml:space="preserve"> vaasan sähkö oy klemettilä </v>
      </c>
      <c r="D351" s="242">
        <v>2007</v>
      </c>
      <c r="E351" s="243">
        <v>10</v>
      </c>
      <c r="F351" s="243"/>
      <c r="G351" s="247"/>
      <c r="H351" s="267" t="s">
        <v>1430</v>
      </c>
      <c r="I351" s="248" t="s">
        <v>1141</v>
      </c>
      <c r="J351" s="246" t="str" cm="1">
        <f t="array" ref="J351">_xlfn.XLOOKUP(TRUE,ISNUMBER(SEARCH(" "&amp;Municipality[Municipality]&amp;" ",H_unit[[#This Row],[Info string]])),Municipality[Municipality],"")</f>
        <v/>
      </c>
      <c r="K351" s="246" t="str" cm="1">
        <f t="array" ref="K351">IF(H_unit[[#This Row],[Exact]]&lt;&gt;"","",_xlfn.XLOOKUP(TRUE,ISNUMBER(SEARCH(" "&amp;Municipality[Municipality]&amp;"n ",H_unit[[#This Row],[Info string]])),Municipality[Municipality],""))</f>
        <v>Vaasa</v>
      </c>
      <c r="L351" s="246"/>
      <c r="M351" s="244"/>
      <c r="N351" s="246" t="str">
        <f>_xlfn.TEXTJOIN("",TRUE,H_unit[[#This Row],[Exact]],H_unit[[#This Row],[Exact+n]],H_unit[[#This Row],[Copilot]])</f>
        <v>Vaasa</v>
      </c>
      <c r="O351" s="246" t="str">
        <f>_xlfn.XLOOKUP(H_unit[[#This Row],[Municipality]],Municipality[Municipality],Municipality[Model],"")</f>
        <v>West</v>
      </c>
      <c r="P351" s="236"/>
    </row>
    <row r="352" spans="1:16">
      <c r="A352" s="238" t="s">
        <v>2009</v>
      </c>
      <c r="B352" s="238" t="s">
        <v>2012</v>
      </c>
      <c r="C352" s="240" t="str" cm="1">
        <f t="array" ref="C352">" "&amp;LOWER(_xlfn.REDUCE(H_unit[[#This Row],[Company]]&amp;" "&amp;H_unit[[#This Row],[Unit]],{",",".","(",")","/"},_xlfn.LAMBDA(_xlpm.txt,_xlpm.delim,SUBSTITUTE(_xlpm.txt,_xlpm.delim," "))))&amp;" "</f>
        <v xml:space="preserve"> oulun seudun sähkö  kempele kempele  ekohaka </v>
      </c>
      <c r="D352" s="242">
        <v>2008</v>
      </c>
      <c r="E352" s="243">
        <v>10</v>
      </c>
      <c r="F352" s="243"/>
      <c r="G352" s="247"/>
      <c r="H352" s="267" t="s">
        <v>1430</v>
      </c>
      <c r="I352" s="248" t="s">
        <v>1141</v>
      </c>
      <c r="J352" s="246" t="str" cm="1">
        <f t="array" ref="J352">_xlfn.XLOOKUP(TRUE,ISNUMBER(SEARCH(" "&amp;Municipality[Municipality]&amp;" ",H_unit[[#This Row],[Info string]])),Municipality[Municipality],"")</f>
        <v>Kempele</v>
      </c>
      <c r="K352" s="246" t="str" cm="1">
        <f t="array" ref="K352">IF(H_unit[[#This Row],[Exact]]&lt;&gt;"","",_xlfn.XLOOKUP(TRUE,ISNUMBER(SEARCH(" "&amp;Municipality[Municipality]&amp;"n ",H_unit[[#This Row],[Info string]])),Municipality[Municipality],""))</f>
        <v/>
      </c>
      <c r="L352" s="246"/>
      <c r="M352" s="244"/>
      <c r="N352" s="246" t="str">
        <f>_xlfn.TEXTJOIN("",TRUE,H_unit[[#This Row],[Exact]],H_unit[[#This Row],[Exact+n]],H_unit[[#This Row],[Copilot]])</f>
        <v>Kempele</v>
      </c>
      <c r="O352" s="246" t="str">
        <f>_xlfn.XLOOKUP(H_unit[[#This Row],[Municipality]],Municipality[Municipality],Municipality[Model],"")</f>
        <v>North</v>
      </c>
      <c r="P352" s="236"/>
    </row>
    <row r="353" spans="1:16">
      <c r="A353" s="238" t="s">
        <v>1834</v>
      </c>
      <c r="B353" s="238" t="s">
        <v>1838</v>
      </c>
      <c r="C353" s="240" t="str" cm="1">
        <f t="array" ref="C353">" "&amp;LOWER(_xlfn.REDUCE(H_unit[[#This Row],[Company]]&amp;" "&amp;H_unit[[#This Row],[Unit]],{",",".","(",")","/"},_xlfn.LAMBDA(_xlpm.txt,_xlpm.delim,SUBSTITUTE(_xlpm.txt,_xlpm.delim," "))))&amp;" "</f>
        <v xml:space="preserve"> loimua oy  heinola vuohkallio </v>
      </c>
      <c r="D353" s="242">
        <v>2010</v>
      </c>
      <c r="E353" s="243">
        <v>10</v>
      </c>
      <c r="F353" s="243"/>
      <c r="G353" s="247"/>
      <c r="H353" s="267" t="s">
        <v>1430</v>
      </c>
      <c r="I353" s="248" t="s">
        <v>1141</v>
      </c>
      <c r="J353" s="246" t="str" cm="1">
        <f t="array" ref="J353">_xlfn.XLOOKUP(TRUE,ISNUMBER(SEARCH(" "&amp;Municipality[Municipality]&amp;" ",H_unit[[#This Row],[Info string]])),Municipality[Municipality],"")</f>
        <v>Heinola</v>
      </c>
      <c r="K353" s="246" t="str" cm="1">
        <f t="array" ref="K353">IF(H_unit[[#This Row],[Exact]]&lt;&gt;"","",_xlfn.XLOOKUP(TRUE,ISNUMBER(SEARCH(" "&amp;Municipality[Municipality]&amp;"n ",H_unit[[#This Row],[Info string]])),Municipality[Municipality],""))</f>
        <v/>
      </c>
      <c r="L353" s="246"/>
      <c r="M353" s="244"/>
      <c r="N353" s="246" t="str">
        <f>_xlfn.TEXTJOIN("",TRUE,H_unit[[#This Row],[Exact]],H_unit[[#This Row],[Exact+n]],H_unit[[#This Row],[Copilot]])</f>
        <v>Heinola</v>
      </c>
      <c r="O353" s="246" t="str">
        <f>_xlfn.XLOOKUP(H_unit[[#This Row],[Municipality]],Municipality[Municipality],Municipality[Model],"")</f>
        <v>South East</v>
      </c>
      <c r="P353" s="236"/>
    </row>
    <row r="354" spans="1:16">
      <c r="A354" s="238" t="s">
        <v>1558</v>
      </c>
      <c r="B354" s="238" t="s">
        <v>1560</v>
      </c>
      <c r="C354" s="240" t="str" cm="1">
        <f t="array" ref="C354">" "&amp;LOWER(_xlfn.REDUCE(H_unit[[#This Row],[Company]]&amp;" "&amp;H_unit[[#This Row],[Unit]],{",",".","(",")","/"},_xlfn.LAMBDA(_xlpm.txt,_xlpm.delim,SUBSTITUTE(_xlpm.txt,_xlpm.delim," "))))&amp;" "</f>
        <v xml:space="preserve"> jämsän aluelämpö oy konila  </v>
      </c>
      <c r="D354" s="242">
        <v>2012</v>
      </c>
      <c r="E354" s="243">
        <v>10</v>
      </c>
      <c r="F354" s="243"/>
      <c r="G354" s="247"/>
      <c r="H354" s="267" t="s">
        <v>1430</v>
      </c>
      <c r="I354" s="248" t="s">
        <v>1141</v>
      </c>
      <c r="J354" s="246" t="str" cm="1">
        <f t="array" ref="J354">_xlfn.XLOOKUP(TRUE,ISNUMBER(SEARCH(" "&amp;Municipality[Municipality]&amp;" ",H_unit[[#This Row],[Info string]])),Municipality[Municipality],"")</f>
        <v/>
      </c>
      <c r="K354" s="246" t="str" cm="1">
        <f t="array" ref="K354">IF(H_unit[[#This Row],[Exact]]&lt;&gt;"","",_xlfn.XLOOKUP(TRUE,ISNUMBER(SEARCH(" "&amp;Municipality[Municipality]&amp;"n ",H_unit[[#This Row],[Info string]])),Municipality[Municipality],""))</f>
        <v>Jämsä</v>
      </c>
      <c r="L354" s="246"/>
      <c r="M354" s="244"/>
      <c r="N354" s="246" t="str">
        <f>_xlfn.TEXTJOIN("",TRUE,H_unit[[#This Row],[Exact]],H_unit[[#This Row],[Exact+n]],H_unit[[#This Row],[Copilot]])</f>
        <v>Jämsä</v>
      </c>
      <c r="O354" s="246" t="str">
        <f>_xlfn.XLOOKUP(H_unit[[#This Row],[Municipality]],Municipality[Municipality],Municipality[Model],"")</f>
        <v>Center</v>
      </c>
      <c r="P354" s="236"/>
    </row>
    <row r="355" spans="1:16">
      <c r="A355" s="238" t="s">
        <v>2143</v>
      </c>
      <c r="B355" s="238" t="s">
        <v>2145</v>
      </c>
      <c r="C355" s="240" t="str" cm="1">
        <f t="array" ref="C355">" "&amp;LOWER(_xlfn.REDUCE(H_unit[[#This Row],[Company]]&amp;" "&amp;H_unit[[#This Row],[Unit]],{",",".","(",")","/"},_xlfn.LAMBDA(_xlpm.txt,_xlpm.delim,SUBSTITUTE(_xlpm.txt,_xlpm.delim," "))))&amp;" "</f>
        <v xml:space="preserve"> savon voima oyj  leppävirta lk 112  voimatie </v>
      </c>
      <c r="D355" s="242">
        <v>2013</v>
      </c>
      <c r="E355" s="243">
        <v>10</v>
      </c>
      <c r="F355" s="243"/>
      <c r="G355" s="247"/>
      <c r="H355" s="267" t="s">
        <v>1423</v>
      </c>
      <c r="I355" s="248" t="s">
        <v>1143</v>
      </c>
      <c r="J355" s="246" t="str" cm="1">
        <f t="array" ref="J355">_xlfn.XLOOKUP(TRUE,ISNUMBER(SEARCH(" "&amp;Municipality[Municipality]&amp;" ",H_unit[[#This Row],[Info string]])),Municipality[Municipality],"")</f>
        <v>Leppävirta</v>
      </c>
      <c r="K355" s="246" t="str" cm="1">
        <f t="array" ref="K355">IF(H_unit[[#This Row],[Exact]]&lt;&gt;"","",_xlfn.XLOOKUP(TRUE,ISNUMBER(SEARCH(" "&amp;Municipality[Municipality]&amp;"n ",H_unit[[#This Row],[Info string]])),Municipality[Municipality],""))</f>
        <v/>
      </c>
      <c r="L355" s="246"/>
      <c r="M355" s="244"/>
      <c r="N355" s="246" t="str">
        <f>_xlfn.TEXTJOIN("",TRUE,H_unit[[#This Row],[Exact]],H_unit[[#This Row],[Exact+n]],H_unit[[#This Row],[Copilot]])</f>
        <v>Leppävirta</v>
      </c>
      <c r="O355" s="246" t="str">
        <f>_xlfn.XLOOKUP(H_unit[[#This Row],[Municipality]],Municipality[Municipality],Municipality[Model],"")</f>
        <v>East</v>
      </c>
      <c r="P355" s="236"/>
    </row>
    <row r="356" spans="1:16">
      <c r="A356" s="238" t="s">
        <v>2191</v>
      </c>
      <c r="B356" s="238" t="s">
        <v>2194</v>
      </c>
      <c r="C356" s="240" t="str" cm="1">
        <f t="array" ref="C356">" "&amp;LOWER(_xlfn.REDUCE(H_unit[[#This Row],[Company]]&amp;" "&amp;H_unit[[#This Row],[Unit]],{",",".","(",")","/"},_xlfn.LAMBDA(_xlpm.txt,_xlpm.delim,SUBSTITUTE(_xlpm.txt,_xlpm.delim," "))))&amp;" "</f>
        <v xml:space="preserve"> tornion energia oy juhannusssaari </v>
      </c>
      <c r="D356" s="242">
        <v>2013</v>
      </c>
      <c r="E356" s="243">
        <v>10</v>
      </c>
      <c r="F356" s="243"/>
      <c r="G356" s="247"/>
      <c r="H356" s="267" t="s">
        <v>1430</v>
      </c>
      <c r="I356" s="248" t="s">
        <v>1141</v>
      </c>
      <c r="J356" s="246" t="str" cm="1">
        <f t="array" ref="J356">_xlfn.XLOOKUP(TRUE,ISNUMBER(SEARCH(" "&amp;Municipality[Municipality]&amp;" ",H_unit[[#This Row],[Info string]])),Municipality[Municipality],"")</f>
        <v/>
      </c>
      <c r="K356" s="246" t="str" cm="1">
        <f t="array" ref="K356">IF(H_unit[[#This Row],[Exact]]&lt;&gt;"","",_xlfn.XLOOKUP(TRUE,ISNUMBER(SEARCH(" "&amp;Municipality[Municipality]&amp;"n ",H_unit[[#This Row],[Info string]])),Municipality[Municipality],""))</f>
        <v>Tornio</v>
      </c>
      <c r="L356" s="246"/>
      <c r="M356" s="244"/>
      <c r="N356" s="246" t="str">
        <f>_xlfn.TEXTJOIN("",TRUE,H_unit[[#This Row],[Exact]],H_unit[[#This Row],[Exact+n]],H_unit[[#This Row],[Copilot]])</f>
        <v>Tornio</v>
      </c>
      <c r="O356" s="246" t="str">
        <f>_xlfn.XLOOKUP(H_unit[[#This Row],[Municipality]],Municipality[Municipality],Municipality[Model],"")</f>
        <v>North</v>
      </c>
      <c r="P356" s="236"/>
    </row>
    <row r="357" spans="1:16">
      <c r="A357" s="238" t="s">
        <v>1854</v>
      </c>
      <c r="B357" s="238" t="s">
        <v>1857</v>
      </c>
      <c r="C357" s="240" t="str" cm="1">
        <f t="array" ref="C357">" "&amp;LOWER(_xlfn.REDUCE(H_unit[[#This Row],[Company]]&amp;" "&amp;H_unit[[#This Row],[Unit]],{",",".","(",")","/"},_xlfn.LAMBDA(_xlpm.txt,_xlpm.delim,SUBSTITUTE(_xlpm.txt,_xlpm.delim," "))))&amp;" "</f>
        <v xml:space="preserve"> loimua oy  janakkala turenki kpa </v>
      </c>
      <c r="D357" s="242">
        <v>2014</v>
      </c>
      <c r="E357" s="243">
        <v>10</v>
      </c>
      <c r="F357" s="243"/>
      <c r="G357" s="247"/>
      <c r="H357" s="267" t="s">
        <v>1423</v>
      </c>
      <c r="I357" s="248" t="s">
        <v>1143</v>
      </c>
      <c r="J357" s="246" t="str" cm="1">
        <f t="array" ref="J357">_xlfn.XLOOKUP(TRUE,ISNUMBER(SEARCH(" "&amp;Municipality[Municipality]&amp;" ",H_unit[[#This Row],[Info string]])),Municipality[Municipality],"")</f>
        <v>Janakkala</v>
      </c>
      <c r="K357" s="246" t="str" cm="1">
        <f t="array" ref="K357">IF(H_unit[[#This Row],[Exact]]&lt;&gt;"","",_xlfn.XLOOKUP(TRUE,ISNUMBER(SEARCH(" "&amp;Municipality[Municipality]&amp;"n ",H_unit[[#This Row],[Info string]])),Municipality[Municipality],""))</f>
        <v/>
      </c>
      <c r="L357" s="246"/>
      <c r="M357" s="244"/>
      <c r="N357" s="246" t="str">
        <f>_xlfn.TEXTJOIN("",TRUE,H_unit[[#This Row],[Exact]],H_unit[[#This Row],[Exact+n]],H_unit[[#This Row],[Copilot]])</f>
        <v>Janakkala</v>
      </c>
      <c r="O357" s="246" t="str">
        <f>_xlfn.XLOOKUP(H_unit[[#This Row],[Municipality]],Municipality[Municipality],Municipality[Model],"")</f>
        <v>South West</v>
      </c>
      <c r="P357" s="236"/>
    </row>
    <row r="358" spans="1:16">
      <c r="A358" s="238" t="s">
        <v>2061</v>
      </c>
      <c r="B358" s="238" t="s">
        <v>2067</v>
      </c>
      <c r="C358" s="240" t="str" cm="1">
        <f t="array" ref="C358">" "&amp;LOWER(_xlfn.REDUCE(H_unit[[#This Row],[Company]]&amp;" "&amp;H_unit[[#This Row],[Unit]],{",",".","(",")","/"},_xlfn.LAMBDA(_xlpm.txt,_xlpm.delim,SUBSTITUTE(_xlpm.txt,_xlpm.delim," "))))&amp;" "</f>
        <v xml:space="preserve"> raahen energia oy lk-5 </v>
      </c>
      <c r="D358" s="242">
        <v>2014</v>
      </c>
      <c r="E358" s="243">
        <v>10</v>
      </c>
      <c r="F358" s="243"/>
      <c r="G358" s="247"/>
      <c r="H358" s="267" t="s">
        <v>1436</v>
      </c>
      <c r="I358" s="248" t="s">
        <v>1143</v>
      </c>
      <c r="J358" s="246" t="str" cm="1">
        <f t="array" ref="J358">_xlfn.XLOOKUP(TRUE,ISNUMBER(SEARCH(" "&amp;Municipality[Municipality]&amp;" ",H_unit[[#This Row],[Info string]])),Municipality[Municipality],"")</f>
        <v/>
      </c>
      <c r="K358" s="246" t="str" cm="1">
        <f t="array" ref="K358">IF(H_unit[[#This Row],[Exact]]&lt;&gt;"","",_xlfn.XLOOKUP(TRUE,ISNUMBER(SEARCH(" "&amp;Municipality[Municipality]&amp;"n ",H_unit[[#This Row],[Info string]])),Municipality[Municipality],""))</f>
        <v>Raahe</v>
      </c>
      <c r="L358" s="246"/>
      <c r="M358" s="244"/>
      <c r="N358" s="246" t="str">
        <f>_xlfn.TEXTJOIN("",TRUE,H_unit[[#This Row],[Exact]],H_unit[[#This Row],[Exact+n]],H_unit[[#This Row],[Copilot]])</f>
        <v>Raahe</v>
      </c>
      <c r="O358" s="246" t="str">
        <f>_xlfn.XLOOKUP(H_unit[[#This Row],[Municipality]],Municipality[Municipality],Municipality[Model],"")</f>
        <v>North</v>
      </c>
      <c r="P358" s="236"/>
    </row>
    <row r="359" spans="1:16">
      <c r="A359" s="238" t="s">
        <v>1525</v>
      </c>
      <c r="B359" s="238" t="s">
        <v>1528</v>
      </c>
      <c r="C359" s="240" t="str" cm="1">
        <f t="array" ref="C359">" "&amp;LOWER(_xlfn.REDUCE(H_unit[[#This Row],[Company]]&amp;" "&amp;H_unit[[#This Row],[Unit]],{",",".","(",")","/"},_xlfn.LAMBDA(_xlpm.txt,_xlpm.delim,SUBSTITUTE(_xlpm.txt,_xlpm.delim," "))))&amp;" "</f>
        <v xml:space="preserve"> hyvinkään lämpövoima oy veikkari </v>
      </c>
      <c r="D359" s="242">
        <v>2015</v>
      </c>
      <c r="E359" s="243">
        <v>10</v>
      </c>
      <c r="F359" s="243"/>
      <c r="G359" s="247"/>
      <c r="H359" s="267" t="s">
        <v>1436</v>
      </c>
      <c r="I359" s="248" t="s">
        <v>1143</v>
      </c>
      <c r="J359" s="246" t="str" cm="1">
        <f t="array" ref="J359">_xlfn.XLOOKUP(TRUE,ISNUMBER(SEARCH(" "&amp;Municipality[Municipality]&amp;" ",H_unit[[#This Row],[Info string]])),Municipality[Municipality],"")</f>
        <v/>
      </c>
      <c r="K359" s="246" t="str" cm="1">
        <f t="array" ref="K359">IF(H_unit[[#This Row],[Exact]]&lt;&gt;"","",_xlfn.XLOOKUP(TRUE,ISNUMBER(SEARCH(" "&amp;Municipality[Municipality]&amp;"n ",H_unit[[#This Row],[Info string]])),Municipality[Municipality],""))</f>
        <v>Hyvinkää</v>
      </c>
      <c r="L359" s="246"/>
      <c r="M359" s="244"/>
      <c r="N359" s="246" t="str">
        <f>_xlfn.TEXTJOIN("",TRUE,H_unit[[#This Row],[Exact]],H_unit[[#This Row],[Exact+n]],H_unit[[#This Row],[Copilot]])</f>
        <v>Hyvinkää</v>
      </c>
      <c r="O359" s="246" t="str">
        <f>_xlfn.XLOOKUP(H_unit[[#This Row],[Municipality]],Municipality[Municipality],Municipality[Model],"")</f>
        <v>Uusimaa</v>
      </c>
      <c r="P359" s="236"/>
    </row>
    <row r="360" spans="1:16">
      <c r="A360" s="238" t="s">
        <v>1624</v>
      </c>
      <c r="B360" s="238" t="s">
        <v>1631</v>
      </c>
      <c r="C360" s="240" t="str" cm="1">
        <f t="array" ref="C360">" "&amp;LOWER(_xlfn.REDUCE(H_unit[[#This Row],[Company]]&amp;" "&amp;H_unit[[#This Row],[Unit]],{",",".","(",")","/"},_xlfn.LAMBDA(_xlpm.txt,_xlpm.delim,SUBSTITUTE(_xlpm.txt,_xlpm.delim," "))))&amp;" "</f>
        <v xml:space="preserve"> keuruun lämpövoima oy varissaari 2 </v>
      </c>
      <c r="D360" s="242">
        <v>2018</v>
      </c>
      <c r="E360" s="243">
        <v>10</v>
      </c>
      <c r="F360" s="243"/>
      <c r="G360" s="247"/>
      <c r="H360" s="267" t="s">
        <v>1423</v>
      </c>
      <c r="I360" s="248" t="s">
        <v>1143</v>
      </c>
      <c r="J360" s="246" t="str" cm="1">
        <f t="array" ref="J360">_xlfn.XLOOKUP(TRUE,ISNUMBER(SEARCH(" "&amp;Municipality[Municipality]&amp;" ",H_unit[[#This Row],[Info string]])),Municipality[Municipality],"")</f>
        <v/>
      </c>
      <c r="K360" s="246" t="str" cm="1">
        <f t="array" ref="K360">IF(H_unit[[#This Row],[Exact]]&lt;&gt;"","",_xlfn.XLOOKUP(TRUE,ISNUMBER(SEARCH(" "&amp;Municipality[Municipality]&amp;"n ",H_unit[[#This Row],[Info string]])),Municipality[Municipality],""))</f>
        <v>Keuruu</v>
      </c>
      <c r="L360" s="246"/>
      <c r="M360" s="244"/>
      <c r="N360" s="246" t="str">
        <f>_xlfn.TEXTJOIN("",TRUE,H_unit[[#This Row],[Exact]],H_unit[[#This Row],[Exact+n]],H_unit[[#This Row],[Copilot]])</f>
        <v>Keuruu</v>
      </c>
      <c r="O360" s="246" t="str">
        <f>_xlfn.XLOOKUP(H_unit[[#This Row],[Municipality]],Municipality[Municipality],Municipality[Model],"")</f>
        <v>Center</v>
      </c>
      <c r="P360" s="236"/>
    </row>
    <row r="361" spans="1:16">
      <c r="A361" s="238" t="s">
        <v>2162</v>
      </c>
      <c r="B361" s="238" t="s">
        <v>2164</v>
      </c>
      <c r="C361" s="240" t="str" cm="1">
        <f t="array" ref="C361">" "&amp;LOWER(_xlfn.REDUCE(H_unit[[#This Row],[Company]]&amp;" "&amp;H_unit[[#This Row],[Unit]],{",",".","(",")","/"},_xlfn.LAMBDA(_xlpm.txt,_xlpm.delim,SUBSTITUTE(_xlpm.txt,_xlpm.delim," "))))&amp;" "</f>
        <v xml:space="preserve"> savon voima oyj  suonenjoki lk117 </v>
      </c>
      <c r="D361" s="242">
        <v>2018</v>
      </c>
      <c r="E361" s="243">
        <v>10</v>
      </c>
      <c r="F361" s="243"/>
      <c r="G361" s="247"/>
      <c r="H361" s="267" t="s">
        <v>1458</v>
      </c>
      <c r="I361" s="248" t="s">
        <v>1143</v>
      </c>
      <c r="J361" s="246" t="str" cm="1">
        <f t="array" ref="J361">_xlfn.XLOOKUP(TRUE,ISNUMBER(SEARCH(" "&amp;Municipality[Municipality]&amp;" ",H_unit[[#This Row],[Info string]])),Municipality[Municipality],"")</f>
        <v>Suonenjoki</v>
      </c>
      <c r="K361" s="246" t="str" cm="1">
        <f t="array" ref="K361">IF(H_unit[[#This Row],[Exact]]&lt;&gt;"","",_xlfn.XLOOKUP(TRUE,ISNUMBER(SEARCH(" "&amp;Municipality[Municipality]&amp;"n ",H_unit[[#This Row],[Info string]])),Municipality[Municipality],""))</f>
        <v/>
      </c>
      <c r="L361" s="246"/>
      <c r="M361" s="244"/>
      <c r="N361" s="246" t="str">
        <f>_xlfn.TEXTJOIN("",TRUE,H_unit[[#This Row],[Exact]],H_unit[[#This Row],[Exact+n]],H_unit[[#This Row],[Copilot]])</f>
        <v>Suonenjoki</v>
      </c>
      <c r="O361" s="246" t="str">
        <f>_xlfn.XLOOKUP(H_unit[[#This Row],[Municipality]],Municipality[Municipality],Municipality[Model],"")</f>
        <v>East</v>
      </c>
      <c r="P361" s="236"/>
    </row>
    <row r="362" spans="1:16">
      <c r="A362" s="238" t="s">
        <v>1490</v>
      </c>
      <c r="B362" s="238" t="s">
        <v>1492</v>
      </c>
      <c r="C362" s="240" t="str" cm="1">
        <f t="array" ref="C362">" "&amp;LOWER(_xlfn.REDUCE(H_unit[[#This Row],[Company]]&amp;" "&amp;H_unit[[#This Row],[Unit]],{",",".","(",")","/"},_xlfn.LAMBDA(_xlpm.txt,_xlpm.delim,SUBSTITUTE(_xlpm.txt,_xlpm.delim," "))))&amp;" "</f>
        <v xml:space="preserve"> alkkulan aluelämpö oy lämpökeskus 3 </v>
      </c>
      <c r="D362" s="242">
        <v>2020</v>
      </c>
      <c r="E362" s="243">
        <v>10</v>
      </c>
      <c r="F362" s="243"/>
      <c r="G362" s="247"/>
      <c r="H362" s="267" t="s">
        <v>1428</v>
      </c>
      <c r="I362" s="248" t="s">
        <v>1143</v>
      </c>
      <c r="J362" s="246" t="str" cm="1">
        <f t="array" ref="J362">_xlfn.XLOOKUP(TRUE,ISNUMBER(SEARCH(" "&amp;Municipality[Municipality]&amp;" ",H_unit[[#This Row],[Info string]])),Municipality[Municipality],"")</f>
        <v/>
      </c>
      <c r="K362" s="246" t="str" cm="1">
        <f t="array" ref="K362">IF(H_unit[[#This Row],[Exact]]&lt;&gt;"","",_xlfn.XLOOKUP(TRUE,ISNUMBER(SEARCH(" "&amp;Municipality[Municipality]&amp;"n ",H_unit[[#This Row],[Info string]])),Municipality[Municipality],""))</f>
        <v/>
      </c>
      <c r="L362" s="246" t="s">
        <v>2858</v>
      </c>
      <c r="M362" s="244" t="s">
        <v>2914</v>
      </c>
      <c r="N362" s="246" t="str">
        <f>_xlfn.TEXTJOIN("",TRUE,H_unit[[#This Row],[Exact]],H_unit[[#This Row],[Exact+n]],H_unit[[#This Row],[Copilot]])</f>
        <v>Ylitornio</v>
      </c>
      <c r="O362" s="246" t="str">
        <f>_xlfn.XLOOKUP(H_unit[[#This Row],[Municipality]],Municipality[Municipality],Municipality[Model],"")</f>
        <v>North</v>
      </c>
      <c r="P362" s="236"/>
    </row>
    <row r="363" spans="1:16">
      <c r="A363" s="238" t="s">
        <v>2197</v>
      </c>
      <c r="B363" s="238" t="s">
        <v>1729</v>
      </c>
      <c r="C363" s="240" t="str" cm="1">
        <f t="array" ref="C363">" "&amp;LOWER(_xlfn.REDUCE(H_unit[[#This Row],[Company]]&amp;" "&amp;H_unit[[#This Row],[Unit]],{",",".","(",")","/"},_xlfn.LAMBDA(_xlpm.txt,_xlpm.delim,SUBSTITUTE(_xlpm.txt,_xlpm.delim," "))))&amp;" "</f>
        <v xml:space="preserve"> vaasan sähkö oy keskussairaala </v>
      </c>
      <c r="D363" s="242">
        <v>2020</v>
      </c>
      <c r="E363" s="243">
        <v>10</v>
      </c>
      <c r="F363" s="243"/>
      <c r="G363" s="247"/>
      <c r="H363" s="267" t="s">
        <v>1430</v>
      </c>
      <c r="I363" s="248" t="s">
        <v>1141</v>
      </c>
      <c r="J363" s="246" t="str" cm="1">
        <f t="array" ref="J363">_xlfn.XLOOKUP(TRUE,ISNUMBER(SEARCH(" "&amp;Municipality[Municipality]&amp;" ",H_unit[[#This Row],[Info string]])),Municipality[Municipality],"")</f>
        <v/>
      </c>
      <c r="K363" s="246" t="str" cm="1">
        <f t="array" ref="K363">IF(H_unit[[#This Row],[Exact]]&lt;&gt;"","",_xlfn.XLOOKUP(TRUE,ISNUMBER(SEARCH(" "&amp;Municipality[Municipality]&amp;"n ",H_unit[[#This Row],[Info string]])),Municipality[Municipality],""))</f>
        <v>Vaasa</v>
      </c>
      <c r="L363" s="246"/>
      <c r="M363" s="244"/>
      <c r="N363" s="246" t="str">
        <f>_xlfn.TEXTJOIN("",TRUE,H_unit[[#This Row],[Exact]],H_unit[[#This Row],[Exact+n]],H_unit[[#This Row],[Copilot]])</f>
        <v>Vaasa</v>
      </c>
      <c r="O363" s="246" t="str">
        <f>_xlfn.XLOOKUP(H_unit[[#This Row],[Municipality]],Municipality[Municipality],Municipality[Model],"")</f>
        <v>West</v>
      </c>
      <c r="P363" s="236"/>
    </row>
    <row r="364" spans="1:16">
      <c r="A364" s="238" t="s">
        <v>1806</v>
      </c>
      <c r="B364" s="238" t="s">
        <v>1812</v>
      </c>
      <c r="C364" s="240" t="str" cm="1">
        <f t="array" ref="C364">" "&amp;LOWER(_xlfn.REDUCE(H_unit[[#This Row],[Company]]&amp;" "&amp;H_unit[[#This Row],[Unit]],{",",".","(",")","/"},_xlfn.LAMBDA(_xlpm.txt,_xlpm.delim,SUBSTITUTE(_xlpm.txt,_xlpm.delim," "))))&amp;" "</f>
        <v xml:space="preserve"> liedon lämpö oy luolakallio </v>
      </c>
      <c r="D364" s="242">
        <v>2021</v>
      </c>
      <c r="E364" s="243">
        <v>10</v>
      </c>
      <c r="F364" s="243"/>
      <c r="G364" s="247"/>
      <c r="H364" s="267" t="s">
        <v>1458</v>
      </c>
      <c r="I364" s="248" t="s">
        <v>1142</v>
      </c>
      <c r="J364" s="246" t="str" cm="1">
        <f t="array" ref="J364">_xlfn.XLOOKUP(TRUE,ISNUMBER(SEARCH(" "&amp;Municipality[Municipality]&amp;" ",H_unit[[#This Row],[Info string]])),Municipality[Municipality],"")</f>
        <v/>
      </c>
      <c r="K364" s="246" t="str" cm="1">
        <f t="array" ref="K364">IF(H_unit[[#This Row],[Exact]]&lt;&gt;"","",_xlfn.XLOOKUP(TRUE,ISNUMBER(SEARCH(" "&amp;Municipality[Municipality]&amp;"n ",H_unit[[#This Row],[Info string]])),Municipality[Municipality],""))</f>
        <v/>
      </c>
      <c r="L364" s="246" t="s">
        <v>2661</v>
      </c>
      <c r="M364" s="244" t="s">
        <v>2909</v>
      </c>
      <c r="N364" s="246" t="str">
        <f>_xlfn.TEXTJOIN("",TRUE,H_unit[[#This Row],[Exact]],H_unit[[#This Row],[Exact+n]],H_unit[[#This Row],[Copilot]])</f>
        <v>Lieto</v>
      </c>
      <c r="O364" s="246" t="str">
        <f>_xlfn.XLOOKUP(H_unit[[#This Row],[Municipality]],Municipality[Municipality],Municipality[Model],"")</f>
        <v>South West</v>
      </c>
      <c r="P364" s="236"/>
    </row>
    <row r="365" spans="1:16">
      <c r="A365" s="238" t="s">
        <v>1618</v>
      </c>
      <c r="B365" s="238" t="s">
        <v>1621</v>
      </c>
      <c r="C365" s="240" t="str" cm="1">
        <f t="array" ref="C365">" "&amp;LOWER(_xlfn.REDUCE(H_unit[[#This Row],[Company]]&amp;" "&amp;H_unit[[#This Row],[Unit]],{",",".","(",")","/"},_xlfn.LAMBDA(_xlpm.txt,_xlpm.delim,SUBSTITUTE(_xlpm.txt,_xlpm.delim," "))))&amp;" "</f>
        <v xml:space="preserve"> keravan energia oy  sipoo k hartwall </v>
      </c>
      <c r="D365" s="242" t="s">
        <v>1448</v>
      </c>
      <c r="E365" s="243">
        <v>10</v>
      </c>
      <c r="F365" s="243"/>
      <c r="G365" s="247"/>
      <c r="H365" s="267" t="s">
        <v>1453</v>
      </c>
      <c r="I365" s="248" t="s">
        <v>1142</v>
      </c>
      <c r="J365" s="246" t="str" cm="1">
        <f t="array" ref="J365">_xlfn.XLOOKUP(TRUE,ISNUMBER(SEARCH(" "&amp;Municipality[Municipality]&amp;" ",H_unit[[#This Row],[Info string]])),Municipality[Municipality],"")</f>
        <v>Sipoo</v>
      </c>
      <c r="K365" s="246" t="str" cm="1">
        <f t="array" ref="K365">IF(H_unit[[#This Row],[Exact]]&lt;&gt;"","",_xlfn.XLOOKUP(TRUE,ISNUMBER(SEARCH(" "&amp;Municipality[Municipality]&amp;"n ",H_unit[[#This Row],[Info string]])),Municipality[Municipality],""))</f>
        <v/>
      </c>
      <c r="L365" s="246"/>
      <c r="M365" s="244"/>
      <c r="N365" s="246" t="str">
        <f>_xlfn.TEXTJOIN("",TRUE,H_unit[[#This Row],[Exact]],H_unit[[#This Row],[Exact+n]],H_unit[[#This Row],[Copilot]])</f>
        <v>Sipoo</v>
      </c>
      <c r="O365" s="246" t="str">
        <f>_xlfn.XLOOKUP(H_unit[[#This Row],[Municipality]],Municipality[Municipality],Municipality[Model],"")</f>
        <v>Uusimaa</v>
      </c>
      <c r="P365" s="236"/>
    </row>
    <row r="366" spans="1:16">
      <c r="A366" s="238" t="s">
        <v>1839</v>
      </c>
      <c r="B366" s="238" t="s">
        <v>1846</v>
      </c>
      <c r="C366" s="240" t="str" cm="1">
        <f t="array" ref="C366">" "&amp;LOWER(_xlfn.REDUCE(H_unit[[#This Row],[Company]]&amp;" "&amp;H_unit[[#This Row],[Unit]],{",",".","(",")","/"},_xlfn.LAMBDA(_xlpm.txt,_xlpm.delim,SUBSTITUTE(_xlpm.txt,_xlpm.delim," "))))&amp;" "</f>
        <v xml:space="preserve"> loimua oy  hämeenlinna parolannummen lämpökeskus </v>
      </c>
      <c r="D366" s="242" t="s">
        <v>1448</v>
      </c>
      <c r="E366" s="243">
        <v>10</v>
      </c>
      <c r="F366" s="243"/>
      <c r="G366" s="247"/>
      <c r="H366" s="267" t="s">
        <v>1453</v>
      </c>
      <c r="I366" s="248" t="s">
        <v>1142</v>
      </c>
      <c r="J366" s="246" t="str" cm="1">
        <f t="array" ref="J366">_xlfn.XLOOKUP(TRUE,ISNUMBER(SEARCH(" "&amp;Municipality[Municipality]&amp;" ",H_unit[[#This Row],[Info string]])),Municipality[Municipality],"")</f>
        <v>Hämeenlinna</v>
      </c>
      <c r="K366" s="246" t="str" cm="1">
        <f t="array" ref="K366">IF(H_unit[[#This Row],[Exact]]&lt;&gt;"","",_xlfn.XLOOKUP(TRUE,ISNUMBER(SEARCH(" "&amp;Municipality[Municipality]&amp;"n ",H_unit[[#This Row],[Info string]])),Municipality[Municipality],""))</f>
        <v/>
      </c>
      <c r="L366" s="246"/>
      <c r="M366" s="244"/>
      <c r="N366" s="246" t="str">
        <f>_xlfn.TEXTJOIN("",TRUE,H_unit[[#This Row],[Exact]],H_unit[[#This Row],[Exact+n]],H_unit[[#This Row],[Copilot]])</f>
        <v>Hämeenlinna</v>
      </c>
      <c r="O366" s="246" t="str">
        <f>_xlfn.XLOOKUP(H_unit[[#This Row],[Municipality]],Municipality[Municipality],Municipality[Model],"")</f>
        <v>South West</v>
      </c>
      <c r="P366" s="236"/>
    </row>
    <row r="367" spans="1:16">
      <c r="A367" s="238" t="s">
        <v>1942</v>
      </c>
      <c r="B367" s="238" t="s">
        <v>1944</v>
      </c>
      <c r="C367" s="240" t="str" cm="1">
        <f t="array" ref="C367">" "&amp;LOWER(_xlfn.REDUCE(H_unit[[#This Row],[Company]]&amp;" "&amp;H_unit[[#This Row],[Unit]],{",",".","(",")","/"},_xlfn.LAMBDA(_xlpm.txt,_xlpm.delim,SUBSTITUTE(_xlpm.txt,_xlpm.delim," "))))&amp;" "</f>
        <v xml:space="preserve"> nevel oy  sotkamo vuokatti 2 sahakuja </v>
      </c>
      <c r="D367" s="242" t="s">
        <v>1448</v>
      </c>
      <c r="E367" s="243">
        <v>10</v>
      </c>
      <c r="F367" s="243"/>
      <c r="G367" s="247"/>
      <c r="H367" s="267" t="s">
        <v>1430</v>
      </c>
      <c r="I367" s="248" t="s">
        <v>1141</v>
      </c>
      <c r="J367" s="246" t="str" cm="1">
        <f t="array" ref="J367">_xlfn.XLOOKUP(TRUE,ISNUMBER(SEARCH(" "&amp;Municipality[Municipality]&amp;" ",H_unit[[#This Row],[Info string]])),Municipality[Municipality],"")</f>
        <v>Sotkamo</v>
      </c>
      <c r="K367" s="246" t="str" cm="1">
        <f t="array" ref="K367">IF(H_unit[[#This Row],[Exact]]&lt;&gt;"","",_xlfn.XLOOKUP(TRUE,ISNUMBER(SEARCH(" "&amp;Municipality[Municipality]&amp;"n ",H_unit[[#This Row],[Info string]])),Municipality[Municipality],""))</f>
        <v/>
      </c>
      <c r="L367" s="246"/>
      <c r="M367" s="244"/>
      <c r="N367" s="246" t="str">
        <f>_xlfn.TEXTJOIN("",TRUE,H_unit[[#This Row],[Exact]],H_unit[[#This Row],[Exact+n]],H_unit[[#This Row],[Copilot]])</f>
        <v>Sotkamo</v>
      </c>
      <c r="O367" s="246" t="str">
        <f>_xlfn.XLOOKUP(H_unit[[#This Row],[Municipality]],Municipality[Municipality],Municipality[Model],"")</f>
        <v>East</v>
      </c>
      <c r="P367" s="236"/>
    </row>
    <row r="368" spans="1:16">
      <c r="A368" s="238" t="s">
        <v>1562</v>
      </c>
      <c r="B368" s="238" t="s">
        <v>1564</v>
      </c>
      <c r="C368" s="240" t="str" cm="1">
        <f t="array" ref="C368">" "&amp;LOWER(_xlfn.REDUCE(H_unit[[#This Row],[Company]]&amp;" "&amp;H_unit[[#This Row],[Unit]],{",",".","(",")","/"},_xlfn.LAMBDA(_xlpm.txt,_xlpm.delim,SUBSTITUTE(_xlpm.txt,_xlpm.delim," "))))&amp;" "</f>
        <v xml:space="preserve"> kalajoen lämpö oy pirkonsuon pok </v>
      </c>
      <c r="D368" s="242" t="s">
        <v>1565</v>
      </c>
      <c r="E368" s="243">
        <v>10</v>
      </c>
      <c r="F368" s="243"/>
      <c r="G368" s="247"/>
      <c r="H368" s="267" t="s">
        <v>1430</v>
      </c>
      <c r="I368" s="248" t="s">
        <v>1141</v>
      </c>
      <c r="J368" s="246" t="str" cm="1">
        <f t="array" ref="J368">_xlfn.XLOOKUP(TRUE,ISNUMBER(SEARCH(" "&amp;Municipality[Municipality]&amp;" ",H_unit[[#This Row],[Info string]])),Municipality[Municipality],"")</f>
        <v/>
      </c>
      <c r="K368" s="246" t="str" cm="1">
        <f t="array" ref="K368">IF(H_unit[[#This Row],[Exact]]&lt;&gt;"","",_xlfn.XLOOKUP(TRUE,ISNUMBER(SEARCH(" "&amp;Municipality[Municipality]&amp;"n ",H_unit[[#This Row],[Info string]])),Municipality[Municipality],""))</f>
        <v/>
      </c>
      <c r="L368" s="246" t="s">
        <v>2562</v>
      </c>
      <c r="M368" s="244" t="s">
        <v>2915</v>
      </c>
      <c r="N368" s="246" t="str">
        <f>_xlfn.TEXTJOIN("",TRUE,H_unit[[#This Row],[Exact]],H_unit[[#This Row],[Exact+n]],H_unit[[#This Row],[Copilot]])</f>
        <v>Kalajoki</v>
      </c>
      <c r="O368" s="246" t="str">
        <f>_xlfn.XLOOKUP(H_unit[[#This Row],[Municipality]],Municipality[Municipality],Municipality[Model],"")</f>
        <v>North</v>
      </c>
      <c r="P368" s="236"/>
    </row>
    <row r="369" spans="1:16">
      <c r="A369" s="238" t="s">
        <v>1461</v>
      </c>
      <c r="B369" s="238" t="s">
        <v>1462</v>
      </c>
      <c r="C369" s="240" t="str" cm="1">
        <f t="array" ref="C369">" "&amp;LOWER(_xlfn.REDUCE(H_unit[[#This Row],[Company]]&amp;" "&amp;H_unit[[#This Row],[Unit]],{",",".","(",")","/"},_xlfn.LAMBDA(_xlpm.txt,_xlpm.delim,SUBSTITUTE(_xlpm.txt,_xlpm.delim," "))))&amp;" "</f>
        <v xml:space="preserve"> adven oy  parikkala lk320 parikkala </v>
      </c>
      <c r="D369" s="242">
        <v>2004</v>
      </c>
      <c r="E369" s="243">
        <v>9.5</v>
      </c>
      <c r="F369" s="243"/>
      <c r="G369" s="247"/>
      <c r="H369" s="267" t="s">
        <v>1423</v>
      </c>
      <c r="I369" s="248" t="s">
        <v>1143</v>
      </c>
      <c r="J369" s="246" t="str" cm="1">
        <f t="array" ref="J369">_xlfn.XLOOKUP(TRUE,ISNUMBER(SEARCH(" "&amp;Municipality[Municipality]&amp;" ",H_unit[[#This Row],[Info string]])),Municipality[Municipality],"")</f>
        <v>Parikkala</v>
      </c>
      <c r="K369" s="246" t="str" cm="1">
        <f t="array" ref="K369">IF(H_unit[[#This Row],[Exact]]&lt;&gt;"","",_xlfn.XLOOKUP(TRUE,ISNUMBER(SEARCH(" "&amp;Municipality[Municipality]&amp;"n ",H_unit[[#This Row],[Info string]])),Municipality[Municipality],""))</f>
        <v/>
      </c>
      <c r="L369" s="246"/>
      <c r="M369" s="244"/>
      <c r="N369" s="246" t="str">
        <f>_xlfn.TEXTJOIN("",TRUE,H_unit[[#This Row],[Exact]],H_unit[[#This Row],[Exact+n]],H_unit[[#This Row],[Copilot]])</f>
        <v>Parikkala</v>
      </c>
      <c r="O369" s="246" t="str">
        <f>_xlfn.XLOOKUP(H_unit[[#This Row],[Municipality]],Municipality[Municipality],Municipality[Model],"")</f>
        <v>South East</v>
      </c>
      <c r="P369" s="236"/>
    </row>
    <row r="370" spans="1:16">
      <c r="A370" s="238" t="s">
        <v>2034</v>
      </c>
      <c r="B370" s="238" t="s">
        <v>2037</v>
      </c>
      <c r="C370" s="240" t="str" cm="1">
        <f t="array" ref="C370">" "&amp;LOWER(_xlfn.REDUCE(H_unit[[#This Row],[Company]]&amp;" "&amp;H_unit[[#This Row],[Unit]],{",",".","(",")","/"},_xlfn.LAMBDA(_xlpm.txt,_xlpm.delim,SUBSTITUTE(_xlpm.txt,_xlpm.delim," "))))&amp;" "</f>
        <v xml:space="preserve"> pargas fjärrvärme ab oy lehtiniemi </v>
      </c>
      <c r="D370" s="242">
        <v>2010</v>
      </c>
      <c r="E370" s="243">
        <v>9.5</v>
      </c>
      <c r="F370" s="243"/>
      <c r="G370" s="247"/>
      <c r="H370" s="267" t="s">
        <v>1423</v>
      </c>
      <c r="I370" s="248" t="s">
        <v>1143</v>
      </c>
      <c r="J370" s="246" t="str" cm="1">
        <f t="array" ref="J370">_xlfn.XLOOKUP(TRUE,ISNUMBER(SEARCH(" "&amp;Municipality[Municipality]&amp;" ",H_unit[[#This Row],[Info string]])),Municipality[Municipality],"")</f>
        <v/>
      </c>
      <c r="K370" s="246" t="str" cm="1">
        <f t="array" ref="K370">IF(H_unit[[#This Row],[Exact]]&lt;&gt;"","",_xlfn.XLOOKUP(TRUE,ISNUMBER(SEARCH(" "&amp;Municipality[Municipality]&amp;"n ",H_unit[[#This Row],[Info string]])),Municipality[Municipality],""))</f>
        <v/>
      </c>
      <c r="L370" s="246" t="s">
        <v>2708</v>
      </c>
      <c r="M370" s="244" t="s">
        <v>2916</v>
      </c>
      <c r="N370" s="246" t="str">
        <f>_xlfn.TEXTJOIN("",TRUE,H_unit[[#This Row],[Exact]],H_unit[[#This Row],[Exact+n]],H_unit[[#This Row],[Copilot]])</f>
        <v>Parainen</v>
      </c>
      <c r="O370" s="246" t="str">
        <f>_xlfn.XLOOKUP(H_unit[[#This Row],[Municipality]],Municipality[Municipality],Municipality[Model],"")</f>
        <v>South West</v>
      </c>
      <c r="P370" s="236"/>
    </row>
    <row r="371" spans="1:16">
      <c r="A371" s="238" t="s">
        <v>2070</v>
      </c>
      <c r="B371" s="238" t="s">
        <v>2074</v>
      </c>
      <c r="C371" s="240" t="str" cm="1">
        <f t="array" ref="C371">" "&amp;LOWER(_xlfn.REDUCE(H_unit[[#This Row],[Company]]&amp;" "&amp;H_unit[[#This Row],[Unit]],{",",".","(",")","/"},_xlfn.LAMBDA(_xlpm.txt,_xlpm.delim,SUBSTITUTE(_xlpm.txt,_xlpm.delim," "))))&amp;" "</f>
        <v xml:space="preserve"> raseborgs energi ab bio4 </v>
      </c>
      <c r="D371" s="242">
        <v>2012</v>
      </c>
      <c r="E371" s="243">
        <v>9.5</v>
      </c>
      <c r="F371" s="243"/>
      <c r="G371" s="247"/>
      <c r="H371" s="267" t="s">
        <v>1423</v>
      </c>
      <c r="I371" s="248" t="s">
        <v>1143</v>
      </c>
      <c r="J371" s="246" t="str" cm="1">
        <f t="array" ref="J371">_xlfn.XLOOKUP(TRUE,ISNUMBER(SEARCH(" "&amp;Municipality[Municipality]&amp;" ",H_unit[[#This Row],[Info string]])),Municipality[Municipality],"")</f>
        <v/>
      </c>
      <c r="K371" s="246" t="str" cm="1">
        <f t="array" ref="K371">IF(H_unit[[#This Row],[Exact]]&lt;&gt;"","",_xlfn.XLOOKUP(TRUE,ISNUMBER(SEARCH(" "&amp;Municipality[Municipality]&amp;"n ",H_unit[[#This Row],[Info string]])),Municipality[Municipality],""))</f>
        <v/>
      </c>
      <c r="L371" s="246" t="s">
        <v>2502</v>
      </c>
      <c r="M371" s="244" t="s">
        <v>2928</v>
      </c>
      <c r="N371" s="246" t="str">
        <f>_xlfn.TEXTJOIN("",TRUE,H_unit[[#This Row],[Exact]],H_unit[[#This Row],[Exact+n]],H_unit[[#This Row],[Copilot]])</f>
        <v>Tammisaari</v>
      </c>
      <c r="O371" s="246" t="str">
        <f>_xlfn.XLOOKUP(H_unit[[#This Row],[Municipality]],Municipality[Municipality],Municipality[Model],"")</f>
        <v>Uusimaa</v>
      </c>
      <c r="P371" s="236"/>
    </row>
    <row r="372" spans="1:16">
      <c r="A372" s="238" t="s">
        <v>1498</v>
      </c>
      <c r="B372" s="238" t="s">
        <v>1503</v>
      </c>
      <c r="C372" s="240" t="str" cm="1">
        <f t="array" ref="C372">" "&amp;LOWER(_xlfn.REDUCE(H_unit[[#This Row],[Company]]&amp;" "&amp;H_unit[[#This Row],[Unit]],{",",".","(",")","/"},_xlfn.LAMBDA(_xlpm.txt,_xlpm.delim,SUBSTITUTE(_xlpm.txt,_xlpm.delim," "))))&amp;" "</f>
        <v xml:space="preserve"> etelä-savon energia oy tikkala </v>
      </c>
      <c r="D372" s="242">
        <v>2003</v>
      </c>
      <c r="E372" s="243">
        <v>9.3000000000000007</v>
      </c>
      <c r="F372" s="243"/>
      <c r="G372" s="247"/>
      <c r="H372" s="267" t="s">
        <v>1423</v>
      </c>
      <c r="I372" s="248" t="s">
        <v>1143</v>
      </c>
      <c r="J372" s="246" t="str" cm="1">
        <f t="array" ref="J372">_xlfn.XLOOKUP(TRUE,ISNUMBER(SEARCH(" "&amp;Municipality[Municipality]&amp;" ",H_unit[[#This Row],[Info string]])),Municipality[Municipality],"")</f>
        <v/>
      </c>
      <c r="K372" s="246" t="str" cm="1">
        <f t="array" ref="K372">IF(H_unit[[#This Row],[Exact]]&lt;&gt;"","",_xlfn.XLOOKUP(TRUE,ISNUMBER(SEARCH(" "&amp;Municipality[Municipality]&amp;"n ",H_unit[[#This Row],[Info string]])),Municipality[Municipality],""))</f>
        <v/>
      </c>
      <c r="L372" s="246" t="s">
        <v>2761</v>
      </c>
      <c r="M372" s="244" t="s">
        <v>2893</v>
      </c>
      <c r="N372" s="246" t="str">
        <f>_xlfn.TEXTJOIN("",TRUE,H_unit[[#This Row],[Exact]],H_unit[[#This Row],[Exact+n]],H_unit[[#This Row],[Copilot]])</f>
        <v>Mikkeli</v>
      </c>
      <c r="O372" s="246" t="str">
        <f>_xlfn.XLOOKUP(H_unit[[#This Row],[Municipality]],Municipality[Municipality],Municipality[Model],"")</f>
        <v>East</v>
      </c>
      <c r="P372" s="236"/>
    </row>
    <row r="373" spans="1:16">
      <c r="A373" s="238" t="s">
        <v>1992</v>
      </c>
      <c r="B373" s="238" t="s">
        <v>1996</v>
      </c>
      <c r="C373" s="240" t="str" cm="1">
        <f t="array" ref="C373">" "&amp;LOWER(_xlfn.REDUCE(H_unit[[#This Row],[Company]]&amp;" "&amp;H_unit[[#This Row],[Unit]],{",",".","(",")","/"},_xlfn.LAMBDA(_xlpm.txt,_xlpm.delim,SUBSTITUTE(_xlpm.txt,_xlpm.delim," "))))&amp;" "</f>
        <v xml:space="preserve"> okun energia oy  outokumpu kehkola kpa2 </v>
      </c>
      <c r="D373" s="242">
        <v>2008</v>
      </c>
      <c r="E373" s="243">
        <v>9.1</v>
      </c>
      <c r="F373" s="243"/>
      <c r="G373" s="247"/>
      <c r="H373" s="267" t="s">
        <v>1423</v>
      </c>
      <c r="I373" s="248" t="s">
        <v>1143</v>
      </c>
      <c r="J373" s="246" t="str" cm="1">
        <f t="array" ref="J373">_xlfn.XLOOKUP(TRUE,ISNUMBER(SEARCH(" "&amp;Municipality[Municipality]&amp;" ",H_unit[[#This Row],[Info string]])),Municipality[Municipality],"")</f>
        <v>Outokumpu</v>
      </c>
      <c r="K373" s="246" t="str" cm="1">
        <f t="array" ref="K373">IF(H_unit[[#This Row],[Exact]]&lt;&gt;"","",_xlfn.XLOOKUP(TRUE,ISNUMBER(SEARCH(" "&amp;Municipality[Municipality]&amp;"n ",H_unit[[#This Row],[Info string]])),Municipality[Municipality],""))</f>
        <v/>
      </c>
      <c r="L373" s="246"/>
      <c r="M373" s="244"/>
      <c r="N373" s="246" t="str">
        <f>_xlfn.TEXTJOIN("",TRUE,H_unit[[#This Row],[Exact]],H_unit[[#This Row],[Exact+n]],H_unit[[#This Row],[Copilot]])</f>
        <v>Outokumpu</v>
      </c>
      <c r="O373" s="246" t="str">
        <f>_xlfn.XLOOKUP(H_unit[[#This Row],[Municipality]],Municipality[Municipality],Municipality[Model],"")</f>
        <v>East</v>
      </c>
      <c r="P373" s="236"/>
    </row>
    <row r="374" spans="1:16">
      <c r="A374" s="238" t="s">
        <v>2087</v>
      </c>
      <c r="B374" s="238" t="s">
        <v>2089</v>
      </c>
      <c r="C374" s="240" t="str" cm="1">
        <f t="array" ref="C374">" "&amp;LOWER(_xlfn.REDUCE(H_unit[[#This Row],[Company]]&amp;" "&amp;H_unit[[#This Row],[Unit]],{",",".","(",")","/"},_xlfn.LAMBDA(_xlpm.txt,_xlpm.delim,SUBSTITUTE(_xlpm.txt,_xlpm.delim," "))))&amp;" "</f>
        <v xml:space="preserve"> riihimäen kaukolämpö oy kontiontie </v>
      </c>
      <c r="D374" s="242">
        <v>1978</v>
      </c>
      <c r="E374" s="243">
        <v>9</v>
      </c>
      <c r="F374" s="243"/>
      <c r="G374" s="247"/>
      <c r="H374" s="267" t="s">
        <v>1418</v>
      </c>
      <c r="I374" s="248" t="s">
        <v>1141</v>
      </c>
      <c r="J374" s="246" t="str" cm="1">
        <f t="array" ref="J374">_xlfn.XLOOKUP(TRUE,ISNUMBER(SEARCH(" "&amp;Municipality[Municipality]&amp;" ",H_unit[[#This Row],[Info string]])),Municipality[Municipality],"")</f>
        <v/>
      </c>
      <c r="K374" s="246" t="str" cm="1">
        <f t="array" ref="K374">IF(H_unit[[#This Row],[Exact]]&lt;&gt;"","",_xlfn.XLOOKUP(TRUE,ISNUMBER(SEARCH(" "&amp;Municipality[Municipality]&amp;"n ",H_unit[[#This Row],[Info string]])),Municipality[Municipality],""))</f>
        <v/>
      </c>
      <c r="L374" s="246" t="s">
        <v>2751</v>
      </c>
      <c r="M374" s="244" t="s">
        <v>2908</v>
      </c>
      <c r="N374" s="246" t="str">
        <f>_xlfn.TEXTJOIN("",TRUE,H_unit[[#This Row],[Exact]],H_unit[[#This Row],[Exact+n]],H_unit[[#This Row],[Copilot]])</f>
        <v>Riihimäki</v>
      </c>
      <c r="O374" s="246" t="str">
        <f>_xlfn.XLOOKUP(H_unit[[#This Row],[Municipality]],Municipality[Municipality],Municipality[Model],"")</f>
        <v>South West</v>
      </c>
      <c r="P374" s="236"/>
    </row>
    <row r="375" spans="1:16">
      <c r="A375" s="238" t="s">
        <v>2034</v>
      </c>
      <c r="B375" s="238" t="s">
        <v>2035</v>
      </c>
      <c r="C375" s="240" t="str" cm="1">
        <f t="array" ref="C375">" "&amp;LOWER(_xlfn.REDUCE(H_unit[[#This Row],[Company]]&amp;" "&amp;H_unit[[#This Row],[Unit]],{",",".","(",")","/"},_xlfn.LAMBDA(_xlpm.txt,_xlpm.delim,SUBSTITUTE(_xlpm.txt,_xlpm.delim," "))))&amp;" "</f>
        <v xml:space="preserve"> pargas fjärrvärme ab oy kalkkiranta </v>
      </c>
      <c r="D375" s="242">
        <v>1983</v>
      </c>
      <c r="E375" s="243">
        <v>9</v>
      </c>
      <c r="F375" s="243"/>
      <c r="G375" s="247"/>
      <c r="H375" s="267" t="s">
        <v>1430</v>
      </c>
      <c r="I375" s="248" t="s">
        <v>1141</v>
      </c>
      <c r="J375" s="246" t="str" cm="1">
        <f t="array" ref="J375">_xlfn.XLOOKUP(TRUE,ISNUMBER(SEARCH(" "&amp;Municipality[Municipality]&amp;" ",H_unit[[#This Row],[Info string]])),Municipality[Municipality],"")</f>
        <v/>
      </c>
      <c r="K375" s="246" t="str" cm="1">
        <f t="array" ref="K375">IF(H_unit[[#This Row],[Exact]]&lt;&gt;"","",_xlfn.XLOOKUP(TRUE,ISNUMBER(SEARCH(" "&amp;Municipality[Municipality]&amp;"n ",H_unit[[#This Row],[Info string]])),Municipality[Municipality],""))</f>
        <v/>
      </c>
      <c r="L375" s="246" t="s">
        <v>2708</v>
      </c>
      <c r="M375" s="244" t="s">
        <v>2916</v>
      </c>
      <c r="N375" s="246" t="str">
        <f>_xlfn.TEXTJOIN("",TRUE,H_unit[[#This Row],[Exact]],H_unit[[#This Row],[Exact+n]],H_unit[[#This Row],[Copilot]])</f>
        <v>Parainen</v>
      </c>
      <c r="O375" s="246" t="str">
        <f>_xlfn.XLOOKUP(H_unit[[#This Row],[Municipality]],Municipality[Municipality],Municipality[Model],"")</f>
        <v>South West</v>
      </c>
      <c r="P375" s="236"/>
    </row>
    <row r="376" spans="1:16">
      <c r="A376" s="238" t="s">
        <v>1469</v>
      </c>
      <c r="B376" s="238" t="s">
        <v>1470</v>
      </c>
      <c r="C376" s="240" t="str" cm="1">
        <f t="array" ref="C376">" "&amp;LOWER(_xlfn.REDUCE(H_unit[[#This Row],[Company]]&amp;" "&amp;H_unit[[#This Row],[Unit]],{",",".","(",")","/"},_xlfn.LAMBDA(_xlpm.txt,_xlpm.delim,SUBSTITUTE(_xlpm.txt,_xlpm.delim," "))))&amp;" "</f>
        <v xml:space="preserve"> adven oy  seinäjoki  ylistaro  halkosaari  lk104 ylistaro </v>
      </c>
      <c r="D376" s="242">
        <v>1985</v>
      </c>
      <c r="E376" s="243">
        <v>9</v>
      </c>
      <c r="F376" s="243"/>
      <c r="G376" s="247"/>
      <c r="H376" s="267" t="s">
        <v>1423</v>
      </c>
      <c r="I376" s="248" t="s">
        <v>1143</v>
      </c>
      <c r="J376" s="246" t="str" cm="1">
        <f t="array" ref="J376">_xlfn.XLOOKUP(TRUE,ISNUMBER(SEARCH(" "&amp;Municipality[Municipality]&amp;" ",H_unit[[#This Row],[Info string]])),Municipality[Municipality],"")</f>
        <v>Seinäjoki</v>
      </c>
      <c r="K376" s="246" t="str" cm="1">
        <f t="array" ref="K376">IF(H_unit[[#This Row],[Exact]]&lt;&gt;"","",_xlfn.XLOOKUP(TRUE,ISNUMBER(SEARCH(" "&amp;Municipality[Municipality]&amp;"n ",H_unit[[#This Row],[Info string]])),Municipality[Municipality],""))</f>
        <v/>
      </c>
      <c r="L376" s="246"/>
      <c r="M376" s="244"/>
      <c r="N376" s="246" t="str">
        <f>_xlfn.TEXTJOIN("",TRUE,H_unit[[#This Row],[Exact]],H_unit[[#This Row],[Exact+n]],H_unit[[#This Row],[Copilot]])</f>
        <v>Seinäjoki</v>
      </c>
      <c r="O376" s="246" t="str">
        <f>_xlfn.XLOOKUP(H_unit[[#This Row],[Municipality]],Municipality[Municipality],Municipality[Model],"")</f>
        <v>West</v>
      </c>
      <c r="P376" s="236"/>
    </row>
    <row r="377" spans="1:16">
      <c r="A377" s="238" t="s">
        <v>1728</v>
      </c>
      <c r="B377" s="238" t="s">
        <v>1745</v>
      </c>
      <c r="C377" s="240" t="str" cm="1">
        <f t="array" ref="C377">" "&amp;LOWER(_xlfn.REDUCE(H_unit[[#This Row],[Company]]&amp;" "&amp;H_unit[[#This Row],[Unit]],{",",".","(",")","/"},_xlfn.LAMBDA(_xlpm.txt,_xlpm.delim,SUBSTITUTE(_xlpm.txt,_xlpm.delim," "))))&amp;" "</f>
        <v xml:space="preserve"> lahti energia oy  lahti koneharju </v>
      </c>
      <c r="D377" s="242">
        <v>1990</v>
      </c>
      <c r="E377" s="243">
        <v>9</v>
      </c>
      <c r="F377" s="243">
        <v>4.5</v>
      </c>
      <c r="G377" s="247"/>
      <c r="H377" s="267" t="s">
        <v>1453</v>
      </c>
      <c r="I377" s="248" t="s">
        <v>1145</v>
      </c>
      <c r="J377" s="246" t="str" cm="1">
        <f t="array" ref="J377">_xlfn.XLOOKUP(TRUE,ISNUMBER(SEARCH(" "&amp;Municipality[Municipality]&amp;" ",H_unit[[#This Row],[Info string]])),Municipality[Municipality],"")</f>
        <v>Lahti</v>
      </c>
      <c r="K377" s="246" t="str" cm="1">
        <f t="array" ref="K377">IF(H_unit[[#This Row],[Exact]]&lt;&gt;"","",_xlfn.XLOOKUP(TRUE,ISNUMBER(SEARCH(" "&amp;Municipality[Municipality]&amp;"n ",H_unit[[#This Row],[Info string]])),Municipality[Municipality],""))</f>
        <v/>
      </c>
      <c r="L377" s="246"/>
      <c r="M377" s="244"/>
      <c r="N377" s="246" t="str">
        <f>_xlfn.TEXTJOIN("",TRUE,H_unit[[#This Row],[Exact]],H_unit[[#This Row],[Exact+n]],H_unit[[#This Row],[Copilot]])</f>
        <v>Lahti</v>
      </c>
      <c r="O377" s="246" t="str">
        <f>_xlfn.XLOOKUP(H_unit[[#This Row],[Municipality]],Municipality[Municipality],Municipality[Model],"")</f>
        <v>South East</v>
      </c>
      <c r="P377" s="236"/>
    </row>
    <row r="378" spans="1:16">
      <c r="A378" s="238" t="s">
        <v>1451</v>
      </c>
      <c r="B378" s="238" t="s">
        <v>1454</v>
      </c>
      <c r="C378" s="240" t="str" cm="1">
        <f t="array" ref="C378">" "&amp;LOWER(_xlfn.REDUCE(H_unit[[#This Row],[Company]]&amp;" "&amp;H_unit[[#This Row],[Unit]],{",",".","(",")","/"},_xlfn.LAMBDA(_xlpm.txt,_xlpm.delim,SUBSTITUTE(_xlpm.txt,_xlpm.delim," "))))&amp;" "</f>
        <v xml:space="preserve"> adven oy  nokia  pitkäniemi  lk148 </v>
      </c>
      <c r="D378" s="242">
        <v>1991</v>
      </c>
      <c r="E378" s="243">
        <v>9</v>
      </c>
      <c r="F378" s="243"/>
      <c r="G378" s="247"/>
      <c r="H378" s="267" t="s">
        <v>1436</v>
      </c>
      <c r="I378" s="248" t="s">
        <v>1143</v>
      </c>
      <c r="J378" s="246" t="str" cm="1">
        <f t="array" ref="J378">_xlfn.XLOOKUP(TRUE,ISNUMBER(SEARCH(" "&amp;Municipality[Municipality]&amp;" ",H_unit[[#This Row],[Info string]])),Municipality[Municipality],"")</f>
        <v>Nokia</v>
      </c>
      <c r="K378" s="246" t="str" cm="1">
        <f t="array" ref="K378">IF(H_unit[[#This Row],[Exact]]&lt;&gt;"","",_xlfn.XLOOKUP(TRUE,ISNUMBER(SEARCH(" "&amp;Municipality[Municipality]&amp;"n ",H_unit[[#This Row],[Info string]])),Municipality[Municipality],""))</f>
        <v/>
      </c>
      <c r="L378" s="246"/>
      <c r="M378" s="244"/>
      <c r="N378" s="246" t="str">
        <f>_xlfn.TEXTJOIN("",TRUE,H_unit[[#This Row],[Exact]],H_unit[[#This Row],[Exact+n]],H_unit[[#This Row],[Copilot]])</f>
        <v>Nokia</v>
      </c>
      <c r="O378" s="246" t="str">
        <f>_xlfn.XLOOKUP(H_unit[[#This Row],[Municipality]],Municipality[Municipality],Municipality[Model],"")</f>
        <v>Center</v>
      </c>
      <c r="P378" s="236"/>
    </row>
    <row r="379" spans="1:16">
      <c r="A379" s="238" t="s">
        <v>1597</v>
      </c>
      <c r="B379" s="238" t="s">
        <v>1598</v>
      </c>
      <c r="C379" s="240" t="str" cm="1">
        <f t="array" ref="C379">" "&amp;LOWER(_xlfn.REDUCE(H_unit[[#This Row],[Company]]&amp;" "&amp;H_unit[[#This Row],[Unit]],{",",".","(",")","/"},_xlfn.LAMBDA(_xlpm.txt,_xlpm.delim,SUBSTITUTE(_xlpm.txt,_xlpm.delim," "))))&amp;" "</f>
        <v xml:space="preserve"> kausalan kaukolämpö oy asemantie </v>
      </c>
      <c r="D379" s="242">
        <v>1993</v>
      </c>
      <c r="E379" s="243">
        <v>9</v>
      </c>
      <c r="F379" s="243"/>
      <c r="G379" s="247"/>
      <c r="H379" s="267" t="s">
        <v>1418</v>
      </c>
      <c r="I379" s="248" t="s">
        <v>1141</v>
      </c>
      <c r="J379" s="246" t="str" cm="1">
        <f t="array" ref="J379">_xlfn.XLOOKUP(TRUE,ISNUMBER(SEARCH(" "&amp;Municipality[Municipality]&amp;" ",H_unit[[#This Row],[Info string]])),Municipality[Municipality],"")</f>
        <v/>
      </c>
      <c r="K379" s="246" t="str" cm="1">
        <f t="array" ref="K379">IF(H_unit[[#This Row],[Exact]]&lt;&gt;"","",_xlfn.XLOOKUP(TRUE,ISNUMBER(SEARCH(" "&amp;Municipality[Municipality]&amp;"n ",H_unit[[#This Row],[Info string]])),Municipality[Municipality],""))</f>
        <v/>
      </c>
      <c r="L379" s="246" t="s">
        <v>2542</v>
      </c>
      <c r="M379" s="244" t="s">
        <v>2917</v>
      </c>
      <c r="N379" s="246" t="str">
        <f>_xlfn.TEXTJOIN("",TRUE,H_unit[[#This Row],[Exact]],H_unit[[#This Row],[Exact+n]],H_unit[[#This Row],[Copilot]])</f>
        <v>Iitti</v>
      </c>
      <c r="O379" s="246" t="str">
        <f>_xlfn.XLOOKUP(H_unit[[#This Row],[Municipality]],Municipality[Municipality],Municipality[Model],"")</f>
        <v>South East</v>
      </c>
      <c r="P379" s="236"/>
    </row>
    <row r="380" spans="1:16">
      <c r="A380" s="238" t="s">
        <v>1426</v>
      </c>
      <c r="B380" s="238" t="s">
        <v>1427</v>
      </c>
      <c r="C380" s="240" t="str" cm="1">
        <f t="array" ref="C380">" "&amp;LOWER(_xlfn.REDUCE(H_unit[[#This Row],[Company]]&amp;" "&amp;H_unit[[#This Row],[Unit]],{",",".","(",")","/"},_xlfn.LAMBDA(_xlpm.txt,_xlpm.delim,SUBSTITUTE(_xlpm.txt,_xlpm.delim," "))))&amp;" "</f>
        <v xml:space="preserve"> adven oy  huittinen huittinen kpa </v>
      </c>
      <c r="D380" s="242">
        <v>2006</v>
      </c>
      <c r="E380" s="243">
        <v>9</v>
      </c>
      <c r="F380" s="243"/>
      <c r="G380" s="247"/>
      <c r="H380" s="267" t="s">
        <v>1428</v>
      </c>
      <c r="I380" s="248" t="s">
        <v>1143</v>
      </c>
      <c r="J380" s="246" t="str" cm="1">
        <f t="array" ref="J380">_xlfn.XLOOKUP(TRUE,ISNUMBER(SEARCH(" "&amp;Municipality[Municipality]&amp;" ",H_unit[[#This Row],[Info string]])),Municipality[Municipality],"")</f>
        <v>Huittinen</v>
      </c>
      <c r="K380" s="246" t="str" cm="1">
        <f t="array" ref="K380">IF(H_unit[[#This Row],[Exact]]&lt;&gt;"","",_xlfn.XLOOKUP(TRUE,ISNUMBER(SEARCH(" "&amp;Municipality[Municipality]&amp;"n ",H_unit[[#This Row],[Info string]])),Municipality[Municipality],""))</f>
        <v/>
      </c>
      <c r="L380" s="246"/>
      <c r="M380" s="244"/>
      <c r="N380" s="246" t="str">
        <f>_xlfn.TEXTJOIN("",TRUE,H_unit[[#This Row],[Exact]],H_unit[[#This Row],[Exact+n]],H_unit[[#This Row],[Copilot]])</f>
        <v>Huittinen</v>
      </c>
      <c r="O380" s="246" t="str">
        <f>_xlfn.XLOOKUP(H_unit[[#This Row],[Municipality]],Municipality[Municipality],Municipality[Model],"")</f>
        <v>West</v>
      </c>
      <c r="P380" s="236"/>
    </row>
    <row r="381" spans="1:16">
      <c r="A381" s="238" t="s">
        <v>1581</v>
      </c>
      <c r="B381" s="238" t="s">
        <v>1582</v>
      </c>
      <c r="C381" s="240" t="str" cm="1">
        <f t="array" ref="C381">" "&amp;LOWER(_xlfn.REDUCE(H_unit[[#This Row],[Company]]&amp;" "&amp;H_unit[[#This Row],[Unit]],{",",".","(",")","/"},_xlfn.LAMBDA(_xlpm.txt,_xlpm.delim,SUBSTITUTE(_xlpm.txt,_xlpm.delim," "))))&amp;" "</f>
        <v xml:space="preserve"> kauhajoen lämpöhuolto oy lellava </v>
      </c>
      <c r="D381" s="242">
        <v>2008</v>
      </c>
      <c r="E381" s="243">
        <v>9</v>
      </c>
      <c r="F381" s="243"/>
      <c r="G381" s="247"/>
      <c r="H381" s="267" t="s">
        <v>1428</v>
      </c>
      <c r="I381" s="248" t="s">
        <v>1143</v>
      </c>
      <c r="J381" s="246" t="str" cm="1">
        <f t="array" ref="J381">_xlfn.XLOOKUP(TRUE,ISNUMBER(SEARCH(" "&amp;Municipality[Municipality]&amp;" ",H_unit[[#This Row],[Info string]])),Municipality[Municipality],"")</f>
        <v/>
      </c>
      <c r="K381" s="246" t="str" cm="1">
        <f t="array" ref="K381">IF(H_unit[[#This Row],[Exact]]&lt;&gt;"","",_xlfn.XLOOKUP(TRUE,ISNUMBER(SEARCH(" "&amp;Municipality[Municipality]&amp;"n ",H_unit[[#This Row],[Info string]])),Municipality[Municipality],""))</f>
        <v/>
      </c>
      <c r="L381" s="246" t="s">
        <v>2577</v>
      </c>
      <c r="M381" s="244" t="s">
        <v>2918</v>
      </c>
      <c r="N381" s="246" t="str">
        <f>_xlfn.TEXTJOIN("",TRUE,H_unit[[#This Row],[Exact]],H_unit[[#This Row],[Exact+n]],H_unit[[#This Row],[Copilot]])</f>
        <v>Kauhajoki</v>
      </c>
      <c r="O381" s="246" t="str">
        <f>_xlfn.XLOOKUP(H_unit[[#This Row],[Municipality]],Municipality[Municipality],Municipality[Model],"")</f>
        <v>West</v>
      </c>
      <c r="P381" s="236"/>
    </row>
    <row r="382" spans="1:16">
      <c r="A382" s="238" t="s">
        <v>1800</v>
      </c>
      <c r="B382" s="238" t="s">
        <v>1801</v>
      </c>
      <c r="C382" s="240" t="str" cm="1">
        <f t="array" ref="C382">" "&amp;LOWER(_xlfn.REDUCE(H_unit[[#This Row],[Company]]&amp;" "&amp;H_unit[[#This Row],[Unit]],{",",".","(",")","/"},_xlfn.LAMBDA(_xlpm.txt,_xlpm.delim,SUBSTITUTE(_xlpm.txt,_xlpm.delim," "))))&amp;" "</f>
        <v xml:space="preserve"> leppäkosken lämpö oy  parkano varalämpökeskus </v>
      </c>
      <c r="D382" s="242">
        <v>2009</v>
      </c>
      <c r="E382" s="243">
        <v>9</v>
      </c>
      <c r="F382" s="243"/>
      <c r="G382" s="247"/>
      <c r="H382" s="267" t="s">
        <v>1430</v>
      </c>
      <c r="I382" s="248" t="s">
        <v>1141</v>
      </c>
      <c r="J382" s="246" t="str" cm="1">
        <f t="array" ref="J382">_xlfn.XLOOKUP(TRUE,ISNUMBER(SEARCH(" "&amp;Municipality[Municipality]&amp;" ",H_unit[[#This Row],[Info string]])),Municipality[Municipality],"")</f>
        <v>Parkano</v>
      </c>
      <c r="K382" s="246" t="str" cm="1">
        <f t="array" ref="K382">IF(H_unit[[#This Row],[Exact]]&lt;&gt;"","",_xlfn.XLOOKUP(TRUE,ISNUMBER(SEARCH(" "&amp;Municipality[Municipality]&amp;"n ",H_unit[[#This Row],[Info string]])),Municipality[Municipality],""))</f>
        <v/>
      </c>
      <c r="L382" s="246"/>
      <c r="M382" s="244"/>
      <c r="N382" s="246" t="str">
        <f>_xlfn.TEXTJOIN("",TRUE,H_unit[[#This Row],[Exact]],H_unit[[#This Row],[Exact+n]],H_unit[[#This Row],[Copilot]])</f>
        <v>Parkano</v>
      </c>
      <c r="O382" s="246" t="str">
        <f>_xlfn.XLOOKUP(H_unit[[#This Row],[Municipality]],Municipality[Municipality],Municipality[Model],"")</f>
        <v>Center</v>
      </c>
      <c r="P382" s="236"/>
    </row>
    <row r="383" spans="1:16">
      <c r="A383" s="238" t="s">
        <v>2318</v>
      </c>
      <c r="B383" s="238" t="s">
        <v>2323</v>
      </c>
      <c r="C383" s="240" t="str" cm="1">
        <f t="array" ref="C383">" "&amp;LOWER(_xlfn.REDUCE(H_unit[[#This Row],[Company]]&amp;" "&amp;H_unit[[#This Row],[Unit]],{",",".","(",")","/"},_xlfn.LAMBDA(_xlpm.txt,_xlpm.delim,SUBSTITUTE(_xlpm.txt,_xlpm.delim," "))))&amp;" "</f>
        <v xml:space="preserve"> lappeenrannan lämpövoima oy rauha  joutseno  </v>
      </c>
      <c r="D383" s="242">
        <v>2010</v>
      </c>
      <c r="E383" s="243">
        <v>9</v>
      </c>
      <c r="F383" s="243"/>
      <c r="G383" s="247"/>
      <c r="H383" s="267" t="s">
        <v>1453</v>
      </c>
      <c r="I383" s="248" t="s">
        <v>1142</v>
      </c>
      <c r="J383" s="246" t="str" cm="1">
        <f t="array" ref="J383">_xlfn.XLOOKUP(TRUE,ISNUMBER(SEARCH(" "&amp;Municipality[Municipality]&amp;" ",H_unit[[#This Row],[Info string]])),Municipality[Municipality],"")</f>
        <v>Joutseno</v>
      </c>
      <c r="K383" s="246" t="str" cm="1">
        <f t="array" ref="K383">IF(H_unit[[#This Row],[Exact]]&lt;&gt;"","",_xlfn.XLOOKUP(TRUE,ISNUMBER(SEARCH(" "&amp;Municipality[Municipality]&amp;"n ",H_unit[[#This Row],[Info string]])),Municipality[Municipality],""))</f>
        <v/>
      </c>
      <c r="L383" s="246"/>
      <c r="M383" s="244"/>
      <c r="N383" s="246" t="str">
        <f>_xlfn.TEXTJOIN("",TRUE,H_unit[[#This Row],[Exact]],H_unit[[#This Row],[Exact+n]],H_unit[[#This Row],[Copilot]])</f>
        <v>Joutseno</v>
      </c>
      <c r="O383" s="246" t="str">
        <f>_xlfn.XLOOKUP(H_unit[[#This Row],[Municipality]],Municipality[Municipality],Municipality[Model],"")</f>
        <v>South East</v>
      </c>
      <c r="P383" s="236"/>
    </row>
    <row r="384" spans="1:16">
      <c r="A384" s="238" t="s">
        <v>1945</v>
      </c>
      <c r="B384" s="238" t="s">
        <v>1946</v>
      </c>
      <c r="C384" s="240" t="str" cm="1">
        <f t="array" ref="C384">" "&amp;LOWER(_xlfn.REDUCE(H_unit[[#This Row],[Company]]&amp;" "&amp;H_unit[[#This Row],[Unit]],{",",".","(",")","/"},_xlfn.LAMBDA(_xlpm.txt,_xlpm.delim,SUBSTITUTE(_xlpm.txt,_xlpm.delim," "))))&amp;" "</f>
        <v xml:space="preserve"> nevel oy  sysmä arinatie  </v>
      </c>
      <c r="D384" s="242">
        <v>2011</v>
      </c>
      <c r="E384" s="243">
        <v>9</v>
      </c>
      <c r="F384" s="243"/>
      <c r="G384" s="247"/>
      <c r="H384" s="267" t="s">
        <v>1423</v>
      </c>
      <c r="I384" s="248" t="s">
        <v>1143</v>
      </c>
      <c r="J384" s="246" t="str" cm="1">
        <f t="array" ref="J384">_xlfn.XLOOKUP(TRUE,ISNUMBER(SEARCH(" "&amp;Municipality[Municipality]&amp;" ",H_unit[[#This Row],[Info string]])),Municipality[Municipality],"")</f>
        <v>Sysmä</v>
      </c>
      <c r="K384" s="246" t="str" cm="1">
        <f t="array" ref="K384">IF(H_unit[[#This Row],[Exact]]&lt;&gt;"","",_xlfn.XLOOKUP(TRUE,ISNUMBER(SEARCH(" "&amp;Municipality[Municipality]&amp;"n ",H_unit[[#This Row],[Info string]])),Municipality[Municipality],""))</f>
        <v/>
      </c>
      <c r="L384" s="246"/>
      <c r="M384" s="244"/>
      <c r="N384" s="246" t="str">
        <f>_xlfn.TEXTJOIN("",TRUE,H_unit[[#This Row],[Exact]],H_unit[[#This Row],[Exact+n]],H_unit[[#This Row],[Copilot]])</f>
        <v>Sysmä</v>
      </c>
      <c r="O384" s="246" t="str">
        <f>_xlfn.XLOOKUP(H_unit[[#This Row],[Municipality]],Municipality[Municipality],Municipality[Model],"")</f>
        <v>South East</v>
      </c>
      <c r="P384" s="236"/>
    </row>
    <row r="385" spans="1:16">
      <c r="A385" s="238" t="s">
        <v>2260</v>
      </c>
      <c r="B385" s="238" t="s">
        <v>2263</v>
      </c>
      <c r="C385" s="240" t="str" cm="1">
        <f t="array" ref="C385">" "&amp;LOWER(_xlfn.REDUCE(H_unit[[#This Row],[Company]]&amp;" "&amp;H_unit[[#This Row],[Unit]],{",",".","(",")","/"},_xlfn.LAMBDA(_xlpm.txt,_xlpm.delim,SUBSTITUTE(_xlpm.txt,_xlpm.delim," "))))&amp;" "</f>
        <v xml:space="preserve"> äänekosken energia oy suolahti pölkinkatu </v>
      </c>
      <c r="D385" s="242">
        <v>2015</v>
      </c>
      <c r="E385" s="243">
        <v>9</v>
      </c>
      <c r="F385" s="243"/>
      <c r="G385" s="247"/>
      <c r="H385" s="267" t="s">
        <v>1430</v>
      </c>
      <c r="I385" s="248" t="s">
        <v>1141</v>
      </c>
      <c r="J385" s="246" t="str" cm="1">
        <f t="array" ref="J385">_xlfn.XLOOKUP(TRUE,ISNUMBER(SEARCH(" "&amp;Municipality[Municipality]&amp;" ",H_unit[[#This Row],[Info string]])),Municipality[Municipality],"")</f>
        <v>Suolahti</v>
      </c>
      <c r="K385" s="246" t="str" cm="1">
        <f t="array" ref="K385">IF(H_unit[[#This Row],[Exact]]&lt;&gt;"","",_xlfn.XLOOKUP(TRUE,ISNUMBER(SEARCH(" "&amp;Municipality[Municipality]&amp;"n ",H_unit[[#This Row],[Info string]])),Municipality[Municipality],""))</f>
        <v/>
      </c>
      <c r="L385" s="246"/>
      <c r="M385" s="244"/>
      <c r="N385" s="246" t="str">
        <f>_xlfn.TEXTJOIN("",TRUE,H_unit[[#This Row],[Exact]],H_unit[[#This Row],[Exact+n]],H_unit[[#This Row],[Copilot]])</f>
        <v>Suolahti</v>
      </c>
      <c r="O385" s="246" t="str">
        <f>_xlfn.XLOOKUP(H_unit[[#This Row],[Municipality]],Municipality[Municipality],Municipality[Model],"")</f>
        <v>Center</v>
      </c>
      <c r="P385" s="236"/>
    </row>
    <row r="386" spans="1:16">
      <c r="A386" s="238" t="s">
        <v>1773</v>
      </c>
      <c r="B386" s="238" t="s">
        <v>1774</v>
      </c>
      <c r="C386" s="240" t="str" cm="1">
        <f t="array" ref="C386">" "&amp;LOWER(_xlfn.REDUCE(H_unit[[#This Row],[Company]]&amp;" "&amp;H_unit[[#This Row],[Unit]],{",",".","(",")","/"},_xlfn.LAMBDA(_xlpm.txt,_xlpm.delim,SUBSTITUTE(_xlpm.txt,_xlpm.delim," "))))&amp;" "</f>
        <v xml:space="preserve"> lempeä lämpö oy  rantasalmi nikkarintien lämpölaitos </v>
      </c>
      <c r="D386" s="242">
        <v>2017</v>
      </c>
      <c r="E386" s="243">
        <v>9</v>
      </c>
      <c r="F386" s="243"/>
      <c r="G386" s="247"/>
      <c r="H386" s="267" t="s">
        <v>1423</v>
      </c>
      <c r="I386" s="248" t="s">
        <v>1143</v>
      </c>
      <c r="J386" s="246" t="str" cm="1">
        <f t="array" ref="J386">_xlfn.XLOOKUP(TRUE,ISNUMBER(SEARCH(" "&amp;Municipality[Municipality]&amp;" ",H_unit[[#This Row],[Info string]])),Municipality[Municipality],"")</f>
        <v>Rantasalmi</v>
      </c>
      <c r="K386" s="246" t="str" cm="1">
        <f t="array" ref="K386">IF(H_unit[[#This Row],[Exact]]&lt;&gt;"","",_xlfn.XLOOKUP(TRUE,ISNUMBER(SEARCH(" "&amp;Municipality[Municipality]&amp;"n ",H_unit[[#This Row],[Info string]])),Municipality[Municipality],""))</f>
        <v/>
      </c>
      <c r="L386" s="246"/>
      <c r="M386" s="244"/>
      <c r="N386" s="246" t="str">
        <f>_xlfn.TEXTJOIN("",TRUE,H_unit[[#This Row],[Exact]],H_unit[[#This Row],[Exact+n]],H_unit[[#This Row],[Copilot]])</f>
        <v>Rantasalmi</v>
      </c>
      <c r="O386" s="246" t="str">
        <f>_xlfn.XLOOKUP(H_unit[[#This Row],[Municipality]],Municipality[Municipality],Municipality[Model],"")</f>
        <v>East</v>
      </c>
      <c r="P386" s="236"/>
    </row>
    <row r="387" spans="1:16">
      <c r="A387" s="238" t="s">
        <v>2349</v>
      </c>
      <c r="B387" s="238" t="s">
        <v>2349</v>
      </c>
      <c r="C387" s="240" t="str" cm="1">
        <f t="array" ref="C387">" "&amp;LOWER(_xlfn.REDUCE(H_unit[[#This Row],[Company]]&amp;" "&amp;H_unit[[#This Row],[Unit]],{",",".","(",")","/"},_xlfn.LAMBDA(_xlpm.txt,_xlpm.delim,SUBSTITUTE(_xlpm.txt,_xlpm.delim," "))))&amp;" "</f>
        <v xml:space="preserve"> metsä fibre oy  äänekosken biotuotetehdas metsä fibre oy  äänekosken biotuotetehdas </v>
      </c>
      <c r="D387" s="242">
        <v>2017</v>
      </c>
      <c r="E387" s="243">
        <v>9</v>
      </c>
      <c r="F387" s="243">
        <v>280</v>
      </c>
      <c r="G387" s="247"/>
      <c r="H387" s="267" t="s">
        <v>2344</v>
      </c>
      <c r="I387" s="248" t="s">
        <v>2345</v>
      </c>
      <c r="J387" s="246" t="str" cm="1">
        <f t="array" ref="J387">_xlfn.XLOOKUP(TRUE,ISNUMBER(SEARCH(" "&amp;Municipality[Municipality]&amp;" ",H_unit[[#This Row],[Info string]])),Municipality[Municipality],"")</f>
        <v/>
      </c>
      <c r="K387" s="246" t="str" cm="1">
        <f t="array" ref="K387">IF(H_unit[[#This Row],[Exact]]&lt;&gt;"","",_xlfn.XLOOKUP(TRUE,ISNUMBER(SEARCH(" "&amp;Municipality[Municipality]&amp;"n ",H_unit[[#This Row],[Info string]])),Municipality[Municipality],""))</f>
        <v/>
      </c>
      <c r="L387" s="246" t="s">
        <v>2856</v>
      </c>
      <c r="M387" s="244" t="s">
        <v>2919</v>
      </c>
      <c r="N387" s="246" t="str">
        <f>_xlfn.TEXTJOIN("",TRUE,H_unit[[#This Row],[Exact]],H_unit[[#This Row],[Exact+n]],H_unit[[#This Row],[Copilot]])</f>
        <v>Äänekoski</v>
      </c>
      <c r="O387" s="246" t="str">
        <f>_xlfn.XLOOKUP(H_unit[[#This Row],[Municipality]],Municipality[Municipality],Municipality[Model],"")</f>
        <v>Center</v>
      </c>
      <c r="P387" s="236"/>
    </row>
    <row r="388" spans="1:16">
      <c r="A388" s="238" t="s">
        <v>1511</v>
      </c>
      <c r="B388" s="238" t="s">
        <v>1516</v>
      </c>
      <c r="C388" s="240" t="str" cm="1">
        <f t="array" ref="C388">" "&amp;LOWER(_xlfn.REDUCE(H_unit[[#This Row],[Company]]&amp;" "&amp;H_unit[[#This Row],[Unit]],{",",".","(",")","/"},_xlfn.LAMBDA(_xlpm.txt,_xlpm.delim,SUBSTITUTE(_xlpm.txt,_xlpm.delim," "))))&amp;" "</f>
        <v xml:space="preserve"> haminan kaukolämpö oy kpa-laitos </v>
      </c>
      <c r="D388" s="242">
        <v>2019</v>
      </c>
      <c r="E388" s="243">
        <v>9</v>
      </c>
      <c r="F388" s="243"/>
      <c r="G388" s="247"/>
      <c r="H388" s="267" t="s">
        <v>1423</v>
      </c>
      <c r="I388" s="248" t="s">
        <v>1143</v>
      </c>
      <c r="J388" s="246" t="str" cm="1">
        <f t="array" ref="J388">_xlfn.XLOOKUP(TRUE,ISNUMBER(SEARCH(" "&amp;Municipality[Municipality]&amp;" ",H_unit[[#This Row],[Info string]])),Municipality[Municipality],"")</f>
        <v/>
      </c>
      <c r="K388" s="246" t="str" cm="1">
        <f t="array" ref="K388">IF(H_unit[[#This Row],[Exact]]&lt;&gt;"","",_xlfn.XLOOKUP(TRUE,ISNUMBER(SEARCH(" "&amp;Municipality[Municipality]&amp;"n ",H_unit[[#This Row],[Info string]])),Municipality[Municipality],""))</f>
        <v>Hamina</v>
      </c>
      <c r="L388" s="246"/>
      <c r="M388" s="244"/>
      <c r="N388" s="246" t="str">
        <f>_xlfn.TEXTJOIN("",TRUE,H_unit[[#This Row],[Exact]],H_unit[[#This Row],[Exact+n]],H_unit[[#This Row],[Copilot]])</f>
        <v>Hamina</v>
      </c>
      <c r="O388" s="246" t="str">
        <f>_xlfn.XLOOKUP(H_unit[[#This Row],[Municipality]],Municipality[Municipality],Municipality[Model],"")</f>
        <v>South East</v>
      </c>
      <c r="P388" s="236"/>
    </row>
    <row r="389" spans="1:16">
      <c r="A389" s="238" t="s">
        <v>1760</v>
      </c>
      <c r="B389" s="238" t="s">
        <v>1763</v>
      </c>
      <c r="C389" s="240" t="str" cm="1">
        <f t="array" ref="C389">" "&amp;LOWER(_xlfn.REDUCE(H_unit[[#This Row],[Company]]&amp;" "&amp;H_unit[[#This Row],[Unit]],{",",".","(",")","/"},_xlfn.LAMBDA(_xlpm.txt,_xlpm.delim,SUBSTITUTE(_xlpm.txt,_xlpm.delim," "))))&amp;" "</f>
        <v xml:space="preserve"> lempeä lämpö oy  kangasniemi biolämpölaitos </v>
      </c>
      <c r="D389" s="242">
        <v>2004</v>
      </c>
      <c r="E389" s="243">
        <v>8.6</v>
      </c>
      <c r="F389" s="243"/>
      <c r="G389" s="247"/>
      <c r="H389" s="267" t="s">
        <v>1423</v>
      </c>
      <c r="I389" s="248" t="s">
        <v>1143</v>
      </c>
      <c r="J389" s="246" t="str" cm="1">
        <f t="array" ref="J389">_xlfn.XLOOKUP(TRUE,ISNUMBER(SEARCH(" "&amp;Municipality[Municipality]&amp;" ",H_unit[[#This Row],[Info string]])),Municipality[Municipality],"")</f>
        <v>Kangasniemi</v>
      </c>
      <c r="K389" s="246" t="str" cm="1">
        <f t="array" ref="K389">IF(H_unit[[#This Row],[Exact]]&lt;&gt;"","",_xlfn.XLOOKUP(TRUE,ISNUMBER(SEARCH(" "&amp;Municipality[Municipality]&amp;"n ",H_unit[[#This Row],[Info string]])),Municipality[Municipality],""))</f>
        <v/>
      </c>
      <c r="L389" s="246"/>
      <c r="M389" s="244"/>
      <c r="N389" s="246" t="str">
        <f>_xlfn.TEXTJOIN("",TRUE,H_unit[[#This Row],[Exact]],H_unit[[#This Row],[Exact+n]],H_unit[[#This Row],[Copilot]])</f>
        <v>Kangasniemi</v>
      </c>
      <c r="O389" s="246" t="str">
        <f>_xlfn.XLOOKUP(H_unit[[#This Row],[Municipality]],Municipality[Municipality],Municipality[Model],"")</f>
        <v>East</v>
      </c>
      <c r="P389" s="236"/>
    </row>
    <row r="390" spans="1:16">
      <c r="A390" s="238" t="s">
        <v>2168</v>
      </c>
      <c r="B390" s="238" t="s">
        <v>2171</v>
      </c>
      <c r="C390" s="240" t="str" cm="1">
        <f t="array" ref="C390">" "&amp;LOWER(_xlfn.REDUCE(H_unit[[#This Row],[Company]]&amp;" "&amp;H_unit[[#This Row],[Unit]],{",",".","(",")","/"},_xlfn.LAMBDA(_xlpm.txt,_xlpm.delim,SUBSTITUTE(_xlpm.txt,_xlpm.delim," "))))&amp;" "</f>
        <v xml:space="preserve"> someron lämpö oy uusi kpa </v>
      </c>
      <c r="D390" s="242">
        <v>2014</v>
      </c>
      <c r="E390" s="243">
        <v>8.6</v>
      </c>
      <c r="F390" s="243"/>
      <c r="G390" s="247"/>
      <c r="H390" s="267" t="s">
        <v>1439</v>
      </c>
      <c r="I390" s="248" t="s">
        <v>1143</v>
      </c>
      <c r="J390" s="246" t="str" cm="1">
        <f t="array" ref="J390">_xlfn.XLOOKUP(TRUE,ISNUMBER(SEARCH(" "&amp;Municipality[Municipality]&amp;" ",H_unit[[#This Row],[Info string]])),Municipality[Municipality],"")</f>
        <v/>
      </c>
      <c r="K390" s="246" t="str" cm="1">
        <f t="array" ref="K390">IF(H_unit[[#This Row],[Exact]]&lt;&gt;"","",_xlfn.XLOOKUP(TRUE,ISNUMBER(SEARCH(" "&amp;Municipality[Municipality]&amp;"n ",H_unit[[#This Row],[Info string]])),Municipality[Municipality],""))</f>
        <v>Somero</v>
      </c>
      <c r="L390" s="246"/>
      <c r="M390" s="244"/>
      <c r="N390" s="246" t="str">
        <f>_xlfn.TEXTJOIN("",TRUE,H_unit[[#This Row],[Exact]],H_unit[[#This Row],[Exact+n]],H_unit[[#This Row],[Copilot]])</f>
        <v>Somero</v>
      </c>
      <c r="O390" s="246" t="str">
        <f>_xlfn.XLOOKUP(H_unit[[#This Row],[Municipality]],Municipality[Municipality],Municipality[Model],"")</f>
        <v>South West</v>
      </c>
      <c r="P390" s="236"/>
    </row>
    <row r="391" spans="1:16">
      <c r="A391" s="238" t="s">
        <v>1710</v>
      </c>
      <c r="B391" s="238" t="s">
        <v>1713</v>
      </c>
      <c r="C391" s="240" t="str" cm="1">
        <f t="array" ref="C391">" "&amp;LOWER(_xlfn.REDUCE(H_unit[[#This Row],[Company]]&amp;" "&amp;H_unit[[#This Row],[Unit]],{",",".","(",")","/"},_xlfn.LAMBDA(_xlpm.txt,_xlpm.delim,SUBSTITUTE(_xlpm.txt,_xlpm.delim," "))))&amp;" "</f>
        <v xml:space="preserve"> kuusamon energia- ja vesiosuuskunta ammattikoulun lämpökeskus </v>
      </c>
      <c r="D391" s="242" t="s">
        <v>1448</v>
      </c>
      <c r="E391" s="243">
        <v>8.6</v>
      </c>
      <c r="F391" s="243"/>
      <c r="G391" s="247"/>
      <c r="H391" s="267" t="s">
        <v>1430</v>
      </c>
      <c r="I391" s="248" t="s">
        <v>1141</v>
      </c>
      <c r="J391" s="246" t="str" cm="1">
        <f t="array" ref="J391">_xlfn.XLOOKUP(TRUE,ISNUMBER(SEARCH(" "&amp;Municipality[Municipality]&amp;" ",H_unit[[#This Row],[Info string]])),Municipality[Municipality],"")</f>
        <v/>
      </c>
      <c r="K391" s="246" t="str" cm="1">
        <f t="array" ref="K391">IF(H_unit[[#This Row],[Exact]]&lt;&gt;"","",_xlfn.XLOOKUP(TRUE,ISNUMBER(SEARCH(" "&amp;Municipality[Municipality]&amp;"n ",H_unit[[#This Row],[Info string]])),Municipality[Municipality],""))</f>
        <v>Kuusamo</v>
      </c>
      <c r="L391" s="246"/>
      <c r="M391" s="244"/>
      <c r="N391" s="246" t="str">
        <f>_xlfn.TEXTJOIN("",TRUE,H_unit[[#This Row],[Exact]],H_unit[[#This Row],[Exact+n]],H_unit[[#This Row],[Copilot]])</f>
        <v>Kuusamo</v>
      </c>
      <c r="O391" s="246" t="str">
        <f>_xlfn.XLOOKUP(H_unit[[#This Row],[Municipality]],Municipality[Municipality],Municipality[Model],"")</f>
        <v>North</v>
      </c>
      <c r="P391" s="236"/>
    </row>
    <row r="392" spans="1:16">
      <c r="A392" s="238" t="s">
        <v>2309</v>
      </c>
      <c r="B392" s="238" t="s">
        <v>2310</v>
      </c>
      <c r="C392" s="240" t="str" cm="1">
        <f t="array" ref="C392">" "&amp;LOWER(_xlfn.REDUCE(H_unit[[#This Row],[Company]]&amp;" "&amp;H_unit[[#This Row],[Unit]],{",",".","(",")","/"},_xlfn.LAMBDA(_xlpm.txt,_xlpm.delim,SUBSTITUTE(_xlpm.txt,_xlpm.delim," "))))&amp;" "</f>
        <v xml:space="preserve"> kss energia oy eskolanmäki </v>
      </c>
      <c r="D392" s="242">
        <v>1972</v>
      </c>
      <c r="E392" s="243">
        <v>8.5</v>
      </c>
      <c r="F392" s="243"/>
      <c r="G392" s="247"/>
      <c r="H392" s="267" t="s">
        <v>1453</v>
      </c>
      <c r="I392" s="248" t="s">
        <v>1142</v>
      </c>
      <c r="J392" s="246" t="str" cm="1">
        <f t="array" ref="J392">_xlfn.XLOOKUP(TRUE,ISNUMBER(SEARCH(" "&amp;Municipality[Municipality]&amp;" ",H_unit[[#This Row],[Info string]])),Municipality[Municipality],"")</f>
        <v/>
      </c>
      <c r="K392" s="246" t="str" cm="1">
        <f t="array" ref="K392">IF(H_unit[[#This Row],[Exact]]&lt;&gt;"","",_xlfn.XLOOKUP(TRUE,ISNUMBER(SEARCH(" "&amp;Municipality[Municipality]&amp;"n ",H_unit[[#This Row],[Info string]])),Municipality[Municipality],""))</f>
        <v/>
      </c>
      <c r="L392" s="246" t="s">
        <v>2612</v>
      </c>
      <c r="M392" s="244" t="s">
        <v>2894</v>
      </c>
      <c r="N392" s="246" t="str">
        <f>_xlfn.TEXTJOIN("",TRUE,H_unit[[#This Row],[Exact]],H_unit[[#This Row],[Exact+n]],H_unit[[#This Row],[Copilot]])</f>
        <v>Kouvola</v>
      </c>
      <c r="O392" s="246" t="str">
        <f>_xlfn.XLOOKUP(H_unit[[#This Row],[Municipality]],Municipality[Municipality],Municipality[Model],"")</f>
        <v>South East</v>
      </c>
      <c r="P392" s="236"/>
    </row>
    <row r="393" spans="1:16">
      <c r="A393" s="238" t="s">
        <v>1530</v>
      </c>
      <c r="B393" s="238" t="s">
        <v>1533</v>
      </c>
      <c r="C393" s="240" t="str" cm="1">
        <f t="array" ref="C393">" "&amp;LOWER(_xlfn.REDUCE(H_unit[[#This Row],[Company]]&amp;" "&amp;H_unit[[#This Row],[Unit]],{",",".","(",")","/"},_xlfn.LAMBDA(_xlpm.txt,_xlpm.delim,SUBSTITUTE(_xlpm.txt,_xlpm.delim," "))))&amp;" "</f>
        <v xml:space="preserve"> imatran lämpö oy rajapatsas </v>
      </c>
      <c r="D393" s="242">
        <v>1984</v>
      </c>
      <c r="E393" s="243">
        <v>8.5</v>
      </c>
      <c r="F393" s="243"/>
      <c r="G393" s="247"/>
      <c r="H393" s="267" t="s">
        <v>1453</v>
      </c>
      <c r="I393" s="248" t="s">
        <v>1142</v>
      </c>
      <c r="J393" s="246" t="str" cm="1">
        <f t="array" ref="J393">_xlfn.XLOOKUP(TRUE,ISNUMBER(SEARCH(" "&amp;Municipality[Municipality]&amp;" ",H_unit[[#This Row],[Info string]])),Municipality[Municipality],"")</f>
        <v/>
      </c>
      <c r="K393" s="246" t="str" cm="1">
        <f t="array" ref="K393">IF(H_unit[[#This Row],[Exact]]&lt;&gt;"","",_xlfn.XLOOKUP(TRUE,ISNUMBER(SEARCH(" "&amp;Municipality[Municipality]&amp;"n ",H_unit[[#This Row],[Info string]])),Municipality[Municipality],""))</f>
        <v>Imatra</v>
      </c>
      <c r="L393" s="246"/>
      <c r="M393" s="244"/>
      <c r="N393" s="246" t="str">
        <f>_xlfn.TEXTJOIN("",TRUE,H_unit[[#This Row],[Exact]],H_unit[[#This Row],[Exact+n]],H_unit[[#This Row],[Copilot]])</f>
        <v>Imatra</v>
      </c>
      <c r="O393" s="246" t="str">
        <f>_xlfn.XLOOKUP(H_unit[[#This Row],[Municipality]],Municipality[Municipality],Municipality[Model],"")</f>
        <v>South East</v>
      </c>
      <c r="P393" s="236"/>
    </row>
    <row r="394" spans="1:16">
      <c r="A394" s="238" t="s">
        <v>1612</v>
      </c>
      <c r="B394" s="238" t="s">
        <v>1614</v>
      </c>
      <c r="C394" s="240" t="str" cm="1">
        <f t="array" ref="C394">" "&amp;LOWER(_xlfn.REDUCE(H_unit[[#This Row],[Company]]&amp;" "&amp;H_unit[[#This Row],[Unit]],{",",".","(",")","/"},_xlfn.LAMBDA(_xlpm.txt,_xlpm.delim,SUBSTITUTE(_xlpm.txt,_xlpm.delim," "))))&amp;" "</f>
        <v xml:space="preserve"> keravan energia oy  kerava alikerava </v>
      </c>
      <c r="D394" s="242">
        <v>1989</v>
      </c>
      <c r="E394" s="243">
        <v>8.4</v>
      </c>
      <c r="F394" s="243">
        <v>4.0999999999999996</v>
      </c>
      <c r="G394" s="247"/>
      <c r="H394" s="267" t="s">
        <v>1453</v>
      </c>
      <c r="I394" s="248" t="s">
        <v>1145</v>
      </c>
      <c r="J394" s="246" t="str" cm="1">
        <f t="array" ref="J394">_xlfn.XLOOKUP(TRUE,ISNUMBER(SEARCH(" "&amp;Municipality[Municipality]&amp;" ",H_unit[[#This Row],[Info string]])),Municipality[Municipality],"")</f>
        <v>Kerava</v>
      </c>
      <c r="K394" s="246" t="str" cm="1">
        <f t="array" ref="K394">IF(H_unit[[#This Row],[Exact]]&lt;&gt;"","",_xlfn.XLOOKUP(TRUE,ISNUMBER(SEARCH(" "&amp;Municipality[Municipality]&amp;"n ",H_unit[[#This Row],[Info string]])),Municipality[Municipality],""))</f>
        <v/>
      </c>
      <c r="L394" s="246"/>
      <c r="M394" s="244"/>
      <c r="N394" s="246" t="str">
        <f>_xlfn.TEXTJOIN("",TRUE,H_unit[[#This Row],[Exact]],H_unit[[#This Row],[Exact+n]],H_unit[[#This Row],[Copilot]])</f>
        <v>Kerava</v>
      </c>
      <c r="O394" s="246" t="str">
        <f>_xlfn.XLOOKUP(H_unit[[#This Row],[Municipality]],Municipality[Municipality],Municipality[Model],"")</f>
        <v>Uusimaa</v>
      </c>
      <c r="P394" s="236"/>
    </row>
    <row r="395" spans="1:16">
      <c r="A395" s="238" t="s">
        <v>1612</v>
      </c>
      <c r="B395" s="238" t="s">
        <v>1071</v>
      </c>
      <c r="C395" s="240" t="str" cm="1">
        <f t="array" ref="C395">" "&amp;LOWER(_xlfn.REDUCE(H_unit[[#This Row],[Company]]&amp;" "&amp;H_unit[[#This Row],[Unit]],{",",".","(",")","/"},_xlfn.LAMBDA(_xlpm.txt,_xlpm.delim,SUBSTITUTE(_xlpm.txt,_xlpm.delim," "))))&amp;" "</f>
        <v xml:space="preserve"> keravan energia oy  kerava savio </v>
      </c>
      <c r="D395" s="242">
        <v>1991</v>
      </c>
      <c r="E395" s="243">
        <v>8.4</v>
      </c>
      <c r="F395" s="243">
        <v>4.0999999999999996</v>
      </c>
      <c r="G395" s="247"/>
      <c r="H395" s="267" t="s">
        <v>1453</v>
      </c>
      <c r="I395" s="248" t="s">
        <v>1145</v>
      </c>
      <c r="J395" s="246" t="str" cm="1">
        <f t="array" ref="J395">_xlfn.XLOOKUP(TRUE,ISNUMBER(SEARCH(" "&amp;Municipality[Municipality]&amp;" ",H_unit[[#This Row],[Info string]])),Municipality[Municipality],"")</f>
        <v>Kerava</v>
      </c>
      <c r="K395" s="246" t="str" cm="1">
        <f t="array" ref="K395">IF(H_unit[[#This Row],[Exact]]&lt;&gt;"","",_xlfn.XLOOKUP(TRUE,ISNUMBER(SEARCH(" "&amp;Municipality[Municipality]&amp;"n ",H_unit[[#This Row],[Info string]])),Municipality[Municipality],""))</f>
        <v/>
      </c>
      <c r="L395" s="246"/>
      <c r="M395" s="244"/>
      <c r="N395" s="246" t="str">
        <f>_xlfn.TEXTJOIN("",TRUE,H_unit[[#This Row],[Exact]],H_unit[[#This Row],[Exact+n]],H_unit[[#This Row],[Copilot]])</f>
        <v>Kerava</v>
      </c>
      <c r="O395" s="246" t="str">
        <f>_xlfn.XLOOKUP(H_unit[[#This Row],[Municipality]],Municipality[Municipality],Municipality[Model],"")</f>
        <v>Uusimaa</v>
      </c>
      <c r="P395" s="236"/>
    </row>
    <row r="396" spans="1:16">
      <c r="A396" s="238" t="s">
        <v>2318</v>
      </c>
      <c r="B396" s="238" t="s">
        <v>2321</v>
      </c>
      <c r="C396" s="240" t="str" cm="1">
        <f t="array" ref="C396">" "&amp;LOWER(_xlfn.REDUCE(H_unit[[#This Row],[Company]]&amp;" "&amp;H_unit[[#This Row],[Unit]],{",",".","(",")","/"},_xlfn.LAMBDA(_xlpm.txt,_xlpm.delim,SUBSTITUTE(_xlpm.txt,_xlpm.delim," "))))&amp;" "</f>
        <v xml:space="preserve"> lappeenrannan lämpövoima oy keskustaajama  joutseno  </v>
      </c>
      <c r="D396" s="242">
        <v>1962</v>
      </c>
      <c r="E396" s="243">
        <v>8.3000000000000007</v>
      </c>
      <c r="F396" s="243"/>
      <c r="G396" s="247"/>
      <c r="H396" s="267" t="s">
        <v>1453</v>
      </c>
      <c r="I396" s="248" t="s">
        <v>1142</v>
      </c>
      <c r="J396" s="246" t="str" cm="1">
        <f t="array" ref="J396">_xlfn.XLOOKUP(TRUE,ISNUMBER(SEARCH(" "&amp;Municipality[Municipality]&amp;" ",H_unit[[#This Row],[Info string]])),Municipality[Municipality],"")</f>
        <v>Joutseno</v>
      </c>
      <c r="K396" s="246" t="str" cm="1">
        <f t="array" ref="K396">IF(H_unit[[#This Row],[Exact]]&lt;&gt;"","",_xlfn.XLOOKUP(TRUE,ISNUMBER(SEARCH(" "&amp;Municipality[Municipality]&amp;"n ",H_unit[[#This Row],[Info string]])),Municipality[Municipality],""))</f>
        <v/>
      </c>
      <c r="L396" s="246"/>
      <c r="M396" s="244"/>
      <c r="N396" s="246" t="str">
        <f>_xlfn.TEXTJOIN("",TRUE,H_unit[[#This Row],[Exact]],H_unit[[#This Row],[Exact+n]],H_unit[[#This Row],[Copilot]])</f>
        <v>Joutseno</v>
      </c>
      <c r="O396" s="246" t="str">
        <f>_xlfn.XLOOKUP(H_unit[[#This Row],[Municipality]],Municipality[Municipality],Municipality[Model],"")</f>
        <v>South East</v>
      </c>
      <c r="P396" s="236"/>
    </row>
    <row r="397" spans="1:16">
      <c r="A397" s="238" t="s">
        <v>2368</v>
      </c>
      <c r="B397" s="238" t="s">
        <v>2371</v>
      </c>
      <c r="C397" s="240" t="str" cm="1">
        <f t="array" ref="C397">" "&amp;LOWER(_xlfn.REDUCE(H_unit[[#This Row],[Company]]&amp;" "&amp;H_unit[[#This Row],[Unit]],{",",".","(",")","/"},_xlfn.LAMBDA(_xlpm.txt,_xlpm.delim,SUBSTITUTE(_xlpm.txt,_xlpm.delim," "))))&amp;" "</f>
        <v xml:space="preserve"> picea oy ab  laitila witermo </v>
      </c>
      <c r="D397" s="242">
        <v>1976</v>
      </c>
      <c r="E397" s="243">
        <v>8.3000000000000007</v>
      </c>
      <c r="F397" s="243"/>
      <c r="G397" s="247"/>
      <c r="H397" s="267" t="s">
        <v>1430</v>
      </c>
      <c r="I397" s="248" t="s">
        <v>1443</v>
      </c>
      <c r="J397" s="246" t="str" cm="1">
        <f t="array" ref="J397">_xlfn.XLOOKUP(TRUE,ISNUMBER(SEARCH(" "&amp;Municipality[Municipality]&amp;" ",H_unit[[#This Row],[Info string]])),Municipality[Municipality],"")</f>
        <v>Laitila</v>
      </c>
      <c r="K397" s="246" t="str" cm="1">
        <f t="array" ref="K397">IF(H_unit[[#This Row],[Exact]]&lt;&gt;"","",_xlfn.XLOOKUP(TRUE,ISNUMBER(SEARCH(" "&amp;Municipality[Municipality]&amp;"n ",H_unit[[#This Row],[Info string]])),Municipality[Municipality],""))</f>
        <v/>
      </c>
      <c r="L397" s="246"/>
      <c r="M397" s="244"/>
      <c r="N397" s="246" t="str">
        <f>_xlfn.TEXTJOIN("",TRUE,H_unit[[#This Row],[Exact]],H_unit[[#This Row],[Exact+n]],H_unit[[#This Row],[Copilot]])</f>
        <v>Laitila</v>
      </c>
      <c r="O397" s="246" t="str">
        <f>_xlfn.XLOOKUP(H_unit[[#This Row],[Municipality]],Municipality[Municipality],Municipality[Model],"")</f>
        <v>South West</v>
      </c>
      <c r="P397" s="236"/>
    </row>
    <row r="398" spans="1:16">
      <c r="A398" s="238" t="s">
        <v>2422</v>
      </c>
      <c r="B398" s="238" t="s">
        <v>2426</v>
      </c>
      <c r="C398" s="240" t="str" cm="1">
        <f t="array" ref="C398">" "&amp;LOWER(_xlfn.REDUCE(H_unit[[#This Row],[Company]]&amp;" "&amp;H_unit[[#This Row],[Unit]],{",",".","(",")","/"},_xlfn.LAMBDA(_xlpm.txt,_xlpm.delim,SUBSTITUTE(_xlpm.txt,_xlpm.delim," "))))&amp;" "</f>
        <v xml:space="preserve"> versowood oy 8 mw öljykattila </v>
      </c>
      <c r="D398" s="242">
        <v>1971</v>
      </c>
      <c r="E398" s="243">
        <v>8</v>
      </c>
      <c r="F398" s="243"/>
      <c r="G398" s="247"/>
      <c r="H398" s="267" t="s">
        <v>1430</v>
      </c>
      <c r="I398" s="248" t="s">
        <v>1141</v>
      </c>
      <c r="J398" s="246" t="str" cm="1">
        <f t="array" ref="J398">_xlfn.XLOOKUP(TRUE,ISNUMBER(SEARCH(" "&amp;Municipality[Municipality]&amp;" ",H_unit[[#This Row],[Info string]])),Municipality[Municipality],"")</f>
        <v/>
      </c>
      <c r="K398" s="246" t="str" cm="1">
        <f t="array" ref="K398">IF(H_unit[[#This Row],[Exact]]&lt;&gt;"","",_xlfn.XLOOKUP(TRUE,ISNUMBER(SEARCH(" "&amp;Municipality[Municipality]&amp;"n ",H_unit[[#This Row],[Info string]])),Municipality[Municipality],""))</f>
        <v/>
      </c>
      <c r="L398" s="246"/>
      <c r="M398" s="244"/>
      <c r="N398" s="246" t="str">
        <f>_xlfn.TEXTJOIN("",TRUE,H_unit[[#This Row],[Exact]],H_unit[[#This Row],[Exact+n]],H_unit[[#This Row],[Copilot]])</f>
        <v/>
      </c>
      <c r="O398" s="246" t="str">
        <f>_xlfn.XLOOKUP(H_unit[[#This Row],[Municipality]],Municipality[Municipality],Municipality[Model],"")</f>
        <v/>
      </c>
      <c r="P398" s="236"/>
    </row>
    <row r="399" spans="1:16">
      <c r="A399" s="238" t="s">
        <v>2205</v>
      </c>
      <c r="B399" s="238" t="s">
        <v>2206</v>
      </c>
      <c r="C399" s="240" t="str" cm="1">
        <f t="array" ref="C399">" "&amp;LOWER(_xlfn.REDUCE(H_unit[[#This Row],[Company]]&amp;" "&amp;H_unit[[#This Row],[Unit]],{",",".","(",")","/"},_xlfn.LAMBDA(_xlpm.txt,_xlpm.delim,SUBSTITUTE(_xlpm.txt,_xlpm.delim," "))))&amp;" "</f>
        <v xml:space="preserve"> valkeakosken energia oy klk 1 </v>
      </c>
      <c r="D399" s="242">
        <v>1980</v>
      </c>
      <c r="E399" s="243">
        <v>8</v>
      </c>
      <c r="F399" s="243"/>
      <c r="G399" s="247"/>
      <c r="H399" s="267" t="s">
        <v>1430</v>
      </c>
      <c r="I399" s="248" t="s">
        <v>1141</v>
      </c>
      <c r="J399" s="246" t="str" cm="1">
        <f t="array" ref="J399">_xlfn.XLOOKUP(TRUE,ISNUMBER(SEARCH(" "&amp;Municipality[Municipality]&amp;" ",H_unit[[#This Row],[Info string]])),Municipality[Municipality],"")</f>
        <v/>
      </c>
      <c r="K399" s="246" t="str" cm="1">
        <f t="array" ref="K399">IF(H_unit[[#This Row],[Exact]]&lt;&gt;"","",_xlfn.XLOOKUP(TRUE,ISNUMBER(SEARCH(" "&amp;Municipality[Municipality]&amp;"n ",H_unit[[#This Row],[Info string]])),Municipality[Municipality],""))</f>
        <v/>
      </c>
      <c r="L399" s="246" t="s">
        <v>2821</v>
      </c>
      <c r="M399" s="244" t="s">
        <v>2904</v>
      </c>
      <c r="N399" s="246" t="str">
        <f>_xlfn.TEXTJOIN("",TRUE,H_unit[[#This Row],[Exact]],H_unit[[#This Row],[Exact+n]],H_unit[[#This Row],[Copilot]])</f>
        <v>Valkeakoski</v>
      </c>
      <c r="O399" s="246" t="str">
        <f>_xlfn.XLOOKUP(H_unit[[#This Row],[Municipality]],Municipality[Municipality],Municipality[Model],"")</f>
        <v>Center</v>
      </c>
      <c r="P399" s="236"/>
    </row>
    <row r="400" spans="1:16">
      <c r="A400" s="238" t="s">
        <v>2009</v>
      </c>
      <c r="B400" s="238" t="s">
        <v>2010</v>
      </c>
      <c r="C400" s="240" t="str" cm="1">
        <f t="array" ref="C400">" "&amp;LOWER(_xlfn.REDUCE(H_unit[[#This Row],[Company]]&amp;" "&amp;H_unit[[#This Row],[Unit]],{",",".","(",")","/"},_xlfn.LAMBDA(_xlpm.txt,_xlpm.delim,SUBSTITUTE(_xlpm.txt,_xlpm.delim," "))))&amp;" "</f>
        <v xml:space="preserve"> oulun seudun sähkö  kempele kempele keskusta </v>
      </c>
      <c r="D400" s="242">
        <v>1985</v>
      </c>
      <c r="E400" s="243">
        <v>8</v>
      </c>
      <c r="F400" s="243"/>
      <c r="G400" s="247"/>
      <c r="H400" s="267" t="s">
        <v>1430</v>
      </c>
      <c r="I400" s="248" t="s">
        <v>1141</v>
      </c>
      <c r="J400" s="246" t="str" cm="1">
        <f t="array" ref="J400">_xlfn.XLOOKUP(TRUE,ISNUMBER(SEARCH(" "&amp;Municipality[Municipality]&amp;" ",H_unit[[#This Row],[Info string]])),Municipality[Municipality],"")</f>
        <v>Kempele</v>
      </c>
      <c r="K400" s="246" t="str" cm="1">
        <f t="array" ref="K400">IF(H_unit[[#This Row],[Exact]]&lt;&gt;"","",_xlfn.XLOOKUP(TRUE,ISNUMBER(SEARCH(" "&amp;Municipality[Municipality]&amp;"n ",H_unit[[#This Row],[Info string]])),Municipality[Municipality],""))</f>
        <v/>
      </c>
      <c r="L400" s="246"/>
      <c r="M400" s="244"/>
      <c r="N400" s="246" t="str">
        <f>_xlfn.TEXTJOIN("",TRUE,H_unit[[#This Row],[Exact]],H_unit[[#This Row],[Exact+n]],H_unit[[#This Row],[Copilot]])</f>
        <v>Kempele</v>
      </c>
      <c r="O400" s="246" t="str">
        <f>_xlfn.XLOOKUP(H_unit[[#This Row],[Municipality]],Municipality[Municipality],Municipality[Model],"")</f>
        <v>North</v>
      </c>
      <c r="P400" s="236"/>
    </row>
    <row r="401" spans="1:16">
      <c r="A401" s="238" t="s">
        <v>2229</v>
      </c>
      <c r="B401" s="238" t="s">
        <v>1634</v>
      </c>
      <c r="C401" s="240" t="str" cm="1">
        <f t="array" ref="C401">" "&amp;LOWER(_xlfn.REDUCE(H_unit[[#This Row],[Company]]&amp;" "&amp;H_unit[[#This Row],[Unit]],{",",".","(",")","/"},_xlfn.LAMBDA(_xlpm.txt,_xlpm.delim,SUBSTITUTE(_xlpm.txt,_xlpm.delim," "))))&amp;" "</f>
        <v xml:space="preserve"> vatajankoski oy koulukeskus </v>
      </c>
      <c r="D401" s="242">
        <v>1985</v>
      </c>
      <c r="E401" s="243">
        <v>8</v>
      </c>
      <c r="F401" s="243"/>
      <c r="G401" s="247"/>
      <c r="H401" s="267" t="s">
        <v>1430</v>
      </c>
      <c r="I401" s="248" t="s">
        <v>1141</v>
      </c>
      <c r="J401" s="246" t="str" cm="1">
        <f t="array" ref="J401">_xlfn.XLOOKUP(TRUE,ISNUMBER(SEARCH(" "&amp;Municipality[Municipality]&amp;" ",H_unit[[#This Row],[Info string]])),Municipality[Municipality],"")</f>
        <v/>
      </c>
      <c r="K401" s="246" t="str" cm="1">
        <f t="array" ref="K401">IF(H_unit[[#This Row],[Exact]]&lt;&gt;"","",_xlfn.XLOOKUP(TRUE,ISNUMBER(SEARCH(" "&amp;Municipality[Municipality]&amp;"n ",H_unit[[#This Row],[Info string]])),Municipality[Municipality],""))</f>
        <v/>
      </c>
      <c r="L401" s="246" t="s">
        <v>466</v>
      </c>
      <c r="M401" s="244" t="s">
        <v>2907</v>
      </c>
      <c r="N401" s="246" t="str">
        <f>_xlfn.TEXTJOIN("",TRUE,H_unit[[#This Row],[Exact]],H_unit[[#This Row],[Exact+n]],H_unit[[#This Row],[Copilot]])</f>
        <v>Kankaanpää</v>
      </c>
      <c r="O401" s="246" t="str">
        <f>_xlfn.XLOOKUP(H_unit[[#This Row],[Municipality]],Municipality[Municipality],Municipality[Model],"")</f>
        <v>West</v>
      </c>
      <c r="P401" s="236"/>
    </row>
    <row r="402" spans="1:16">
      <c r="A402" s="238" t="s">
        <v>1633</v>
      </c>
      <c r="B402" s="238" t="s">
        <v>1635</v>
      </c>
      <c r="C402" s="240" t="str" cm="1">
        <f t="array" ref="C402">" "&amp;LOWER(_xlfn.REDUCE(H_unit[[#This Row],[Company]]&amp;" "&amp;H_unit[[#This Row],[Unit]],{",",".","(",")","/"},_xlfn.LAMBDA(_xlpm.txt,_xlpm.delim,SUBSTITUTE(_xlpm.txt,_xlpm.delim," "))))&amp;" "</f>
        <v xml:space="preserve"> kiteen lämpö oy arppe  </v>
      </c>
      <c r="D402" s="242">
        <v>1986</v>
      </c>
      <c r="E402" s="243">
        <v>8</v>
      </c>
      <c r="F402" s="243"/>
      <c r="G402" s="247"/>
      <c r="H402" s="267" t="s">
        <v>1430</v>
      </c>
      <c r="I402" s="248" t="s">
        <v>1141</v>
      </c>
      <c r="J402" s="246" t="str" cm="1">
        <f t="array" ref="J402">_xlfn.XLOOKUP(TRUE,ISNUMBER(SEARCH(" "&amp;Municipality[Municipality]&amp;" ",H_unit[[#This Row],[Info string]])),Municipality[Municipality],"")</f>
        <v/>
      </c>
      <c r="K402" s="246" t="str" cm="1">
        <f t="array" ref="K402">IF(H_unit[[#This Row],[Exact]]&lt;&gt;"","",_xlfn.XLOOKUP(TRUE,ISNUMBER(SEARCH(" "&amp;Municipality[Municipality]&amp;"n ",H_unit[[#This Row],[Info string]])),Municipality[Municipality],""))</f>
        <v>Kitee</v>
      </c>
      <c r="L402" s="246"/>
      <c r="M402" s="244"/>
      <c r="N402" s="246" t="str">
        <f>_xlfn.TEXTJOIN("",TRUE,H_unit[[#This Row],[Exact]],H_unit[[#This Row],[Exact+n]],H_unit[[#This Row],[Copilot]])</f>
        <v>Kitee</v>
      </c>
      <c r="O402" s="246" t="str">
        <f>_xlfn.XLOOKUP(H_unit[[#This Row],[Municipality]],Municipality[Municipality],Municipality[Model],"")</f>
        <v>East</v>
      </c>
      <c r="P402" s="236"/>
    </row>
    <row r="403" spans="1:16">
      <c r="A403" s="238" t="s">
        <v>1834</v>
      </c>
      <c r="B403" s="238" t="s">
        <v>1836</v>
      </c>
      <c r="C403" s="240" t="str" cm="1">
        <f t="array" ref="C403">" "&amp;LOWER(_xlfn.REDUCE(H_unit[[#This Row],[Company]]&amp;" "&amp;H_unit[[#This Row],[Unit]],{",",".","(",")","/"},_xlfn.LAMBDA(_xlpm.txt,_xlpm.delim,SUBSTITUTE(_xlpm.txt,_xlpm.delim," "))))&amp;" "</f>
        <v xml:space="preserve"> loimua oy  heinola sammalpuisto </v>
      </c>
      <c r="D403" s="242">
        <v>1986</v>
      </c>
      <c r="E403" s="243">
        <v>8</v>
      </c>
      <c r="F403" s="243"/>
      <c r="G403" s="247"/>
      <c r="H403" s="267" t="s">
        <v>1430</v>
      </c>
      <c r="I403" s="248" t="s">
        <v>1141</v>
      </c>
      <c r="J403" s="246" t="str" cm="1">
        <f t="array" ref="J403">_xlfn.XLOOKUP(TRUE,ISNUMBER(SEARCH(" "&amp;Municipality[Municipality]&amp;" ",H_unit[[#This Row],[Info string]])),Municipality[Municipality],"")</f>
        <v>Heinola</v>
      </c>
      <c r="K403" s="246" t="str" cm="1">
        <f t="array" ref="K403">IF(H_unit[[#This Row],[Exact]]&lt;&gt;"","",_xlfn.XLOOKUP(TRUE,ISNUMBER(SEARCH(" "&amp;Municipality[Municipality]&amp;"n ",H_unit[[#This Row],[Info string]])),Municipality[Municipality],""))</f>
        <v/>
      </c>
      <c r="L403" s="246"/>
      <c r="M403" s="244"/>
      <c r="N403" s="246" t="str">
        <f>_xlfn.TEXTJOIN("",TRUE,H_unit[[#This Row],[Exact]],H_unit[[#This Row],[Exact+n]],H_unit[[#This Row],[Copilot]])</f>
        <v>Heinola</v>
      </c>
      <c r="O403" s="246" t="str">
        <f>_xlfn.XLOOKUP(H_unit[[#This Row],[Municipality]],Municipality[Municipality],Municipality[Model],"")</f>
        <v>South East</v>
      </c>
      <c r="P403" s="236"/>
    </row>
    <row r="404" spans="1:16">
      <c r="A404" s="238" t="s">
        <v>2130</v>
      </c>
      <c r="B404" s="238" t="s">
        <v>2133</v>
      </c>
      <c r="C404" s="240" t="str" cm="1">
        <f t="array" ref="C404">" "&amp;LOWER(_xlfn.REDUCE(H_unit[[#This Row],[Company]]&amp;" "&amp;H_unit[[#This Row],[Unit]],{",",".","(",")","/"},_xlfn.LAMBDA(_xlpm.txt,_xlpm.delim,SUBSTITUTE(_xlpm.txt,_xlpm.delim," "))))&amp;" "</f>
        <v xml:space="preserve"> savon voima oyj  kiuruvesi lk65  erätie </v>
      </c>
      <c r="D404" s="242">
        <v>1986</v>
      </c>
      <c r="E404" s="243">
        <v>8</v>
      </c>
      <c r="F404" s="243"/>
      <c r="G404" s="247"/>
      <c r="H404" s="267" t="s">
        <v>1430</v>
      </c>
      <c r="I404" s="248" t="s">
        <v>1141</v>
      </c>
      <c r="J404" s="246" t="str" cm="1">
        <f t="array" ref="J404">_xlfn.XLOOKUP(TRUE,ISNUMBER(SEARCH(" "&amp;Municipality[Municipality]&amp;" ",H_unit[[#This Row],[Info string]])),Municipality[Municipality],"")</f>
        <v>Kiuruvesi</v>
      </c>
      <c r="K404" s="246" t="str" cm="1">
        <f t="array" ref="K404">IF(H_unit[[#This Row],[Exact]]&lt;&gt;"","",_xlfn.XLOOKUP(TRUE,ISNUMBER(SEARCH(" "&amp;Municipality[Municipality]&amp;"n ",H_unit[[#This Row],[Info string]])),Municipality[Municipality],""))</f>
        <v/>
      </c>
      <c r="L404" s="246"/>
      <c r="M404" s="244"/>
      <c r="N404" s="246" t="str">
        <f>_xlfn.TEXTJOIN("",TRUE,H_unit[[#This Row],[Exact]],H_unit[[#This Row],[Exact+n]],H_unit[[#This Row],[Copilot]])</f>
        <v>Kiuruvesi</v>
      </c>
      <c r="O404" s="246" t="str">
        <f>_xlfn.XLOOKUP(H_unit[[#This Row],[Municipality]],Municipality[Municipality],Municipality[Model],"")</f>
        <v>East</v>
      </c>
      <c r="P404" s="236"/>
    </row>
    <row r="405" spans="1:16">
      <c r="A405" s="238" t="s">
        <v>1612</v>
      </c>
      <c r="B405" s="238" t="s">
        <v>1615</v>
      </c>
      <c r="C405" s="240" t="str" cm="1">
        <f t="array" ref="C405">" "&amp;LOWER(_xlfn.REDUCE(H_unit[[#This Row],[Company]]&amp;" "&amp;H_unit[[#This Row],[Unit]],{",",".","(",")","/"},_xlfn.LAMBDA(_xlpm.txt,_xlpm.delim,SUBSTITUTE(_xlpm.txt,_xlpm.delim," "))))&amp;" "</f>
        <v xml:space="preserve"> keravan energia oy  kerava ahjo </v>
      </c>
      <c r="D405" s="242">
        <v>1989</v>
      </c>
      <c r="E405" s="243">
        <v>8</v>
      </c>
      <c r="F405" s="243"/>
      <c r="G405" s="247"/>
      <c r="H405" s="267" t="s">
        <v>1453</v>
      </c>
      <c r="I405" s="248" t="s">
        <v>1142</v>
      </c>
      <c r="J405" s="246" t="str" cm="1">
        <f t="array" ref="J405">_xlfn.XLOOKUP(TRUE,ISNUMBER(SEARCH(" "&amp;Municipality[Municipality]&amp;" ",H_unit[[#This Row],[Info string]])),Municipality[Municipality],"")</f>
        <v>Kerava</v>
      </c>
      <c r="K405" s="246" t="str" cm="1">
        <f t="array" ref="K405">IF(H_unit[[#This Row],[Exact]]&lt;&gt;"","",_xlfn.XLOOKUP(TRUE,ISNUMBER(SEARCH(" "&amp;Municipality[Municipality]&amp;"n ",H_unit[[#This Row],[Info string]])),Municipality[Municipality],""))</f>
        <v/>
      </c>
      <c r="L405" s="246"/>
      <c r="M405" s="244"/>
      <c r="N405" s="246" t="str">
        <f>_xlfn.TEXTJOIN("",TRUE,H_unit[[#This Row],[Exact]],H_unit[[#This Row],[Exact+n]],H_unit[[#This Row],[Copilot]])</f>
        <v>Kerava</v>
      </c>
      <c r="O405" s="246" t="str">
        <f>_xlfn.XLOOKUP(H_unit[[#This Row],[Municipality]],Municipality[Municipality],Municipality[Model],"")</f>
        <v>Uusimaa</v>
      </c>
      <c r="P405" s="236"/>
    </row>
    <row r="406" spans="1:16">
      <c r="A406" s="238" t="s">
        <v>1424</v>
      </c>
      <c r="B406" s="238" t="s">
        <v>1425</v>
      </c>
      <c r="C406" s="240" t="str" cm="1">
        <f t="array" ref="C406">" "&amp;LOWER(_xlfn.REDUCE(H_unit[[#This Row],[Company]]&amp;" "&amp;H_unit[[#This Row],[Unit]],{",",".","(",")","/"},_xlfn.LAMBDA(_xlpm.txt,_xlpm.delim,SUBSTITUTE(_xlpm.txt,_xlpm.delim," "))))&amp;" "</f>
        <v xml:space="preserve"> adven oy  hausjärvi oitti lk249 </v>
      </c>
      <c r="D406" s="242">
        <v>1990</v>
      </c>
      <c r="E406" s="243">
        <v>8</v>
      </c>
      <c r="F406" s="243"/>
      <c r="G406" s="247"/>
      <c r="H406" s="267" t="s">
        <v>1423</v>
      </c>
      <c r="I406" s="248" t="s">
        <v>1143</v>
      </c>
      <c r="J406" s="246" t="str" cm="1">
        <f t="array" ref="J406">_xlfn.XLOOKUP(TRUE,ISNUMBER(SEARCH(" "&amp;Municipality[Municipality]&amp;" ",H_unit[[#This Row],[Info string]])),Municipality[Municipality],"")</f>
        <v>Hausjärvi</v>
      </c>
      <c r="K406" s="246" t="str" cm="1">
        <f t="array" ref="K406">IF(H_unit[[#This Row],[Exact]]&lt;&gt;"","",_xlfn.XLOOKUP(TRUE,ISNUMBER(SEARCH(" "&amp;Municipality[Municipality]&amp;"n ",H_unit[[#This Row],[Info string]])),Municipality[Municipality],""))</f>
        <v/>
      </c>
      <c r="L406" s="246"/>
      <c r="M406" s="244"/>
      <c r="N406" s="246" t="str">
        <f>_xlfn.TEXTJOIN("",TRUE,H_unit[[#This Row],[Exact]],H_unit[[#This Row],[Exact+n]],H_unit[[#This Row],[Copilot]])</f>
        <v>Hausjärvi</v>
      </c>
      <c r="O406" s="246" t="str">
        <f>_xlfn.XLOOKUP(H_unit[[#This Row],[Municipality]],Municipality[Municipality],Municipality[Model],"")</f>
        <v>South West</v>
      </c>
      <c r="P406" s="236"/>
    </row>
    <row r="407" spans="1:16">
      <c r="A407" s="238" t="s">
        <v>1920</v>
      </c>
      <c r="B407" s="238" t="s">
        <v>1923</v>
      </c>
      <c r="C407" s="240" t="str" cm="1">
        <f t="array" ref="C407">" "&amp;LOWER(_xlfn.REDUCE(H_unit[[#This Row],[Company]]&amp;" "&amp;H_unit[[#This Row],[Unit]],{",",".","(",")","/"},_xlfn.LAMBDA(_xlpm.txt,_xlpm.delim,SUBSTITUTE(_xlpm.txt,_xlpm.delim," "))))&amp;" "</f>
        <v xml:space="preserve"> nevel oy  lieksa voimalaitos ahlström </v>
      </c>
      <c r="D407" s="242">
        <v>1995</v>
      </c>
      <c r="E407" s="243">
        <v>8</v>
      </c>
      <c r="F407" s="243"/>
      <c r="G407" s="247"/>
      <c r="H407" s="267" t="s">
        <v>1418</v>
      </c>
      <c r="I407" s="248" t="s">
        <v>1141</v>
      </c>
      <c r="J407" s="246" t="str" cm="1">
        <f t="array" ref="J407">_xlfn.XLOOKUP(TRUE,ISNUMBER(SEARCH(" "&amp;Municipality[Municipality]&amp;" ",H_unit[[#This Row],[Info string]])),Municipality[Municipality],"")</f>
        <v>Lieksa</v>
      </c>
      <c r="K407" s="246" t="str" cm="1">
        <f t="array" ref="K407">IF(H_unit[[#This Row],[Exact]]&lt;&gt;"","",_xlfn.XLOOKUP(TRUE,ISNUMBER(SEARCH(" "&amp;Municipality[Municipality]&amp;"n ",H_unit[[#This Row],[Info string]])),Municipality[Municipality],""))</f>
        <v/>
      </c>
      <c r="L407" s="246"/>
      <c r="M407" s="244"/>
      <c r="N407" s="246" t="str">
        <f>_xlfn.TEXTJOIN("",TRUE,H_unit[[#This Row],[Exact]],H_unit[[#This Row],[Exact+n]],H_unit[[#This Row],[Copilot]])</f>
        <v>Lieksa</v>
      </c>
      <c r="O407" s="246" t="str">
        <f>_xlfn.XLOOKUP(H_unit[[#This Row],[Municipality]],Municipality[Municipality],Municipality[Model],"")</f>
        <v>East</v>
      </c>
      <c r="P407" s="236"/>
    </row>
    <row r="408" spans="1:16">
      <c r="A408" s="238" t="s">
        <v>2077</v>
      </c>
      <c r="B408" s="238" t="s">
        <v>2078</v>
      </c>
      <c r="C408" s="240" t="str" cm="1">
        <f t="array" ref="C408">" "&amp;LOWER(_xlfn.REDUCE(H_unit[[#This Row],[Company]]&amp;" "&amp;H_unit[[#This Row],[Unit]],{",",".","(",")","/"},_xlfn.LAMBDA(_xlpm.txt,_xlpm.delim,SUBSTITUTE(_xlpm.txt,_xlpm.delim," "))))&amp;" "</f>
        <v xml:space="preserve"> rauman energia oy kourujärvi </v>
      </c>
      <c r="D408" s="242">
        <v>1995</v>
      </c>
      <c r="E408" s="243">
        <v>8</v>
      </c>
      <c r="F408" s="243"/>
      <c r="G408" s="247"/>
      <c r="H408" s="267" t="s">
        <v>1430</v>
      </c>
      <c r="I408" s="248" t="s">
        <v>1141</v>
      </c>
      <c r="J408" s="246" t="str" cm="1">
        <f t="array" ref="J408">_xlfn.XLOOKUP(TRUE,ISNUMBER(SEARCH(" "&amp;Municipality[Municipality]&amp;" ",H_unit[[#This Row],[Info string]])),Municipality[Municipality],"")</f>
        <v>Rauman</v>
      </c>
      <c r="K408" s="246" t="str" cm="1">
        <f t="array" ref="K408">IF(H_unit[[#This Row],[Exact]]&lt;&gt;"","",_xlfn.XLOOKUP(TRUE,ISNUMBER(SEARCH(" "&amp;Municipality[Municipality]&amp;"n ",H_unit[[#This Row],[Info string]])),Municipality[Municipality],""))</f>
        <v/>
      </c>
      <c r="L408" s="246"/>
      <c r="M408" s="244"/>
      <c r="N408" s="246" t="str">
        <f>_xlfn.TEXTJOIN("",TRUE,H_unit[[#This Row],[Exact]],H_unit[[#This Row],[Exact+n]],H_unit[[#This Row],[Copilot]])</f>
        <v>Rauman</v>
      </c>
      <c r="O408" s="246" t="str">
        <f>_xlfn.XLOOKUP(H_unit[[#This Row],[Municipality]],Municipality[Municipality],Municipality[Model],"")</f>
        <v>West</v>
      </c>
      <c r="P408" s="236"/>
    </row>
    <row r="409" spans="1:16">
      <c r="A409" s="238" t="s">
        <v>1920</v>
      </c>
      <c r="B409" s="238" t="s">
        <v>1924</v>
      </c>
      <c r="C409" s="240" t="str" cm="1">
        <f t="array" ref="C409">" "&amp;LOWER(_xlfn.REDUCE(H_unit[[#This Row],[Company]]&amp;" "&amp;H_unit[[#This Row],[Unit]],{",",".","(",")","/"},_xlfn.LAMBDA(_xlpm.txt,_xlpm.delim,SUBSTITUTE(_xlpm.txt,_xlpm.delim," "))))&amp;" "</f>
        <v xml:space="preserve"> nevel oy  lieksa voimalaitos wärtsilä </v>
      </c>
      <c r="D409" s="242">
        <v>2000</v>
      </c>
      <c r="E409" s="243">
        <v>8</v>
      </c>
      <c r="F409" s="243"/>
      <c r="G409" s="247"/>
      <c r="H409" s="267" t="s">
        <v>1418</v>
      </c>
      <c r="I409" s="248" t="s">
        <v>1141</v>
      </c>
      <c r="J409" s="246" t="str" cm="1">
        <f t="array" ref="J409">_xlfn.XLOOKUP(TRUE,ISNUMBER(SEARCH(" "&amp;Municipality[Municipality]&amp;" ",H_unit[[#This Row],[Info string]])),Municipality[Municipality],"")</f>
        <v>Lieksa</v>
      </c>
      <c r="K409" s="246" t="str" cm="1">
        <f t="array" ref="K409">IF(H_unit[[#This Row],[Exact]]&lt;&gt;"","",_xlfn.XLOOKUP(TRUE,ISNUMBER(SEARCH(" "&amp;Municipality[Municipality]&amp;"n ",H_unit[[#This Row],[Info string]])),Municipality[Municipality],""))</f>
        <v/>
      </c>
      <c r="L409" s="246"/>
      <c r="M409" s="244"/>
      <c r="N409" s="246" t="str">
        <f>_xlfn.TEXTJOIN("",TRUE,H_unit[[#This Row],[Exact]],H_unit[[#This Row],[Exact+n]],H_unit[[#This Row],[Copilot]])</f>
        <v>Lieksa</v>
      </c>
      <c r="O409" s="246" t="str">
        <f>_xlfn.XLOOKUP(H_unit[[#This Row],[Municipality]],Municipality[Municipality],Municipality[Model],"")</f>
        <v>East</v>
      </c>
      <c r="P409" s="236"/>
    </row>
    <row r="410" spans="1:16">
      <c r="A410" s="238" t="s">
        <v>1661</v>
      </c>
      <c r="B410" s="238" t="s">
        <v>1666</v>
      </c>
      <c r="C410" s="240" t="str" cm="1">
        <f t="array" ref="C410">" "&amp;LOWER(_xlfn.REDUCE(H_unit[[#This Row],[Company]]&amp;" "&amp;H_unit[[#This Row],[Unit]],{",",".","(",")","/"},_xlfn.LAMBDA(_xlpm.txt,_xlpm.delim,SUBSTITUTE(_xlpm.txt,_xlpm.delim," "))))&amp;" "</f>
        <v xml:space="preserve"> kss lämpö oy  kouvola keskuslaitos </v>
      </c>
      <c r="D410" s="242">
        <v>2003</v>
      </c>
      <c r="E410" s="243">
        <v>8</v>
      </c>
      <c r="F410" s="243"/>
      <c r="G410" s="247"/>
      <c r="H410" s="267" t="s">
        <v>1453</v>
      </c>
      <c r="I410" s="248" t="s">
        <v>1142</v>
      </c>
      <c r="J410" s="246" t="str" cm="1">
        <f t="array" ref="J410">_xlfn.XLOOKUP(TRUE,ISNUMBER(SEARCH(" "&amp;Municipality[Municipality]&amp;" ",H_unit[[#This Row],[Info string]])),Municipality[Municipality],"")</f>
        <v>Kouvola</v>
      </c>
      <c r="K410" s="246" t="str" cm="1">
        <f t="array" ref="K410">IF(H_unit[[#This Row],[Exact]]&lt;&gt;"","",_xlfn.XLOOKUP(TRUE,ISNUMBER(SEARCH(" "&amp;Municipality[Municipality]&amp;"n ",H_unit[[#This Row],[Info string]])),Municipality[Municipality],""))</f>
        <v/>
      </c>
      <c r="L410" s="246"/>
      <c r="M410" s="244"/>
      <c r="N410" s="246" t="str">
        <f>_xlfn.TEXTJOIN("",TRUE,H_unit[[#This Row],[Exact]],H_unit[[#This Row],[Exact+n]],H_unit[[#This Row],[Copilot]])</f>
        <v>Kouvola</v>
      </c>
      <c r="O410" s="246" t="str">
        <f>_xlfn.XLOOKUP(H_unit[[#This Row],[Municipality]],Municipality[Municipality],Municipality[Model],"")</f>
        <v>South East</v>
      </c>
      <c r="P410" s="236"/>
    </row>
    <row r="411" spans="1:16">
      <c r="A411" s="238" t="s">
        <v>1661</v>
      </c>
      <c r="B411" s="238" t="s">
        <v>1667</v>
      </c>
      <c r="C411" s="240" t="str" cm="1">
        <f t="array" ref="C411">" "&amp;LOWER(_xlfn.REDUCE(H_unit[[#This Row],[Company]]&amp;" "&amp;H_unit[[#This Row],[Unit]],{",",".","(",")","/"},_xlfn.LAMBDA(_xlpm.txt,_xlpm.delim,SUBSTITUTE(_xlpm.txt,_xlpm.delim," "))))&amp;" "</f>
        <v xml:space="preserve"> kss lämpö oy  kouvola keltti lämpökeskus </v>
      </c>
      <c r="D411" s="242">
        <v>2004</v>
      </c>
      <c r="E411" s="243">
        <v>8</v>
      </c>
      <c r="F411" s="243"/>
      <c r="G411" s="247"/>
      <c r="H411" s="267" t="s">
        <v>1453</v>
      </c>
      <c r="I411" s="248" t="s">
        <v>1142</v>
      </c>
      <c r="J411" s="246" t="str" cm="1">
        <f t="array" ref="J411">_xlfn.XLOOKUP(TRUE,ISNUMBER(SEARCH(" "&amp;Municipality[Municipality]&amp;" ",H_unit[[#This Row],[Info string]])),Municipality[Municipality],"")</f>
        <v>Kouvola</v>
      </c>
      <c r="K411" s="246" t="str" cm="1">
        <f t="array" ref="K411">IF(H_unit[[#This Row],[Exact]]&lt;&gt;"","",_xlfn.XLOOKUP(TRUE,ISNUMBER(SEARCH(" "&amp;Municipality[Municipality]&amp;"n ",H_unit[[#This Row],[Info string]])),Municipality[Municipality],""))</f>
        <v/>
      </c>
      <c r="L411" s="246"/>
      <c r="M411" s="244"/>
      <c r="N411" s="246" t="str">
        <f>_xlfn.TEXTJOIN("",TRUE,H_unit[[#This Row],[Exact]],H_unit[[#This Row],[Exact+n]],H_unit[[#This Row],[Copilot]])</f>
        <v>Kouvola</v>
      </c>
      <c r="O411" s="246" t="str">
        <f>_xlfn.XLOOKUP(H_unit[[#This Row],[Municipality]],Municipality[Municipality],Municipality[Model],"")</f>
        <v>South East</v>
      </c>
      <c r="P411" s="236"/>
    </row>
    <row r="412" spans="1:16">
      <c r="A412" s="238" t="s">
        <v>1506</v>
      </c>
      <c r="B412" s="238" t="s">
        <v>1509</v>
      </c>
      <c r="C412" s="240" t="str" cm="1">
        <f t="array" ref="C412">" "&amp;LOWER(_xlfn.REDUCE(H_unit[[#This Row],[Company]]&amp;" "&amp;H_unit[[#This Row],[Unit]],{",",".","(",")","/"},_xlfn.LAMBDA(_xlpm.txt,_xlpm.delim,SUBSTITUTE(_xlpm.txt,_xlpm.delim," "))))&amp;" "</f>
        <v xml:space="preserve"> haapajärven lämpö oy rantakatu </v>
      </c>
      <c r="D412" s="242">
        <v>2008</v>
      </c>
      <c r="E412" s="243">
        <v>8</v>
      </c>
      <c r="F412" s="243"/>
      <c r="G412" s="247"/>
      <c r="H412" s="267" t="s">
        <v>1418</v>
      </c>
      <c r="I412" s="248" t="s">
        <v>1141</v>
      </c>
      <c r="J412" s="246" t="str" cm="1">
        <f t="array" ref="J412">_xlfn.XLOOKUP(TRUE,ISNUMBER(SEARCH(" "&amp;Municipality[Municipality]&amp;" ",H_unit[[#This Row],[Info string]])),Municipality[Municipality],"")</f>
        <v/>
      </c>
      <c r="K412" s="246" t="str" cm="1">
        <f t="array" ref="K412">IF(H_unit[[#This Row],[Exact]]&lt;&gt;"","",_xlfn.XLOOKUP(TRUE,ISNUMBER(SEARCH(" "&amp;Municipality[Municipality]&amp;"n ",H_unit[[#This Row],[Info string]])),Municipality[Municipality],""))</f>
        <v/>
      </c>
      <c r="L412" s="246" t="s">
        <v>2519</v>
      </c>
      <c r="M412" s="244" t="s">
        <v>2903</v>
      </c>
      <c r="N412" s="246" t="str">
        <f>_xlfn.TEXTJOIN("",TRUE,H_unit[[#This Row],[Exact]],H_unit[[#This Row],[Exact+n]],H_unit[[#This Row],[Copilot]])</f>
        <v>Haapajärvi</v>
      </c>
      <c r="O412" s="246" t="str">
        <f>_xlfn.XLOOKUP(H_unit[[#This Row],[Municipality]],Municipality[Municipality],Municipality[Model],"")</f>
        <v>North</v>
      </c>
      <c r="P412" s="236"/>
    </row>
    <row r="413" spans="1:16">
      <c r="A413" s="238" t="s">
        <v>2215</v>
      </c>
      <c r="B413" s="238" t="s">
        <v>2218</v>
      </c>
      <c r="C413" s="240" t="str" cm="1">
        <f t="array" ref="C413">" "&amp;LOWER(_xlfn.REDUCE(H_unit[[#This Row],[Company]]&amp;" "&amp;H_unit[[#This Row],[Unit]],{",",".","(",")","/"},_xlfn.LAMBDA(_xlpm.txt,_xlpm.delim,SUBSTITUTE(_xlpm.txt,_xlpm.delim," "))))&amp;" "</f>
        <v xml:space="preserve"> vantaan energia keski-uusimaa oy  tuusula kellokoski </v>
      </c>
      <c r="D413" s="242">
        <v>2008</v>
      </c>
      <c r="E413" s="243">
        <v>8</v>
      </c>
      <c r="F413" s="243"/>
      <c r="G413" s="247"/>
      <c r="H413" s="267" t="s">
        <v>1453</v>
      </c>
      <c r="I413" s="248" t="s">
        <v>1142</v>
      </c>
      <c r="J413" s="246" t="str" cm="1">
        <f t="array" ref="J413">_xlfn.XLOOKUP(TRUE,ISNUMBER(SEARCH(" "&amp;Municipality[Municipality]&amp;" ",H_unit[[#This Row],[Info string]])),Municipality[Municipality],"")</f>
        <v>Tuusula</v>
      </c>
      <c r="K413" s="246" t="str" cm="1">
        <f t="array" ref="K413">IF(H_unit[[#This Row],[Exact]]&lt;&gt;"","",_xlfn.XLOOKUP(TRUE,ISNUMBER(SEARCH(" "&amp;Municipality[Municipality]&amp;"n ",H_unit[[#This Row],[Info string]])),Municipality[Municipality],""))</f>
        <v/>
      </c>
      <c r="L413" s="246"/>
      <c r="M413" s="244"/>
      <c r="N413" s="246" t="str">
        <f>_xlfn.TEXTJOIN("",TRUE,H_unit[[#This Row],[Exact]],H_unit[[#This Row],[Exact+n]],H_unit[[#This Row],[Copilot]])</f>
        <v>Tuusula</v>
      </c>
      <c r="O413" s="246" t="str">
        <f>_xlfn.XLOOKUP(H_unit[[#This Row],[Municipality]],Municipality[Municipality],Municipality[Model],"")</f>
        <v>Uusimaa</v>
      </c>
      <c r="P413" s="236"/>
    </row>
    <row r="414" spans="1:16">
      <c r="A414" s="238" t="s">
        <v>2061</v>
      </c>
      <c r="B414" s="238" t="s">
        <v>2065</v>
      </c>
      <c r="C414" s="240" t="str" cm="1">
        <f t="array" ref="C414">" "&amp;LOWER(_xlfn.REDUCE(H_unit[[#This Row],[Company]]&amp;" "&amp;H_unit[[#This Row],[Unit]],{",",".","(",")","/"},_xlfn.LAMBDA(_xlpm.txt,_xlpm.delim,SUBSTITUTE(_xlpm.txt,_xlpm.delim," "))))&amp;" "</f>
        <v xml:space="preserve"> raahen energia oy lk-4 </v>
      </c>
      <c r="D414" s="242">
        <v>2010</v>
      </c>
      <c r="E414" s="243">
        <v>8</v>
      </c>
      <c r="F414" s="243"/>
      <c r="G414" s="247"/>
      <c r="H414" s="267" t="s">
        <v>1430</v>
      </c>
      <c r="I414" s="248" t="s">
        <v>1141</v>
      </c>
      <c r="J414" s="246" t="str" cm="1">
        <f t="array" ref="J414">_xlfn.XLOOKUP(TRUE,ISNUMBER(SEARCH(" "&amp;Municipality[Municipality]&amp;" ",H_unit[[#This Row],[Info string]])),Municipality[Municipality],"")</f>
        <v/>
      </c>
      <c r="K414" s="246" t="str" cm="1">
        <f t="array" ref="K414">IF(H_unit[[#This Row],[Exact]]&lt;&gt;"","",_xlfn.XLOOKUP(TRUE,ISNUMBER(SEARCH(" "&amp;Municipality[Municipality]&amp;"n ",H_unit[[#This Row],[Info string]])),Municipality[Municipality],""))</f>
        <v>Raahe</v>
      </c>
      <c r="L414" s="246"/>
      <c r="M414" s="244"/>
      <c r="N414" s="246" t="str">
        <f>_xlfn.TEXTJOIN("",TRUE,H_unit[[#This Row],[Exact]],H_unit[[#This Row],[Exact+n]],H_unit[[#This Row],[Copilot]])</f>
        <v>Raahe</v>
      </c>
      <c r="O414" s="246" t="str">
        <f>_xlfn.XLOOKUP(H_unit[[#This Row],[Municipality]],Municipality[Municipality],Municipality[Model],"")</f>
        <v>North</v>
      </c>
      <c r="P414" s="236"/>
    </row>
    <row r="415" spans="1:16">
      <c r="A415" s="238" t="s">
        <v>2087</v>
      </c>
      <c r="B415" s="238" t="s">
        <v>2092</v>
      </c>
      <c r="C415" s="240" t="str" cm="1">
        <f t="array" ref="C415">" "&amp;LOWER(_xlfn.REDUCE(H_unit[[#This Row],[Company]]&amp;" "&amp;H_unit[[#This Row],[Unit]],{",",".","(",")","/"},_xlfn.LAMBDA(_xlpm.txt,_xlpm.delim,SUBSTITUTE(_xlpm.txt,_xlpm.delim," "))))&amp;" "</f>
        <v xml:space="preserve"> riihimäen kaukolämpö oy puhdistamontie </v>
      </c>
      <c r="D415" s="242">
        <v>2011</v>
      </c>
      <c r="E415" s="243">
        <v>8</v>
      </c>
      <c r="F415" s="243"/>
      <c r="G415" s="247"/>
      <c r="H415" s="267" t="s">
        <v>1453</v>
      </c>
      <c r="I415" s="248" t="s">
        <v>1142</v>
      </c>
      <c r="J415" s="246" t="str" cm="1">
        <f t="array" ref="J415">_xlfn.XLOOKUP(TRUE,ISNUMBER(SEARCH(" "&amp;Municipality[Municipality]&amp;" ",H_unit[[#This Row],[Info string]])),Municipality[Municipality],"")</f>
        <v/>
      </c>
      <c r="K415" s="246" t="str" cm="1">
        <f t="array" ref="K415">IF(H_unit[[#This Row],[Exact]]&lt;&gt;"","",_xlfn.XLOOKUP(TRUE,ISNUMBER(SEARCH(" "&amp;Municipality[Municipality]&amp;"n ",H_unit[[#This Row],[Info string]])),Municipality[Municipality],""))</f>
        <v/>
      </c>
      <c r="L415" s="246" t="s">
        <v>2751</v>
      </c>
      <c r="M415" s="244" t="s">
        <v>2908</v>
      </c>
      <c r="N415" s="246" t="str">
        <f>_xlfn.TEXTJOIN("",TRUE,H_unit[[#This Row],[Exact]],H_unit[[#This Row],[Exact+n]],H_unit[[#This Row],[Copilot]])</f>
        <v>Riihimäki</v>
      </c>
      <c r="O415" s="246" t="str">
        <f>_xlfn.XLOOKUP(H_unit[[#This Row],[Municipality]],Municipality[Municipality],Municipality[Model],"")</f>
        <v>South West</v>
      </c>
      <c r="P415" s="236"/>
    </row>
    <row r="416" spans="1:16">
      <c r="A416" s="238" t="s">
        <v>2260</v>
      </c>
      <c r="B416" s="238" t="s">
        <v>2262</v>
      </c>
      <c r="C416" s="240" t="str" cm="1">
        <f t="array" ref="C416">" "&amp;LOWER(_xlfn.REDUCE(H_unit[[#This Row],[Company]]&amp;" "&amp;H_unit[[#This Row],[Unit]],{",",".","(",")","/"},_xlfn.LAMBDA(_xlpm.txt,_xlpm.delim,SUBSTITUTE(_xlpm.txt,_xlpm.delim," "))))&amp;" "</f>
        <v xml:space="preserve"> äänekosken energia oy suolahti suojarinne </v>
      </c>
      <c r="D416" s="242">
        <v>2011</v>
      </c>
      <c r="E416" s="243">
        <v>8</v>
      </c>
      <c r="F416" s="243"/>
      <c r="G416" s="247"/>
      <c r="H416" s="267" t="s">
        <v>1430</v>
      </c>
      <c r="I416" s="248" t="s">
        <v>1141</v>
      </c>
      <c r="J416" s="246" t="str" cm="1">
        <f t="array" ref="J416">_xlfn.XLOOKUP(TRUE,ISNUMBER(SEARCH(" "&amp;Municipality[Municipality]&amp;" ",H_unit[[#This Row],[Info string]])),Municipality[Municipality],"")</f>
        <v>Suolahti</v>
      </c>
      <c r="K416" s="246" t="str" cm="1">
        <f t="array" ref="K416">IF(H_unit[[#This Row],[Exact]]&lt;&gt;"","",_xlfn.XLOOKUP(TRUE,ISNUMBER(SEARCH(" "&amp;Municipality[Municipality]&amp;"n ",H_unit[[#This Row],[Info string]])),Municipality[Municipality],""))</f>
        <v/>
      </c>
      <c r="L416" s="246"/>
      <c r="M416" s="244"/>
      <c r="N416" s="246" t="str">
        <f>_xlfn.TEXTJOIN("",TRUE,H_unit[[#This Row],[Exact]],H_unit[[#This Row],[Exact+n]],H_unit[[#This Row],[Copilot]])</f>
        <v>Suolahti</v>
      </c>
      <c r="O416" s="246" t="str">
        <f>_xlfn.XLOOKUP(H_unit[[#This Row],[Municipality]],Municipality[Municipality],Municipality[Model],"")</f>
        <v>Center</v>
      </c>
      <c r="P416" s="236"/>
    </row>
    <row r="417" spans="1:16">
      <c r="A417" s="238" t="s">
        <v>2282</v>
      </c>
      <c r="B417" s="238" t="s">
        <v>2283</v>
      </c>
      <c r="C417" s="240" t="str" cm="1">
        <f t="array" ref="C417">" "&amp;LOWER(_xlfn.REDUCE(H_unit[[#This Row],[Company]]&amp;" "&amp;H_unit[[#This Row],[Unit]],{",",".","(",")","/"},_xlfn.LAMBDA(_xlpm.txt,_xlpm.delim,SUBSTITUTE(_xlpm.txt,_xlpm.delim," "))))&amp;" "</f>
        <v xml:space="preserve"> hartolan kuningaslämpö kuningaslämmön lämpölaitos </v>
      </c>
      <c r="D417" s="242">
        <v>2012</v>
      </c>
      <c r="E417" s="243">
        <v>8</v>
      </c>
      <c r="F417" s="243"/>
      <c r="G417" s="247"/>
      <c r="H417" s="267" t="s">
        <v>1423</v>
      </c>
      <c r="I417" s="248" t="s">
        <v>1143</v>
      </c>
      <c r="J417" s="246" t="str" cm="1">
        <f t="array" ref="J417">_xlfn.XLOOKUP(TRUE,ISNUMBER(SEARCH(" "&amp;Municipality[Municipality]&amp;" ",H_unit[[#This Row],[Info string]])),Municipality[Municipality],"")</f>
        <v/>
      </c>
      <c r="K417" s="246" t="str" cm="1">
        <f t="array" ref="K417">IF(H_unit[[#This Row],[Exact]]&lt;&gt;"","",_xlfn.XLOOKUP(TRUE,ISNUMBER(SEARCH(" "&amp;Municipality[Municipality]&amp;"n ",H_unit[[#This Row],[Info string]])),Municipality[Municipality],""))</f>
        <v>Hartola</v>
      </c>
      <c r="L417" s="246"/>
      <c r="M417" s="244"/>
      <c r="N417" s="246" t="str">
        <f>_xlfn.TEXTJOIN("",TRUE,H_unit[[#This Row],[Exact]],H_unit[[#This Row],[Exact+n]],H_unit[[#This Row],[Copilot]])</f>
        <v>Hartola</v>
      </c>
      <c r="O417" s="246" t="str">
        <f>_xlfn.XLOOKUP(H_unit[[#This Row],[Municipality]],Municipality[Municipality],Municipality[Model],"")</f>
        <v>South East</v>
      </c>
      <c r="P417" s="236"/>
    </row>
    <row r="418" spans="1:16">
      <c r="A418" s="238" t="s">
        <v>1728</v>
      </c>
      <c r="B418" s="238" t="s">
        <v>1737</v>
      </c>
      <c r="C418" s="240" t="str" cm="1">
        <f t="array" ref="C418">" "&amp;LOWER(_xlfn.REDUCE(H_unit[[#This Row],[Company]]&amp;" "&amp;H_unit[[#This Row],[Unit]],{",",".","(",")","/"},_xlfn.LAMBDA(_xlpm.txt,_xlpm.delim,SUBSTITUTE(_xlpm.txt,_xlpm.delim," "))))&amp;" "</f>
        <v xml:space="preserve"> lahti energia oy  lahti rakokivi </v>
      </c>
      <c r="D418" s="242">
        <v>2017</v>
      </c>
      <c r="E418" s="243">
        <v>8</v>
      </c>
      <c r="F418" s="243"/>
      <c r="G418" s="247"/>
      <c r="H418" s="267" t="s">
        <v>1453</v>
      </c>
      <c r="I418" s="248" t="s">
        <v>1142</v>
      </c>
      <c r="J418" s="246" t="str" cm="1">
        <f t="array" ref="J418">_xlfn.XLOOKUP(TRUE,ISNUMBER(SEARCH(" "&amp;Municipality[Municipality]&amp;" ",H_unit[[#This Row],[Info string]])),Municipality[Municipality],"")</f>
        <v>Lahti</v>
      </c>
      <c r="K418" s="246" t="str" cm="1">
        <f t="array" ref="K418">IF(H_unit[[#This Row],[Exact]]&lt;&gt;"","",_xlfn.XLOOKUP(TRUE,ISNUMBER(SEARCH(" "&amp;Municipality[Municipality]&amp;"n ",H_unit[[#This Row],[Info string]])),Municipality[Municipality],""))</f>
        <v/>
      </c>
      <c r="L418" s="246"/>
      <c r="M418" s="244"/>
      <c r="N418" s="246" t="str">
        <f>_xlfn.TEXTJOIN("",TRUE,H_unit[[#This Row],[Exact]],H_unit[[#This Row],[Exact+n]],H_unit[[#This Row],[Copilot]])</f>
        <v>Lahti</v>
      </c>
      <c r="O418" s="246" t="str">
        <f>_xlfn.XLOOKUP(H_unit[[#This Row],[Municipality]],Municipality[Municipality],Municipality[Model],"")</f>
        <v>South East</v>
      </c>
      <c r="P418" s="236"/>
    </row>
    <row r="419" spans="1:16">
      <c r="A419" s="238" t="s">
        <v>1764</v>
      </c>
      <c r="B419" s="238" t="s">
        <v>1766</v>
      </c>
      <c r="C419" s="240" t="str" cm="1">
        <f t="array" ref="C419">" "&amp;LOWER(_xlfn.REDUCE(H_unit[[#This Row],[Company]]&amp;" "&amp;H_unit[[#This Row],[Unit]],{",",".","(",")","/"},_xlfn.LAMBDA(_xlpm.txt,_xlpm.delim,SUBSTITUTE(_xlpm.txt,_xlpm.delim," "))))&amp;" "</f>
        <v xml:space="preserve"> lempeä lämpö oy  mäntyharju hakelämpökeskus </v>
      </c>
      <c r="D419" s="242">
        <v>2018</v>
      </c>
      <c r="E419" s="243">
        <v>8</v>
      </c>
      <c r="F419" s="243"/>
      <c r="G419" s="247"/>
      <c r="H419" s="267" t="s">
        <v>1423</v>
      </c>
      <c r="I419" s="248" t="s">
        <v>1143</v>
      </c>
      <c r="J419" s="246" t="str" cm="1">
        <f t="array" ref="J419">_xlfn.XLOOKUP(TRUE,ISNUMBER(SEARCH(" "&amp;Municipality[Municipality]&amp;" ",H_unit[[#This Row],[Info string]])),Municipality[Municipality],"")</f>
        <v>Mäntyharju</v>
      </c>
      <c r="K419" s="246" t="str" cm="1">
        <f t="array" ref="K419">IF(H_unit[[#This Row],[Exact]]&lt;&gt;"","",_xlfn.XLOOKUP(TRUE,ISNUMBER(SEARCH(" "&amp;Municipality[Municipality]&amp;"n ",H_unit[[#This Row],[Info string]])),Municipality[Municipality],""))</f>
        <v/>
      </c>
      <c r="L419" s="246"/>
      <c r="M419" s="244"/>
      <c r="N419" s="246" t="str">
        <f>_xlfn.TEXTJOIN("",TRUE,H_unit[[#This Row],[Exact]],H_unit[[#This Row],[Exact+n]],H_unit[[#This Row],[Copilot]])</f>
        <v>Mäntyharju</v>
      </c>
      <c r="O419" s="246" t="str">
        <f>_xlfn.XLOOKUP(H_unit[[#This Row],[Municipality]],Municipality[Municipality],Municipality[Model],"")</f>
        <v>East</v>
      </c>
      <c r="P419" s="236"/>
    </row>
    <row r="420" spans="1:16">
      <c r="A420" s="238" t="s">
        <v>1618</v>
      </c>
      <c r="B420" s="238" t="s">
        <v>1623</v>
      </c>
      <c r="C420" s="240" t="str" cm="1">
        <f t="array" ref="C420">" "&amp;LOWER(_xlfn.REDUCE(H_unit[[#This Row],[Company]]&amp;" "&amp;H_unit[[#This Row],[Unit]],{",",".","(",")","/"},_xlfn.LAMBDA(_xlpm.txt,_xlpm.delim,SUBSTITUTE(_xlpm.txt,_xlpm.delim," "))))&amp;" "</f>
        <v xml:space="preserve"> keravan energia oy  sipoo tarapot </v>
      </c>
      <c r="D420" s="242">
        <v>2020</v>
      </c>
      <c r="E420" s="243">
        <v>8</v>
      </c>
      <c r="F420" s="243"/>
      <c r="G420" s="247"/>
      <c r="H420" s="267" t="s">
        <v>1436</v>
      </c>
      <c r="I420" s="248" t="s">
        <v>1143</v>
      </c>
      <c r="J420" s="246" t="str" cm="1">
        <f t="array" ref="J420">_xlfn.XLOOKUP(TRUE,ISNUMBER(SEARCH(" "&amp;Municipality[Municipality]&amp;" ",H_unit[[#This Row],[Info string]])),Municipality[Municipality],"")</f>
        <v>Sipoo</v>
      </c>
      <c r="K420" s="246" t="str" cm="1">
        <f t="array" ref="K420">IF(H_unit[[#This Row],[Exact]]&lt;&gt;"","",_xlfn.XLOOKUP(TRUE,ISNUMBER(SEARCH(" "&amp;Municipality[Municipality]&amp;"n ",H_unit[[#This Row],[Info string]])),Municipality[Municipality],""))</f>
        <v/>
      </c>
      <c r="L420" s="246"/>
      <c r="M420" s="244"/>
      <c r="N420" s="246" t="str">
        <f>_xlfn.TEXTJOIN("",TRUE,H_unit[[#This Row],[Exact]],H_unit[[#This Row],[Exact+n]],H_unit[[#This Row],[Copilot]])</f>
        <v>Sipoo</v>
      </c>
      <c r="O420" s="246" t="str">
        <f>_xlfn.XLOOKUP(H_unit[[#This Row],[Municipality]],Municipality[Municipality],Municipality[Model],"")</f>
        <v>Uusimaa</v>
      </c>
      <c r="P420" s="236"/>
    </row>
    <row r="421" spans="1:16">
      <c r="A421" s="238" t="s">
        <v>2229</v>
      </c>
      <c r="B421" s="238" t="s">
        <v>2235</v>
      </c>
      <c r="C421" s="240" t="str" cm="1">
        <f t="array" ref="C421">" "&amp;LOWER(_xlfn.REDUCE(H_unit[[#This Row],[Company]]&amp;" "&amp;H_unit[[#This Row],[Unit]],{",",".","(",")","/"},_xlfn.LAMBDA(_xlpm.txt,_xlpm.delim,SUBSTITUTE(_xlpm.txt,_xlpm.delim," "))))&amp;" "</f>
        <v xml:space="preserve"> vatajankoski oy pansian lämmöntalteenottolaitos </v>
      </c>
      <c r="D421" s="242">
        <v>2021</v>
      </c>
      <c r="E421" s="243">
        <v>8</v>
      </c>
      <c r="F421" s="243"/>
      <c r="G421" s="247"/>
      <c r="H421" s="267" t="s">
        <v>1417</v>
      </c>
      <c r="I421" s="248" t="s">
        <v>1144</v>
      </c>
      <c r="J421" s="246" t="str" cm="1">
        <f t="array" ref="J421">_xlfn.XLOOKUP(TRUE,ISNUMBER(SEARCH(" "&amp;Municipality[Municipality]&amp;" ",H_unit[[#This Row],[Info string]])),Municipality[Municipality],"")</f>
        <v/>
      </c>
      <c r="K421" s="246" t="str" cm="1">
        <f t="array" ref="K421">IF(H_unit[[#This Row],[Exact]]&lt;&gt;"","",_xlfn.XLOOKUP(TRUE,ISNUMBER(SEARCH(" "&amp;Municipality[Municipality]&amp;"n ",H_unit[[#This Row],[Info string]])),Municipality[Municipality],""))</f>
        <v/>
      </c>
      <c r="L421" s="246" t="s">
        <v>2855</v>
      </c>
      <c r="M421" s="244" t="s">
        <v>2901</v>
      </c>
      <c r="N421" s="246" t="str">
        <f>_xlfn.TEXTJOIN("",TRUE,H_unit[[#This Row],[Exact]],H_unit[[#This Row],[Exact+n]],H_unit[[#This Row],[Copilot]])</f>
        <v>Turku</v>
      </c>
      <c r="O421" s="246" t="str">
        <f>_xlfn.XLOOKUP(H_unit[[#This Row],[Municipality]],Municipality[Municipality],Municipality[Model],"")</f>
        <v>South West</v>
      </c>
      <c r="P421" s="236"/>
    </row>
    <row r="422" spans="1:16">
      <c r="A422" s="238" t="s">
        <v>2313</v>
      </c>
      <c r="B422" s="238" t="s">
        <v>2314</v>
      </c>
      <c r="C422" s="240" t="str" cm="1">
        <f t="array" ref="C422">" "&amp;LOWER(_xlfn.REDUCE(H_unit[[#This Row],[Company]]&amp;" "&amp;H_unit[[#This Row],[Unit]],{",",".","(",")","/"},_xlfn.LAMBDA(_xlpm.txt,_xlpm.delim,SUBSTITUTE(_xlpm.txt,_xlpm.delim," "))))&amp;" "</f>
        <v xml:space="preserve"> kymenlaakson jäte oy keltakankaan lämpökeskus </v>
      </c>
      <c r="D422" s="242">
        <v>2021</v>
      </c>
      <c r="E422" s="243">
        <v>8</v>
      </c>
      <c r="F422" s="243"/>
      <c r="G422" s="247"/>
      <c r="H422" s="267" t="s">
        <v>2287</v>
      </c>
      <c r="I422" s="248" t="s">
        <v>1143</v>
      </c>
      <c r="J422" s="246" t="str" cm="1">
        <f t="array" ref="J422">_xlfn.XLOOKUP(TRUE,ISNUMBER(SEARCH(" "&amp;Municipality[Municipality]&amp;" ",H_unit[[#This Row],[Info string]])),Municipality[Municipality],"")</f>
        <v/>
      </c>
      <c r="K422" s="246" t="str" cm="1">
        <f t="array" ref="K422">IF(H_unit[[#This Row],[Exact]]&lt;&gt;"","",_xlfn.XLOOKUP(TRUE,ISNUMBER(SEARCH(" "&amp;Municipality[Municipality]&amp;"n ",H_unit[[#This Row],[Info string]])),Municipality[Municipality],""))</f>
        <v/>
      </c>
      <c r="L422" s="246" t="s">
        <v>2612</v>
      </c>
      <c r="M422" s="244" t="s">
        <v>2895</v>
      </c>
      <c r="N422" s="246" t="str">
        <f>_xlfn.TEXTJOIN("",TRUE,H_unit[[#This Row],[Exact]],H_unit[[#This Row],[Exact+n]],H_unit[[#This Row],[Copilot]])</f>
        <v>Kouvola</v>
      </c>
      <c r="O422" s="246" t="str">
        <f>_xlfn.XLOOKUP(H_unit[[#This Row],[Municipality]],Municipality[Municipality],Municipality[Model],"")</f>
        <v>South East</v>
      </c>
      <c r="P422" s="236"/>
    </row>
    <row r="423" spans="1:16">
      <c r="A423" s="238" t="s">
        <v>1814</v>
      </c>
      <c r="B423" s="238" t="s">
        <v>1817</v>
      </c>
      <c r="C423" s="240" t="str" cm="1">
        <f t="array" ref="C423">" "&amp;LOWER(_xlfn.REDUCE(H_unit[[#This Row],[Company]]&amp;" "&amp;H_unit[[#This Row],[Unit]],{",",".","(",")","/"},_xlfn.LAMBDA(_xlpm.txt,_xlpm.delim,SUBSTITUTE(_xlpm.txt,_xlpm.delim," "))))&amp;" "</f>
        <v xml:space="preserve"> lohjan energiahuolto oy loher ojamo  antinkatu 5 </v>
      </c>
      <c r="D423" s="242" t="s">
        <v>1448</v>
      </c>
      <c r="E423" s="243">
        <v>8</v>
      </c>
      <c r="F423" s="243"/>
      <c r="G423" s="247"/>
      <c r="H423" s="267" t="s">
        <v>1453</v>
      </c>
      <c r="I423" s="248" t="s">
        <v>1142</v>
      </c>
      <c r="J423" s="246" t="str" cm="1">
        <f t="array" ref="J423">_xlfn.XLOOKUP(TRUE,ISNUMBER(SEARCH(" "&amp;Municipality[Municipality]&amp;" ",H_unit[[#This Row],[Info string]])),Municipality[Municipality],"")</f>
        <v/>
      </c>
      <c r="K423" s="246" t="str" cm="1">
        <f t="array" ref="K423">IF(H_unit[[#This Row],[Exact]]&lt;&gt;"","",_xlfn.XLOOKUP(TRUE,ISNUMBER(SEARCH(" "&amp;Municipality[Municipality]&amp;"n ",H_unit[[#This Row],[Info string]])),Municipality[Municipality],""))</f>
        <v>Lohja</v>
      </c>
      <c r="L423" s="246"/>
      <c r="M423" s="244"/>
      <c r="N423" s="246" t="str">
        <f>_xlfn.TEXTJOIN("",TRUE,H_unit[[#This Row],[Exact]],H_unit[[#This Row],[Exact+n]],H_unit[[#This Row],[Copilot]])</f>
        <v>Lohja</v>
      </c>
      <c r="O423" s="246" t="str">
        <f>_xlfn.XLOOKUP(H_unit[[#This Row],[Municipality]],Municipality[Municipality],Municipality[Model],"")</f>
        <v>Uusimaa</v>
      </c>
      <c r="P423" s="236"/>
    </row>
    <row r="424" spans="1:16">
      <c r="A424" s="238" t="s">
        <v>1831</v>
      </c>
      <c r="B424" s="238" t="s">
        <v>1832</v>
      </c>
      <c r="C424" s="240" t="str" cm="1">
        <f t="array" ref="C424">" "&amp;LOWER(_xlfn.REDUCE(H_unit[[#This Row],[Company]]&amp;" "&amp;H_unit[[#This Row],[Unit]],{",",".","(",")","/"},_xlfn.LAMBDA(_xlpm.txt,_xlpm.delim,SUBSTITUTE(_xlpm.txt,_xlpm.delim," "))))&amp;" "</f>
        <v xml:space="preserve"> loimua oy  akaa savola </v>
      </c>
      <c r="D424" s="242" t="s">
        <v>1448</v>
      </c>
      <c r="E424" s="243">
        <v>8</v>
      </c>
      <c r="F424" s="243"/>
      <c r="G424" s="247"/>
      <c r="H424" s="267" t="s">
        <v>1453</v>
      </c>
      <c r="I424" s="248" t="s">
        <v>1142</v>
      </c>
      <c r="J424" s="246" t="str" cm="1">
        <f t="array" ref="J424">_xlfn.XLOOKUP(TRUE,ISNUMBER(SEARCH(" "&amp;Municipality[Municipality]&amp;" ",H_unit[[#This Row],[Info string]])),Municipality[Municipality],"")</f>
        <v/>
      </c>
      <c r="K424" s="246" t="str" cm="1">
        <f t="array" ref="K424">IF(H_unit[[#This Row],[Exact]]&lt;&gt;"","",_xlfn.XLOOKUP(TRUE,ISNUMBER(SEARCH(" "&amp;Municipality[Municipality]&amp;"n ",H_unit[[#This Row],[Info string]])),Municipality[Municipality],""))</f>
        <v/>
      </c>
      <c r="L424" s="246" t="s">
        <v>2803</v>
      </c>
      <c r="M424" s="244" t="s">
        <v>2929</v>
      </c>
      <c r="N424" s="246" t="str">
        <f>_xlfn.TEXTJOIN("",TRUE,H_unit[[#This Row],[Exact]],H_unit[[#This Row],[Exact+n]],H_unit[[#This Row],[Copilot]])</f>
        <v>Toijala</v>
      </c>
      <c r="O424" s="246" t="str">
        <f>_xlfn.XLOOKUP(H_unit[[#This Row],[Municipality]],Municipality[Municipality],Municipality[Model],"")</f>
        <v>Center</v>
      </c>
      <c r="P424" s="236"/>
    </row>
    <row r="425" spans="1:16">
      <c r="A425" s="238" t="s">
        <v>1776</v>
      </c>
      <c r="B425" s="238" t="s">
        <v>1780</v>
      </c>
      <c r="C425" s="240" t="str" cm="1">
        <f t="array" ref="C425">" "&amp;LOWER(_xlfn.REDUCE(H_unit[[#This Row],[Company]]&amp;" "&amp;H_unit[[#This Row],[Unit]],{",",".","(",")","/"},_xlfn.LAMBDA(_xlpm.txt,_xlpm.delim,SUBSTITUTE(_xlpm.txt,_xlpm.delim," "))))&amp;" "</f>
        <v xml:space="preserve"> lempeä lämpö oy  savonlinna inkerinkylä </v>
      </c>
      <c r="D425" s="242">
        <v>1975</v>
      </c>
      <c r="E425" s="243">
        <v>7.5</v>
      </c>
      <c r="F425" s="243"/>
      <c r="G425" s="247"/>
      <c r="H425" s="267" t="s">
        <v>1430</v>
      </c>
      <c r="I425" s="248" t="s">
        <v>1141</v>
      </c>
      <c r="J425" s="246" t="str" cm="1">
        <f t="array" ref="J425">_xlfn.XLOOKUP(TRUE,ISNUMBER(SEARCH(" "&amp;Municipality[Municipality]&amp;" ",H_unit[[#This Row],[Info string]])),Municipality[Municipality],"")</f>
        <v>Savonlinna</v>
      </c>
      <c r="K425" s="246" t="str" cm="1">
        <f t="array" ref="K425">IF(H_unit[[#This Row],[Exact]]&lt;&gt;"","",_xlfn.XLOOKUP(TRUE,ISNUMBER(SEARCH(" "&amp;Municipality[Municipality]&amp;"n ",H_unit[[#This Row],[Info string]])),Municipality[Municipality],""))</f>
        <v/>
      </c>
      <c r="L425" s="246"/>
      <c r="M425" s="244"/>
      <c r="N425" s="246" t="str">
        <f>_xlfn.TEXTJOIN("",TRUE,H_unit[[#This Row],[Exact]],H_unit[[#This Row],[Exact+n]],H_unit[[#This Row],[Copilot]])</f>
        <v>Savonlinna</v>
      </c>
      <c r="O425" s="246" t="str">
        <f>_xlfn.XLOOKUP(H_unit[[#This Row],[Municipality]],Municipality[Municipality],Municipality[Model],"")</f>
        <v>East</v>
      </c>
      <c r="P425" s="236"/>
    </row>
    <row r="426" spans="1:16">
      <c r="A426" s="238" t="s">
        <v>1897</v>
      </c>
      <c r="B426" s="238" t="s">
        <v>1899</v>
      </c>
      <c r="C426" s="240" t="str" cm="1">
        <f t="array" ref="C426">" "&amp;LOWER(_xlfn.REDUCE(H_unit[[#This Row],[Company]]&amp;" "&amp;H_unit[[#This Row],[Unit]],{",",".","(",")","/"},_xlfn.LAMBDA(_xlpm.txt,_xlpm.delim,SUBSTITUTE(_xlpm.txt,_xlpm.delim," "))))&amp;" "</f>
        <v xml:space="preserve"> neve oy  rovaniemi nivavaara </v>
      </c>
      <c r="D426" s="242">
        <v>1986</v>
      </c>
      <c r="E426" s="243">
        <v>7.5</v>
      </c>
      <c r="F426" s="243"/>
      <c r="G426" s="247"/>
      <c r="H426" s="267" t="s">
        <v>1423</v>
      </c>
      <c r="I426" s="248" t="s">
        <v>1143</v>
      </c>
      <c r="J426" s="246" t="str" cm="1">
        <f t="array" ref="J426">_xlfn.XLOOKUP(TRUE,ISNUMBER(SEARCH(" "&amp;Municipality[Municipality]&amp;" ",H_unit[[#This Row],[Info string]])),Municipality[Municipality],"")</f>
        <v>Rovaniemi</v>
      </c>
      <c r="K426" s="246" t="str" cm="1">
        <f t="array" ref="K426">IF(H_unit[[#This Row],[Exact]]&lt;&gt;"","",_xlfn.XLOOKUP(TRUE,ISNUMBER(SEARCH(" "&amp;Municipality[Municipality]&amp;"n ",H_unit[[#This Row],[Info string]])),Municipality[Municipality],""))</f>
        <v/>
      </c>
      <c r="L426" s="246"/>
      <c r="M426" s="244"/>
      <c r="N426" s="246" t="str">
        <f>_xlfn.TEXTJOIN("",TRUE,H_unit[[#This Row],[Exact]],H_unit[[#This Row],[Exact+n]],H_unit[[#This Row],[Copilot]])</f>
        <v>Rovaniemi</v>
      </c>
      <c r="O426" s="246" t="str">
        <f>_xlfn.XLOOKUP(H_unit[[#This Row],[Municipality]],Municipality[Municipality],Municipality[Model],"")</f>
        <v>North</v>
      </c>
      <c r="P426" s="236"/>
    </row>
    <row r="427" spans="1:16">
      <c r="A427" s="238" t="s">
        <v>2318</v>
      </c>
      <c r="B427" s="238" t="s">
        <v>2327</v>
      </c>
      <c r="C427" s="240" t="str" cm="1">
        <f t="array" ref="C427">" "&amp;LOWER(_xlfn.REDUCE(H_unit[[#This Row],[Company]]&amp;" "&amp;H_unit[[#This Row],[Unit]],{",",".","(",")","/"},_xlfn.LAMBDA(_xlpm.txt,_xlpm.delim,SUBSTITUTE(_xlpm.txt,_xlpm.delim," "))))&amp;" "</f>
        <v xml:space="preserve"> lappeenrannan lämpövoima oy hyrymäki </v>
      </c>
      <c r="D427" s="242">
        <v>1988</v>
      </c>
      <c r="E427" s="243">
        <v>7.5</v>
      </c>
      <c r="F427" s="243"/>
      <c r="G427" s="247"/>
      <c r="H427" s="267" t="s">
        <v>1453</v>
      </c>
      <c r="I427" s="248" t="s">
        <v>1142</v>
      </c>
      <c r="J427" s="246" t="str" cm="1">
        <f t="array" ref="J427">_xlfn.XLOOKUP(TRUE,ISNUMBER(SEARCH(" "&amp;Municipality[Municipality]&amp;" ",H_unit[[#This Row],[Info string]])),Municipality[Municipality],"")</f>
        <v/>
      </c>
      <c r="K427" s="246" t="str" cm="1">
        <f t="array" ref="K427">IF(H_unit[[#This Row],[Exact]]&lt;&gt;"","",_xlfn.XLOOKUP(TRUE,ISNUMBER(SEARCH(" "&amp;Municipality[Municipality]&amp;"n ",H_unit[[#This Row],[Info string]])),Municipality[Municipality],""))</f>
        <v/>
      </c>
      <c r="L427" s="246" t="s">
        <v>980</v>
      </c>
      <c r="M427" s="244" t="s">
        <v>2892</v>
      </c>
      <c r="N427" s="246" t="str">
        <f>_xlfn.TEXTJOIN("",TRUE,H_unit[[#This Row],[Exact]],H_unit[[#This Row],[Exact+n]],H_unit[[#This Row],[Copilot]])</f>
        <v>Lappeenranta</v>
      </c>
      <c r="O427" s="246" t="str">
        <f>_xlfn.XLOOKUP(H_unit[[#This Row],[Municipality]],Municipality[Municipality],Municipality[Model],"")</f>
        <v>South East</v>
      </c>
      <c r="P427" s="236"/>
    </row>
    <row r="428" spans="1:16">
      <c r="A428" s="238" t="s">
        <v>1868</v>
      </c>
      <c r="B428" s="238" t="s">
        <v>1869</v>
      </c>
      <c r="C428" s="240" t="str" cm="1">
        <f t="array" ref="C428">" "&amp;LOWER(_xlfn.REDUCE(H_unit[[#This Row],[Company]]&amp;" "&amp;H_unit[[#This Row],[Unit]],{",",".","(",")","/"},_xlfn.LAMBDA(_xlpm.txt,_xlpm.delim,SUBSTITUTE(_xlpm.txt,_xlpm.delim," "))))&amp;" "</f>
        <v xml:space="preserve"> loimua oy  oulainen konttila </v>
      </c>
      <c r="D428" s="242">
        <v>1995</v>
      </c>
      <c r="E428" s="243">
        <v>7.5</v>
      </c>
      <c r="F428" s="243"/>
      <c r="G428" s="247"/>
      <c r="H428" s="267" t="s">
        <v>1423</v>
      </c>
      <c r="I428" s="248" t="s">
        <v>1143</v>
      </c>
      <c r="J428" s="246" t="str" cm="1">
        <f t="array" ref="J428">_xlfn.XLOOKUP(TRUE,ISNUMBER(SEARCH(" "&amp;Municipality[Municipality]&amp;" ",H_unit[[#This Row],[Info string]])),Municipality[Municipality],"")</f>
        <v>Oulainen</v>
      </c>
      <c r="K428" s="246" t="str" cm="1">
        <f t="array" ref="K428">IF(H_unit[[#This Row],[Exact]]&lt;&gt;"","",_xlfn.XLOOKUP(TRUE,ISNUMBER(SEARCH(" "&amp;Municipality[Municipality]&amp;"n ",H_unit[[#This Row],[Info string]])),Municipality[Municipality],""))</f>
        <v/>
      </c>
      <c r="L428" s="246"/>
      <c r="M428" s="244"/>
      <c r="N428" s="246" t="str">
        <f>_xlfn.TEXTJOIN("",TRUE,H_unit[[#This Row],[Exact]],H_unit[[#This Row],[Exact+n]],H_unit[[#This Row],[Copilot]])</f>
        <v>Oulainen</v>
      </c>
      <c r="O428" s="246" t="str">
        <f>_xlfn.XLOOKUP(H_unit[[#This Row],[Municipality]],Municipality[Municipality],Municipality[Model],"")</f>
        <v>North</v>
      </c>
      <c r="P428" s="236"/>
    </row>
    <row r="429" spans="1:16">
      <c r="A429" s="238" t="s">
        <v>1824</v>
      </c>
      <c r="B429" s="238" t="s">
        <v>1516</v>
      </c>
      <c r="C429" s="240" t="str" cm="1">
        <f t="array" ref="C429">" "&amp;LOWER(_xlfn.REDUCE(H_unit[[#This Row],[Company]]&amp;" "&amp;H_unit[[#This Row],[Unit]],{",",".","(",")","/"},_xlfn.LAMBDA(_xlpm.txt,_xlpm.delim,SUBSTITUTE(_xlpm.txt,_xlpm.delim," "))))&amp;" "</f>
        <v xml:space="preserve"> loimaan kaukolämpö oy kpa-laitos </v>
      </c>
      <c r="D429" s="242">
        <v>1997</v>
      </c>
      <c r="E429" s="243">
        <v>7.5</v>
      </c>
      <c r="F429" s="243"/>
      <c r="G429" s="247"/>
      <c r="H429" s="267" t="s">
        <v>1439</v>
      </c>
      <c r="I429" s="248" t="s">
        <v>1143</v>
      </c>
      <c r="J429" s="246" t="str" cm="1">
        <f t="array" ref="J429">_xlfn.XLOOKUP(TRUE,ISNUMBER(SEARCH(" "&amp;Municipality[Municipality]&amp;" ",H_unit[[#This Row],[Info string]])),Municipality[Municipality],"")</f>
        <v/>
      </c>
      <c r="K429" s="246" t="str" cm="1">
        <f t="array" ref="K429">IF(H_unit[[#This Row],[Exact]]&lt;&gt;"","",_xlfn.XLOOKUP(TRUE,ISNUMBER(SEARCH(" "&amp;Municipality[Municipality]&amp;"n ",H_unit[[#This Row],[Info string]])),Municipality[Municipality],""))</f>
        <v>Loimaa</v>
      </c>
      <c r="L429" s="246"/>
      <c r="M429" s="244"/>
      <c r="N429" s="246" t="str">
        <f>_xlfn.TEXTJOIN("",TRUE,H_unit[[#This Row],[Exact]],H_unit[[#This Row],[Exact+n]],H_unit[[#This Row],[Copilot]])</f>
        <v>Loimaa</v>
      </c>
      <c r="O429" s="246" t="str">
        <f>_xlfn.XLOOKUP(H_unit[[#This Row],[Municipality]],Municipality[Municipality],Municipality[Model],"")</f>
        <v>South West</v>
      </c>
      <c r="P429" s="236"/>
    </row>
    <row r="430" spans="1:16">
      <c r="A430" s="238" t="s">
        <v>1493</v>
      </c>
      <c r="B430" s="238" t="s">
        <v>1495</v>
      </c>
      <c r="C430" s="240" t="str" cm="1">
        <f t="array" ref="C430">" "&amp;LOWER(_xlfn.REDUCE(H_unit[[#This Row],[Company]]&amp;" "&amp;H_unit[[#This Row],[Unit]],{",",".","(",")","/"},_xlfn.LAMBDA(_xlpm.txt,_xlpm.delim,SUBSTITUTE(_xlpm.txt,_xlpm.delim," "))))&amp;" "</f>
        <v xml:space="preserve"> aurora lämpö oy  kolari ylläsjärven lämpökeskus </v>
      </c>
      <c r="D430" s="242">
        <v>2008</v>
      </c>
      <c r="E430" s="243">
        <v>7.5</v>
      </c>
      <c r="F430" s="243"/>
      <c r="G430" s="247"/>
      <c r="H430" s="267" t="s">
        <v>1423</v>
      </c>
      <c r="I430" s="248" t="s">
        <v>1143</v>
      </c>
      <c r="J430" s="246" t="str" cm="1">
        <f t="array" ref="J430">_xlfn.XLOOKUP(TRUE,ISNUMBER(SEARCH(" "&amp;Municipality[Municipality]&amp;" ",H_unit[[#This Row],[Info string]])),Municipality[Municipality],"")</f>
        <v>Kolari</v>
      </c>
      <c r="K430" s="246" t="str" cm="1">
        <f t="array" ref="K430">IF(H_unit[[#This Row],[Exact]]&lt;&gt;"","",_xlfn.XLOOKUP(TRUE,ISNUMBER(SEARCH(" "&amp;Municipality[Municipality]&amp;"n ",H_unit[[#This Row],[Info string]])),Municipality[Municipality],""))</f>
        <v/>
      </c>
      <c r="L430" s="246"/>
      <c r="M430" s="244"/>
      <c r="N430" s="246" t="str">
        <f>_xlfn.TEXTJOIN("",TRUE,H_unit[[#This Row],[Exact]],H_unit[[#This Row],[Exact+n]],H_unit[[#This Row],[Copilot]])</f>
        <v>Kolari</v>
      </c>
      <c r="O430" s="246" t="str">
        <f>_xlfn.XLOOKUP(H_unit[[#This Row],[Municipality]],Municipality[Municipality],Municipality[Model],"")</f>
        <v>North</v>
      </c>
      <c r="P430" s="236"/>
    </row>
    <row r="431" spans="1:16">
      <c r="A431" s="238" t="s">
        <v>2130</v>
      </c>
      <c r="B431" s="238" t="s">
        <v>2132</v>
      </c>
      <c r="C431" s="240" t="str" cm="1">
        <f t="array" ref="C431">" "&amp;LOWER(_xlfn.REDUCE(H_unit[[#This Row],[Company]]&amp;" "&amp;H_unit[[#This Row],[Unit]],{",",".","(",")","/"},_xlfn.LAMBDA(_xlpm.txt,_xlpm.delim,SUBSTITUTE(_xlpm.txt,_xlpm.delim," "))))&amp;" "</f>
        <v xml:space="preserve"> savon voima oyj  kiuruvesi lk63  torikatu </v>
      </c>
      <c r="D431" s="242">
        <v>1977</v>
      </c>
      <c r="E431" s="243">
        <v>7.4</v>
      </c>
      <c r="F431" s="243"/>
      <c r="G431" s="247"/>
      <c r="H431" s="267" t="s">
        <v>1430</v>
      </c>
      <c r="I431" s="248" t="s">
        <v>1141</v>
      </c>
      <c r="J431" s="246" t="str" cm="1">
        <f t="array" ref="J431">_xlfn.XLOOKUP(TRUE,ISNUMBER(SEARCH(" "&amp;Municipality[Municipality]&amp;" ",H_unit[[#This Row],[Info string]])),Municipality[Municipality],"")</f>
        <v>Kiuruvesi</v>
      </c>
      <c r="K431" s="246" t="str" cm="1">
        <f t="array" ref="K431">IF(H_unit[[#This Row],[Exact]]&lt;&gt;"","",_xlfn.XLOOKUP(TRUE,ISNUMBER(SEARCH(" "&amp;Municipality[Municipality]&amp;"n ",H_unit[[#This Row],[Info string]])),Municipality[Municipality],""))</f>
        <v/>
      </c>
      <c r="L431" s="246"/>
      <c r="M431" s="244"/>
      <c r="N431" s="246" t="str">
        <f>_xlfn.TEXTJOIN("",TRUE,H_unit[[#This Row],[Exact]],H_unit[[#This Row],[Exact+n]],H_unit[[#This Row],[Copilot]])</f>
        <v>Kiuruvesi</v>
      </c>
      <c r="O431" s="246" t="str">
        <f>_xlfn.XLOOKUP(H_unit[[#This Row],[Municipality]],Municipality[Municipality],Municipality[Model],"")</f>
        <v>East</v>
      </c>
      <c r="P431" s="236"/>
    </row>
    <row r="432" spans="1:16">
      <c r="A432" s="238" t="s">
        <v>2229</v>
      </c>
      <c r="B432" s="238" t="s">
        <v>2234</v>
      </c>
      <c r="C432" s="240" t="str" cm="1">
        <f t="array" ref="C432">" "&amp;LOWER(_xlfn.REDUCE(H_unit[[#This Row],[Company]]&amp;" "&amp;H_unit[[#This Row],[Unit]],{",",".","(",")","/"},_xlfn.LAMBDA(_xlpm.txt,_xlpm.delim,SUBSTITUTE(_xlpm.txt,_xlpm.delim," "))))&amp;" "</f>
        <v xml:space="preserve"> vatajankoski oy niinisalo </v>
      </c>
      <c r="D432" s="242">
        <v>1991</v>
      </c>
      <c r="E432" s="243">
        <v>7.4</v>
      </c>
      <c r="F432" s="243"/>
      <c r="G432" s="247"/>
      <c r="H432" s="267" t="s">
        <v>1430</v>
      </c>
      <c r="I432" s="248" t="s">
        <v>1141</v>
      </c>
      <c r="J432" s="246" t="str" cm="1">
        <f t="array" ref="J432">_xlfn.XLOOKUP(TRUE,ISNUMBER(SEARCH(" "&amp;Municipality[Municipality]&amp;" ",H_unit[[#This Row],[Info string]])),Municipality[Municipality],"")</f>
        <v/>
      </c>
      <c r="K432" s="246" t="str" cm="1">
        <f t="array" ref="K432">IF(H_unit[[#This Row],[Exact]]&lt;&gt;"","",_xlfn.XLOOKUP(TRUE,ISNUMBER(SEARCH(" "&amp;Municipality[Municipality]&amp;"n ",H_unit[[#This Row],[Info string]])),Municipality[Municipality],""))</f>
        <v/>
      </c>
      <c r="L432" s="246" t="s">
        <v>466</v>
      </c>
      <c r="M432" s="244" t="s">
        <v>2907</v>
      </c>
      <c r="N432" s="246" t="str">
        <f>_xlfn.TEXTJOIN("",TRUE,H_unit[[#This Row],[Exact]],H_unit[[#This Row],[Exact+n]],H_unit[[#This Row],[Copilot]])</f>
        <v>Kankaanpää</v>
      </c>
      <c r="O432" s="246" t="str">
        <f>_xlfn.XLOOKUP(H_unit[[#This Row],[Municipality]],Municipality[Municipality],Municipality[Model],"")</f>
        <v>West</v>
      </c>
      <c r="P432" s="236"/>
    </row>
    <row r="433" spans="1:16">
      <c r="A433" s="238" t="s">
        <v>1581</v>
      </c>
      <c r="B433" s="238" t="s">
        <v>1582</v>
      </c>
      <c r="C433" s="240" t="str" cm="1">
        <f t="array" ref="C433">" "&amp;LOWER(_xlfn.REDUCE(H_unit[[#This Row],[Company]]&amp;" "&amp;H_unit[[#This Row],[Unit]],{",",".","(",")","/"},_xlfn.LAMBDA(_xlpm.txt,_xlpm.delim,SUBSTITUTE(_xlpm.txt,_xlpm.delim," "))))&amp;" "</f>
        <v xml:space="preserve"> kauhajoen lämpöhuolto oy lellava </v>
      </c>
      <c r="D433" s="242">
        <v>1985</v>
      </c>
      <c r="E433" s="243">
        <v>7.2</v>
      </c>
      <c r="F433" s="243"/>
      <c r="G433" s="247"/>
      <c r="H433" s="267" t="s">
        <v>1428</v>
      </c>
      <c r="I433" s="248" t="s">
        <v>1143</v>
      </c>
      <c r="J433" s="246" t="str" cm="1">
        <f t="array" ref="J433">_xlfn.XLOOKUP(TRUE,ISNUMBER(SEARCH(" "&amp;Municipality[Municipality]&amp;" ",H_unit[[#This Row],[Info string]])),Municipality[Municipality],"")</f>
        <v/>
      </c>
      <c r="K433" s="246" t="str" cm="1">
        <f t="array" ref="K433">IF(H_unit[[#This Row],[Exact]]&lt;&gt;"","",_xlfn.XLOOKUP(TRUE,ISNUMBER(SEARCH(" "&amp;Municipality[Municipality]&amp;"n ",H_unit[[#This Row],[Info string]])),Municipality[Municipality],""))</f>
        <v/>
      </c>
      <c r="L433" s="246" t="s">
        <v>2577</v>
      </c>
      <c r="M433" s="244" t="s">
        <v>2918</v>
      </c>
      <c r="N433" s="246" t="str">
        <f>_xlfn.TEXTJOIN("",TRUE,H_unit[[#This Row],[Exact]],H_unit[[#This Row],[Exact+n]],H_unit[[#This Row],[Copilot]])</f>
        <v>Kauhajoki</v>
      </c>
      <c r="O433" s="246" t="str">
        <f>_xlfn.XLOOKUP(H_unit[[#This Row],[Municipality]],Municipality[Municipality],Municipality[Model],"")</f>
        <v>West</v>
      </c>
      <c r="P433" s="236"/>
    </row>
    <row r="434" spans="1:16">
      <c r="A434" s="238" t="s">
        <v>1947</v>
      </c>
      <c r="B434" s="238" t="s">
        <v>1949</v>
      </c>
      <c r="C434" s="240" t="str" cm="1">
        <f t="array" ref="C434">" "&amp;LOWER(_xlfn.REDUCE(H_unit[[#This Row],[Company]]&amp;" "&amp;H_unit[[#This Row],[Unit]],{",",".","(",")","/"},_xlfn.LAMBDA(_xlpm.txt,_xlpm.delim,SUBSTITUTE(_xlpm.txt,_xlpm.delim," "))))&amp;" "</f>
        <v xml:space="preserve"> nevel oy  tohmajärvi tohmajärvi pok </v>
      </c>
      <c r="D434" s="242">
        <v>1986</v>
      </c>
      <c r="E434" s="243">
        <v>7.2</v>
      </c>
      <c r="F434" s="243"/>
      <c r="G434" s="247"/>
      <c r="H434" s="267" t="s">
        <v>1418</v>
      </c>
      <c r="I434" s="248" t="s">
        <v>1141</v>
      </c>
      <c r="J434" s="246" t="str" cm="1">
        <f t="array" ref="J434">_xlfn.XLOOKUP(TRUE,ISNUMBER(SEARCH(" "&amp;Municipality[Municipality]&amp;" ",H_unit[[#This Row],[Info string]])),Municipality[Municipality],"")</f>
        <v>Tohmajärvi</v>
      </c>
      <c r="K434" s="246" t="str" cm="1">
        <f t="array" ref="K434">IF(H_unit[[#This Row],[Exact]]&lt;&gt;"","",_xlfn.XLOOKUP(TRUE,ISNUMBER(SEARCH(" "&amp;Municipality[Municipality]&amp;"n ",H_unit[[#This Row],[Info string]])),Municipality[Municipality],""))</f>
        <v/>
      </c>
      <c r="L434" s="246"/>
      <c r="M434" s="244"/>
      <c r="N434" s="246" t="str">
        <f>_xlfn.TEXTJOIN("",TRUE,H_unit[[#This Row],[Exact]],H_unit[[#This Row],[Exact+n]],H_unit[[#This Row],[Copilot]])</f>
        <v>Tohmajärvi</v>
      </c>
      <c r="O434" s="246" t="str">
        <f>_xlfn.XLOOKUP(H_unit[[#This Row],[Municipality]],Municipality[Municipality],Municipality[Model],"")</f>
        <v>East</v>
      </c>
      <c r="P434" s="236"/>
    </row>
    <row r="435" spans="1:16">
      <c r="A435" s="238" t="s">
        <v>1466</v>
      </c>
      <c r="B435" s="238" t="s">
        <v>1468</v>
      </c>
      <c r="C435" s="240" t="str" cm="1">
        <f t="array" ref="C435">" "&amp;LOWER(_xlfn.REDUCE(H_unit[[#This Row],[Company]]&amp;" "&amp;H_unit[[#This Row],[Unit]],{",",".","(",")","/"},_xlfn.LAMBDA(_xlpm.txt,_xlpm.delim,SUBSTITUTE(_xlpm.txt,_xlpm.delim," "))))&amp;" "</f>
        <v xml:space="preserve"> adven oy  sastamala  vammala  vammala </v>
      </c>
      <c r="D435" s="242">
        <v>1972</v>
      </c>
      <c r="E435" s="243">
        <v>7</v>
      </c>
      <c r="F435" s="243"/>
      <c r="G435" s="247"/>
      <c r="H435" s="267" t="s">
        <v>1430</v>
      </c>
      <c r="I435" s="248" t="s">
        <v>1141</v>
      </c>
      <c r="J435" s="246" t="str" cm="1">
        <f t="array" ref="J435">_xlfn.XLOOKUP(TRUE,ISNUMBER(SEARCH(" "&amp;Municipality[Municipality]&amp;" ",H_unit[[#This Row],[Info string]])),Municipality[Municipality],"")</f>
        <v>Vammala</v>
      </c>
      <c r="K435" s="246" t="str" cm="1">
        <f t="array" ref="K435">IF(H_unit[[#This Row],[Exact]]&lt;&gt;"","",_xlfn.XLOOKUP(TRUE,ISNUMBER(SEARCH(" "&amp;Municipality[Municipality]&amp;"n ",H_unit[[#This Row],[Info string]])),Municipality[Municipality],""))</f>
        <v/>
      </c>
      <c r="L435" s="246"/>
      <c r="M435" s="244"/>
      <c r="N435" s="246" t="str">
        <f>_xlfn.TEXTJOIN("",TRUE,H_unit[[#This Row],[Exact]],H_unit[[#This Row],[Exact+n]],H_unit[[#This Row],[Copilot]])</f>
        <v>Vammala</v>
      </c>
      <c r="O435" s="246" t="str">
        <f>_xlfn.XLOOKUP(H_unit[[#This Row],[Municipality]],Municipality[Municipality],Municipality[Model],"")</f>
        <v>Center</v>
      </c>
      <c r="P435" s="236"/>
    </row>
    <row r="436" spans="1:16">
      <c r="A436" s="238" t="s">
        <v>1749</v>
      </c>
      <c r="B436" s="238" t="s">
        <v>1751</v>
      </c>
      <c r="C436" s="240" t="str" cm="1">
        <f t="array" ref="C436">" "&amp;LOWER(_xlfn.REDUCE(H_unit[[#This Row],[Company]]&amp;" "&amp;H_unit[[#This Row],[Unit]],{",",".","(",")","/"},_xlfn.LAMBDA(_xlpm.txt,_xlpm.delim,SUBSTITUTE(_xlpm.txt,_xlpm.delim," "))))&amp;" "</f>
        <v xml:space="preserve"> laitilan lämpö oy meijerin lk </v>
      </c>
      <c r="D436" s="242">
        <v>1976</v>
      </c>
      <c r="E436" s="243">
        <v>7</v>
      </c>
      <c r="F436" s="243"/>
      <c r="G436" s="247"/>
      <c r="H436" s="267" t="s">
        <v>1430</v>
      </c>
      <c r="I436" s="248" t="s">
        <v>1141</v>
      </c>
      <c r="J436" s="246" t="str" cm="1">
        <f t="array" ref="J436">_xlfn.XLOOKUP(TRUE,ISNUMBER(SEARCH(" "&amp;Municipality[Municipality]&amp;" ",H_unit[[#This Row],[Info string]])),Municipality[Municipality],"")</f>
        <v/>
      </c>
      <c r="K436" s="246" t="str" cm="1">
        <f t="array" ref="K436">IF(H_unit[[#This Row],[Exact]]&lt;&gt;"","",_xlfn.XLOOKUP(TRUE,ISNUMBER(SEARCH(" "&amp;Municipality[Municipality]&amp;"n ",H_unit[[#This Row],[Info string]])),Municipality[Municipality],""))</f>
        <v>Laitila</v>
      </c>
      <c r="L436" s="246"/>
      <c r="M436" s="244"/>
      <c r="N436" s="246" t="str">
        <f>_xlfn.TEXTJOIN("",TRUE,H_unit[[#This Row],[Exact]],H_unit[[#This Row],[Exact+n]],H_unit[[#This Row],[Copilot]])</f>
        <v>Laitila</v>
      </c>
      <c r="O436" s="246" t="str">
        <f>_xlfn.XLOOKUP(H_unit[[#This Row],[Municipality]],Municipality[Municipality],Municipality[Model],"")</f>
        <v>South West</v>
      </c>
      <c r="P436" s="236"/>
    </row>
    <row r="437" spans="1:16">
      <c r="A437" s="238" t="s">
        <v>1599</v>
      </c>
      <c r="B437" s="238" t="s">
        <v>1602</v>
      </c>
      <c r="C437" s="240" t="str" cm="1">
        <f t="array" ref="C437">" "&amp;LOWER(_xlfn.REDUCE(H_unit[[#This Row],[Company]]&amp;" "&amp;H_unit[[#This Row],[Unit]],{",",".","(",")","/"},_xlfn.LAMBDA(_xlpm.txt,_xlpm.delim,SUBSTITUTE(_xlpm.txt,_xlpm.delim," "))))&amp;" "</f>
        <v xml:space="preserve"> kemijärven lämpö ja vesi oy ammattikoulu </v>
      </c>
      <c r="D437" s="242">
        <v>1978</v>
      </c>
      <c r="E437" s="243">
        <v>7</v>
      </c>
      <c r="F437" s="243"/>
      <c r="G437" s="247"/>
      <c r="H437" s="267" t="s">
        <v>1430</v>
      </c>
      <c r="I437" s="248" t="s">
        <v>1141</v>
      </c>
      <c r="J437" s="246" t="str" cm="1">
        <f t="array" ref="J437">_xlfn.XLOOKUP(TRUE,ISNUMBER(SEARCH(" "&amp;Municipality[Municipality]&amp;" ",H_unit[[#This Row],[Info string]])),Municipality[Municipality],"")</f>
        <v/>
      </c>
      <c r="K437" s="246" t="str" cm="1">
        <f t="array" ref="K437">IF(H_unit[[#This Row],[Exact]]&lt;&gt;"","",_xlfn.XLOOKUP(TRUE,ISNUMBER(SEARCH(" "&amp;Municipality[Municipality]&amp;"n ",H_unit[[#This Row],[Info string]])),Municipality[Municipality],""))</f>
        <v/>
      </c>
      <c r="L437" s="246" t="s">
        <v>1044</v>
      </c>
      <c r="M437" s="244" t="s">
        <v>2898</v>
      </c>
      <c r="N437" s="246" t="str">
        <f>_xlfn.TEXTJOIN("",TRUE,H_unit[[#This Row],[Exact]],H_unit[[#This Row],[Exact+n]],H_unit[[#This Row],[Copilot]])</f>
        <v>Kemijärvi</v>
      </c>
      <c r="O437" s="246" t="str">
        <f>_xlfn.XLOOKUP(H_unit[[#This Row],[Municipality]],Municipality[Municipality],Municipality[Model],"")</f>
        <v>North</v>
      </c>
      <c r="P437" s="236"/>
    </row>
    <row r="438" spans="1:16">
      <c r="A438" s="238" t="s">
        <v>1992</v>
      </c>
      <c r="B438" s="238" t="s">
        <v>1922</v>
      </c>
      <c r="C438" s="240" t="str" cm="1">
        <f t="array" ref="C438">" "&amp;LOWER(_xlfn.REDUCE(H_unit[[#This Row],[Company]]&amp;" "&amp;H_unit[[#This Row],[Unit]],{",",".","(",")","/"},_xlfn.LAMBDA(_xlpm.txt,_xlpm.delim,SUBSTITUTE(_xlpm.txt,_xlpm.delim," "))))&amp;" "</f>
        <v xml:space="preserve"> okun energia oy  outokumpu teollisuuskylä </v>
      </c>
      <c r="D438" s="242">
        <v>1985</v>
      </c>
      <c r="E438" s="243">
        <v>7</v>
      </c>
      <c r="F438" s="243"/>
      <c r="G438" s="247"/>
      <c r="H438" s="267" t="s">
        <v>1430</v>
      </c>
      <c r="I438" s="248" t="s">
        <v>1141</v>
      </c>
      <c r="J438" s="246" t="str" cm="1">
        <f t="array" ref="J438">_xlfn.XLOOKUP(TRUE,ISNUMBER(SEARCH(" "&amp;Municipality[Municipality]&amp;" ",H_unit[[#This Row],[Info string]])),Municipality[Municipality],"")</f>
        <v>Outokumpu</v>
      </c>
      <c r="K438" s="246" t="str" cm="1">
        <f t="array" ref="K438">IF(H_unit[[#This Row],[Exact]]&lt;&gt;"","",_xlfn.XLOOKUP(TRUE,ISNUMBER(SEARCH(" "&amp;Municipality[Municipality]&amp;"n ",H_unit[[#This Row],[Info string]])),Municipality[Municipality],""))</f>
        <v/>
      </c>
      <c r="L438" s="246"/>
      <c r="M438" s="244"/>
      <c r="N438" s="246" t="str">
        <f>_xlfn.TEXTJOIN("",TRUE,H_unit[[#This Row],[Exact]],H_unit[[#This Row],[Exact+n]],H_unit[[#This Row],[Copilot]])</f>
        <v>Outokumpu</v>
      </c>
      <c r="O438" s="246" t="str">
        <f>_xlfn.XLOOKUP(H_unit[[#This Row],[Municipality]],Municipality[Municipality],Municipality[Model],"")</f>
        <v>East</v>
      </c>
      <c r="P438" s="236"/>
    </row>
    <row r="439" spans="1:16">
      <c r="A439" s="238" t="s">
        <v>1800</v>
      </c>
      <c r="B439" s="238" t="s">
        <v>1802</v>
      </c>
      <c r="C439" s="240" t="str" cm="1">
        <f t="array" ref="C439">" "&amp;LOWER(_xlfn.REDUCE(H_unit[[#This Row],[Company]]&amp;" "&amp;H_unit[[#This Row],[Unit]],{",",".","(",")","/"},_xlfn.LAMBDA(_xlpm.txt,_xlpm.delim,SUBSTITUTE(_xlpm.txt,_xlpm.delim," "))))&amp;" "</f>
        <v xml:space="preserve"> leppäkosken lämpö oy  parkano meijeri </v>
      </c>
      <c r="D439" s="242">
        <v>1989</v>
      </c>
      <c r="E439" s="243">
        <v>7</v>
      </c>
      <c r="F439" s="243"/>
      <c r="G439" s="247"/>
      <c r="H439" s="267" t="s">
        <v>1430</v>
      </c>
      <c r="I439" s="248" t="s">
        <v>1141</v>
      </c>
      <c r="J439" s="246" t="str" cm="1">
        <f t="array" ref="J439">_xlfn.XLOOKUP(TRUE,ISNUMBER(SEARCH(" "&amp;Municipality[Municipality]&amp;" ",H_unit[[#This Row],[Info string]])),Municipality[Municipality],"")</f>
        <v>Parkano</v>
      </c>
      <c r="K439" s="246" t="str" cm="1">
        <f t="array" ref="K439">IF(H_unit[[#This Row],[Exact]]&lt;&gt;"","",_xlfn.XLOOKUP(TRUE,ISNUMBER(SEARCH(" "&amp;Municipality[Municipality]&amp;"n ",H_unit[[#This Row],[Info string]])),Municipality[Municipality],""))</f>
        <v/>
      </c>
      <c r="L439" s="246"/>
      <c r="M439" s="244"/>
      <c r="N439" s="246" t="str">
        <f>_xlfn.TEXTJOIN("",TRUE,H_unit[[#This Row],[Exact]],H_unit[[#This Row],[Exact+n]],H_unit[[#This Row],[Copilot]])</f>
        <v>Parkano</v>
      </c>
      <c r="O439" s="246" t="str">
        <f>_xlfn.XLOOKUP(H_unit[[#This Row],[Municipality]],Municipality[Municipality],Municipality[Model],"")</f>
        <v>Center</v>
      </c>
      <c r="P439" s="236"/>
    </row>
    <row r="440" spans="1:16">
      <c r="A440" s="238" t="s">
        <v>2205</v>
      </c>
      <c r="B440" s="238" t="s">
        <v>2208</v>
      </c>
      <c r="C440" s="240" t="str" cm="1">
        <f t="array" ref="C440">" "&amp;LOWER(_xlfn.REDUCE(H_unit[[#This Row],[Company]]&amp;" "&amp;H_unit[[#This Row],[Unit]],{",",".","(",")","/"},_xlfn.LAMBDA(_xlpm.txt,_xlpm.delim,SUBSTITUTE(_xlpm.txt,_xlpm.delim," "))))&amp;" "</f>
        <v xml:space="preserve"> valkeakosken energia oy klk 4 </v>
      </c>
      <c r="D440" s="242">
        <v>1992</v>
      </c>
      <c r="E440" s="243">
        <v>7</v>
      </c>
      <c r="F440" s="243"/>
      <c r="G440" s="247"/>
      <c r="H440" s="267" t="s">
        <v>1453</v>
      </c>
      <c r="I440" s="248" t="s">
        <v>1142</v>
      </c>
      <c r="J440" s="246" t="str" cm="1">
        <f t="array" ref="J440">_xlfn.XLOOKUP(TRUE,ISNUMBER(SEARCH(" "&amp;Municipality[Municipality]&amp;" ",H_unit[[#This Row],[Info string]])),Municipality[Municipality],"")</f>
        <v/>
      </c>
      <c r="K440" s="246" t="str" cm="1">
        <f t="array" ref="K440">IF(H_unit[[#This Row],[Exact]]&lt;&gt;"","",_xlfn.XLOOKUP(TRUE,ISNUMBER(SEARCH(" "&amp;Municipality[Municipality]&amp;"n ",H_unit[[#This Row],[Info string]])),Municipality[Municipality],""))</f>
        <v/>
      </c>
      <c r="L440" s="246" t="s">
        <v>2821</v>
      </c>
      <c r="M440" s="244" t="s">
        <v>2904</v>
      </c>
      <c r="N440" s="246" t="str">
        <f>_xlfn.TEXTJOIN("",TRUE,H_unit[[#This Row],[Exact]],H_unit[[#This Row],[Exact+n]],H_unit[[#This Row],[Copilot]])</f>
        <v>Valkeakoski</v>
      </c>
      <c r="O440" s="246" t="str">
        <f>_xlfn.XLOOKUP(H_unit[[#This Row],[Municipality]],Municipality[Municipality],Municipality[Model],"")</f>
        <v>Center</v>
      </c>
      <c r="P440" s="236"/>
    </row>
    <row r="441" spans="1:16">
      <c r="A441" s="238" t="s">
        <v>2168</v>
      </c>
      <c r="B441" s="238" t="s">
        <v>2170</v>
      </c>
      <c r="C441" s="240" t="str" cm="1">
        <f t="array" ref="C441">" "&amp;LOWER(_xlfn.REDUCE(H_unit[[#This Row],[Company]]&amp;" "&amp;H_unit[[#This Row],[Unit]],{",",".","(",")","/"},_xlfn.LAMBDA(_xlpm.txt,_xlpm.delim,SUBSTITUTE(_xlpm.txt,_xlpm.delim," "))))&amp;" "</f>
        <v xml:space="preserve"> someron lämpö oy kuivamaito </v>
      </c>
      <c r="D441" s="242">
        <v>1995</v>
      </c>
      <c r="E441" s="243">
        <v>7</v>
      </c>
      <c r="F441" s="243"/>
      <c r="G441" s="247"/>
      <c r="H441" s="267" t="s">
        <v>1430</v>
      </c>
      <c r="I441" s="248" t="s">
        <v>1141</v>
      </c>
      <c r="J441" s="246" t="str" cm="1">
        <f t="array" ref="J441">_xlfn.XLOOKUP(TRUE,ISNUMBER(SEARCH(" "&amp;Municipality[Municipality]&amp;" ",H_unit[[#This Row],[Info string]])),Municipality[Municipality],"")</f>
        <v/>
      </c>
      <c r="K441" s="246" t="str" cm="1">
        <f t="array" ref="K441">IF(H_unit[[#This Row],[Exact]]&lt;&gt;"","",_xlfn.XLOOKUP(TRUE,ISNUMBER(SEARCH(" "&amp;Municipality[Municipality]&amp;"n ",H_unit[[#This Row],[Info string]])),Municipality[Municipality],""))</f>
        <v>Somero</v>
      </c>
      <c r="L441" s="246"/>
      <c r="M441" s="244"/>
      <c r="N441" s="246" t="str">
        <f>_xlfn.TEXTJOIN("",TRUE,H_unit[[#This Row],[Exact]],H_unit[[#This Row],[Exact+n]],H_unit[[#This Row],[Copilot]])</f>
        <v>Somero</v>
      </c>
      <c r="O441" s="246" t="str">
        <f>_xlfn.XLOOKUP(H_unit[[#This Row],[Municipality]],Municipality[Municipality],Municipality[Model],"")</f>
        <v>South West</v>
      </c>
      <c r="P441" s="236"/>
    </row>
    <row r="442" spans="1:16">
      <c r="A442" s="238" t="s">
        <v>2417</v>
      </c>
      <c r="B442" s="238" t="s">
        <v>2418</v>
      </c>
      <c r="C442" s="240" t="str" cm="1">
        <f t="array" ref="C442">" "&amp;LOWER(_xlfn.REDUCE(H_unit[[#This Row],[Company]]&amp;" "&amp;H_unit[[#This Row],[Unit]],{",",".","(",")","/"},_xlfn.LAMBDA(_xlpm.txt,_xlpm.delim,SUBSTITUTE(_xlpm.txt,_xlpm.delim," "))))&amp;" "</f>
        <v xml:space="preserve"> valkkia oy  salo perniön lämpölaitos </v>
      </c>
      <c r="D442" s="242">
        <v>2002</v>
      </c>
      <c r="E442" s="243">
        <v>7</v>
      </c>
      <c r="F442" s="243"/>
      <c r="G442" s="247"/>
      <c r="H442" s="267" t="s">
        <v>1423</v>
      </c>
      <c r="I442" s="248" t="s">
        <v>1143</v>
      </c>
      <c r="J442" s="246" t="str" cm="1">
        <f t="array" ref="J442">_xlfn.XLOOKUP(TRUE,ISNUMBER(SEARCH(" "&amp;Municipality[Municipality]&amp;" ",H_unit[[#This Row],[Info string]])),Municipality[Municipality],"")</f>
        <v>Salo</v>
      </c>
      <c r="K442" s="246" t="str" cm="1">
        <f t="array" ref="K442">IF(H_unit[[#This Row],[Exact]]&lt;&gt;"","",_xlfn.XLOOKUP(TRUE,ISNUMBER(SEARCH(" "&amp;Municipality[Municipality]&amp;"n ",H_unit[[#This Row],[Info string]])),Municipality[Municipality],""))</f>
        <v/>
      </c>
      <c r="L442" s="246"/>
      <c r="M442" s="244"/>
      <c r="N442" s="246" t="str">
        <f>_xlfn.TEXTJOIN("",TRUE,H_unit[[#This Row],[Exact]],H_unit[[#This Row],[Exact+n]],H_unit[[#This Row],[Copilot]])</f>
        <v>Salo</v>
      </c>
      <c r="O442" s="246" t="str">
        <f>_xlfn.XLOOKUP(H_unit[[#This Row],[Municipality]],Municipality[Municipality],Municipality[Model],"")</f>
        <v>South West</v>
      </c>
      <c r="P442" s="236"/>
    </row>
    <row r="443" spans="1:16">
      <c r="A443" s="238" t="s">
        <v>1879</v>
      </c>
      <c r="B443" s="238" t="s">
        <v>1881</v>
      </c>
      <c r="C443" s="240" t="str" cm="1">
        <f t="array" ref="C443">" "&amp;LOWER(_xlfn.REDUCE(H_unit[[#This Row],[Company]]&amp;" "&amp;H_unit[[#This Row],[Unit]],{",",".","(",")","/"},_xlfn.LAMBDA(_xlpm.txt,_xlpm.delim,SUBSTITUTE(_xlpm.txt,_xlpm.delim," "))))&amp;" "</f>
        <v xml:space="preserve"> loviisan lämpö oy  loviisa  pornainen  pukkila  pyhtää urakoitsijantie kpa </v>
      </c>
      <c r="D443" s="242">
        <v>2006</v>
      </c>
      <c r="E443" s="243">
        <v>7</v>
      </c>
      <c r="F443" s="243"/>
      <c r="G443" s="247"/>
      <c r="H443" s="267" t="s">
        <v>1423</v>
      </c>
      <c r="I443" s="248" t="s">
        <v>1143</v>
      </c>
      <c r="J443" s="246" t="str" cm="1">
        <f t="array" ref="J443">_xlfn.XLOOKUP(TRUE,ISNUMBER(SEARCH(" "&amp;Municipality[Municipality]&amp;" ",H_unit[[#This Row],[Info string]])),Municipality[Municipality],"")</f>
        <v>Pornainen</v>
      </c>
      <c r="K443" s="246" t="str" cm="1">
        <f t="array" ref="K443">IF(H_unit[[#This Row],[Exact]]&lt;&gt;"","",_xlfn.XLOOKUP(TRUE,ISNUMBER(SEARCH(" "&amp;Municipality[Municipality]&amp;"n ",H_unit[[#This Row],[Info string]])),Municipality[Municipality],""))</f>
        <v/>
      </c>
      <c r="L443" s="246"/>
      <c r="M443" s="244"/>
      <c r="N443" s="246" t="str">
        <f>_xlfn.TEXTJOIN("",TRUE,H_unit[[#This Row],[Exact]],H_unit[[#This Row],[Exact+n]],H_unit[[#This Row],[Copilot]])</f>
        <v>Pornainen</v>
      </c>
      <c r="O443" s="246" t="str">
        <f>_xlfn.XLOOKUP(H_unit[[#This Row],[Municipality]],Municipality[Municipality],Municipality[Model],"")</f>
        <v>Uusimaa</v>
      </c>
      <c r="P443" s="236"/>
    </row>
    <row r="444" spans="1:16">
      <c r="A444" s="238" t="s">
        <v>1642</v>
      </c>
      <c r="B444" s="238" t="s">
        <v>1644</v>
      </c>
      <c r="C444" s="240" t="str" cm="1">
        <f t="array" ref="C444">" "&amp;LOWER(_xlfn.REDUCE(H_unit[[#This Row],[Company]]&amp;" "&amp;H_unit[[#This Row],[Unit]],{",",".","(",")","/"},_xlfn.LAMBDA(_xlpm.txt,_xlpm.delim,SUBSTITUTE(_xlpm.txt,_xlpm.delim," "))))&amp;" "</f>
        <v xml:space="preserve"> kokemäen lämpö oy kartanonvoima 6  novell </v>
      </c>
      <c r="D444" s="242">
        <v>2008</v>
      </c>
      <c r="E444" s="243">
        <v>7</v>
      </c>
      <c r="F444" s="243"/>
      <c r="G444" s="247"/>
      <c r="H444" s="267" t="s">
        <v>1423</v>
      </c>
      <c r="I444" s="248" t="s">
        <v>1143</v>
      </c>
      <c r="J444" s="246" t="str" cm="1">
        <f t="array" ref="J444">_xlfn.XLOOKUP(TRUE,ISNUMBER(SEARCH(" "&amp;Municipality[Municipality]&amp;" ",H_unit[[#This Row],[Info string]])),Municipality[Municipality],"")</f>
        <v/>
      </c>
      <c r="K444" s="246" t="str" cm="1">
        <f t="array" ref="K444">IF(H_unit[[#This Row],[Exact]]&lt;&gt;"","",_xlfn.XLOOKUP(TRUE,ISNUMBER(SEARCH(" "&amp;Municipality[Municipality]&amp;"n ",H_unit[[#This Row],[Info string]])),Municipality[Municipality],""))</f>
        <v/>
      </c>
      <c r="L444" s="246" t="s">
        <v>2619</v>
      </c>
      <c r="M444" s="244" t="s">
        <v>2920</v>
      </c>
      <c r="N444" s="246" t="str">
        <f>_xlfn.TEXTJOIN("",TRUE,H_unit[[#This Row],[Exact]],H_unit[[#This Row],[Exact+n]],H_unit[[#This Row],[Copilot]])</f>
        <v>Kokemäki</v>
      </c>
      <c r="O444" s="246" t="str">
        <f>_xlfn.XLOOKUP(H_unit[[#This Row],[Municipality]],Municipality[Municipality],Municipality[Model],"")</f>
        <v>West</v>
      </c>
      <c r="P444" s="236"/>
    </row>
    <row r="445" spans="1:16">
      <c r="A445" s="238" t="s">
        <v>1570</v>
      </c>
      <c r="B445" s="238" t="s">
        <v>1573</v>
      </c>
      <c r="C445" s="240" t="str" cm="1">
        <f t="array" ref="C445">" "&amp;LOWER(_xlfn.REDUCE(H_unit[[#This Row],[Company]]&amp;" "&amp;H_unit[[#This Row],[Unit]],{",",".","(",")","/"},_xlfn.LAMBDA(_xlpm.txt,_xlpm.delim,SUBSTITUTE(_xlpm.txt,_xlpm.delim," "))))&amp;" "</f>
        <v xml:space="preserve"> kangasalan lämpö oy vatiala </v>
      </c>
      <c r="D445" s="242">
        <v>2009</v>
      </c>
      <c r="E445" s="243">
        <v>7</v>
      </c>
      <c r="F445" s="243"/>
      <c r="G445" s="247"/>
      <c r="H445" s="267" t="s">
        <v>1453</v>
      </c>
      <c r="I445" s="248" t="s">
        <v>1142</v>
      </c>
      <c r="J445" s="246" t="str" cm="1">
        <f t="array" ref="J445">_xlfn.XLOOKUP(TRUE,ISNUMBER(SEARCH(" "&amp;Municipality[Municipality]&amp;" ",H_unit[[#This Row],[Info string]])),Municipality[Municipality],"")</f>
        <v/>
      </c>
      <c r="K445" s="246" t="str" cm="1">
        <f t="array" ref="K445">IF(H_unit[[#This Row],[Exact]]&lt;&gt;"","",_xlfn.XLOOKUP(TRUE,ISNUMBER(SEARCH(" "&amp;Municipality[Municipality]&amp;"n ",H_unit[[#This Row],[Info string]])),Municipality[Municipality],""))</f>
        <v>Kangasala</v>
      </c>
      <c r="L445" s="246"/>
      <c r="M445" s="244"/>
      <c r="N445" s="246" t="str">
        <f>_xlfn.TEXTJOIN("",TRUE,H_unit[[#This Row],[Exact]],H_unit[[#This Row],[Exact+n]],H_unit[[#This Row],[Copilot]])</f>
        <v>Kangasala</v>
      </c>
      <c r="O445" s="246" t="str">
        <f>_xlfn.XLOOKUP(H_unit[[#This Row],[Municipality]],Municipality[Municipality],Municipality[Model],"")</f>
        <v>Center</v>
      </c>
      <c r="P445" s="236"/>
    </row>
    <row r="446" spans="1:16">
      <c r="A446" s="238" t="s">
        <v>1942</v>
      </c>
      <c r="B446" s="238" t="s">
        <v>1943</v>
      </c>
      <c r="C446" s="240" t="str" cm="1">
        <f t="array" ref="C446">" "&amp;LOWER(_xlfn.REDUCE(H_unit[[#This Row],[Company]]&amp;" "&amp;H_unit[[#This Row],[Unit]],{",",".","(",")","/"},_xlfn.LAMBDA(_xlpm.txt,_xlpm.delim,SUBSTITUTE(_xlpm.txt,_xlpm.delim," "))))&amp;" "</f>
        <v xml:space="preserve"> nevel oy  sotkamo vuokatti 1 lastaajantie </v>
      </c>
      <c r="D446" s="242">
        <v>2009</v>
      </c>
      <c r="E446" s="243">
        <v>7</v>
      </c>
      <c r="F446" s="243"/>
      <c r="G446" s="247"/>
      <c r="H446" s="267" t="s">
        <v>1428</v>
      </c>
      <c r="I446" s="248" t="s">
        <v>1143</v>
      </c>
      <c r="J446" s="246" t="str" cm="1">
        <f t="array" ref="J446">_xlfn.XLOOKUP(TRUE,ISNUMBER(SEARCH(" "&amp;Municipality[Municipality]&amp;" ",H_unit[[#This Row],[Info string]])),Municipality[Municipality],"")</f>
        <v>Sotkamo</v>
      </c>
      <c r="K446" s="246" t="str" cm="1">
        <f t="array" ref="K446">IF(H_unit[[#This Row],[Exact]]&lt;&gt;"","",_xlfn.XLOOKUP(TRUE,ISNUMBER(SEARCH(" "&amp;Municipality[Municipality]&amp;"n ",H_unit[[#This Row],[Info string]])),Municipality[Municipality],""))</f>
        <v/>
      </c>
      <c r="L446" s="246"/>
      <c r="M446" s="244"/>
      <c r="N446" s="246" t="str">
        <f>_xlfn.TEXTJOIN("",TRUE,H_unit[[#This Row],[Exact]],H_unit[[#This Row],[Exact+n]],H_unit[[#This Row],[Copilot]])</f>
        <v>Sotkamo</v>
      </c>
      <c r="O446" s="246" t="str">
        <f>_xlfn.XLOOKUP(H_unit[[#This Row],[Municipality]],Municipality[Municipality],Municipality[Model],"")</f>
        <v>East</v>
      </c>
      <c r="P446" s="236"/>
    </row>
    <row r="447" spans="1:16">
      <c r="A447" s="238" t="s">
        <v>1421</v>
      </c>
      <c r="B447" s="238" t="s">
        <v>1422</v>
      </c>
      <c r="C447" s="240" t="str" cm="1">
        <f t="array" ref="C447">" "&amp;LOWER(_xlfn.REDUCE(H_unit[[#This Row],[Company]]&amp;" "&amp;H_unit[[#This Row],[Unit]],{",",".","(",")","/"},_xlfn.LAMBDA(_xlpm.txt,_xlpm.delim,SUBSTITUTE(_xlpm.txt,_xlpm.delim," "))))&amp;" "</f>
        <v xml:space="preserve"> adven oy  hanko hangon kpa-laitos </v>
      </c>
      <c r="D447" s="242">
        <v>2010</v>
      </c>
      <c r="E447" s="243">
        <v>7</v>
      </c>
      <c r="F447" s="243"/>
      <c r="G447" s="247"/>
      <c r="H447" s="267" t="s">
        <v>1423</v>
      </c>
      <c r="I447" s="248" t="s">
        <v>1143</v>
      </c>
      <c r="J447" s="246" t="str" cm="1">
        <f t="array" ref="J447">_xlfn.XLOOKUP(TRUE,ISNUMBER(SEARCH(" "&amp;Municipality[Municipality]&amp;" ",H_unit[[#This Row],[Info string]])),Municipality[Municipality],"")</f>
        <v>Hanko</v>
      </c>
      <c r="K447" s="246" t="str" cm="1">
        <f t="array" ref="K447">IF(H_unit[[#This Row],[Exact]]&lt;&gt;"","",_xlfn.XLOOKUP(TRUE,ISNUMBER(SEARCH(" "&amp;Municipality[Municipality]&amp;"n ",H_unit[[#This Row],[Info string]])),Municipality[Municipality],""))</f>
        <v/>
      </c>
      <c r="L447" s="246"/>
      <c r="M447" s="244"/>
      <c r="N447" s="246" t="str">
        <f>_xlfn.TEXTJOIN("",TRUE,H_unit[[#This Row],[Exact]],H_unit[[#This Row],[Exact+n]],H_unit[[#This Row],[Copilot]])</f>
        <v>Hanko</v>
      </c>
      <c r="O447" s="246" t="str">
        <f>_xlfn.XLOOKUP(H_unit[[#This Row],[Municipality]],Municipality[Municipality],Municipality[Model],"")</f>
        <v>Uusimaa</v>
      </c>
      <c r="P447" s="236"/>
    </row>
    <row r="448" spans="1:16">
      <c r="A448" s="238" t="s">
        <v>2363</v>
      </c>
      <c r="B448" s="238" t="s">
        <v>2365</v>
      </c>
      <c r="C448" s="240" t="str" cm="1">
        <f t="array" ref="C448">" "&amp;LOWER(_xlfn.REDUCE(H_unit[[#This Row],[Company]]&amp;" "&amp;H_unit[[#This Row],[Unit]],{",",".","(",")","/"},_xlfn.LAMBDA(_xlpm.txt,_xlpm.delim,SUBSTITUTE(_xlpm.txt,_xlpm.delim," "))))&amp;" "</f>
        <v xml:space="preserve"> pansion lämpö avoin yhtiö pansion lämpö </v>
      </c>
      <c r="D448" s="242">
        <v>2011</v>
      </c>
      <c r="E448" s="243">
        <v>7</v>
      </c>
      <c r="F448" s="243"/>
      <c r="G448" s="247"/>
      <c r="H448" s="267" t="s">
        <v>1423</v>
      </c>
      <c r="I448" s="248" t="s">
        <v>1143</v>
      </c>
      <c r="J448" s="246" t="str" cm="1">
        <f t="array" ref="J448">_xlfn.XLOOKUP(TRUE,ISNUMBER(SEARCH(" "&amp;Municipality[Municipality]&amp;" ",H_unit[[#This Row],[Info string]])),Municipality[Municipality],"")</f>
        <v/>
      </c>
      <c r="K448" s="246" t="str" cm="1">
        <f t="array" ref="K448">IF(H_unit[[#This Row],[Exact]]&lt;&gt;"","",_xlfn.XLOOKUP(TRUE,ISNUMBER(SEARCH(" "&amp;Municipality[Municipality]&amp;"n ",H_unit[[#This Row],[Info string]])),Municipality[Municipality],""))</f>
        <v/>
      </c>
      <c r="L448" s="246" t="s">
        <v>2855</v>
      </c>
      <c r="M448" s="244" t="s">
        <v>2901</v>
      </c>
      <c r="N448" s="246" t="str">
        <f>_xlfn.TEXTJOIN("",TRUE,H_unit[[#This Row],[Exact]],H_unit[[#This Row],[Exact+n]],H_unit[[#This Row],[Copilot]])</f>
        <v>Turku</v>
      </c>
      <c r="O448" s="246" t="str">
        <f>_xlfn.XLOOKUP(H_unit[[#This Row],[Municipality]],Municipality[Municipality],Municipality[Model],"")</f>
        <v>South West</v>
      </c>
      <c r="P448" s="236"/>
    </row>
    <row r="449" spans="1:16">
      <c r="A449" s="238" t="s">
        <v>2186</v>
      </c>
      <c r="B449" s="238" t="s">
        <v>2190</v>
      </c>
      <c r="C449" s="240" t="str" cm="1">
        <f t="array" ref="C449">" "&amp;LOWER(_xlfn.REDUCE(H_unit[[#This Row],[Company]]&amp;" "&amp;H_unit[[#This Row],[Unit]],{",",".","(",")","/"},_xlfn.LAMBDA(_xlpm.txt,_xlpm.delim,SUBSTITUTE(_xlpm.txt,_xlpm.delim," "))))&amp;" "</f>
        <v xml:space="preserve"> toholammin energia oy toholammin orc-voimalaitos </v>
      </c>
      <c r="D449" s="242">
        <v>2013</v>
      </c>
      <c r="E449" s="243">
        <v>7</v>
      </c>
      <c r="F449" s="243">
        <v>1.4</v>
      </c>
      <c r="G449" s="247"/>
      <c r="H449" s="267" t="s">
        <v>1439</v>
      </c>
      <c r="I449" s="248" t="s">
        <v>1153</v>
      </c>
      <c r="J449" s="246" t="str" cm="1">
        <f t="array" ref="J449">_xlfn.XLOOKUP(TRUE,ISNUMBER(SEARCH(" "&amp;Municipality[Municipality]&amp;" ",H_unit[[#This Row],[Info string]])),Municipality[Municipality],"")</f>
        <v/>
      </c>
      <c r="K449" s="246" t="str" cm="1">
        <f t="array" ref="K449">IF(H_unit[[#This Row],[Exact]]&lt;&gt;"","",_xlfn.XLOOKUP(TRUE,ISNUMBER(SEARCH(" "&amp;Municipality[Municipality]&amp;"n ",H_unit[[#This Row],[Info string]])),Municipality[Municipality],""))</f>
        <v/>
      </c>
      <c r="L449" s="246" t="s">
        <v>1077</v>
      </c>
      <c r="M449" s="244" t="s">
        <v>2921</v>
      </c>
      <c r="N449" s="246" t="str">
        <f>_xlfn.TEXTJOIN("",TRUE,H_unit[[#This Row],[Exact]],H_unit[[#This Row],[Exact+n]],H_unit[[#This Row],[Copilot]])</f>
        <v>Toholampi</v>
      </c>
      <c r="O449" s="246" t="str">
        <f>_xlfn.XLOOKUP(H_unit[[#This Row],[Municipality]],Municipality[Municipality],Municipality[Model],"")</f>
        <v>West</v>
      </c>
      <c r="P449" s="236"/>
    </row>
    <row r="450" spans="1:16">
      <c r="A450" s="238" t="s">
        <v>1570</v>
      </c>
      <c r="B450" s="238" t="s">
        <v>1574</v>
      </c>
      <c r="C450" s="240" t="str" cm="1">
        <f t="array" ref="C450">" "&amp;LOWER(_xlfn.REDUCE(H_unit[[#This Row],[Company]]&amp;" "&amp;H_unit[[#This Row],[Unit]],{",",".","(",")","/"},_xlfn.LAMBDA(_xlpm.txt,_xlpm.delim,SUBSTITUTE(_xlpm.txt,_xlpm.delim," "))))&amp;" "</f>
        <v xml:space="preserve"> kangasalan lämpö oy riunranta </v>
      </c>
      <c r="D450" s="242">
        <v>2015</v>
      </c>
      <c r="E450" s="243">
        <v>7</v>
      </c>
      <c r="F450" s="243"/>
      <c r="G450" s="247"/>
      <c r="H450" s="267" t="s">
        <v>1423</v>
      </c>
      <c r="I450" s="248" t="s">
        <v>1143</v>
      </c>
      <c r="J450" s="246" t="str" cm="1">
        <f t="array" ref="J450">_xlfn.XLOOKUP(TRUE,ISNUMBER(SEARCH(" "&amp;Municipality[Municipality]&amp;" ",H_unit[[#This Row],[Info string]])),Municipality[Municipality],"")</f>
        <v/>
      </c>
      <c r="K450" s="246" t="str" cm="1">
        <f t="array" ref="K450">IF(H_unit[[#This Row],[Exact]]&lt;&gt;"","",_xlfn.XLOOKUP(TRUE,ISNUMBER(SEARCH(" "&amp;Municipality[Municipality]&amp;"n ",H_unit[[#This Row],[Info string]])),Municipality[Municipality],""))</f>
        <v>Kangasala</v>
      </c>
      <c r="L450" s="246"/>
      <c r="M450" s="244"/>
      <c r="N450" s="246" t="str">
        <f>_xlfn.TEXTJOIN("",TRUE,H_unit[[#This Row],[Exact]],H_unit[[#This Row],[Exact+n]],H_unit[[#This Row],[Copilot]])</f>
        <v>Kangasala</v>
      </c>
      <c r="O450" s="246" t="str">
        <f>_xlfn.XLOOKUP(H_unit[[#This Row],[Municipality]],Municipality[Municipality],Municipality[Model],"")</f>
        <v>Center</v>
      </c>
      <c r="P450" s="236"/>
    </row>
    <row r="451" spans="1:16">
      <c r="A451" s="238" t="s">
        <v>1484</v>
      </c>
      <c r="B451" s="238" t="s">
        <v>1489</v>
      </c>
      <c r="C451" s="240" t="str" cm="1">
        <f t="array" ref="C451">" "&amp;LOWER(_xlfn.REDUCE(H_unit[[#This Row],[Company]]&amp;" "&amp;H_unit[[#This Row],[Unit]],{",",".","(",")","/"},_xlfn.LAMBDA(_xlpm.txt,_xlpm.delim,SUBSTITUTE(_xlpm.txt,_xlpm.delim," "))))&amp;" "</f>
        <v xml:space="preserve"> alavuden lämpö oy tuurin lämpökeskus </v>
      </c>
      <c r="D451" s="242">
        <v>2017</v>
      </c>
      <c r="E451" s="243">
        <v>7</v>
      </c>
      <c r="F451" s="243"/>
      <c r="G451" s="247"/>
      <c r="H451" s="267" t="s">
        <v>1423</v>
      </c>
      <c r="I451" s="248" t="s">
        <v>1143</v>
      </c>
      <c r="J451" s="246" t="str" cm="1">
        <f t="array" ref="J451">_xlfn.XLOOKUP(TRUE,ISNUMBER(SEARCH(" "&amp;Municipality[Municipality]&amp;" ",H_unit[[#This Row],[Info string]])),Municipality[Municipality],"")</f>
        <v/>
      </c>
      <c r="K451" s="246" t="str" cm="1">
        <f t="array" ref="K451">IF(H_unit[[#This Row],[Exact]]&lt;&gt;"","",_xlfn.XLOOKUP(TRUE,ISNUMBER(SEARCH(" "&amp;Municipality[Municipality]&amp;"n ",H_unit[[#This Row],[Info string]])),Municipality[Municipality],""))</f>
        <v/>
      </c>
      <c r="L451" s="246" t="s">
        <v>2490</v>
      </c>
      <c r="M451" s="244" t="s">
        <v>2911</v>
      </c>
      <c r="N451" s="246" t="str">
        <f>_xlfn.TEXTJOIN("",TRUE,H_unit[[#This Row],[Exact]],H_unit[[#This Row],[Exact+n]],H_unit[[#This Row],[Copilot]])</f>
        <v>Alavus</v>
      </c>
      <c r="O451" s="246" t="str">
        <f>_xlfn.XLOOKUP(H_unit[[#This Row],[Municipality]],Municipality[Municipality],Municipality[Model],"")</f>
        <v>West</v>
      </c>
      <c r="P451" s="236"/>
    </row>
    <row r="452" spans="1:16">
      <c r="A452" s="238" t="s">
        <v>2334</v>
      </c>
      <c r="B452" s="238" t="s">
        <v>2335</v>
      </c>
      <c r="C452" s="240" t="str" cm="1">
        <f t="array" ref="C452">" "&amp;LOWER(_xlfn.REDUCE(H_unit[[#This Row],[Company]]&amp;" "&amp;H_unit[[#This Row],[Unit]],{",",".","(",")","/"},_xlfn.LAMBDA(_xlpm.txt,_xlpm.delim,SUBSTITUTE(_xlpm.txt,_xlpm.delim," "))))&amp;" "</f>
        <v xml:space="preserve"> lempäälän energia oy viialantien lämpölaitos </v>
      </c>
      <c r="D452" s="242">
        <v>2018</v>
      </c>
      <c r="E452" s="243">
        <v>7</v>
      </c>
      <c r="F452" s="243"/>
      <c r="G452" s="247"/>
      <c r="H452" s="267" t="s">
        <v>1423</v>
      </c>
      <c r="I452" s="248" t="s">
        <v>1143</v>
      </c>
      <c r="J452" s="246" t="str" cm="1">
        <f t="array" ref="J452">_xlfn.XLOOKUP(TRUE,ISNUMBER(SEARCH(" "&amp;Municipality[Municipality]&amp;" ",H_unit[[#This Row],[Info string]])),Municipality[Municipality],"")</f>
        <v/>
      </c>
      <c r="K452" s="246" t="str" cm="1">
        <f t="array" ref="K452">IF(H_unit[[#This Row],[Exact]]&lt;&gt;"","",_xlfn.XLOOKUP(TRUE,ISNUMBER(SEARCH(" "&amp;Municipality[Municipality]&amp;"n ",H_unit[[#This Row],[Info string]])),Municipality[Municipality],""))</f>
        <v>Lempäälä</v>
      </c>
      <c r="L452" s="246"/>
      <c r="M452" s="244"/>
      <c r="N452" s="246" t="str">
        <f>_xlfn.TEXTJOIN("",TRUE,H_unit[[#This Row],[Exact]],H_unit[[#This Row],[Exact+n]],H_unit[[#This Row],[Copilot]])</f>
        <v>Lempäälä</v>
      </c>
      <c r="O452" s="246" t="str">
        <f>_xlfn.XLOOKUP(H_unit[[#This Row],[Municipality]],Municipality[Municipality],Municipality[Model],"")</f>
        <v>Center</v>
      </c>
      <c r="P452" s="236"/>
    </row>
    <row r="453" spans="1:16">
      <c r="A453" s="238" t="s">
        <v>1552</v>
      </c>
      <c r="B453" s="238" t="s">
        <v>1553</v>
      </c>
      <c r="C453" s="240" t="str" cm="1">
        <f t="array" ref="C453">" "&amp;LOWER(_xlfn.REDUCE(H_unit[[#This Row],[Company]]&amp;" "&amp;H_unit[[#This Row],[Unit]],{",",".","(",")","/"},_xlfn.LAMBDA(_xlpm.txt,_xlpm.delim,SUBSTITUTE(_xlpm.txt,_xlpm.delim," "))))&amp;" "</f>
        <v xml:space="preserve"> joutsan lämpö oy myllytien varalämpökeskus </v>
      </c>
      <c r="D453" s="242" t="s">
        <v>1448</v>
      </c>
      <c r="E453" s="243">
        <v>7</v>
      </c>
      <c r="F453" s="243"/>
      <c r="G453" s="247"/>
      <c r="H453" s="267" t="s">
        <v>1430</v>
      </c>
      <c r="I453" s="248" t="s">
        <v>1141</v>
      </c>
      <c r="J453" s="246" t="str" cm="1">
        <f t="array" ref="J453">_xlfn.XLOOKUP(TRUE,ISNUMBER(SEARCH(" "&amp;Municipality[Municipality]&amp;" ",H_unit[[#This Row],[Info string]])),Municipality[Municipality],"")</f>
        <v/>
      </c>
      <c r="K453" s="246" t="str" cm="1">
        <f t="array" ref="K453">IF(H_unit[[#This Row],[Exact]]&lt;&gt;"","",_xlfn.XLOOKUP(TRUE,ISNUMBER(SEARCH(" "&amp;Municipality[Municipality]&amp;"n ",H_unit[[#This Row],[Info string]])),Municipality[Municipality],""))</f>
        <v>Joutsa</v>
      </c>
      <c r="L453" s="246"/>
      <c r="M453" s="244"/>
      <c r="N453" s="246" t="str">
        <f>_xlfn.TEXTJOIN("",TRUE,H_unit[[#This Row],[Exact]],H_unit[[#This Row],[Exact+n]],H_unit[[#This Row],[Copilot]])</f>
        <v>Joutsa</v>
      </c>
      <c r="O453" s="246" t="str">
        <f>_xlfn.XLOOKUP(H_unit[[#This Row],[Municipality]],Municipality[Municipality],Municipality[Model],"")</f>
        <v>Center</v>
      </c>
      <c r="P453" s="236"/>
    </row>
    <row r="454" spans="1:16">
      <c r="A454" s="238" t="s">
        <v>1710</v>
      </c>
      <c r="B454" s="238" t="s">
        <v>1717</v>
      </c>
      <c r="C454" s="240" t="str" cm="1">
        <f t="array" ref="C454">" "&amp;LOWER(_xlfn.REDUCE(H_unit[[#This Row],[Company]]&amp;" "&amp;H_unit[[#This Row],[Unit]],{",",".","(",")","/"},_xlfn.LAMBDA(_xlpm.txt,_xlpm.delim,SUBSTITUTE(_xlpm.txt,_xlpm.delim," "))))&amp;" "</f>
        <v xml:space="preserve"> kuusamon energia- ja vesiosuuskunta rukan biolämpölaitos </v>
      </c>
      <c r="D454" s="242" t="s">
        <v>1448</v>
      </c>
      <c r="E454" s="243">
        <v>7</v>
      </c>
      <c r="F454" s="243"/>
      <c r="G454" s="247"/>
      <c r="H454" s="267" t="s">
        <v>1439</v>
      </c>
      <c r="I454" s="248" t="s">
        <v>1143</v>
      </c>
      <c r="J454" s="246" t="str" cm="1">
        <f t="array" ref="J454">_xlfn.XLOOKUP(TRUE,ISNUMBER(SEARCH(" "&amp;Municipality[Municipality]&amp;" ",H_unit[[#This Row],[Info string]])),Municipality[Municipality],"")</f>
        <v/>
      </c>
      <c r="K454" s="246" t="str" cm="1">
        <f t="array" ref="K454">IF(H_unit[[#This Row],[Exact]]&lt;&gt;"","",_xlfn.XLOOKUP(TRUE,ISNUMBER(SEARCH(" "&amp;Municipality[Municipality]&amp;"n ",H_unit[[#This Row],[Info string]])),Municipality[Municipality],""))</f>
        <v>Kuusamo</v>
      </c>
      <c r="L454" s="246"/>
      <c r="M454" s="244"/>
      <c r="N454" s="246" t="str">
        <f>_xlfn.TEXTJOIN("",TRUE,H_unit[[#This Row],[Exact]],H_unit[[#This Row],[Exact+n]],H_unit[[#This Row],[Copilot]])</f>
        <v>Kuusamo</v>
      </c>
      <c r="O454" s="246" t="str">
        <f>_xlfn.XLOOKUP(H_unit[[#This Row],[Municipality]],Municipality[Municipality],Municipality[Model],"")</f>
        <v>North</v>
      </c>
      <c r="P454" s="236"/>
    </row>
    <row r="455" spans="1:16">
      <c r="A455" s="238" t="s">
        <v>1415</v>
      </c>
      <c r="B455" s="238" t="s">
        <v>1416</v>
      </c>
      <c r="C455" s="240" t="str" cm="1">
        <f t="array" ref="C455">" "&amp;LOWER(_xlfn.REDUCE(H_unit[[#This Row],[Company]]&amp;" "&amp;H_unit[[#This Row],[Unit]],{",",".","(",")","/"},_xlfn.LAMBDA(_xlpm.txt,_xlpm.delim,SUBSTITUTE(_xlpm.txt,_xlpm.delim," "))))&amp;" "</f>
        <v xml:space="preserve"> adven oy  eura eura 1 </v>
      </c>
      <c r="D455" s="242">
        <v>1981</v>
      </c>
      <c r="E455" s="243">
        <v>6.9</v>
      </c>
      <c r="F455" s="243"/>
      <c r="G455" s="247"/>
      <c r="H455" s="267" t="s">
        <v>1418</v>
      </c>
      <c r="I455" s="248" t="s">
        <v>1141</v>
      </c>
      <c r="J455" s="246" t="str" cm="1">
        <f t="array" ref="J455">_xlfn.XLOOKUP(TRUE,ISNUMBER(SEARCH(" "&amp;Municipality[Municipality]&amp;" ",H_unit[[#This Row],[Info string]])),Municipality[Municipality],"")</f>
        <v>Eura</v>
      </c>
      <c r="K455" s="246" t="str" cm="1">
        <f t="array" ref="K455">IF(H_unit[[#This Row],[Exact]]&lt;&gt;"","",_xlfn.XLOOKUP(TRUE,ISNUMBER(SEARCH(" "&amp;Municipality[Municipality]&amp;"n ",H_unit[[#This Row],[Info string]])),Municipality[Municipality],""))</f>
        <v/>
      </c>
      <c r="L455" s="246"/>
      <c r="M455" s="244"/>
      <c r="N455" s="246" t="str">
        <f>_xlfn.TEXTJOIN("",TRUE,H_unit[[#This Row],[Exact]],H_unit[[#This Row],[Exact+n]],H_unit[[#This Row],[Copilot]])</f>
        <v>Eura</v>
      </c>
      <c r="O455" s="246" t="str">
        <f>_xlfn.XLOOKUP(H_unit[[#This Row],[Municipality]],Municipality[Municipality],Municipality[Model],"")</f>
        <v>West</v>
      </c>
      <c r="P455" s="236"/>
    </row>
    <row r="456" spans="1:16">
      <c r="A456" s="238" t="s">
        <v>1963</v>
      </c>
      <c r="B456" s="238" t="s">
        <v>1973</v>
      </c>
      <c r="C456" s="240" t="str" cm="1">
        <f t="array" ref="C456">" "&amp;LOWER(_xlfn.REDUCE(H_unit[[#This Row],[Company]]&amp;" "&amp;H_unit[[#This Row],[Unit]],{",",".","(",")","/"},_xlfn.LAMBDA(_xlpm.txt,_xlpm.delim,SUBSTITUTE(_xlpm.txt,_xlpm.delim," "))))&amp;" "</f>
        <v xml:space="preserve"> nivos vesi ja lämpö oy  mäntsälä kapuli lto </v>
      </c>
      <c r="D456" s="242">
        <v>2015</v>
      </c>
      <c r="E456" s="243">
        <v>6.9</v>
      </c>
      <c r="F456" s="243"/>
      <c r="G456" s="247"/>
      <c r="H456" s="267" t="s">
        <v>1417</v>
      </c>
      <c r="I456" s="248" t="s">
        <v>1144</v>
      </c>
      <c r="J456" s="246" t="str" cm="1">
        <f t="array" ref="J456">_xlfn.XLOOKUP(TRUE,ISNUMBER(SEARCH(" "&amp;Municipality[Municipality]&amp;" ",H_unit[[#This Row],[Info string]])),Municipality[Municipality],"")</f>
        <v>Mäntsälä</v>
      </c>
      <c r="K456" s="246" t="str" cm="1">
        <f t="array" ref="K456">IF(H_unit[[#This Row],[Exact]]&lt;&gt;"","",_xlfn.XLOOKUP(TRUE,ISNUMBER(SEARCH(" "&amp;Municipality[Municipality]&amp;"n ",H_unit[[#This Row],[Info string]])),Municipality[Municipality],""))</f>
        <v/>
      </c>
      <c r="L456" s="246"/>
      <c r="M456" s="244"/>
      <c r="N456" s="246" t="str">
        <f>_xlfn.TEXTJOIN("",TRUE,H_unit[[#This Row],[Exact]],H_unit[[#This Row],[Exact+n]],H_unit[[#This Row],[Copilot]])</f>
        <v>Mäntsälä</v>
      </c>
      <c r="O456" s="246" t="str">
        <f>_xlfn.XLOOKUP(H_unit[[#This Row],[Municipality]],Municipality[Municipality],Municipality[Model],"")</f>
        <v>Uusimaa</v>
      </c>
      <c r="P456" s="236"/>
    </row>
    <row r="457" spans="1:16">
      <c r="A457" s="238" t="s">
        <v>1476</v>
      </c>
      <c r="B457" s="238" t="s">
        <v>1477</v>
      </c>
      <c r="C457" s="240" t="str" cm="1">
        <f t="array" ref="C457">" "&amp;LOWER(_xlfn.REDUCE(H_unit[[#This Row],[Company]]&amp;" "&amp;H_unit[[#This Row],[Unit]],{",",".","(",")","/"},_xlfn.LAMBDA(_xlpm.txt,_xlpm.delim,SUBSTITUTE(_xlpm.txt,_xlpm.delim," "))))&amp;" "</f>
        <v xml:space="preserve"> adven oy  sonkajärvi lk139 sonkajärvi </v>
      </c>
      <c r="D457" s="242">
        <v>1981</v>
      </c>
      <c r="E457" s="243">
        <v>6.5</v>
      </c>
      <c r="F457" s="243"/>
      <c r="G457" s="247"/>
      <c r="H457" s="267" t="s">
        <v>1423</v>
      </c>
      <c r="I457" s="248" t="s">
        <v>1143</v>
      </c>
      <c r="J457" s="246" t="str" cm="1">
        <f t="array" ref="J457">_xlfn.XLOOKUP(TRUE,ISNUMBER(SEARCH(" "&amp;Municipality[Municipality]&amp;" ",H_unit[[#This Row],[Info string]])),Municipality[Municipality],"")</f>
        <v>Sonkajärvi</v>
      </c>
      <c r="K457" s="246" t="str" cm="1">
        <f t="array" ref="K457">IF(H_unit[[#This Row],[Exact]]&lt;&gt;"","",_xlfn.XLOOKUP(TRUE,ISNUMBER(SEARCH(" "&amp;Municipality[Municipality]&amp;"n ",H_unit[[#This Row],[Info string]])),Municipality[Municipality],""))</f>
        <v/>
      </c>
      <c r="L457" s="246"/>
      <c r="M457" s="244"/>
      <c r="N457" s="246" t="str">
        <f>_xlfn.TEXTJOIN("",TRUE,H_unit[[#This Row],[Exact]],H_unit[[#This Row],[Exact+n]],H_unit[[#This Row],[Copilot]])</f>
        <v>Sonkajärvi</v>
      </c>
      <c r="O457" s="246" t="str">
        <f>_xlfn.XLOOKUP(H_unit[[#This Row],[Municipality]],Municipality[Municipality],Municipality[Model],"")</f>
        <v>East</v>
      </c>
      <c r="P457" s="236"/>
    </row>
    <row r="458" spans="1:16">
      <c r="A458" s="238" t="s">
        <v>1868</v>
      </c>
      <c r="B458" s="238" t="s">
        <v>1870</v>
      </c>
      <c r="C458" s="240" t="str" cm="1">
        <f t="array" ref="C458">" "&amp;LOWER(_xlfn.REDUCE(H_unit[[#This Row],[Company]]&amp;" "&amp;H_unit[[#This Row],[Unit]],{",",".","(",")","/"},_xlfn.LAMBDA(_xlpm.txt,_xlpm.delim,SUBSTITUTE(_xlpm.txt,_xlpm.delim," "))))&amp;" "</f>
        <v xml:space="preserve"> loimua oy  oulainen koskela </v>
      </c>
      <c r="D458" s="242">
        <v>1982</v>
      </c>
      <c r="E458" s="243">
        <v>6.5</v>
      </c>
      <c r="F458" s="243"/>
      <c r="G458" s="247"/>
      <c r="H458" s="267" t="s">
        <v>1430</v>
      </c>
      <c r="I458" s="248" t="s">
        <v>1141</v>
      </c>
      <c r="J458" s="246" t="str" cm="1">
        <f t="array" ref="J458">_xlfn.XLOOKUP(TRUE,ISNUMBER(SEARCH(" "&amp;Municipality[Municipality]&amp;" ",H_unit[[#This Row],[Info string]])),Municipality[Municipality],"")</f>
        <v>Oulainen</v>
      </c>
      <c r="K458" s="246" t="str" cm="1">
        <f t="array" ref="K458">IF(H_unit[[#This Row],[Exact]]&lt;&gt;"","",_xlfn.XLOOKUP(TRUE,ISNUMBER(SEARCH(" "&amp;Municipality[Municipality]&amp;"n ",H_unit[[#This Row],[Info string]])),Municipality[Municipality],""))</f>
        <v/>
      </c>
      <c r="L458" s="246"/>
      <c r="M458" s="244"/>
      <c r="N458" s="246" t="str">
        <f>_xlfn.TEXTJOIN("",TRUE,H_unit[[#This Row],[Exact]],H_unit[[#This Row],[Exact+n]],H_unit[[#This Row],[Copilot]])</f>
        <v>Oulainen</v>
      </c>
      <c r="O458" s="246" t="str">
        <f>_xlfn.XLOOKUP(H_unit[[#This Row],[Municipality]],Municipality[Municipality],Municipality[Model],"")</f>
        <v>North</v>
      </c>
      <c r="P458" s="236"/>
    </row>
    <row r="459" spans="1:16">
      <c r="A459" s="238" t="s">
        <v>1909</v>
      </c>
      <c r="B459" s="238" t="s">
        <v>587</v>
      </c>
      <c r="C459" s="240" t="str" cm="1">
        <f t="array" ref="C459">" "&amp;LOWER(_xlfn.REDUCE(H_unit[[#This Row],[Company]]&amp;" "&amp;H_unit[[#This Row],[Unit]],{",",".","(",")","/"},_xlfn.LAMBDA(_xlpm.txt,_xlpm.delim,SUBSTITUTE(_xlpm.txt,_xlpm.delim," "))))&amp;" "</f>
        <v xml:space="preserve"> nevel oy  ii puulaakso </v>
      </c>
      <c r="D459" s="242">
        <v>2006</v>
      </c>
      <c r="E459" s="243">
        <v>6.5</v>
      </c>
      <c r="F459" s="243"/>
      <c r="G459" s="247"/>
      <c r="H459" s="267" t="s">
        <v>1423</v>
      </c>
      <c r="I459" s="248" t="s">
        <v>1143</v>
      </c>
      <c r="J459" s="246" t="str" cm="1">
        <f t="array" ref="J459">_xlfn.XLOOKUP(TRUE,ISNUMBER(SEARCH(" "&amp;Municipality[Municipality]&amp;" ",H_unit[[#This Row],[Info string]])),Municipality[Municipality],"")</f>
        <v>Ii</v>
      </c>
      <c r="K459" s="246" t="str" cm="1">
        <f t="array" ref="K459">IF(H_unit[[#This Row],[Exact]]&lt;&gt;"","",_xlfn.XLOOKUP(TRUE,ISNUMBER(SEARCH(" "&amp;Municipality[Municipality]&amp;"n ",H_unit[[#This Row],[Info string]])),Municipality[Municipality],""))</f>
        <v/>
      </c>
      <c r="L459" s="246"/>
      <c r="M459" s="244"/>
      <c r="N459" s="246" t="str">
        <f>_xlfn.TEXTJOIN("",TRUE,H_unit[[#This Row],[Exact]],H_unit[[#This Row],[Exact+n]],H_unit[[#This Row],[Copilot]])</f>
        <v>Ii</v>
      </c>
      <c r="O459" s="246" t="str">
        <f>_xlfn.XLOOKUP(H_unit[[#This Row],[Municipality]],Municipality[Municipality],Municipality[Model],"")</f>
        <v>North</v>
      </c>
      <c r="P459" s="236"/>
    </row>
    <row r="460" spans="1:16">
      <c r="A460" s="238" t="s">
        <v>2136</v>
      </c>
      <c r="B460" s="238" t="s">
        <v>2138</v>
      </c>
      <c r="C460" s="240" t="str" cm="1">
        <f t="array" ref="C460">" "&amp;LOWER(_xlfn.REDUCE(H_unit[[#This Row],[Company]]&amp;" "&amp;H_unit[[#This Row],[Unit]],{",",".","(",")","/"},_xlfn.LAMBDA(_xlpm.txt,_xlpm.delim,SUBSTITUTE(_xlpm.txt,_xlpm.delim," "))))&amp;" "</f>
        <v xml:space="preserve"> savon voima oyj  kuopio lk95  sääskiniementie 487 </v>
      </c>
      <c r="D460" s="242">
        <v>2012</v>
      </c>
      <c r="E460" s="243">
        <v>6.5</v>
      </c>
      <c r="F460" s="243"/>
      <c r="G460" s="247"/>
      <c r="H460" s="267" t="s">
        <v>1423</v>
      </c>
      <c r="I460" s="248" t="s">
        <v>1143</v>
      </c>
      <c r="J460" s="246" t="str" cm="1">
        <f t="array" ref="J460">_xlfn.XLOOKUP(TRUE,ISNUMBER(SEARCH(" "&amp;Municipality[Municipality]&amp;" ",H_unit[[#This Row],[Info string]])),Municipality[Municipality],"")</f>
        <v>Kuopio</v>
      </c>
      <c r="K460" s="246" t="str" cm="1">
        <f t="array" ref="K460">IF(H_unit[[#This Row],[Exact]]&lt;&gt;"","",_xlfn.XLOOKUP(TRUE,ISNUMBER(SEARCH(" "&amp;Municipality[Municipality]&amp;"n ",H_unit[[#This Row],[Info string]])),Municipality[Municipality],""))</f>
        <v/>
      </c>
      <c r="L460" s="246"/>
      <c r="M460" s="244"/>
      <c r="N460" s="246" t="str">
        <f>_xlfn.TEXTJOIN("",TRUE,H_unit[[#This Row],[Exact]],H_unit[[#This Row],[Exact+n]],H_unit[[#This Row],[Copilot]])</f>
        <v>Kuopio</v>
      </c>
      <c r="O460" s="246" t="str">
        <f>_xlfn.XLOOKUP(H_unit[[#This Row],[Municipality]],Municipality[Municipality],Municipality[Model],"")</f>
        <v>East</v>
      </c>
      <c r="P460" s="236"/>
    </row>
    <row r="461" spans="1:16">
      <c r="A461" s="238" t="s">
        <v>1897</v>
      </c>
      <c r="B461" s="238" t="s">
        <v>1900</v>
      </c>
      <c r="C461" s="240" t="str" cm="1">
        <f t="array" ref="C461">" "&amp;LOWER(_xlfn.REDUCE(H_unit[[#This Row],[Company]]&amp;" "&amp;H_unit[[#This Row],[Unit]],{",",".","(",")","/"},_xlfn.LAMBDA(_xlpm.txt,_xlpm.delim,SUBSTITUTE(_xlpm.txt,_xlpm.delim," "))))&amp;" "</f>
        <v xml:space="preserve"> neve oy  rovaniemi muurola </v>
      </c>
      <c r="D461" s="242">
        <v>2008</v>
      </c>
      <c r="E461" s="243">
        <v>6.3</v>
      </c>
      <c r="F461" s="243"/>
      <c r="G461" s="247"/>
      <c r="H461" s="267" t="s">
        <v>1423</v>
      </c>
      <c r="I461" s="248" t="s">
        <v>1143</v>
      </c>
      <c r="J461" s="246" t="str" cm="1">
        <f t="array" ref="J461">_xlfn.XLOOKUP(TRUE,ISNUMBER(SEARCH(" "&amp;Municipality[Municipality]&amp;" ",H_unit[[#This Row],[Info string]])),Municipality[Municipality],"")</f>
        <v>Rovaniemi</v>
      </c>
      <c r="K461" s="246" t="str" cm="1">
        <f t="array" ref="K461">IF(H_unit[[#This Row],[Exact]]&lt;&gt;"","",_xlfn.XLOOKUP(TRUE,ISNUMBER(SEARCH(" "&amp;Municipality[Municipality]&amp;"n ",H_unit[[#This Row],[Info string]])),Municipality[Municipality],""))</f>
        <v/>
      </c>
      <c r="L461" s="246"/>
      <c r="M461" s="244"/>
      <c r="N461" s="246" t="str">
        <f>_xlfn.TEXTJOIN("",TRUE,H_unit[[#This Row],[Exact]],H_unit[[#This Row],[Exact+n]],H_unit[[#This Row],[Copilot]])</f>
        <v>Rovaniemi</v>
      </c>
      <c r="O461" s="246" t="str">
        <f>_xlfn.XLOOKUP(H_unit[[#This Row],[Municipality]],Municipality[Municipality],Municipality[Model],"")</f>
        <v>North</v>
      </c>
      <c r="P461" s="236"/>
    </row>
    <row r="462" spans="1:16">
      <c r="A462" s="238" t="s">
        <v>1552</v>
      </c>
      <c r="B462" s="238" t="s">
        <v>1554</v>
      </c>
      <c r="C462" s="240" t="str" cm="1">
        <f t="array" ref="C462">" "&amp;LOWER(_xlfn.REDUCE(H_unit[[#This Row],[Company]]&amp;" "&amp;H_unit[[#This Row],[Unit]],{",",".","(",")","/"},_xlfn.LAMBDA(_xlpm.txt,_xlpm.delim,SUBSTITUTE(_xlpm.txt,_xlpm.delim," "))))&amp;" "</f>
        <v xml:space="preserve"> joutsan lämpö oy pertunmaantien lämpölaitos </v>
      </c>
      <c r="D462" s="242" t="s">
        <v>1448</v>
      </c>
      <c r="E462" s="243">
        <v>6.3</v>
      </c>
      <c r="F462" s="243"/>
      <c r="G462" s="247"/>
      <c r="H462" s="267" t="s">
        <v>1423</v>
      </c>
      <c r="I462" s="248" t="s">
        <v>1143</v>
      </c>
      <c r="J462" s="246" t="str" cm="1">
        <f t="array" ref="J462">_xlfn.XLOOKUP(TRUE,ISNUMBER(SEARCH(" "&amp;Municipality[Municipality]&amp;" ",H_unit[[#This Row],[Info string]])),Municipality[Municipality],"")</f>
        <v/>
      </c>
      <c r="K462" s="246" t="str" cm="1">
        <f t="array" ref="K462">IF(H_unit[[#This Row],[Exact]]&lt;&gt;"","",_xlfn.XLOOKUP(TRUE,ISNUMBER(SEARCH(" "&amp;Municipality[Municipality]&amp;"n ",H_unit[[#This Row],[Info string]])),Municipality[Municipality],""))</f>
        <v>Joutsa</v>
      </c>
      <c r="L462" s="246"/>
      <c r="M462" s="244"/>
      <c r="N462" s="246" t="str">
        <f>_xlfn.TEXTJOIN("",TRUE,H_unit[[#This Row],[Exact]],H_unit[[#This Row],[Exact+n]],H_unit[[#This Row],[Copilot]])</f>
        <v>Joutsa</v>
      </c>
      <c r="O462" s="246" t="str">
        <f>_xlfn.XLOOKUP(H_unit[[#This Row],[Municipality]],Municipality[Municipality],Municipality[Model],"")</f>
        <v>Center</v>
      </c>
      <c r="P462" s="236"/>
    </row>
    <row r="463" spans="1:16">
      <c r="A463" s="238" t="s">
        <v>1498</v>
      </c>
      <c r="B463" s="238" t="s">
        <v>1501</v>
      </c>
      <c r="C463" s="240" t="str" cm="1">
        <f t="array" ref="C463">" "&amp;LOWER(_xlfn.REDUCE(H_unit[[#This Row],[Company]]&amp;" "&amp;H_unit[[#This Row],[Unit]],{",",".","(",")","/"},_xlfn.LAMBDA(_xlpm.txt,_xlpm.delim,SUBSTITUTE(_xlpm.txt,_xlpm.delim," "))))&amp;" "</f>
        <v xml:space="preserve"> etelä-savon energia oy slk 2  </v>
      </c>
      <c r="D463" s="242">
        <v>1975</v>
      </c>
      <c r="E463" s="243">
        <v>6.2</v>
      </c>
      <c r="F463" s="243"/>
      <c r="G463" s="247"/>
      <c r="H463" s="267" t="s">
        <v>1430</v>
      </c>
      <c r="I463" s="248" t="s">
        <v>1141</v>
      </c>
      <c r="J463" s="246" t="str" cm="1">
        <f t="array" ref="J463">_xlfn.XLOOKUP(TRUE,ISNUMBER(SEARCH(" "&amp;Municipality[Municipality]&amp;" ",H_unit[[#This Row],[Info string]])),Municipality[Municipality],"")</f>
        <v/>
      </c>
      <c r="K463" s="246" t="str" cm="1">
        <f t="array" ref="K463">IF(H_unit[[#This Row],[Exact]]&lt;&gt;"","",_xlfn.XLOOKUP(TRUE,ISNUMBER(SEARCH(" "&amp;Municipality[Municipality]&amp;"n ",H_unit[[#This Row],[Info string]])),Municipality[Municipality],""))</f>
        <v/>
      </c>
      <c r="L463" s="246" t="s">
        <v>2761</v>
      </c>
      <c r="M463" s="244" t="s">
        <v>2893</v>
      </c>
      <c r="N463" s="246" t="str">
        <f>_xlfn.TEXTJOIN("",TRUE,H_unit[[#This Row],[Exact]],H_unit[[#This Row],[Exact+n]],H_unit[[#This Row],[Copilot]])</f>
        <v>Mikkeli</v>
      </c>
      <c r="O463" s="246" t="str">
        <f>_xlfn.XLOOKUP(H_unit[[#This Row],[Municipality]],Municipality[Municipality],Municipality[Model],"")</f>
        <v>East</v>
      </c>
      <c r="P463" s="236"/>
    </row>
    <row r="464" spans="1:16">
      <c r="A464" s="238" t="s">
        <v>1618</v>
      </c>
      <c r="B464" s="238" t="s">
        <v>1061</v>
      </c>
      <c r="C464" s="240" t="str" cm="1">
        <f t="array" ref="C464">" "&amp;LOWER(_xlfn.REDUCE(H_unit[[#This Row],[Company]]&amp;" "&amp;H_unit[[#This Row],[Unit]],{",",".","(",")","/"},_xlfn.LAMBDA(_xlpm.txt,_xlpm.delim,SUBSTITUTE(_xlpm.txt,_xlpm.delim," "))))&amp;" "</f>
        <v xml:space="preserve"> keravan energia oy  sipoo nikkilä </v>
      </c>
      <c r="D464" s="242">
        <v>1997</v>
      </c>
      <c r="E464" s="243">
        <v>6.2</v>
      </c>
      <c r="F464" s="243">
        <v>5.5</v>
      </c>
      <c r="G464" s="247"/>
      <c r="H464" s="267" t="s">
        <v>1453</v>
      </c>
      <c r="I464" s="248" t="s">
        <v>1145</v>
      </c>
      <c r="J464" s="246" t="str" cm="1">
        <f t="array" ref="J464">_xlfn.XLOOKUP(TRUE,ISNUMBER(SEARCH(" "&amp;Municipality[Municipality]&amp;" ",H_unit[[#This Row],[Info string]])),Municipality[Municipality],"")</f>
        <v>Sipoo</v>
      </c>
      <c r="K464" s="246" t="str" cm="1">
        <f t="array" ref="K464">IF(H_unit[[#This Row],[Exact]]&lt;&gt;"","",_xlfn.XLOOKUP(TRUE,ISNUMBER(SEARCH(" "&amp;Municipality[Municipality]&amp;"n ",H_unit[[#This Row],[Info string]])),Municipality[Municipality],""))</f>
        <v/>
      </c>
      <c r="L464" s="246"/>
      <c r="M464" s="244"/>
      <c r="N464" s="246" t="str">
        <f>_xlfn.TEXTJOIN("",TRUE,H_unit[[#This Row],[Exact]],H_unit[[#This Row],[Exact+n]],H_unit[[#This Row],[Copilot]])</f>
        <v>Sipoo</v>
      </c>
      <c r="O464" s="246" t="str">
        <f>_xlfn.XLOOKUP(H_unit[[#This Row],[Municipality]],Municipality[Municipality],Municipality[Model],"")</f>
        <v>Uusimaa</v>
      </c>
      <c r="P464" s="236"/>
    </row>
    <row r="465" spans="1:16">
      <c r="A465" s="238" t="s">
        <v>1543</v>
      </c>
      <c r="B465" s="238" t="s">
        <v>1545</v>
      </c>
      <c r="C465" s="240" t="str" cm="1">
        <f t="array" ref="C465">" "&amp;LOWER(_xlfn.REDUCE(H_unit[[#This Row],[Company]]&amp;" "&amp;H_unit[[#This Row],[Unit]],{",",".","(",")","/"},_xlfn.LAMBDA(_xlpm.txt,_xlpm.delim,SUBSTITUTE(_xlpm.txt,_xlpm.delim," "))))&amp;" "</f>
        <v xml:space="preserve"> inergia lämpö oy saariselkä </v>
      </c>
      <c r="D465" s="242">
        <v>2007</v>
      </c>
      <c r="E465" s="243">
        <v>6.2</v>
      </c>
      <c r="F465" s="243"/>
      <c r="G465" s="247"/>
      <c r="H465" s="267" t="s">
        <v>1423</v>
      </c>
      <c r="I465" s="248" t="s">
        <v>1143</v>
      </c>
      <c r="J465" s="246" t="str" cm="1">
        <f t="array" ref="J465">_xlfn.XLOOKUP(TRUE,ISNUMBER(SEARCH(" "&amp;Municipality[Municipality]&amp;" ",H_unit[[#This Row],[Info string]])),Municipality[Municipality],"")</f>
        <v/>
      </c>
      <c r="K465" s="246" t="str" cm="1">
        <f t="array" ref="K465">IF(H_unit[[#This Row],[Exact]]&lt;&gt;"","",_xlfn.XLOOKUP(TRUE,ISNUMBER(SEARCH(" "&amp;Municipality[Municipality]&amp;"n ",H_unit[[#This Row],[Info string]])),Municipality[Municipality],""))</f>
        <v/>
      </c>
      <c r="L465" s="246" t="s">
        <v>1546</v>
      </c>
      <c r="M465" s="244" t="s">
        <v>2913</v>
      </c>
      <c r="N465" s="246" t="str">
        <f>_xlfn.TEXTJOIN("",TRUE,H_unit[[#This Row],[Exact]],H_unit[[#This Row],[Exact+n]],H_unit[[#This Row],[Copilot]])</f>
        <v>Inari</v>
      </c>
      <c r="O465" s="246" t="str">
        <f>_xlfn.XLOOKUP(H_unit[[#This Row],[Municipality]],Municipality[Municipality],Municipality[Model],"")</f>
        <v>North</v>
      </c>
      <c r="P465" s="236"/>
    </row>
    <row r="466" spans="1:16">
      <c r="A466" s="238" t="s">
        <v>2077</v>
      </c>
      <c r="B466" s="238" t="s">
        <v>2081</v>
      </c>
      <c r="C466" s="240" t="str" cm="1">
        <f t="array" ref="C466">" "&amp;LOWER(_xlfn.REDUCE(H_unit[[#This Row],[Company]]&amp;" "&amp;H_unit[[#This Row],[Unit]],{",",".","(",")","/"},_xlfn.LAMBDA(_xlpm.txt,_xlpm.delim,SUBSTITUTE(_xlpm.txt,_xlpm.delim," "))))&amp;" "</f>
        <v xml:space="preserve"> rauman energia oy kappelinluhta </v>
      </c>
      <c r="D466" s="242">
        <v>1979</v>
      </c>
      <c r="E466" s="243">
        <v>6</v>
      </c>
      <c r="F466" s="243"/>
      <c r="G466" s="247"/>
      <c r="H466" s="267" t="s">
        <v>1430</v>
      </c>
      <c r="I466" s="248" t="s">
        <v>1141</v>
      </c>
      <c r="J466" s="246" t="str" cm="1">
        <f t="array" ref="J466">_xlfn.XLOOKUP(TRUE,ISNUMBER(SEARCH(" "&amp;Municipality[Municipality]&amp;" ",H_unit[[#This Row],[Info string]])),Municipality[Municipality],"")</f>
        <v>Rauman</v>
      </c>
      <c r="K466" s="246" t="str" cm="1">
        <f t="array" ref="K466">IF(H_unit[[#This Row],[Exact]]&lt;&gt;"","",_xlfn.XLOOKUP(TRUE,ISNUMBER(SEARCH(" "&amp;Municipality[Municipality]&amp;"n ",H_unit[[#This Row],[Info string]])),Municipality[Municipality],""))</f>
        <v/>
      </c>
      <c r="L466" s="246"/>
      <c r="M466" s="244"/>
      <c r="N466" s="246" t="str">
        <f>_xlfn.TEXTJOIN("",TRUE,H_unit[[#This Row],[Exact]],H_unit[[#This Row],[Exact+n]],H_unit[[#This Row],[Copilot]])</f>
        <v>Rauman</v>
      </c>
      <c r="O466" s="246" t="str">
        <f>_xlfn.XLOOKUP(H_unit[[#This Row],[Municipality]],Municipality[Municipality],Municipality[Model],"")</f>
        <v>West</v>
      </c>
      <c r="P466" s="236"/>
    </row>
    <row r="467" spans="1:16">
      <c r="A467" s="238" t="s">
        <v>1697</v>
      </c>
      <c r="B467" s="238" t="s">
        <v>1701</v>
      </c>
      <c r="C467" s="240" t="str" cm="1">
        <f t="array" ref="C467">" "&amp;LOWER(_xlfn.REDUCE(H_unit[[#This Row],[Company]]&amp;" "&amp;H_unit[[#This Row],[Unit]],{",",".","(",")","/"},_xlfn.LAMBDA(_xlpm.txt,_xlpm.delim,SUBSTITUTE(_xlpm.txt,_xlpm.delim," "))))&amp;" "</f>
        <v xml:space="preserve"> kurikan energia oy salontie 14  jurva </v>
      </c>
      <c r="D467" s="242">
        <v>1980</v>
      </c>
      <c r="E467" s="243">
        <v>6</v>
      </c>
      <c r="F467" s="243"/>
      <c r="G467" s="247"/>
      <c r="H467" s="267" t="s">
        <v>1423</v>
      </c>
      <c r="I467" s="248" t="s">
        <v>1143</v>
      </c>
      <c r="J467" s="246" t="str" cm="1">
        <f t="array" ref="J467">_xlfn.XLOOKUP(TRUE,ISNUMBER(SEARCH(" "&amp;Municipality[Municipality]&amp;" ",H_unit[[#This Row],[Info string]])),Municipality[Municipality],"")</f>
        <v>Jurva</v>
      </c>
      <c r="K467" s="246" t="str" cm="1">
        <f t="array" ref="K467">IF(H_unit[[#This Row],[Exact]]&lt;&gt;"","",_xlfn.XLOOKUP(TRUE,ISNUMBER(SEARCH(" "&amp;Municipality[Municipality]&amp;"n ",H_unit[[#This Row],[Info string]])),Municipality[Municipality],""))</f>
        <v/>
      </c>
      <c r="L467" s="246"/>
      <c r="M467" s="244"/>
      <c r="N467" s="246" t="str">
        <f>_xlfn.TEXTJOIN("",TRUE,H_unit[[#This Row],[Exact]],H_unit[[#This Row],[Exact+n]],H_unit[[#This Row],[Copilot]])</f>
        <v>Jurva</v>
      </c>
      <c r="O467" s="246" t="str">
        <f>_xlfn.XLOOKUP(H_unit[[#This Row],[Municipality]],Municipality[Municipality],Municipality[Model],"")</f>
        <v>West</v>
      </c>
      <c r="P467" s="236"/>
    </row>
    <row r="468" spans="1:16">
      <c r="A468" s="238" t="s">
        <v>2130</v>
      </c>
      <c r="B468" s="238" t="s">
        <v>2131</v>
      </c>
      <c r="C468" s="240" t="str" cm="1">
        <f t="array" ref="C468">" "&amp;LOWER(_xlfn.REDUCE(H_unit[[#This Row],[Company]]&amp;" "&amp;H_unit[[#This Row],[Unit]],{",",".","(",")","/"},_xlfn.LAMBDA(_xlpm.txt,_xlpm.delim,SUBSTITUTE(_xlpm.txt,_xlpm.delim," "))))&amp;" "</f>
        <v xml:space="preserve"> savon voima oyj  kiuruvesi lk64  sepänkatu </v>
      </c>
      <c r="D468" s="242">
        <v>1983</v>
      </c>
      <c r="E468" s="243">
        <v>6</v>
      </c>
      <c r="F468" s="243"/>
      <c r="G468" s="247"/>
      <c r="H468" s="267" t="s">
        <v>1430</v>
      </c>
      <c r="I468" s="248" t="s">
        <v>1141</v>
      </c>
      <c r="J468" s="246" t="str" cm="1">
        <f t="array" ref="J468">_xlfn.XLOOKUP(TRUE,ISNUMBER(SEARCH(" "&amp;Municipality[Municipality]&amp;" ",H_unit[[#This Row],[Info string]])),Municipality[Municipality],"")</f>
        <v>Kiuruvesi</v>
      </c>
      <c r="K468" s="246" t="str" cm="1">
        <f t="array" ref="K468">IF(H_unit[[#This Row],[Exact]]&lt;&gt;"","",_xlfn.XLOOKUP(TRUE,ISNUMBER(SEARCH(" "&amp;Municipality[Municipality]&amp;"n ",H_unit[[#This Row],[Info string]])),Municipality[Municipality],""))</f>
        <v/>
      </c>
      <c r="L468" s="246"/>
      <c r="M468" s="244"/>
      <c r="N468" s="246" t="str">
        <f>_xlfn.TEXTJOIN("",TRUE,H_unit[[#This Row],[Exact]],H_unit[[#This Row],[Exact+n]],H_unit[[#This Row],[Copilot]])</f>
        <v>Kiuruvesi</v>
      </c>
      <c r="O468" s="246" t="str">
        <f>_xlfn.XLOOKUP(H_unit[[#This Row],[Municipality]],Municipality[Municipality],Municipality[Model],"")</f>
        <v>East</v>
      </c>
      <c r="P468" s="236"/>
    </row>
    <row r="469" spans="1:16">
      <c r="A469" s="238" t="s">
        <v>1455</v>
      </c>
      <c r="B469" s="238" t="s">
        <v>1457</v>
      </c>
      <c r="C469" s="240" t="str" cm="1">
        <f t="array" ref="C469">" "&amp;LOWER(_xlfn.REDUCE(H_unit[[#This Row],[Company]]&amp;" "&amp;H_unit[[#This Row],[Unit]],{",",".","(",")","/"},_xlfn.LAMBDA(_xlpm.txt,_xlpm.delim,SUBSTITUTE(_xlpm.txt,_xlpm.delim," "))))&amp;" "</f>
        <v xml:space="preserve"> adven oy  nummela lk71 </v>
      </c>
      <c r="D469" s="242">
        <v>1986</v>
      </c>
      <c r="E469" s="243">
        <v>6</v>
      </c>
      <c r="F469" s="243"/>
      <c r="G469" s="247"/>
      <c r="H469" s="267" t="s">
        <v>1458</v>
      </c>
      <c r="I469" s="248" t="s">
        <v>1142</v>
      </c>
      <c r="J469" s="246" t="str" cm="1">
        <f t="array" ref="J469">_xlfn.XLOOKUP(TRUE,ISNUMBER(SEARCH(" "&amp;Municipality[Municipality]&amp;" ",H_unit[[#This Row],[Info string]])),Municipality[Municipality],"")</f>
        <v/>
      </c>
      <c r="K469" s="246" t="str" cm="1">
        <f t="array" ref="K469">IF(H_unit[[#This Row],[Exact]]&lt;&gt;"","",_xlfn.XLOOKUP(TRUE,ISNUMBER(SEARCH(" "&amp;Municipality[Municipality]&amp;"n ",H_unit[[#This Row],[Info string]])),Municipality[Municipality],""))</f>
        <v/>
      </c>
      <c r="L469" s="246" t="s">
        <v>2832</v>
      </c>
      <c r="M469" s="244" t="s">
        <v>2890</v>
      </c>
      <c r="N469" s="246" t="str">
        <f>_xlfn.TEXTJOIN("",TRUE,H_unit[[#This Row],[Exact]],H_unit[[#This Row],[Exact+n]],H_unit[[#This Row],[Copilot]])</f>
        <v>Vihti</v>
      </c>
      <c r="O469" s="246" t="str">
        <f>_xlfn.XLOOKUP(H_unit[[#This Row],[Municipality]],Municipality[Municipality],Municipality[Model],"")</f>
        <v>Uusimaa</v>
      </c>
      <c r="P469" s="236"/>
    </row>
    <row r="470" spans="1:16">
      <c r="A470" s="238" t="s">
        <v>1633</v>
      </c>
      <c r="B470" s="238" t="s">
        <v>1638</v>
      </c>
      <c r="C470" s="240" t="str" cm="1">
        <f t="array" ref="C470">" "&amp;LOWER(_xlfn.REDUCE(H_unit[[#This Row],[Company]]&amp;" "&amp;H_unit[[#This Row],[Unit]],{",",".","(",")","/"},_xlfn.LAMBDA(_xlpm.txt,_xlpm.delim,SUBSTITUTE(_xlpm.txt,_xlpm.delim," "))))&amp;" "</f>
        <v xml:space="preserve"> kiteen lämpö oy arppe kpa </v>
      </c>
      <c r="D470" s="242">
        <v>1986</v>
      </c>
      <c r="E470" s="243">
        <v>6</v>
      </c>
      <c r="F470" s="243"/>
      <c r="G470" s="247"/>
      <c r="H470" s="267" t="s">
        <v>1423</v>
      </c>
      <c r="I470" s="248" t="s">
        <v>1143</v>
      </c>
      <c r="J470" s="246" t="str" cm="1">
        <f t="array" ref="J470">_xlfn.XLOOKUP(TRUE,ISNUMBER(SEARCH(" "&amp;Municipality[Municipality]&amp;" ",H_unit[[#This Row],[Info string]])),Municipality[Municipality],"")</f>
        <v/>
      </c>
      <c r="K470" s="246" t="str" cm="1">
        <f t="array" ref="K470">IF(H_unit[[#This Row],[Exact]]&lt;&gt;"","",_xlfn.XLOOKUP(TRUE,ISNUMBER(SEARCH(" "&amp;Municipality[Municipality]&amp;"n ",H_unit[[#This Row],[Info string]])),Municipality[Municipality],""))</f>
        <v>Kitee</v>
      </c>
      <c r="L470" s="246"/>
      <c r="M470" s="244"/>
      <c r="N470" s="246" t="str">
        <f>_xlfn.TEXTJOIN("",TRUE,H_unit[[#This Row],[Exact]],H_unit[[#This Row],[Exact+n]],H_unit[[#This Row],[Copilot]])</f>
        <v>Kitee</v>
      </c>
      <c r="O470" s="246" t="str">
        <f>_xlfn.XLOOKUP(H_unit[[#This Row],[Municipality]],Municipality[Municipality],Municipality[Model],"")</f>
        <v>East</v>
      </c>
      <c r="P470" s="236"/>
    </row>
    <row r="471" spans="1:16">
      <c r="A471" s="238" t="s">
        <v>1824</v>
      </c>
      <c r="B471" s="238" t="s">
        <v>1828</v>
      </c>
      <c r="C471" s="240" t="str" cm="1">
        <f t="array" ref="C471">" "&amp;LOWER(_xlfn.REDUCE(H_unit[[#This Row],[Company]]&amp;" "&amp;H_unit[[#This Row],[Unit]],{",",".","(",")","/"},_xlfn.LAMBDA(_xlpm.txt,_xlpm.delim,SUBSTITUTE(_xlpm.txt,_xlpm.delim," "))))&amp;" "</f>
        <v xml:space="preserve"> loimaan kaukolämpö oy aleksiskiven varavoima </v>
      </c>
      <c r="D471" s="242">
        <v>1986</v>
      </c>
      <c r="E471" s="243">
        <v>6</v>
      </c>
      <c r="F471" s="243"/>
      <c r="G471" s="247"/>
      <c r="H471" s="267" t="s">
        <v>1430</v>
      </c>
      <c r="I471" s="248" t="s">
        <v>1141</v>
      </c>
      <c r="J471" s="246" t="str" cm="1">
        <f t="array" ref="J471">_xlfn.XLOOKUP(TRUE,ISNUMBER(SEARCH(" "&amp;Municipality[Municipality]&amp;" ",H_unit[[#This Row],[Info string]])),Municipality[Municipality],"")</f>
        <v/>
      </c>
      <c r="K471" s="246" t="str" cm="1">
        <f t="array" ref="K471">IF(H_unit[[#This Row],[Exact]]&lt;&gt;"","",_xlfn.XLOOKUP(TRUE,ISNUMBER(SEARCH(" "&amp;Municipality[Municipality]&amp;"n ",H_unit[[#This Row],[Info string]])),Municipality[Municipality],""))</f>
        <v>Loimaa</v>
      </c>
      <c r="L471" s="246"/>
      <c r="M471" s="244"/>
      <c r="N471" s="246" t="str">
        <f>_xlfn.TEXTJOIN("",TRUE,H_unit[[#This Row],[Exact]],H_unit[[#This Row],[Exact+n]],H_unit[[#This Row],[Copilot]])</f>
        <v>Loimaa</v>
      </c>
      <c r="O471" s="246" t="str">
        <f>_xlfn.XLOOKUP(H_unit[[#This Row],[Municipality]],Municipality[Municipality],Municipality[Model],"")</f>
        <v>South West</v>
      </c>
      <c r="P471" s="236"/>
    </row>
    <row r="472" spans="1:16">
      <c r="A472" s="238" t="s">
        <v>2229</v>
      </c>
      <c r="B472" s="238" t="s">
        <v>2232</v>
      </c>
      <c r="C472" s="240" t="str" cm="1">
        <f t="array" ref="C472">" "&amp;LOWER(_xlfn.REDUCE(H_unit[[#This Row],[Company]]&amp;" "&amp;H_unit[[#This Row],[Unit]],{",",".","(",")","/"},_xlfn.LAMBDA(_xlpm.txt,_xlpm.delim,SUBSTITUTE(_xlpm.txt,_xlpm.delim," "))))&amp;" "</f>
        <v xml:space="preserve"> vatajankoski oy soikanpuisto </v>
      </c>
      <c r="D472" s="242">
        <v>1986</v>
      </c>
      <c r="E472" s="243">
        <v>6</v>
      </c>
      <c r="F472" s="243"/>
      <c r="G472" s="247"/>
      <c r="H472" s="267" t="s">
        <v>1430</v>
      </c>
      <c r="I472" s="248" t="s">
        <v>1141</v>
      </c>
      <c r="J472" s="246" t="str" cm="1">
        <f t="array" ref="J472">_xlfn.XLOOKUP(TRUE,ISNUMBER(SEARCH(" "&amp;Municipality[Municipality]&amp;" ",H_unit[[#This Row],[Info string]])),Municipality[Municipality],"")</f>
        <v/>
      </c>
      <c r="K472" s="246" t="str" cm="1">
        <f t="array" ref="K472">IF(H_unit[[#This Row],[Exact]]&lt;&gt;"","",_xlfn.XLOOKUP(TRUE,ISNUMBER(SEARCH(" "&amp;Municipality[Municipality]&amp;"n ",H_unit[[#This Row],[Info string]])),Municipality[Municipality],""))</f>
        <v/>
      </c>
      <c r="L472" s="246" t="s">
        <v>466</v>
      </c>
      <c r="M472" s="244" t="s">
        <v>2907</v>
      </c>
      <c r="N472" s="246" t="str">
        <f>_xlfn.TEXTJOIN("",TRUE,H_unit[[#This Row],[Exact]],H_unit[[#This Row],[Exact+n]],H_unit[[#This Row],[Copilot]])</f>
        <v>Kankaanpää</v>
      </c>
      <c r="O472" s="246" t="str">
        <f>_xlfn.XLOOKUP(H_unit[[#This Row],[Municipality]],Municipality[Municipality],Municipality[Model],"")</f>
        <v>West</v>
      </c>
      <c r="P472" s="236"/>
    </row>
    <row r="473" spans="1:16">
      <c r="A473" s="238" t="s">
        <v>1433</v>
      </c>
      <c r="B473" s="238" t="s">
        <v>1434</v>
      </c>
      <c r="C473" s="240" t="str" cm="1">
        <f t="array" ref="C473">" "&amp;LOWER(_xlfn.REDUCE(H_unit[[#This Row],[Company]]&amp;" "&amp;H_unit[[#This Row],[Unit]],{",",".","(",")","/"},_xlfn.LAMBDA(_xlpm.txt,_xlpm.delim,SUBSTITUTE(_xlpm.txt,_xlpm.delim," "))))&amp;" "</f>
        <v xml:space="preserve"> adven oy  kirkkonummi lk180 upinniemi </v>
      </c>
      <c r="D473" s="242">
        <v>1990</v>
      </c>
      <c r="E473" s="243">
        <v>6</v>
      </c>
      <c r="F473" s="243"/>
      <c r="G473" s="247"/>
      <c r="H473" s="267" t="s">
        <v>1423</v>
      </c>
      <c r="I473" s="248" t="s">
        <v>1143</v>
      </c>
      <c r="J473" s="246" t="str" cm="1">
        <f t="array" ref="J473">_xlfn.XLOOKUP(TRUE,ISNUMBER(SEARCH(" "&amp;Municipality[Municipality]&amp;" ",H_unit[[#This Row],[Info string]])),Municipality[Municipality],"")</f>
        <v>Kirkkonummi</v>
      </c>
      <c r="K473" s="246" t="str" cm="1">
        <f t="array" ref="K473">IF(H_unit[[#This Row],[Exact]]&lt;&gt;"","",_xlfn.XLOOKUP(TRUE,ISNUMBER(SEARCH(" "&amp;Municipality[Municipality]&amp;"n ",H_unit[[#This Row],[Info string]])),Municipality[Municipality],""))</f>
        <v/>
      </c>
      <c r="L473" s="246"/>
      <c r="M473" s="244"/>
      <c r="N473" s="246" t="str">
        <f>_xlfn.TEXTJOIN("",TRUE,H_unit[[#This Row],[Exact]],H_unit[[#This Row],[Exact+n]],H_unit[[#This Row],[Copilot]])</f>
        <v>Kirkkonummi</v>
      </c>
      <c r="O473" s="246" t="str">
        <f>_xlfn.XLOOKUP(H_unit[[#This Row],[Municipality]],Municipality[Municipality],Municipality[Model],"")</f>
        <v>Uusimaa</v>
      </c>
      <c r="P473" s="236"/>
    </row>
    <row r="474" spans="1:16">
      <c r="A474" s="238" t="s">
        <v>1661</v>
      </c>
      <c r="B474" s="238" t="s">
        <v>1672</v>
      </c>
      <c r="C474" s="240" t="str" cm="1">
        <f t="array" ref="C474">" "&amp;LOWER(_xlfn.REDUCE(H_unit[[#This Row],[Company]]&amp;" "&amp;H_unit[[#This Row],[Unit]],{",",".","(",")","/"},_xlfn.LAMBDA(_xlpm.txt,_xlpm.delim,SUBSTITUTE(_xlpm.txt,_xlpm.delim," "))))&amp;" "</f>
        <v xml:space="preserve"> kss lämpö oy  kouvola kupparintie </v>
      </c>
      <c r="D474" s="242">
        <v>1993</v>
      </c>
      <c r="E474" s="243">
        <v>6</v>
      </c>
      <c r="F474" s="243"/>
      <c r="G474" s="247"/>
      <c r="H474" s="267" t="s">
        <v>1453</v>
      </c>
      <c r="I474" s="248" t="s">
        <v>1142</v>
      </c>
      <c r="J474" s="246" t="str" cm="1">
        <f t="array" ref="J474">_xlfn.XLOOKUP(TRUE,ISNUMBER(SEARCH(" "&amp;Municipality[Municipality]&amp;" ",H_unit[[#This Row],[Info string]])),Municipality[Municipality],"")</f>
        <v>Kouvola</v>
      </c>
      <c r="K474" s="246" t="str" cm="1">
        <f t="array" ref="K474">IF(H_unit[[#This Row],[Exact]]&lt;&gt;"","",_xlfn.XLOOKUP(TRUE,ISNUMBER(SEARCH(" "&amp;Municipality[Municipality]&amp;"n ",H_unit[[#This Row],[Info string]])),Municipality[Municipality],""))</f>
        <v/>
      </c>
      <c r="L474" s="246"/>
      <c r="M474" s="244"/>
      <c r="N474" s="246" t="str">
        <f>_xlfn.TEXTJOIN("",TRUE,H_unit[[#This Row],[Exact]],H_unit[[#This Row],[Exact+n]],H_unit[[#This Row],[Copilot]])</f>
        <v>Kouvola</v>
      </c>
      <c r="O474" s="246" t="str">
        <f>_xlfn.XLOOKUP(H_unit[[#This Row],[Municipality]],Municipality[Municipality],Municipality[Model],"")</f>
        <v>South East</v>
      </c>
      <c r="P474" s="236"/>
    </row>
    <row r="475" spans="1:16">
      <c r="A475" s="238" t="s">
        <v>2034</v>
      </c>
      <c r="B475" s="238" t="s">
        <v>2036</v>
      </c>
      <c r="C475" s="240" t="str" cm="1">
        <f t="array" ref="C475">" "&amp;LOWER(_xlfn.REDUCE(H_unit[[#This Row],[Company]]&amp;" "&amp;H_unit[[#This Row],[Unit]],{",",".","(",")","/"},_xlfn.LAMBDA(_xlpm.txt,_xlpm.delim,SUBSTITUTE(_xlpm.txt,_xlpm.delim," "))))&amp;" "</f>
        <v xml:space="preserve"> pargas fjärrvärme ab oy tennby </v>
      </c>
      <c r="D475" s="242">
        <v>1993</v>
      </c>
      <c r="E475" s="243">
        <v>6</v>
      </c>
      <c r="F475" s="243"/>
      <c r="G475" s="247"/>
      <c r="H475" s="267" t="s">
        <v>1430</v>
      </c>
      <c r="I475" s="248" t="s">
        <v>1141</v>
      </c>
      <c r="J475" s="246" t="str" cm="1">
        <f t="array" ref="J475">_xlfn.XLOOKUP(TRUE,ISNUMBER(SEARCH(" "&amp;Municipality[Municipality]&amp;" ",H_unit[[#This Row],[Info string]])),Municipality[Municipality],"")</f>
        <v/>
      </c>
      <c r="K475" s="246" t="str" cm="1">
        <f t="array" ref="K475">IF(H_unit[[#This Row],[Exact]]&lt;&gt;"","",_xlfn.XLOOKUP(TRUE,ISNUMBER(SEARCH(" "&amp;Municipality[Municipality]&amp;"n ",H_unit[[#This Row],[Info string]])),Municipality[Municipality],""))</f>
        <v/>
      </c>
      <c r="L475" s="246" t="s">
        <v>2708</v>
      </c>
      <c r="M475" s="244" t="s">
        <v>2916</v>
      </c>
      <c r="N475" s="246" t="str">
        <f>_xlfn.TEXTJOIN("",TRUE,H_unit[[#This Row],[Exact]],H_unit[[#This Row],[Exact+n]],H_unit[[#This Row],[Copilot]])</f>
        <v>Parainen</v>
      </c>
      <c r="O475" s="246" t="str">
        <f>_xlfn.XLOOKUP(H_unit[[#This Row],[Municipality]],Municipality[Municipality],Municipality[Model],"")</f>
        <v>South West</v>
      </c>
      <c r="P475" s="236"/>
    </row>
    <row r="476" spans="1:16">
      <c r="A476" s="238" t="s">
        <v>2339</v>
      </c>
      <c r="B476" s="238" t="s">
        <v>2340</v>
      </c>
      <c r="C476" s="240" t="str" cm="1">
        <f t="array" ref="C476">" "&amp;LOWER(_xlfn.REDUCE(H_unit[[#This Row],[Company]]&amp;" "&amp;H_unit[[#This Row],[Unit]],{",",".","(",")","/"},_xlfn.LAMBDA(_xlpm.txt,_xlpm.delim,SUBSTITUTE(_xlpm.txt,_xlpm.delim," "))))&amp;" "</f>
        <v xml:space="preserve"> mariehamns bioenergi ab bioenergi 5 mw </v>
      </c>
      <c r="D476" s="242">
        <v>1995</v>
      </c>
      <c r="E476" s="243">
        <v>6</v>
      </c>
      <c r="F476" s="243"/>
      <c r="G476" s="247"/>
      <c r="H476" s="267" t="s">
        <v>1423</v>
      </c>
      <c r="I476" s="248" t="s">
        <v>1143</v>
      </c>
      <c r="J476" s="246" t="str" cm="1">
        <f t="array" ref="J476">_xlfn.XLOOKUP(TRUE,ISNUMBER(SEARCH(" "&amp;Municipality[Municipality]&amp;" ",H_unit[[#This Row],[Info string]])),Municipality[Municipality],"")</f>
        <v/>
      </c>
      <c r="K476" s="246" t="str" cm="1">
        <f t="array" ref="K476">IF(H_unit[[#This Row],[Exact]]&lt;&gt;"","",_xlfn.XLOOKUP(TRUE,ISNUMBER(SEARCH(" "&amp;Municipality[Municipality]&amp;"n ",H_unit[[#This Row],[Info string]])),Municipality[Municipality],""))</f>
        <v/>
      </c>
      <c r="L476" s="246" t="s">
        <v>2668</v>
      </c>
      <c r="M476" s="244" t="s">
        <v>2926</v>
      </c>
      <c r="N476" s="246" t="str">
        <f>_xlfn.TEXTJOIN("",TRUE,H_unit[[#This Row],[Exact]],H_unit[[#This Row],[Exact+n]],H_unit[[#This Row],[Copilot]])</f>
        <v>Maarianhamina</v>
      </c>
      <c r="O476" s="246" t="str">
        <f>_xlfn.XLOOKUP(H_unit[[#This Row],[Municipality]],Municipality[Municipality],Municipality[Model],"")</f>
        <v>South West</v>
      </c>
      <c r="P476" s="236"/>
    </row>
    <row r="477" spans="1:16">
      <c r="A477" s="238" t="s">
        <v>1642</v>
      </c>
      <c r="B477" s="238" t="s">
        <v>1643</v>
      </c>
      <c r="C477" s="240" t="str" cm="1">
        <f t="array" ref="C477">" "&amp;LOWER(_xlfn.REDUCE(H_unit[[#This Row],[Company]]&amp;" "&amp;H_unit[[#This Row],[Unit]],{",",".","(",")","/"},_xlfn.LAMBDA(_xlpm.txt,_xlpm.delim,SUBSTITUTE(_xlpm.txt,_xlpm.delim," "))))&amp;" "</f>
        <v xml:space="preserve"> kokemäen lämpö oy kartanonvoima 6  k1 </v>
      </c>
      <c r="D477" s="242">
        <v>1997</v>
      </c>
      <c r="E477" s="243">
        <v>6</v>
      </c>
      <c r="F477" s="243"/>
      <c r="G477" s="247"/>
      <c r="H477" s="267" t="s">
        <v>1423</v>
      </c>
      <c r="I477" s="248" t="s">
        <v>1143</v>
      </c>
      <c r="J477" s="246" t="str" cm="1">
        <f t="array" ref="J477">_xlfn.XLOOKUP(TRUE,ISNUMBER(SEARCH(" "&amp;Municipality[Municipality]&amp;" ",H_unit[[#This Row],[Info string]])),Municipality[Municipality],"")</f>
        <v/>
      </c>
      <c r="K477" s="246" t="str" cm="1">
        <f t="array" ref="K477">IF(H_unit[[#This Row],[Exact]]&lt;&gt;"","",_xlfn.XLOOKUP(TRUE,ISNUMBER(SEARCH(" "&amp;Municipality[Municipality]&amp;"n ",H_unit[[#This Row],[Info string]])),Municipality[Municipality],""))</f>
        <v/>
      </c>
      <c r="L477" s="246" t="s">
        <v>2619</v>
      </c>
      <c r="M477" s="244" t="s">
        <v>2920</v>
      </c>
      <c r="N477" s="246" t="str">
        <f>_xlfn.TEXTJOIN("",TRUE,H_unit[[#This Row],[Exact]],H_unit[[#This Row],[Exact+n]],H_unit[[#This Row],[Copilot]])</f>
        <v>Kokemäki</v>
      </c>
      <c r="O477" s="246" t="str">
        <f>_xlfn.XLOOKUP(H_unit[[#This Row],[Municipality]],Municipality[Municipality],Municipality[Model],"")</f>
        <v>West</v>
      </c>
      <c r="P477" s="236"/>
    </row>
    <row r="478" spans="1:16">
      <c r="A478" s="238" t="s">
        <v>2318</v>
      </c>
      <c r="B478" s="238" t="s">
        <v>1993</v>
      </c>
      <c r="C478" s="240" t="str" cm="1">
        <f t="array" ref="C478">" "&amp;LOWER(_xlfn.REDUCE(H_unit[[#This Row],[Company]]&amp;" "&amp;H_unit[[#This Row],[Unit]],{",",".","(",")","/"},_xlfn.LAMBDA(_xlpm.txt,_xlpm.delim,SUBSTITUTE(_xlpm.txt,_xlpm.delim," "))))&amp;" "</f>
        <v xml:space="preserve"> lappeenrannan lämpövoima oy mustola </v>
      </c>
      <c r="D478" s="242">
        <v>1997</v>
      </c>
      <c r="E478" s="243">
        <v>6</v>
      </c>
      <c r="F478" s="243"/>
      <c r="G478" s="247"/>
      <c r="H478" s="267" t="s">
        <v>1453</v>
      </c>
      <c r="I478" s="248" t="s">
        <v>1142</v>
      </c>
      <c r="J478" s="246" t="str" cm="1">
        <f t="array" ref="J478">_xlfn.XLOOKUP(TRUE,ISNUMBER(SEARCH(" "&amp;Municipality[Municipality]&amp;" ",H_unit[[#This Row],[Info string]])),Municipality[Municipality],"")</f>
        <v/>
      </c>
      <c r="K478" s="246" t="str" cm="1">
        <f t="array" ref="K478">IF(H_unit[[#This Row],[Exact]]&lt;&gt;"","",_xlfn.XLOOKUP(TRUE,ISNUMBER(SEARCH(" "&amp;Municipality[Municipality]&amp;"n ",H_unit[[#This Row],[Info string]])),Municipality[Municipality],""))</f>
        <v/>
      </c>
      <c r="L478" s="246" t="s">
        <v>980</v>
      </c>
      <c r="M478" s="244" t="s">
        <v>2892</v>
      </c>
      <c r="N478" s="246" t="str">
        <f>_xlfn.TEXTJOIN("",TRUE,H_unit[[#This Row],[Exact]],H_unit[[#This Row],[Exact+n]],H_unit[[#This Row],[Copilot]])</f>
        <v>Lappeenranta</v>
      </c>
      <c r="O478" s="246" t="str">
        <f>_xlfn.XLOOKUP(H_unit[[#This Row],[Municipality]],Municipality[Municipality],Municipality[Model],"")</f>
        <v>South East</v>
      </c>
      <c r="P478" s="236"/>
    </row>
    <row r="479" spans="1:16">
      <c r="A479" s="238" t="s">
        <v>1824</v>
      </c>
      <c r="B479" s="238" t="s">
        <v>1827</v>
      </c>
      <c r="C479" s="240" t="str" cm="1">
        <f t="array" ref="C479">" "&amp;LOWER(_xlfn.REDUCE(H_unit[[#This Row],[Company]]&amp;" "&amp;H_unit[[#This Row],[Unit]],{",",".","(",")","/"},_xlfn.LAMBDA(_xlpm.txt,_xlpm.delim,SUBSTITUTE(_xlpm.txt,_xlpm.delim," "))))&amp;" "</f>
        <v xml:space="preserve"> loimaan kaukolämpö oy sunin varavoima </v>
      </c>
      <c r="D479" s="242">
        <v>2000</v>
      </c>
      <c r="E479" s="243">
        <v>6</v>
      </c>
      <c r="F479" s="243"/>
      <c r="G479" s="247"/>
      <c r="H479" s="267" t="s">
        <v>1430</v>
      </c>
      <c r="I479" s="248" t="s">
        <v>1141</v>
      </c>
      <c r="J479" s="246" t="str" cm="1">
        <f t="array" ref="J479">_xlfn.XLOOKUP(TRUE,ISNUMBER(SEARCH(" "&amp;Municipality[Municipality]&amp;" ",H_unit[[#This Row],[Info string]])),Municipality[Municipality],"")</f>
        <v/>
      </c>
      <c r="K479" s="246" t="str" cm="1">
        <f t="array" ref="K479">IF(H_unit[[#This Row],[Exact]]&lt;&gt;"","",_xlfn.XLOOKUP(TRUE,ISNUMBER(SEARCH(" "&amp;Municipality[Municipality]&amp;"n ",H_unit[[#This Row],[Info string]])),Municipality[Municipality],""))</f>
        <v>Loimaa</v>
      </c>
      <c r="L479" s="246"/>
      <c r="M479" s="244"/>
      <c r="N479" s="246" t="str">
        <f>_xlfn.TEXTJOIN("",TRUE,H_unit[[#This Row],[Exact]],H_unit[[#This Row],[Exact+n]],H_unit[[#This Row],[Copilot]])</f>
        <v>Loimaa</v>
      </c>
      <c r="O479" s="246" t="str">
        <f>_xlfn.XLOOKUP(H_unit[[#This Row],[Municipality]],Municipality[Municipality],Municipality[Model],"")</f>
        <v>South West</v>
      </c>
      <c r="P479" s="236"/>
    </row>
    <row r="480" spans="1:16">
      <c r="A480" s="238" t="s">
        <v>1997</v>
      </c>
      <c r="B480" s="238" t="s">
        <v>2001</v>
      </c>
      <c r="C480" s="240" t="str" cm="1">
        <f t="array" ref="C480">" "&amp;LOWER(_xlfn.REDUCE(H_unit[[#This Row],[Company]]&amp;" "&amp;H_unit[[#This Row],[Unit]],{",",".","(",")","/"},_xlfn.LAMBDA(_xlpm.txt,_xlpm.delim,SUBSTITUTE(_xlpm.txt,_xlpm.delim," "))))&amp;" "</f>
        <v xml:space="preserve"> orimattilan lämpö oy viljamaa </v>
      </c>
      <c r="D480" s="242">
        <v>2000</v>
      </c>
      <c r="E480" s="243">
        <v>6</v>
      </c>
      <c r="F480" s="243"/>
      <c r="G480" s="247"/>
      <c r="H480" s="267" t="s">
        <v>1453</v>
      </c>
      <c r="I480" s="248" t="s">
        <v>1142</v>
      </c>
      <c r="J480" s="246" t="str" cm="1">
        <f t="array" ref="J480">_xlfn.XLOOKUP(TRUE,ISNUMBER(SEARCH(" "&amp;Municipality[Municipality]&amp;" ",H_unit[[#This Row],[Info string]])),Municipality[Municipality],"")</f>
        <v/>
      </c>
      <c r="K480" s="246" t="str" cm="1">
        <f t="array" ref="K480">IF(H_unit[[#This Row],[Exact]]&lt;&gt;"","",_xlfn.XLOOKUP(TRUE,ISNUMBER(SEARCH(" "&amp;Municipality[Municipality]&amp;"n ",H_unit[[#This Row],[Info string]])),Municipality[Municipality],""))</f>
        <v>Orimattila</v>
      </c>
      <c r="L480" s="246"/>
      <c r="M480" s="244"/>
      <c r="N480" s="246" t="str">
        <f>_xlfn.TEXTJOIN("",TRUE,H_unit[[#This Row],[Exact]],H_unit[[#This Row],[Exact+n]],H_unit[[#This Row],[Copilot]])</f>
        <v>Orimattila</v>
      </c>
      <c r="O480" s="246" t="str">
        <f>_xlfn.XLOOKUP(H_unit[[#This Row],[Municipality]],Municipality[Municipality],Municipality[Model],"")</f>
        <v>Uusimaa</v>
      </c>
      <c r="P480" s="236"/>
    </row>
    <row r="481" spans="1:16">
      <c r="A481" s="238" t="s">
        <v>1431</v>
      </c>
      <c r="B481" s="238" t="s">
        <v>1432</v>
      </c>
      <c r="C481" s="240" t="str" cm="1">
        <f t="array" ref="C481">" "&amp;LOWER(_xlfn.REDUCE(H_unit[[#This Row],[Company]]&amp;" "&amp;H_unit[[#This Row],[Unit]],{",",".","(",")","/"},_xlfn.LAMBDA(_xlpm.txt,_xlpm.delim,SUBSTITUTE(_xlpm.txt,_xlpm.delim," "))))&amp;" "</f>
        <v xml:space="preserve"> adven oy  inkoo rannikkotie </v>
      </c>
      <c r="D481" s="242">
        <v>2004</v>
      </c>
      <c r="E481" s="243">
        <v>6</v>
      </c>
      <c r="F481" s="243"/>
      <c r="G481" s="247"/>
      <c r="H481" s="267" t="s">
        <v>1423</v>
      </c>
      <c r="I481" s="248" t="s">
        <v>1143</v>
      </c>
      <c r="J481" s="246" t="str" cm="1">
        <f t="array" ref="J481">_xlfn.XLOOKUP(TRUE,ISNUMBER(SEARCH(" "&amp;Municipality[Municipality]&amp;" ",H_unit[[#This Row],[Info string]])),Municipality[Municipality],"")</f>
        <v>Inkoo</v>
      </c>
      <c r="K481" s="246" t="str" cm="1">
        <f t="array" ref="K481">IF(H_unit[[#This Row],[Exact]]&lt;&gt;"","",_xlfn.XLOOKUP(TRUE,ISNUMBER(SEARCH(" "&amp;Municipality[Municipality]&amp;"n ",H_unit[[#This Row],[Info string]])),Municipality[Municipality],""))</f>
        <v/>
      </c>
      <c r="L481" s="246"/>
      <c r="M481" s="244"/>
      <c r="N481" s="246" t="str">
        <f>_xlfn.TEXTJOIN("",TRUE,H_unit[[#This Row],[Exact]],H_unit[[#This Row],[Exact+n]],H_unit[[#This Row],[Copilot]])</f>
        <v>Inkoo</v>
      </c>
      <c r="O481" s="246" t="str">
        <f>_xlfn.XLOOKUP(H_unit[[#This Row],[Municipality]],Municipality[Municipality],Municipality[Model],"")</f>
        <v>Uusimaa</v>
      </c>
      <c r="P481" s="236"/>
    </row>
    <row r="482" spans="1:16">
      <c r="A482" s="238" t="s">
        <v>1963</v>
      </c>
      <c r="B482" s="238" t="s">
        <v>1967</v>
      </c>
      <c r="C482" s="240" t="str" cm="1">
        <f t="array" ref="C482">" "&amp;LOWER(_xlfn.REDUCE(H_unit[[#This Row],[Company]]&amp;" "&amp;H_unit[[#This Row],[Unit]],{",",".","(",")","/"},_xlfn.LAMBDA(_xlpm.txt,_xlpm.delim,SUBSTITUTE(_xlpm.txt,_xlpm.delim," "))))&amp;" "</f>
        <v xml:space="preserve"> nivos vesi ja lämpö oy  mäntsälä kapuli </v>
      </c>
      <c r="D482" s="242">
        <v>2007</v>
      </c>
      <c r="E482" s="243">
        <v>6</v>
      </c>
      <c r="F482" s="243"/>
      <c r="G482" s="247"/>
      <c r="H482" s="267" t="s">
        <v>1453</v>
      </c>
      <c r="I482" s="248" t="s">
        <v>1142</v>
      </c>
      <c r="J482" s="246" t="str" cm="1">
        <f t="array" ref="J482">_xlfn.XLOOKUP(TRUE,ISNUMBER(SEARCH(" "&amp;Municipality[Municipality]&amp;" ",H_unit[[#This Row],[Info string]])),Municipality[Municipality],"")</f>
        <v>Mäntsälä</v>
      </c>
      <c r="K482" s="246" t="str" cm="1">
        <f t="array" ref="K482">IF(H_unit[[#This Row],[Exact]]&lt;&gt;"","",_xlfn.XLOOKUP(TRUE,ISNUMBER(SEARCH(" "&amp;Municipality[Municipality]&amp;"n ",H_unit[[#This Row],[Info string]])),Municipality[Municipality],""))</f>
        <v/>
      </c>
      <c r="L482" s="246"/>
      <c r="M482" s="244"/>
      <c r="N482" s="246" t="str">
        <f>_xlfn.TEXTJOIN("",TRUE,H_unit[[#This Row],[Exact]],H_unit[[#This Row],[Exact+n]],H_unit[[#This Row],[Copilot]])</f>
        <v>Mäntsälä</v>
      </c>
      <c r="O482" s="246" t="str">
        <f>_xlfn.XLOOKUP(H_unit[[#This Row],[Municipality]],Municipality[Municipality],Municipality[Model],"")</f>
        <v>Uusimaa</v>
      </c>
      <c r="P482" s="236"/>
    </row>
    <row r="483" spans="1:16">
      <c r="A483" s="238" t="s">
        <v>1879</v>
      </c>
      <c r="B483" s="238" t="s">
        <v>1882</v>
      </c>
      <c r="C483" s="240" t="str" cm="1">
        <f t="array" ref="C483">" "&amp;LOWER(_xlfn.REDUCE(H_unit[[#This Row],[Company]]&amp;" "&amp;H_unit[[#This Row],[Unit]],{",",".","(",")","/"},_xlfn.LAMBDA(_xlpm.txt,_xlpm.delim,SUBSTITUTE(_xlpm.txt,_xlpm.delim," "))))&amp;" "</f>
        <v xml:space="preserve"> loviisan lämpö oy  loviisa  pornainen  pukkila  pyhtää valkon lämpölaitos </v>
      </c>
      <c r="D483" s="242">
        <v>2008</v>
      </c>
      <c r="E483" s="243">
        <v>6</v>
      </c>
      <c r="F483" s="243"/>
      <c r="G483" s="247"/>
      <c r="H483" s="267" t="s">
        <v>1430</v>
      </c>
      <c r="I483" s="248" t="s">
        <v>1141</v>
      </c>
      <c r="J483" s="246" t="str" cm="1">
        <f t="array" ref="J483">_xlfn.XLOOKUP(TRUE,ISNUMBER(SEARCH(" "&amp;Municipality[Municipality]&amp;" ",H_unit[[#This Row],[Info string]])),Municipality[Municipality],"")</f>
        <v>Pornainen</v>
      </c>
      <c r="K483" s="246" t="str" cm="1">
        <f t="array" ref="K483">IF(H_unit[[#This Row],[Exact]]&lt;&gt;"","",_xlfn.XLOOKUP(TRUE,ISNUMBER(SEARCH(" "&amp;Municipality[Municipality]&amp;"n ",H_unit[[#This Row],[Info string]])),Municipality[Municipality],""))</f>
        <v/>
      </c>
      <c r="L483" s="246"/>
      <c r="M483" s="244"/>
      <c r="N483" s="246" t="str">
        <f>_xlfn.TEXTJOIN("",TRUE,H_unit[[#This Row],[Exact]],H_unit[[#This Row],[Exact+n]],H_unit[[#This Row],[Copilot]])</f>
        <v>Pornainen</v>
      </c>
      <c r="O483" s="246" t="str">
        <f>_xlfn.XLOOKUP(H_unit[[#This Row],[Municipality]],Municipality[Municipality],Municipality[Model],"")</f>
        <v>Uusimaa</v>
      </c>
      <c r="P483" s="236"/>
    </row>
    <row r="484" spans="1:16">
      <c r="A484" s="238" t="s">
        <v>1800</v>
      </c>
      <c r="B484" s="238" t="s">
        <v>1763</v>
      </c>
      <c r="C484" s="240" t="str" cm="1">
        <f t="array" ref="C484">" "&amp;LOWER(_xlfn.REDUCE(H_unit[[#This Row],[Company]]&amp;" "&amp;H_unit[[#This Row],[Unit]],{",",".","(",")","/"},_xlfn.LAMBDA(_xlpm.txt,_xlpm.delim,SUBSTITUTE(_xlpm.txt,_xlpm.delim," "))))&amp;" "</f>
        <v xml:space="preserve"> leppäkosken lämpö oy  parkano biolämpölaitos </v>
      </c>
      <c r="D484" s="242">
        <v>2009</v>
      </c>
      <c r="E484" s="243">
        <v>6</v>
      </c>
      <c r="F484" s="243"/>
      <c r="G484" s="247"/>
      <c r="H484" s="267" t="s">
        <v>1428</v>
      </c>
      <c r="I484" s="248" t="s">
        <v>1143</v>
      </c>
      <c r="J484" s="246" t="str" cm="1">
        <f t="array" ref="J484">_xlfn.XLOOKUP(TRUE,ISNUMBER(SEARCH(" "&amp;Municipality[Municipality]&amp;" ",H_unit[[#This Row],[Info string]])),Municipality[Municipality],"")</f>
        <v>Parkano</v>
      </c>
      <c r="K484" s="246" t="str" cm="1">
        <f t="array" ref="K484">IF(H_unit[[#This Row],[Exact]]&lt;&gt;"","",_xlfn.XLOOKUP(TRUE,ISNUMBER(SEARCH(" "&amp;Municipality[Municipality]&amp;"n ",H_unit[[#This Row],[Info string]])),Municipality[Municipality],""))</f>
        <v/>
      </c>
      <c r="L484" s="246"/>
      <c r="M484" s="244"/>
      <c r="N484" s="246" t="str">
        <f>_xlfn.TEXTJOIN("",TRUE,H_unit[[#This Row],[Exact]],H_unit[[#This Row],[Exact+n]],H_unit[[#This Row],[Copilot]])</f>
        <v>Parkano</v>
      </c>
      <c r="O484" s="246" t="str">
        <f>_xlfn.XLOOKUP(H_unit[[#This Row],[Municipality]],Municipality[Municipality],Municipality[Model],"")</f>
        <v>Center</v>
      </c>
      <c r="P484" s="236"/>
    </row>
    <row r="485" spans="1:16">
      <c r="A485" s="238" t="s">
        <v>1988</v>
      </c>
      <c r="B485" s="238" t="s">
        <v>1989</v>
      </c>
      <c r="C485" s="240" t="str" cm="1">
        <f t="array" ref="C485">" "&amp;LOWER(_xlfn.REDUCE(H_unit[[#This Row],[Company]]&amp;" "&amp;H_unit[[#This Row],[Unit]],{",",".","(",")","/"},_xlfn.LAMBDA(_xlpm.txt,_xlpm.delim,SUBSTITUTE(_xlpm.txt,_xlpm.delim," "))))&amp;" "</f>
        <v xml:space="preserve"> nykarleby kraftverk kpa kattilalatos 3+3 mw </v>
      </c>
      <c r="D485" s="242">
        <v>2009</v>
      </c>
      <c r="E485" s="243">
        <v>6</v>
      </c>
      <c r="F485" s="243"/>
      <c r="G485" s="247"/>
      <c r="H485" s="267" t="s">
        <v>1423</v>
      </c>
      <c r="I485" s="248" t="s">
        <v>1143</v>
      </c>
      <c r="J485" s="246" t="str" cm="1">
        <f t="array" ref="J485">_xlfn.XLOOKUP(TRUE,ISNUMBER(SEARCH(" "&amp;Municipality[Municipality]&amp;" ",H_unit[[#This Row],[Info string]])),Municipality[Municipality],"")</f>
        <v/>
      </c>
      <c r="K485" s="246" t="str" cm="1">
        <f t="array" ref="K485">IF(H_unit[[#This Row],[Exact]]&lt;&gt;"","",_xlfn.XLOOKUP(TRUE,ISNUMBER(SEARCH(" "&amp;Municipality[Municipality]&amp;"n ",H_unit[[#This Row],[Info string]])),Municipality[Municipality],""))</f>
        <v/>
      </c>
      <c r="L485" s="246" t="s">
        <v>2697</v>
      </c>
      <c r="M485" s="244" t="s">
        <v>2925</v>
      </c>
      <c r="N485" s="246" t="str">
        <f>_xlfn.TEXTJOIN("",TRUE,H_unit[[#This Row],[Exact]],H_unit[[#This Row],[Exact+n]],H_unit[[#This Row],[Copilot]])</f>
        <v>Uusikaarlepyy</v>
      </c>
      <c r="O485" s="246" t="str">
        <f>_xlfn.XLOOKUP(H_unit[[#This Row],[Municipality]],Municipality[Municipality],Municipality[Model],"")</f>
        <v>West</v>
      </c>
      <c r="P485" s="236"/>
    </row>
    <row r="486" spans="1:16">
      <c r="A486" s="238" t="s">
        <v>2022</v>
      </c>
      <c r="B486" s="238" t="s">
        <v>2023</v>
      </c>
      <c r="C486" s="240" t="str" cm="1">
        <f t="array" ref="C486">" "&amp;LOWER(_xlfn.REDUCE(H_unit[[#This Row],[Company]]&amp;" "&amp;H_unit[[#This Row],[Unit]],{",",".","(",")","/"},_xlfn.LAMBDA(_xlpm.txt,_xlpm.delim,SUBSTITUTE(_xlpm.txt,_xlpm.delim," "))))&amp;" "</f>
        <v xml:space="preserve"> oulun seudun sähkö  muhos muhos  veturitie </v>
      </c>
      <c r="D486" s="242">
        <v>2010</v>
      </c>
      <c r="E486" s="243">
        <v>6</v>
      </c>
      <c r="F486" s="243"/>
      <c r="G486" s="247"/>
      <c r="H486" s="267" t="s">
        <v>1423</v>
      </c>
      <c r="I486" s="248" t="s">
        <v>1143</v>
      </c>
      <c r="J486" s="246" t="str" cm="1">
        <f t="array" ref="J486">_xlfn.XLOOKUP(TRUE,ISNUMBER(SEARCH(" "&amp;Municipality[Municipality]&amp;" ",H_unit[[#This Row],[Info string]])),Municipality[Municipality],"")</f>
        <v>Muhos</v>
      </c>
      <c r="K486" s="246" t="str" cm="1">
        <f t="array" ref="K486">IF(H_unit[[#This Row],[Exact]]&lt;&gt;"","",_xlfn.XLOOKUP(TRUE,ISNUMBER(SEARCH(" "&amp;Municipality[Municipality]&amp;"n ",H_unit[[#This Row],[Info string]])),Municipality[Municipality],""))</f>
        <v/>
      </c>
      <c r="L486" s="246"/>
      <c r="M486" s="244"/>
      <c r="N486" s="246" t="str">
        <f>_xlfn.TEXTJOIN("",TRUE,H_unit[[#This Row],[Exact]],H_unit[[#This Row],[Exact+n]],H_unit[[#This Row],[Copilot]])</f>
        <v>Muhos</v>
      </c>
      <c r="O486" s="246" t="str">
        <f>_xlfn.XLOOKUP(H_unit[[#This Row],[Municipality]],Municipality[Municipality],Municipality[Model],"")</f>
        <v>North</v>
      </c>
      <c r="P486" s="236"/>
    </row>
    <row r="487" spans="1:16">
      <c r="A487" s="238" t="s">
        <v>1642</v>
      </c>
      <c r="B487" s="238" t="s">
        <v>1645</v>
      </c>
      <c r="C487" s="240" t="str" cm="1">
        <f t="array" ref="C487">" "&amp;LOWER(_xlfn.REDUCE(H_unit[[#This Row],[Company]]&amp;" "&amp;H_unit[[#This Row],[Unit]],{",",".","(",")","/"},_xlfn.LAMBDA(_xlpm.txt,_xlpm.delim,SUBSTITUTE(_xlpm.txt,_xlpm.delim," "))))&amp;" "</f>
        <v xml:space="preserve"> kokemäen lämpö oy k6 </v>
      </c>
      <c r="D487" s="242">
        <v>2014</v>
      </c>
      <c r="E487" s="243">
        <v>6</v>
      </c>
      <c r="F487" s="243"/>
      <c r="G487" s="247"/>
      <c r="H487" s="267" t="s">
        <v>1423</v>
      </c>
      <c r="I487" s="248" t="s">
        <v>1143</v>
      </c>
      <c r="J487" s="246" t="str" cm="1">
        <f t="array" ref="J487">_xlfn.XLOOKUP(TRUE,ISNUMBER(SEARCH(" "&amp;Municipality[Municipality]&amp;" ",H_unit[[#This Row],[Info string]])),Municipality[Municipality],"")</f>
        <v/>
      </c>
      <c r="K487" s="246" t="str" cm="1">
        <f t="array" ref="K487">IF(H_unit[[#This Row],[Exact]]&lt;&gt;"","",_xlfn.XLOOKUP(TRUE,ISNUMBER(SEARCH(" "&amp;Municipality[Municipality]&amp;"n ",H_unit[[#This Row],[Info string]])),Municipality[Municipality],""))</f>
        <v/>
      </c>
      <c r="L487" s="246" t="s">
        <v>2619</v>
      </c>
      <c r="M487" s="244" t="s">
        <v>2920</v>
      </c>
      <c r="N487" s="246" t="str">
        <f>_xlfn.TEXTJOIN("",TRUE,H_unit[[#This Row],[Exact]],H_unit[[#This Row],[Exact+n]],H_unit[[#This Row],[Copilot]])</f>
        <v>Kokemäki</v>
      </c>
      <c r="O487" s="246" t="str">
        <f>_xlfn.XLOOKUP(H_unit[[#This Row],[Municipality]],Municipality[Municipality],Municipality[Model],"")</f>
        <v>West</v>
      </c>
      <c r="P487" s="236"/>
    </row>
    <row r="488" spans="1:16">
      <c r="A488" s="238" t="s">
        <v>1796</v>
      </c>
      <c r="B488" s="238" t="s">
        <v>1797</v>
      </c>
      <c r="C488" s="240" t="str" cm="1">
        <f t="array" ref="C488">" "&amp;LOWER(_xlfn.REDUCE(H_unit[[#This Row],[Company]]&amp;" "&amp;H_unit[[#This Row],[Unit]],{",",".","(",")","/"},_xlfn.LAMBDA(_xlpm.txt,_xlpm.delim,SUBSTITUTE(_xlpm.txt,_xlpm.delim," "))))&amp;" "</f>
        <v xml:space="preserve"> leppäkosken lämpö oy  nokia viholan pellettilämpökeskus </v>
      </c>
      <c r="D488" s="242">
        <v>2014</v>
      </c>
      <c r="E488" s="243">
        <v>6</v>
      </c>
      <c r="F488" s="243"/>
      <c r="G488" s="247"/>
      <c r="H488" s="267" t="s">
        <v>1436</v>
      </c>
      <c r="I488" s="248" t="s">
        <v>1143</v>
      </c>
      <c r="J488" s="246" t="str" cm="1">
        <f t="array" ref="J488">_xlfn.XLOOKUP(TRUE,ISNUMBER(SEARCH(" "&amp;Municipality[Municipality]&amp;" ",H_unit[[#This Row],[Info string]])),Municipality[Municipality],"")</f>
        <v>Nokia</v>
      </c>
      <c r="K488" s="246" t="str" cm="1">
        <f t="array" ref="K488">IF(H_unit[[#This Row],[Exact]]&lt;&gt;"","",_xlfn.XLOOKUP(TRUE,ISNUMBER(SEARCH(" "&amp;Municipality[Municipality]&amp;"n ",H_unit[[#This Row],[Info string]])),Municipality[Municipality],""))</f>
        <v/>
      </c>
      <c r="L488" s="246"/>
      <c r="M488" s="244"/>
      <c r="N488" s="246" t="str">
        <f>_xlfn.TEXTJOIN("",TRUE,H_unit[[#This Row],[Exact]],H_unit[[#This Row],[Exact+n]],H_unit[[#This Row],[Copilot]])</f>
        <v>Nokia</v>
      </c>
      <c r="O488" s="246" t="str">
        <f>_xlfn.XLOOKUP(H_unit[[#This Row],[Municipality]],Municipality[Municipality],Municipality[Model],"")</f>
        <v>Center</v>
      </c>
      <c r="P488" s="236"/>
    </row>
    <row r="489" spans="1:16">
      <c r="A489" s="238" t="s">
        <v>2077</v>
      </c>
      <c r="B489" s="238" t="s">
        <v>2085</v>
      </c>
      <c r="C489" s="240" t="str" cm="1">
        <f t="array" ref="C489">" "&amp;LOWER(_xlfn.REDUCE(H_unit[[#This Row],[Company]]&amp;" "&amp;H_unit[[#This Row],[Unit]],{",",".","(",")","/"},_xlfn.LAMBDA(_xlpm.txt,_xlpm.delim,SUBSTITUTE(_xlpm.txt,_xlpm.delim," "))))&amp;" "</f>
        <v xml:space="preserve"> rauman energia oy lakari </v>
      </c>
      <c r="D489" s="242">
        <v>2017</v>
      </c>
      <c r="E489" s="243">
        <v>6</v>
      </c>
      <c r="F489" s="243"/>
      <c r="G489" s="247"/>
      <c r="H489" s="267" t="s">
        <v>2086</v>
      </c>
      <c r="I489" s="248" t="s">
        <v>1141</v>
      </c>
      <c r="J489" s="246" t="str" cm="1">
        <f t="array" ref="J489">_xlfn.XLOOKUP(TRUE,ISNUMBER(SEARCH(" "&amp;Municipality[Municipality]&amp;" ",H_unit[[#This Row],[Info string]])),Municipality[Municipality],"")</f>
        <v>Rauman</v>
      </c>
      <c r="K489" s="246" t="str" cm="1">
        <f t="array" ref="K489">IF(H_unit[[#This Row],[Exact]]&lt;&gt;"","",_xlfn.XLOOKUP(TRUE,ISNUMBER(SEARCH(" "&amp;Municipality[Municipality]&amp;"n ",H_unit[[#This Row],[Info string]])),Municipality[Municipality],""))</f>
        <v/>
      </c>
      <c r="L489" s="246"/>
      <c r="M489" s="244"/>
      <c r="N489" s="246" t="str">
        <f>_xlfn.TEXTJOIN("",TRUE,H_unit[[#This Row],[Exact]],H_unit[[#This Row],[Exact+n]],H_unit[[#This Row],[Copilot]])</f>
        <v>Rauman</v>
      </c>
      <c r="O489" s="246" t="str">
        <f>_xlfn.XLOOKUP(H_unit[[#This Row],[Municipality]],Municipality[Municipality],Municipality[Model],"")</f>
        <v>West</v>
      </c>
      <c r="P489" s="236"/>
    </row>
    <row r="490" spans="1:16">
      <c r="A490" s="238" t="s">
        <v>1581</v>
      </c>
      <c r="B490" s="238" t="s">
        <v>1586</v>
      </c>
      <c r="C490" s="240" t="str" cm="1">
        <f t="array" ref="C490">" "&amp;LOWER(_xlfn.REDUCE(H_unit[[#This Row],[Company]]&amp;" "&amp;H_unit[[#This Row],[Unit]],{",",".","(",")","/"},_xlfn.LAMBDA(_xlpm.txt,_xlpm.delim,SUBSTITUTE(_xlpm.txt,_xlpm.delim," "))))&amp;" "</f>
        <v xml:space="preserve"> kauhajoen lämpöhuolto oy pikikuja  </v>
      </c>
      <c r="D490" s="242">
        <v>2020</v>
      </c>
      <c r="E490" s="243">
        <v>6</v>
      </c>
      <c r="F490" s="243"/>
      <c r="G490" s="247"/>
      <c r="H490" s="267" t="s">
        <v>1430</v>
      </c>
      <c r="I490" s="248" t="s">
        <v>1141</v>
      </c>
      <c r="J490" s="246" t="str" cm="1">
        <f t="array" ref="J490">_xlfn.XLOOKUP(TRUE,ISNUMBER(SEARCH(" "&amp;Municipality[Municipality]&amp;" ",H_unit[[#This Row],[Info string]])),Municipality[Municipality],"")</f>
        <v/>
      </c>
      <c r="K490" s="246" t="str" cm="1">
        <f t="array" ref="K490">IF(H_unit[[#This Row],[Exact]]&lt;&gt;"","",_xlfn.XLOOKUP(TRUE,ISNUMBER(SEARCH(" "&amp;Municipality[Municipality]&amp;"n ",H_unit[[#This Row],[Info string]])),Municipality[Municipality],""))</f>
        <v/>
      </c>
      <c r="L490" s="246" t="s">
        <v>2577</v>
      </c>
      <c r="M490" s="244" t="s">
        <v>2918</v>
      </c>
      <c r="N490" s="246" t="str">
        <f>_xlfn.TEXTJOIN("",TRUE,H_unit[[#This Row],[Exact]],H_unit[[#This Row],[Exact+n]],H_unit[[#This Row],[Copilot]])</f>
        <v>Kauhajoki</v>
      </c>
      <c r="O490" s="246" t="str">
        <f>_xlfn.XLOOKUP(H_unit[[#This Row],[Municipality]],Municipality[Municipality],Municipality[Model],"")</f>
        <v>West</v>
      </c>
      <c r="P490" s="236"/>
    </row>
    <row r="491" spans="1:16">
      <c r="A491" s="238" t="s">
        <v>1639</v>
      </c>
      <c r="B491" s="238" t="s">
        <v>1641</v>
      </c>
      <c r="C491" s="240" t="str" cm="1">
        <f t="array" ref="C491">" "&amp;LOWER(_xlfn.REDUCE(H_unit[[#This Row],[Company]]&amp;" "&amp;H_unit[[#This Row],[Unit]],{",",".","(",")","/"},_xlfn.LAMBDA(_xlpm.txt,_xlpm.delim,SUBSTITUTE(_xlpm.txt,_xlpm.delim," "))))&amp;" "</f>
        <v xml:space="preserve"> kittilän aluelämpö oy linnatie bio2 </v>
      </c>
      <c r="D491" s="242">
        <v>2021</v>
      </c>
      <c r="E491" s="243">
        <v>6</v>
      </c>
      <c r="F491" s="243"/>
      <c r="G491" s="247"/>
      <c r="H491" s="267" t="s">
        <v>1423</v>
      </c>
      <c r="I491" s="248" t="s">
        <v>1143</v>
      </c>
      <c r="J491" s="246" t="str" cm="1">
        <f t="array" ref="J491">_xlfn.XLOOKUP(TRUE,ISNUMBER(SEARCH(" "&amp;Municipality[Municipality]&amp;" ",H_unit[[#This Row],[Info string]])),Municipality[Municipality],"")</f>
        <v/>
      </c>
      <c r="K491" s="246" t="str" cm="1">
        <f t="array" ref="K491">IF(H_unit[[#This Row],[Exact]]&lt;&gt;"","",_xlfn.XLOOKUP(TRUE,ISNUMBER(SEARCH(" "&amp;Municipality[Municipality]&amp;"n ",H_unit[[#This Row],[Info string]])),Municipality[Municipality],""))</f>
        <v>Kittilä</v>
      </c>
      <c r="L491" s="246"/>
      <c r="M491" s="244"/>
      <c r="N491" s="246" t="str">
        <f>_xlfn.TEXTJOIN("",TRUE,H_unit[[#This Row],[Exact]],H_unit[[#This Row],[Exact+n]],H_unit[[#This Row],[Copilot]])</f>
        <v>Kittilä</v>
      </c>
      <c r="O491" s="246" t="str">
        <f>_xlfn.XLOOKUP(H_unit[[#This Row],[Municipality]],Municipality[Municipality],Municipality[Model],"")</f>
        <v>North</v>
      </c>
      <c r="P491" s="236"/>
    </row>
    <row r="492" spans="1:16">
      <c r="A492" s="238" t="s">
        <v>1746</v>
      </c>
      <c r="B492" s="238" t="s">
        <v>1747</v>
      </c>
      <c r="C492" s="240" t="str" cm="1">
        <f t="array" ref="C492">" "&amp;LOWER(_xlfn.REDUCE(H_unit[[#This Row],[Company]]&amp;" "&amp;H_unit[[#This Row],[Unit]],{",",".","(",")","/"},_xlfn.LAMBDA(_xlpm.txt,_xlpm.delim,SUBSTITUTE(_xlpm.txt,_xlpm.delim," "))))&amp;" "</f>
        <v xml:space="preserve"> laihian nuuka lämpö oy kpa </v>
      </c>
      <c r="D492" s="242">
        <v>2021</v>
      </c>
      <c r="E492" s="243">
        <v>6</v>
      </c>
      <c r="F492" s="243"/>
      <c r="G492" s="247"/>
      <c r="H492" s="267" t="s">
        <v>1423</v>
      </c>
      <c r="I492" s="248" t="s">
        <v>1143</v>
      </c>
      <c r="J492" s="246" t="str" cm="1">
        <f t="array" ref="J492">_xlfn.XLOOKUP(TRUE,ISNUMBER(SEARCH(" "&amp;Municipality[Municipality]&amp;" ",H_unit[[#This Row],[Info string]])),Municipality[Municipality],"")</f>
        <v/>
      </c>
      <c r="K492" s="246" t="str" cm="1">
        <f t="array" ref="K492">IF(H_unit[[#This Row],[Exact]]&lt;&gt;"","",_xlfn.XLOOKUP(TRUE,ISNUMBER(SEARCH(" "&amp;Municipality[Municipality]&amp;"n ",H_unit[[#This Row],[Info string]])),Municipality[Municipality],""))</f>
        <v>Laihia</v>
      </c>
      <c r="L492" s="246"/>
      <c r="M492" s="244"/>
      <c r="N492" s="246" t="str">
        <f>_xlfn.TEXTJOIN("",TRUE,H_unit[[#This Row],[Exact]],H_unit[[#This Row],[Exact+n]],H_unit[[#This Row],[Copilot]])</f>
        <v>Laihia</v>
      </c>
      <c r="O492" s="246" t="str">
        <f>_xlfn.XLOOKUP(H_unit[[#This Row],[Municipality]],Municipality[Municipality],Municipality[Model],"")</f>
        <v>West</v>
      </c>
      <c r="P492" s="236"/>
    </row>
    <row r="493" spans="1:16">
      <c r="A493" s="238" t="s">
        <v>1790</v>
      </c>
      <c r="B493" s="238" t="s">
        <v>1794</v>
      </c>
      <c r="C493" s="240" t="str" cm="1">
        <f t="array" ref="C493">" "&amp;LOWER(_xlfn.REDUCE(H_unit[[#This Row],[Company]]&amp;" "&amp;H_unit[[#This Row],[Unit]],{",",".","(",")","/"},_xlfn.LAMBDA(_xlpm.txt,_xlpm.delim,SUBSTITUTE(_xlpm.txt,_xlpm.delim," "))))&amp;" "</f>
        <v xml:space="preserve"> leppäkosken lämpö oy  ikaalinen palinperän lk </v>
      </c>
      <c r="D493" s="242">
        <v>2023</v>
      </c>
      <c r="E493" s="243">
        <v>6</v>
      </c>
      <c r="F493" s="243"/>
      <c r="G493" s="247"/>
      <c r="H493" s="267" t="s">
        <v>1423</v>
      </c>
      <c r="I493" s="248" t="s">
        <v>1143</v>
      </c>
      <c r="J493" s="246" t="str" cm="1">
        <f t="array" ref="J493">_xlfn.XLOOKUP(TRUE,ISNUMBER(SEARCH(" "&amp;Municipality[Municipality]&amp;" ",H_unit[[#This Row],[Info string]])),Municipality[Municipality],"")</f>
        <v>Ikaalinen</v>
      </c>
      <c r="K493" s="246" t="str" cm="1">
        <f t="array" ref="K493">IF(H_unit[[#This Row],[Exact]]&lt;&gt;"","",_xlfn.XLOOKUP(TRUE,ISNUMBER(SEARCH(" "&amp;Municipality[Municipality]&amp;"n ",H_unit[[#This Row],[Info string]])),Municipality[Municipality],""))</f>
        <v/>
      </c>
      <c r="L493" s="246"/>
      <c r="M493" s="244"/>
      <c r="N493" s="246" t="str">
        <f>_xlfn.TEXTJOIN("",TRUE,H_unit[[#This Row],[Exact]],H_unit[[#This Row],[Exact+n]],H_unit[[#This Row],[Copilot]])</f>
        <v>Ikaalinen</v>
      </c>
      <c r="O493" s="246" t="str">
        <f>_xlfn.XLOOKUP(H_unit[[#This Row],[Municipality]],Municipality[Municipality],Municipality[Model],"")</f>
        <v>Center</v>
      </c>
      <c r="P493" s="236"/>
    </row>
    <row r="494" spans="1:16">
      <c r="A494" s="238" t="s">
        <v>1814</v>
      </c>
      <c r="B494" s="238" t="s">
        <v>1818</v>
      </c>
      <c r="C494" s="240" t="str" cm="1">
        <f t="array" ref="C494">" "&amp;LOWER(_xlfn.REDUCE(H_unit[[#This Row],[Company]]&amp;" "&amp;H_unit[[#This Row],[Unit]],{",",".","(",")","/"},_xlfn.LAMBDA(_xlpm.txt,_xlpm.delim,SUBSTITUTE(_xlpm.txt,_xlpm.delim," "))))&amp;" "</f>
        <v xml:space="preserve"> lohjan energiahuolto oy loher routio  salmenmäentie 22 </v>
      </c>
      <c r="D494" s="242" t="s">
        <v>1448</v>
      </c>
      <c r="E494" s="243">
        <v>6</v>
      </c>
      <c r="F494" s="243"/>
      <c r="G494" s="247"/>
      <c r="H494" s="267" t="s">
        <v>1418</v>
      </c>
      <c r="I494" s="248" t="s">
        <v>1141</v>
      </c>
      <c r="J494" s="246" t="str" cm="1">
        <f t="array" ref="J494">_xlfn.XLOOKUP(TRUE,ISNUMBER(SEARCH(" "&amp;Municipality[Municipality]&amp;" ",H_unit[[#This Row],[Info string]])),Municipality[Municipality],"")</f>
        <v/>
      </c>
      <c r="K494" s="246" t="str" cm="1">
        <f t="array" ref="K494">IF(H_unit[[#This Row],[Exact]]&lt;&gt;"","",_xlfn.XLOOKUP(TRUE,ISNUMBER(SEARCH(" "&amp;Municipality[Municipality]&amp;"n ",H_unit[[#This Row],[Info string]])),Municipality[Municipality],""))</f>
        <v>Lohja</v>
      </c>
      <c r="L494" s="246"/>
      <c r="M494" s="244"/>
      <c r="N494" s="246" t="str">
        <f>_xlfn.TEXTJOIN("",TRUE,H_unit[[#This Row],[Exact]],H_unit[[#This Row],[Exact+n]],H_unit[[#This Row],[Copilot]])</f>
        <v>Lohja</v>
      </c>
      <c r="O494" s="246" t="str">
        <f>_xlfn.XLOOKUP(H_unit[[#This Row],[Municipality]],Municipality[Municipality],Municipality[Model],"")</f>
        <v>Uusimaa</v>
      </c>
      <c r="P494" s="236"/>
    </row>
    <row r="495" spans="1:16">
      <c r="A495" s="238" t="s">
        <v>2113</v>
      </c>
      <c r="B495" s="238" t="s">
        <v>2118</v>
      </c>
      <c r="C495" s="240" t="str" cm="1">
        <f t="array" ref="C495">" "&amp;LOWER(_xlfn.REDUCE(H_unit[[#This Row],[Company]]&amp;" "&amp;H_unit[[#This Row],[Unit]],{",",".","(",")","/"},_xlfn.LAMBDA(_xlpm.txt,_xlpm.delim,SUBSTITUTE(_xlpm.txt,_xlpm.delim," "))))&amp;" "</f>
        <v xml:space="preserve"> savon voima oyj  joensuu utra </v>
      </c>
      <c r="D495" s="242">
        <v>1994</v>
      </c>
      <c r="E495" s="243">
        <v>5.8</v>
      </c>
      <c r="F495" s="243"/>
      <c r="G495" s="247"/>
      <c r="H495" s="267" t="s">
        <v>1430</v>
      </c>
      <c r="I495" s="248" t="s">
        <v>1141</v>
      </c>
      <c r="J495" s="246" t="str" cm="1">
        <f t="array" ref="J495">_xlfn.XLOOKUP(TRUE,ISNUMBER(SEARCH(" "&amp;Municipality[Municipality]&amp;" ",H_unit[[#This Row],[Info string]])),Municipality[Municipality],"")</f>
        <v>Joensuu</v>
      </c>
      <c r="K495" s="246" t="str" cm="1">
        <f t="array" ref="K495">IF(H_unit[[#This Row],[Exact]]&lt;&gt;"","",_xlfn.XLOOKUP(TRUE,ISNUMBER(SEARCH(" "&amp;Municipality[Municipality]&amp;"n ",H_unit[[#This Row],[Info string]])),Municipality[Municipality],""))</f>
        <v/>
      </c>
      <c r="L495" s="246"/>
      <c r="M495" s="244"/>
      <c r="N495" s="246" t="str">
        <f>_xlfn.TEXTJOIN("",TRUE,H_unit[[#This Row],[Exact]],H_unit[[#This Row],[Exact+n]],H_unit[[#This Row],[Copilot]])</f>
        <v>Joensuu</v>
      </c>
      <c r="O495" s="246" t="str">
        <f>_xlfn.XLOOKUP(H_unit[[#This Row],[Municipality]],Municipality[Municipality],Municipality[Model],"")</f>
        <v>East</v>
      </c>
      <c r="P495" s="236"/>
    </row>
    <row r="496" spans="1:16">
      <c r="A496" s="238" t="s">
        <v>2061</v>
      </c>
      <c r="B496" s="238" t="s">
        <v>2068</v>
      </c>
      <c r="C496" s="240" t="str" cm="1">
        <f t="array" ref="C496">" "&amp;LOWER(_xlfn.REDUCE(H_unit[[#This Row],[Company]]&amp;" "&amp;H_unit[[#This Row],[Unit]],{",",".","(",")","/"},_xlfn.LAMBDA(_xlpm.txt,_xlpm.delim,SUBSTITUTE(_xlpm.txt,_xlpm.delim," "))))&amp;" "</f>
        <v xml:space="preserve"> raahen energia oy lk-v1 </v>
      </c>
      <c r="D496" s="242">
        <v>2010</v>
      </c>
      <c r="E496" s="243">
        <v>5.7</v>
      </c>
      <c r="F496" s="243"/>
      <c r="G496" s="247"/>
      <c r="H496" s="267" t="s">
        <v>1423</v>
      </c>
      <c r="I496" s="248" t="s">
        <v>1143</v>
      </c>
      <c r="J496" s="246" t="str" cm="1">
        <f t="array" ref="J496">_xlfn.XLOOKUP(TRUE,ISNUMBER(SEARCH(" "&amp;Municipality[Municipality]&amp;" ",H_unit[[#This Row],[Info string]])),Municipality[Municipality],"")</f>
        <v/>
      </c>
      <c r="K496" s="246" t="str" cm="1">
        <f t="array" ref="K496">IF(H_unit[[#This Row],[Exact]]&lt;&gt;"","",_xlfn.XLOOKUP(TRUE,ISNUMBER(SEARCH(" "&amp;Municipality[Municipality]&amp;"n ",H_unit[[#This Row],[Info string]])),Municipality[Municipality],""))</f>
        <v>Raahe</v>
      </c>
      <c r="L496" s="246"/>
      <c r="M496" s="244"/>
      <c r="N496" s="246" t="str">
        <f>_xlfn.TEXTJOIN("",TRUE,H_unit[[#This Row],[Exact]],H_unit[[#This Row],[Exact+n]],H_unit[[#This Row],[Copilot]])</f>
        <v>Raahe</v>
      </c>
      <c r="O496" s="246" t="str">
        <f>_xlfn.XLOOKUP(H_unit[[#This Row],[Municipality]],Municipality[Municipality],Municipality[Model],"")</f>
        <v>North</v>
      </c>
      <c r="P496" s="236"/>
    </row>
    <row r="497" spans="1:16">
      <c r="A497" s="238" t="s">
        <v>2143</v>
      </c>
      <c r="B497" s="238" t="s">
        <v>2144</v>
      </c>
      <c r="C497" s="240" t="str" cm="1">
        <f t="array" ref="C497">" "&amp;LOWER(_xlfn.REDUCE(H_unit[[#This Row],[Company]]&amp;" "&amp;H_unit[[#This Row],[Unit]],{",",".","(",")","/"},_xlfn.LAMBDA(_xlpm.txt,_xlpm.delim,SUBSTITUTE(_xlpm.txt,_xlpm.delim," "))))&amp;" "</f>
        <v xml:space="preserve"> savon voima oyj  leppävirta lk12  voimatie </v>
      </c>
      <c r="D497" s="242">
        <v>1982</v>
      </c>
      <c r="E497" s="243">
        <v>5.5</v>
      </c>
      <c r="F497" s="243"/>
      <c r="G497" s="247"/>
      <c r="H497" s="267" t="s">
        <v>1423</v>
      </c>
      <c r="I497" s="248" t="s">
        <v>1143</v>
      </c>
      <c r="J497" s="246" t="str" cm="1">
        <f t="array" ref="J497">_xlfn.XLOOKUP(TRUE,ISNUMBER(SEARCH(" "&amp;Municipality[Municipality]&amp;" ",H_unit[[#This Row],[Info string]])),Municipality[Municipality],"")</f>
        <v>Leppävirta</v>
      </c>
      <c r="K497" s="246" t="str" cm="1">
        <f t="array" ref="K497">IF(H_unit[[#This Row],[Exact]]&lt;&gt;"","",_xlfn.XLOOKUP(TRUE,ISNUMBER(SEARCH(" "&amp;Municipality[Municipality]&amp;"n ",H_unit[[#This Row],[Info string]])),Municipality[Municipality],""))</f>
        <v/>
      </c>
      <c r="L497" s="246"/>
      <c r="M497" s="244"/>
      <c r="N497" s="246" t="str">
        <f>_xlfn.TEXTJOIN("",TRUE,H_unit[[#This Row],[Exact]],H_unit[[#This Row],[Exact+n]],H_unit[[#This Row],[Copilot]])</f>
        <v>Leppävirta</v>
      </c>
      <c r="O497" s="246" t="str">
        <f>_xlfn.XLOOKUP(H_unit[[#This Row],[Municipality]],Municipality[Municipality],Municipality[Model],"")</f>
        <v>East</v>
      </c>
      <c r="P497" s="236"/>
    </row>
    <row r="498" spans="1:16">
      <c r="A498" s="238" t="s">
        <v>1719</v>
      </c>
      <c r="B498" s="238" t="s">
        <v>1494</v>
      </c>
      <c r="C498" s="240" t="str" cm="1">
        <f t="array" ref="C498">" "&amp;LOWER(_xlfn.REDUCE(H_unit[[#This Row],[Company]]&amp;" "&amp;H_unit[[#This Row],[Unit]],{",",".","(",")","/"},_xlfn.LAMBDA(_xlpm.txt,_xlpm.delim,SUBSTITUTE(_xlpm.txt,_xlpm.delim," "))))&amp;" "</f>
        <v xml:space="preserve"> köyliön-säkylän sähkö oy lämpökeskus </v>
      </c>
      <c r="D498" s="242">
        <v>1987</v>
      </c>
      <c r="E498" s="243">
        <v>5.5</v>
      </c>
      <c r="F498" s="243"/>
      <c r="G498" s="247"/>
      <c r="H498" s="267" t="s">
        <v>1418</v>
      </c>
      <c r="I498" s="248" t="s">
        <v>1141</v>
      </c>
      <c r="J498" s="246" t="str" cm="1">
        <f t="array" ref="J498">_xlfn.XLOOKUP(TRUE,ISNUMBER(SEARCH(" "&amp;Municipality[Municipality]&amp;" ",H_unit[[#This Row],[Info string]])),Municipality[Municipality],"")</f>
        <v/>
      </c>
      <c r="K498" s="246" t="str" cm="1">
        <f t="array" ref="K498">IF(H_unit[[#This Row],[Exact]]&lt;&gt;"","",_xlfn.XLOOKUP(TRUE,ISNUMBER(SEARCH(" "&amp;Municipality[Municipality]&amp;"n ",H_unit[[#This Row],[Info string]])),Municipality[Municipality],""))</f>
        <v/>
      </c>
      <c r="L498" s="246" t="s">
        <v>947</v>
      </c>
      <c r="M498" s="244" t="s">
        <v>2922</v>
      </c>
      <c r="N498" s="246" t="str">
        <f>_xlfn.TEXTJOIN("",TRUE,H_unit[[#This Row],[Exact]],H_unit[[#This Row],[Exact+n]],H_unit[[#This Row],[Copilot]])</f>
        <v>Säkylä</v>
      </c>
      <c r="O498" s="246" t="str">
        <f>_xlfn.XLOOKUP(H_unit[[#This Row],[Municipality]],Municipality[Municipality],Municipality[Model],"")</f>
        <v>West</v>
      </c>
      <c r="P498" s="236"/>
    </row>
    <row r="499" spans="1:16">
      <c r="A499" s="238" t="s">
        <v>1954</v>
      </c>
      <c r="B499" s="238" t="s">
        <v>1957</v>
      </c>
      <c r="C499" s="240" t="str" cm="1">
        <f t="array" ref="C499">" "&amp;LOWER(_xlfn.REDUCE(H_unit[[#This Row],[Company]]&amp;" "&amp;H_unit[[#This Row],[Unit]],{",",".","(",")","/"},_xlfn.LAMBDA(_xlpm.txt,_xlpm.delim,SUBSTITUTE(_xlpm.txt,_xlpm.delim," "))))&amp;" "</f>
        <v xml:space="preserve"> nevel oy  utajärvi kinnusen mylly </v>
      </c>
      <c r="D499" s="242">
        <v>2019</v>
      </c>
      <c r="E499" s="243">
        <v>5.5</v>
      </c>
      <c r="F499" s="243"/>
      <c r="G499" s="247"/>
      <c r="H499" s="267" t="s">
        <v>1958</v>
      </c>
      <c r="I499" s="248" t="s">
        <v>1143</v>
      </c>
      <c r="J499" s="246" t="str" cm="1">
        <f t="array" ref="J499">_xlfn.XLOOKUP(TRUE,ISNUMBER(SEARCH(" "&amp;Municipality[Municipality]&amp;" ",H_unit[[#This Row],[Info string]])),Municipality[Municipality],"")</f>
        <v>Utajärvi</v>
      </c>
      <c r="K499" s="246" t="str" cm="1">
        <f t="array" ref="K499">IF(H_unit[[#This Row],[Exact]]&lt;&gt;"","",_xlfn.XLOOKUP(TRUE,ISNUMBER(SEARCH(" "&amp;Municipality[Municipality]&amp;"n ",H_unit[[#This Row],[Info string]])),Municipality[Municipality],""))</f>
        <v/>
      </c>
      <c r="L499" s="246"/>
      <c r="M499" s="244"/>
      <c r="N499" s="246" t="str">
        <f>_xlfn.TEXTJOIN("",TRUE,H_unit[[#This Row],[Exact]],H_unit[[#This Row],[Exact+n]],H_unit[[#This Row],[Copilot]])</f>
        <v>Utajärvi</v>
      </c>
      <c r="O499" s="246" t="str">
        <f>_xlfn.XLOOKUP(H_unit[[#This Row],[Municipality]],Municipality[Municipality],Municipality[Model],"")</f>
        <v>North</v>
      </c>
      <c r="P499" s="236"/>
    </row>
    <row r="500" spans="1:16">
      <c r="A500" s="238" t="s">
        <v>1478</v>
      </c>
      <c r="B500" s="238" t="s">
        <v>1480</v>
      </c>
      <c r="C500" s="240" t="str" cm="1">
        <f t="array" ref="C500">" "&amp;LOWER(_xlfn.REDUCE(H_unit[[#This Row],[Company]]&amp;" "&amp;H_unit[[#This Row],[Unit]],{",",".","(",")","/"},_xlfn.LAMBDA(_xlpm.txt,_xlpm.delim,SUBSTITUTE(_xlpm.txt,_xlpm.delim," "))))&amp;" "</f>
        <v xml:space="preserve"> adven oy  ylämylly-honkalampi lk279 </v>
      </c>
      <c r="D500" s="242">
        <v>1970</v>
      </c>
      <c r="E500" s="243">
        <v>5.4</v>
      </c>
      <c r="F500" s="243"/>
      <c r="G500" s="247"/>
      <c r="H500" s="267" t="s">
        <v>1436</v>
      </c>
      <c r="I500" s="248" t="s">
        <v>1143</v>
      </c>
      <c r="J500" s="246" t="str" cm="1">
        <f t="array" ref="J500">_xlfn.XLOOKUP(TRUE,ISNUMBER(SEARCH(" "&amp;Municipality[Municipality]&amp;" ",H_unit[[#This Row],[Info string]])),Municipality[Municipality],"")</f>
        <v/>
      </c>
      <c r="K500" s="246" t="str" cm="1">
        <f t="array" ref="K500">IF(H_unit[[#This Row],[Exact]]&lt;&gt;"","",_xlfn.XLOOKUP(TRUE,ISNUMBER(SEARCH(" "&amp;Municipality[Municipality]&amp;"n ",H_unit[[#This Row],[Info string]])),Municipality[Municipality],""))</f>
        <v/>
      </c>
      <c r="L500" s="246" t="s">
        <v>2652</v>
      </c>
      <c r="M500" s="244" t="s">
        <v>2923</v>
      </c>
      <c r="N500" s="246" t="str">
        <f>_xlfn.TEXTJOIN("",TRUE,H_unit[[#This Row],[Exact]],H_unit[[#This Row],[Exact+n]],H_unit[[#This Row],[Copilot]])</f>
        <v>Liperi</v>
      </c>
      <c r="O500" s="246" t="str">
        <f>_xlfn.XLOOKUP(H_unit[[#This Row],[Municipality]],Municipality[Municipality],Municipality[Model],"")</f>
        <v>East</v>
      </c>
      <c r="P500" s="236"/>
    </row>
    <row r="501" spans="1:16">
      <c r="A501" s="238" t="s">
        <v>2168</v>
      </c>
      <c r="B501" s="238" t="s">
        <v>2170</v>
      </c>
      <c r="C501" s="240" t="str" cm="1">
        <f t="array" ref="C501">" "&amp;LOWER(_xlfn.REDUCE(H_unit[[#This Row],[Company]]&amp;" "&amp;H_unit[[#This Row],[Unit]],{",",".","(",")","/"},_xlfn.LAMBDA(_xlpm.txt,_xlpm.delim,SUBSTITUTE(_xlpm.txt,_xlpm.delim," "))))&amp;" "</f>
        <v xml:space="preserve"> someron lämpö oy kuivamaito </v>
      </c>
      <c r="D501" s="242">
        <v>1998</v>
      </c>
      <c r="E501" s="243">
        <v>5.4</v>
      </c>
      <c r="F501" s="243"/>
      <c r="G501" s="247"/>
      <c r="H501" s="267" t="s">
        <v>1439</v>
      </c>
      <c r="I501" s="248" t="s">
        <v>1143</v>
      </c>
      <c r="J501" s="246" t="str" cm="1">
        <f t="array" ref="J501">_xlfn.XLOOKUP(TRUE,ISNUMBER(SEARCH(" "&amp;Municipality[Municipality]&amp;" ",H_unit[[#This Row],[Info string]])),Municipality[Municipality],"")</f>
        <v/>
      </c>
      <c r="K501" s="246" t="str" cm="1">
        <f t="array" ref="K501">IF(H_unit[[#This Row],[Exact]]&lt;&gt;"","",_xlfn.XLOOKUP(TRUE,ISNUMBER(SEARCH(" "&amp;Municipality[Municipality]&amp;"n ",H_unit[[#This Row],[Info string]])),Municipality[Municipality],""))</f>
        <v>Somero</v>
      </c>
      <c r="L501" s="246"/>
      <c r="M501" s="244"/>
      <c r="N501" s="246" t="str">
        <f>_xlfn.TEXTJOIN("",TRUE,H_unit[[#This Row],[Exact]],H_unit[[#This Row],[Exact+n]],H_unit[[#This Row],[Copilot]])</f>
        <v>Somero</v>
      </c>
      <c r="O501" s="246" t="str">
        <f>_xlfn.XLOOKUP(H_unit[[#This Row],[Municipality]],Municipality[Municipality],Municipality[Model],"")</f>
        <v>South West</v>
      </c>
      <c r="P501" s="236"/>
    </row>
    <row r="502" spans="1:16">
      <c r="A502" s="238" t="s">
        <v>2094</v>
      </c>
      <c r="B502" s="238" t="s">
        <v>2097</v>
      </c>
      <c r="C502" s="240" t="str" cm="1">
        <f t="array" ref="C502">" "&amp;LOWER(_xlfn.REDUCE(H_unit[[#This Row],[Company]]&amp;" "&amp;H_unit[[#This Row],[Unit]],{",",".","(",")","/"},_xlfn.LAMBDA(_xlpm.txt,_xlpm.delim,SUBSTITUTE(_xlpm.txt,_xlpm.delim," "))))&amp;" "</f>
        <v xml:space="preserve"> saarijärven kaukolämpö oy kpa1-keskustan laitos </v>
      </c>
      <c r="D502" s="242">
        <v>1988</v>
      </c>
      <c r="E502" s="243">
        <v>5.2</v>
      </c>
      <c r="F502" s="243"/>
      <c r="G502" s="247"/>
      <c r="H502" s="267" t="s">
        <v>1428</v>
      </c>
      <c r="I502" s="248" t="s">
        <v>1143</v>
      </c>
      <c r="J502" s="246" t="str" cm="1">
        <f t="array" ref="J502">_xlfn.XLOOKUP(TRUE,ISNUMBER(SEARCH(" "&amp;Municipality[Municipality]&amp;" ",H_unit[[#This Row],[Info string]])),Municipality[Municipality],"")</f>
        <v/>
      </c>
      <c r="K502" s="246" t="str" cm="1">
        <f t="array" ref="K502">IF(H_unit[[#This Row],[Exact]]&lt;&gt;"","",_xlfn.XLOOKUP(TRUE,ISNUMBER(SEARCH(" "&amp;Municipality[Municipality]&amp;"n ",H_unit[[#This Row],[Info string]])),Municipality[Municipality],""))</f>
        <v/>
      </c>
      <c r="L502" s="246" t="s">
        <v>1680</v>
      </c>
      <c r="M502" s="244" t="s">
        <v>2912</v>
      </c>
      <c r="N502" s="246" t="str">
        <f>_xlfn.TEXTJOIN("",TRUE,H_unit[[#This Row],[Exact]],H_unit[[#This Row],[Exact+n]],H_unit[[#This Row],[Copilot]])</f>
        <v>Saarijärvi</v>
      </c>
      <c r="O502" s="246" t="str">
        <f>_xlfn.XLOOKUP(H_unit[[#This Row],[Municipality]],Municipality[Municipality],Municipality[Model],"")</f>
        <v>Center</v>
      </c>
      <c r="P502" s="236"/>
    </row>
    <row r="503" spans="1:16">
      <c r="A503" s="238" t="s">
        <v>2399</v>
      </c>
      <c r="B503" s="238" t="s">
        <v>2400</v>
      </c>
      <c r="C503" s="240" t="str" cm="1">
        <f t="array" ref="C503">" "&amp;LOWER(_xlfn.REDUCE(H_unit[[#This Row],[Company]]&amp;" "&amp;H_unit[[#This Row],[Unit]],{",",".","(",")","/"},_xlfn.LAMBDA(_xlpm.txt,_xlpm.delim,SUBSTITUTE(_xlpm.txt,_xlpm.delim," "))))&amp;" "</f>
        <v xml:space="preserve"> stora enso publication papers oy ltd  kouvola voimalaitos kokonaisuus </v>
      </c>
      <c r="D503" s="242">
        <v>1972</v>
      </c>
      <c r="E503" s="243">
        <v>5</v>
      </c>
      <c r="F503" s="243">
        <v>168</v>
      </c>
      <c r="G503" s="247"/>
      <c r="H503" s="267" t="s">
        <v>1453</v>
      </c>
      <c r="I503" s="248" t="s">
        <v>2345</v>
      </c>
      <c r="J503" s="246" t="str" cm="1">
        <f t="array" ref="J503">_xlfn.XLOOKUP(TRUE,ISNUMBER(SEARCH(" "&amp;Municipality[Municipality]&amp;" ",H_unit[[#This Row],[Info string]])),Municipality[Municipality],"")</f>
        <v>Kouvola</v>
      </c>
      <c r="K503" s="246" t="str" cm="1">
        <f t="array" ref="K503">IF(H_unit[[#This Row],[Exact]]&lt;&gt;"","",_xlfn.XLOOKUP(TRUE,ISNUMBER(SEARCH(" "&amp;Municipality[Municipality]&amp;"n ",H_unit[[#This Row],[Info string]])),Municipality[Municipality],""))</f>
        <v/>
      </c>
      <c r="L503" s="246"/>
      <c r="M503" s="244"/>
      <c r="N503" s="246" t="str">
        <f>_xlfn.TEXTJOIN("",TRUE,H_unit[[#This Row],[Exact]],H_unit[[#This Row],[Exact+n]],H_unit[[#This Row],[Copilot]])</f>
        <v>Kouvola</v>
      </c>
      <c r="O503" s="246" t="str">
        <f>_xlfn.XLOOKUP(H_unit[[#This Row],[Municipality]],Municipality[Municipality],Municipality[Model],"")</f>
        <v>South East</v>
      </c>
      <c r="P503" s="236"/>
    </row>
    <row r="504" spans="1:16">
      <c r="A504" s="238" t="s">
        <v>1451</v>
      </c>
      <c r="B504" s="238" t="s">
        <v>1452</v>
      </c>
      <c r="C504" s="240" t="str" cm="1">
        <f t="array" ref="C504">" "&amp;LOWER(_xlfn.REDUCE(H_unit[[#This Row],[Company]]&amp;" "&amp;H_unit[[#This Row],[Unit]],{",",".","(",")","/"},_xlfn.LAMBDA(_xlpm.txt,_xlpm.delim,SUBSTITUTE(_xlpm.txt,_xlpm.delim," "))))&amp;" "</f>
        <v xml:space="preserve"> adven oy  nokia  pitkäniemi  lk093 </v>
      </c>
      <c r="D504" s="242">
        <v>1977</v>
      </c>
      <c r="E504" s="243">
        <v>5</v>
      </c>
      <c r="F504" s="243"/>
      <c r="G504" s="247"/>
      <c r="H504" s="267" t="s">
        <v>1453</v>
      </c>
      <c r="I504" s="248" t="s">
        <v>1142</v>
      </c>
      <c r="J504" s="246" t="str" cm="1">
        <f t="array" ref="J504">_xlfn.XLOOKUP(TRUE,ISNUMBER(SEARCH(" "&amp;Municipality[Municipality]&amp;" ",H_unit[[#This Row],[Info string]])),Municipality[Municipality],"")</f>
        <v>Nokia</v>
      </c>
      <c r="K504" s="246" t="str" cm="1">
        <f t="array" ref="K504">IF(H_unit[[#This Row],[Exact]]&lt;&gt;"","",_xlfn.XLOOKUP(TRUE,ISNUMBER(SEARCH(" "&amp;Municipality[Municipality]&amp;"n ",H_unit[[#This Row],[Info string]])),Municipality[Municipality],""))</f>
        <v/>
      </c>
      <c r="L504" s="246"/>
      <c r="M504" s="244"/>
      <c r="N504" s="246" t="str">
        <f>_xlfn.TEXTJOIN("",TRUE,H_unit[[#This Row],[Exact]],H_unit[[#This Row],[Exact+n]],H_unit[[#This Row],[Copilot]])</f>
        <v>Nokia</v>
      </c>
      <c r="O504" s="246" t="str">
        <f>_xlfn.XLOOKUP(H_unit[[#This Row],[Municipality]],Municipality[Municipality],Municipality[Model],"")</f>
        <v>Center</v>
      </c>
      <c r="P504" s="236"/>
    </row>
    <row r="505" spans="1:16">
      <c r="A505" s="238" t="s">
        <v>2130</v>
      </c>
      <c r="B505" s="238" t="s">
        <v>2135</v>
      </c>
      <c r="C505" s="240" t="str" cm="1">
        <f t="array" ref="C505">" "&amp;LOWER(_xlfn.REDUCE(H_unit[[#This Row],[Company]]&amp;" "&amp;H_unit[[#This Row],[Unit]],{",",".","(",")","/"},_xlfn.LAMBDA(_xlpm.txt,_xlpm.delim,SUBSTITUTE(_xlpm.txt,_xlpm.delim," "))))&amp;" "</f>
        <v xml:space="preserve"> savon voima oyj  kiuruvesi dlvl  sepänkatu </v>
      </c>
      <c r="D505" s="242">
        <v>1978</v>
      </c>
      <c r="E505" s="243">
        <v>5</v>
      </c>
      <c r="F505" s="243">
        <v>2</v>
      </c>
      <c r="G505" s="247"/>
      <c r="H505" s="267" t="s">
        <v>1418</v>
      </c>
      <c r="I505" s="248" t="s">
        <v>1443</v>
      </c>
      <c r="J505" s="246" t="str" cm="1">
        <f t="array" ref="J505">_xlfn.XLOOKUP(TRUE,ISNUMBER(SEARCH(" "&amp;Municipality[Municipality]&amp;" ",H_unit[[#This Row],[Info string]])),Municipality[Municipality],"")</f>
        <v>Kiuruvesi</v>
      </c>
      <c r="K505" s="246" t="str" cm="1">
        <f t="array" ref="K505">IF(H_unit[[#This Row],[Exact]]&lt;&gt;"","",_xlfn.XLOOKUP(TRUE,ISNUMBER(SEARCH(" "&amp;Municipality[Municipality]&amp;"n ",H_unit[[#This Row],[Info string]])),Municipality[Municipality],""))</f>
        <v/>
      </c>
      <c r="L505" s="246"/>
      <c r="M505" s="244"/>
      <c r="N505" s="246" t="str">
        <f>_xlfn.TEXTJOIN("",TRUE,H_unit[[#This Row],[Exact]],H_unit[[#This Row],[Exact+n]],H_unit[[#This Row],[Copilot]])</f>
        <v>Kiuruvesi</v>
      </c>
      <c r="O505" s="246" t="str">
        <f>_xlfn.XLOOKUP(H_unit[[#This Row],[Municipality]],Municipality[Municipality],Municipality[Model],"")</f>
        <v>East</v>
      </c>
      <c r="P505" s="236"/>
    </row>
    <row r="506" spans="1:16">
      <c r="A506" s="238" t="s">
        <v>2070</v>
      </c>
      <c r="B506" s="238" t="s">
        <v>2076</v>
      </c>
      <c r="C506" s="240" t="str" cm="1">
        <f t="array" ref="C506">" "&amp;LOWER(_xlfn.REDUCE(H_unit[[#This Row],[Company]]&amp;" "&amp;H_unit[[#This Row],[Unit]],{",",".","(",")","/"},_xlfn.LAMBDA(_xlpm.txt,_xlpm.delim,SUBSTITUTE(_xlpm.txt,_xlpm.delim," "))))&amp;" "</f>
        <v xml:space="preserve"> raseborgs energi ab pojo oljevärmecentral </v>
      </c>
      <c r="D506" s="242">
        <v>1989</v>
      </c>
      <c r="E506" s="243">
        <v>5</v>
      </c>
      <c r="F506" s="243"/>
      <c r="G506" s="247"/>
      <c r="H506" s="267" t="s">
        <v>1430</v>
      </c>
      <c r="I506" s="248" t="s">
        <v>1141</v>
      </c>
      <c r="J506" s="246" t="str" cm="1">
        <f t="array" ref="J506">_xlfn.XLOOKUP(TRUE,ISNUMBER(SEARCH(" "&amp;Municipality[Municipality]&amp;" ",H_unit[[#This Row],[Info string]])),Municipality[Municipality],"")</f>
        <v/>
      </c>
      <c r="K506" s="246" t="str" cm="1">
        <f t="array" ref="K506">IF(H_unit[[#This Row],[Exact]]&lt;&gt;"","",_xlfn.XLOOKUP(TRUE,ISNUMBER(SEARCH(" "&amp;Municipality[Municipality]&amp;"n ",H_unit[[#This Row],[Info string]])),Municipality[Municipality],""))</f>
        <v/>
      </c>
      <c r="L506" s="246" t="s">
        <v>2502</v>
      </c>
      <c r="M506" s="244" t="s">
        <v>2928</v>
      </c>
      <c r="N506" s="246" t="str">
        <f>_xlfn.TEXTJOIN("",TRUE,H_unit[[#This Row],[Exact]],H_unit[[#This Row],[Exact+n]],H_unit[[#This Row],[Copilot]])</f>
        <v>Tammisaari</v>
      </c>
      <c r="O506" s="246" t="str">
        <f>_xlfn.XLOOKUP(H_unit[[#This Row],[Municipality]],Municipality[Municipality],Municipality[Model],"")</f>
        <v>Uusimaa</v>
      </c>
      <c r="P506" s="236"/>
    </row>
    <row r="507" spans="1:16">
      <c r="A507" s="238" t="s">
        <v>1868</v>
      </c>
      <c r="B507" s="238" t="s">
        <v>1871</v>
      </c>
      <c r="C507" s="240" t="str" cm="1">
        <f t="array" ref="C507">" "&amp;LOWER(_xlfn.REDUCE(H_unit[[#This Row],[Company]]&amp;" "&amp;H_unit[[#This Row],[Unit]],{",",".","(",")","/"},_xlfn.LAMBDA(_xlpm.txt,_xlpm.delim,SUBSTITUTE(_xlpm.txt,_xlpm.delim," "))))&amp;" "</f>
        <v xml:space="preserve"> loimua oy  oulainen oulaskangas </v>
      </c>
      <c r="D507" s="242">
        <v>1991</v>
      </c>
      <c r="E507" s="243">
        <v>5</v>
      </c>
      <c r="F507" s="243"/>
      <c r="G507" s="247"/>
      <c r="H507" s="267" t="s">
        <v>1430</v>
      </c>
      <c r="I507" s="248" t="s">
        <v>1141</v>
      </c>
      <c r="J507" s="246" t="str" cm="1">
        <f t="array" ref="J507">_xlfn.XLOOKUP(TRUE,ISNUMBER(SEARCH(" "&amp;Municipality[Municipality]&amp;" ",H_unit[[#This Row],[Info string]])),Municipality[Municipality],"")</f>
        <v>Oulainen</v>
      </c>
      <c r="K507" s="246" t="str" cm="1">
        <f t="array" ref="K507">IF(H_unit[[#This Row],[Exact]]&lt;&gt;"","",_xlfn.XLOOKUP(TRUE,ISNUMBER(SEARCH(" "&amp;Municipality[Municipality]&amp;"n ",H_unit[[#This Row],[Info string]])),Municipality[Municipality],""))</f>
        <v/>
      </c>
      <c r="L507" s="246"/>
      <c r="M507" s="244"/>
      <c r="N507" s="246" t="str">
        <f>_xlfn.TEXTJOIN("",TRUE,H_unit[[#This Row],[Exact]],H_unit[[#This Row],[Exact+n]],H_unit[[#This Row],[Copilot]])</f>
        <v>Oulainen</v>
      </c>
      <c r="O507" s="246" t="str">
        <f>_xlfn.XLOOKUP(H_unit[[#This Row],[Municipality]],Municipality[Municipality],Municipality[Model],"")</f>
        <v>North</v>
      </c>
      <c r="P507" s="236"/>
    </row>
    <row r="508" spans="1:16">
      <c r="A508" s="238" t="s">
        <v>1482</v>
      </c>
      <c r="B508" s="238" t="s">
        <v>1483</v>
      </c>
      <c r="C508" s="240" t="str" cm="1">
        <f t="array" ref="C508">" "&amp;LOWER(_xlfn.REDUCE(H_unit[[#This Row],[Company]]&amp;" "&amp;H_unit[[#This Row],[Unit]],{",",".","(",")","/"},_xlfn.LAMBDA(_xlpm.txt,_xlpm.delim,SUBSTITUTE(_xlpm.txt,_xlpm.delim," "))))&amp;" "</f>
        <v xml:space="preserve"> alajärven lämpö oy alajärvi </v>
      </c>
      <c r="D508" s="242">
        <v>1996</v>
      </c>
      <c r="E508" s="243">
        <v>5</v>
      </c>
      <c r="F508" s="243"/>
      <c r="G508" s="247"/>
      <c r="H508" s="267" t="s">
        <v>1423</v>
      </c>
      <c r="I508" s="248" t="s">
        <v>1143</v>
      </c>
      <c r="J508" s="246" t="str" cm="1">
        <f t="array" ref="J508">_xlfn.XLOOKUP(TRUE,ISNUMBER(SEARCH(" "&amp;Municipality[Municipality]&amp;" ",H_unit[[#This Row],[Info string]])),Municipality[Municipality],"")</f>
        <v>Alajärvi</v>
      </c>
      <c r="K508" s="246" t="str" cm="1">
        <f t="array" ref="K508">IF(H_unit[[#This Row],[Exact]]&lt;&gt;"","",_xlfn.XLOOKUP(TRUE,ISNUMBER(SEARCH(" "&amp;Municipality[Municipality]&amp;"n ",H_unit[[#This Row],[Info string]])),Municipality[Municipality],""))</f>
        <v/>
      </c>
      <c r="L508" s="246"/>
      <c r="M508" s="244"/>
      <c r="N508" s="246" t="str">
        <f>_xlfn.TEXTJOIN("",TRUE,H_unit[[#This Row],[Exact]],H_unit[[#This Row],[Exact+n]],H_unit[[#This Row],[Copilot]])</f>
        <v>Alajärvi</v>
      </c>
      <c r="O508" s="246" t="str">
        <f>_xlfn.XLOOKUP(H_unit[[#This Row],[Municipality]],Municipality[Municipality],Municipality[Model],"")</f>
        <v>West</v>
      </c>
      <c r="P508" s="236"/>
    </row>
    <row r="509" spans="1:16">
      <c r="A509" s="238" t="s">
        <v>1642</v>
      </c>
      <c r="B509" s="238" t="s">
        <v>1648</v>
      </c>
      <c r="C509" s="240" t="str" cm="1">
        <f t="array" ref="C509">" "&amp;LOWER(_xlfn.REDUCE(H_unit[[#This Row],[Company]]&amp;" "&amp;H_unit[[#This Row],[Unit]],{",",".","(",")","/"},_xlfn.LAMBDA(_xlpm.txt,_xlpm.delim,SUBSTITUTE(_xlpm.txt,_xlpm.delim," "))))&amp;" "</f>
        <v xml:space="preserve"> kokemäen lämpö oy sini </v>
      </c>
      <c r="D509" s="242">
        <v>1998</v>
      </c>
      <c r="E509" s="243">
        <v>5</v>
      </c>
      <c r="F509" s="243"/>
      <c r="G509" s="247"/>
      <c r="H509" s="267" t="s">
        <v>1430</v>
      </c>
      <c r="I509" s="248" t="s">
        <v>1141</v>
      </c>
      <c r="J509" s="246" t="str" cm="1">
        <f t="array" ref="J509">_xlfn.XLOOKUP(TRUE,ISNUMBER(SEARCH(" "&amp;Municipality[Municipality]&amp;" ",H_unit[[#This Row],[Info string]])),Municipality[Municipality],"")</f>
        <v/>
      </c>
      <c r="K509" s="246" t="str" cm="1">
        <f t="array" ref="K509">IF(H_unit[[#This Row],[Exact]]&lt;&gt;"","",_xlfn.XLOOKUP(TRUE,ISNUMBER(SEARCH(" "&amp;Municipality[Municipality]&amp;"n ",H_unit[[#This Row],[Info string]])),Municipality[Municipality],""))</f>
        <v/>
      </c>
      <c r="L509" s="246" t="s">
        <v>2619</v>
      </c>
      <c r="M509" s="244" t="s">
        <v>2920</v>
      </c>
      <c r="N509" s="246" t="str">
        <f>_xlfn.TEXTJOIN("",TRUE,H_unit[[#This Row],[Exact]],H_unit[[#This Row],[Exact+n]],H_unit[[#This Row],[Copilot]])</f>
        <v>Kokemäki</v>
      </c>
      <c r="O509" s="246" t="str">
        <f>_xlfn.XLOOKUP(H_unit[[#This Row],[Municipality]],Municipality[Municipality],Municipality[Model],"")</f>
        <v>West</v>
      </c>
      <c r="P509" s="236"/>
    </row>
    <row r="510" spans="1:16">
      <c r="A510" s="238" t="s">
        <v>1440</v>
      </c>
      <c r="B510" s="238" t="s">
        <v>1441</v>
      </c>
      <c r="C510" s="240" t="str" cm="1">
        <f t="array" ref="C510">" "&amp;LOWER(_xlfn.REDUCE(H_unit[[#This Row],[Company]]&amp;" "&amp;H_unit[[#This Row],[Unit]],{",",".","(",")","/"},_xlfn.LAMBDA(_xlpm.txt,_xlpm.delim,SUBSTITUTE(_xlpm.txt,_xlpm.delim," "))))&amp;" "</f>
        <v xml:space="preserve"> adven oy  lappeenranta k21 </v>
      </c>
      <c r="D510" s="242">
        <v>1999</v>
      </c>
      <c r="E510" s="243">
        <v>5</v>
      </c>
      <c r="F510" s="243"/>
      <c r="G510" s="247"/>
      <c r="H510" s="267" t="s">
        <v>1442</v>
      </c>
      <c r="I510" s="248" t="s">
        <v>1443</v>
      </c>
      <c r="J510" s="246" t="str" cm="1">
        <f t="array" ref="J510">_xlfn.XLOOKUP(TRUE,ISNUMBER(SEARCH(" "&amp;Municipality[Municipality]&amp;" ",H_unit[[#This Row],[Info string]])),Municipality[Municipality],"")</f>
        <v>Lappeenranta</v>
      </c>
      <c r="K510" s="246" t="str" cm="1">
        <f t="array" ref="K510">IF(H_unit[[#This Row],[Exact]]&lt;&gt;"","",_xlfn.XLOOKUP(TRUE,ISNUMBER(SEARCH(" "&amp;Municipality[Municipality]&amp;"n ",H_unit[[#This Row],[Info string]])),Municipality[Municipality],""))</f>
        <v/>
      </c>
      <c r="L510" s="246"/>
      <c r="M510" s="244"/>
      <c r="N510" s="246" t="str">
        <f>_xlfn.TEXTJOIN("",TRUE,H_unit[[#This Row],[Exact]],H_unit[[#This Row],[Exact+n]],H_unit[[#This Row],[Copilot]])</f>
        <v>Lappeenranta</v>
      </c>
      <c r="O510" s="246" t="str">
        <f>_xlfn.XLOOKUP(H_unit[[#This Row],[Municipality]],Municipality[Municipality],Municipality[Model],"")</f>
        <v>South East</v>
      </c>
      <c r="P510" s="236"/>
    </row>
    <row r="511" spans="1:16">
      <c r="A511" s="238" t="s">
        <v>2306</v>
      </c>
      <c r="B511" s="238" t="s">
        <v>2307</v>
      </c>
      <c r="C511" s="240" t="str" cm="1">
        <f t="array" ref="C511">" "&amp;LOWER(_xlfn.REDUCE(H_unit[[#This Row],[Company]]&amp;" "&amp;H_unit[[#This Row],[Unit]],{",",".","(",")","/"},_xlfn.LAMBDA(_xlpm.txt,_xlpm.delim,SUBSTITUTE(_xlpm.txt,_xlpm.delim," "))))&amp;" "</f>
        <v xml:space="preserve"> kerienergia oy kerienergian kpa-laitos </v>
      </c>
      <c r="D511" s="242">
        <v>2000</v>
      </c>
      <c r="E511" s="243">
        <v>5</v>
      </c>
      <c r="F511" s="243"/>
      <c r="G511" s="247"/>
      <c r="H511" s="267" t="s">
        <v>1439</v>
      </c>
      <c r="I511" s="248" t="s">
        <v>1143</v>
      </c>
      <c r="J511" s="246" t="str" cm="1">
        <f t="array" ref="J511">_xlfn.XLOOKUP(TRUE,ISNUMBER(SEARCH(" "&amp;Municipality[Municipality]&amp;" ",H_unit[[#This Row],[Info string]])),Municipality[Municipality],"")</f>
        <v/>
      </c>
      <c r="K511" s="246" t="str" cm="1">
        <f t="array" ref="K511">IF(H_unit[[#This Row],[Exact]]&lt;&gt;"","",_xlfn.XLOOKUP(TRUE,ISNUMBER(SEARCH(" "&amp;Municipality[Municipality]&amp;"n ",H_unit[[#This Row],[Info string]])),Municipality[Municipality],""))</f>
        <v/>
      </c>
      <c r="L511" s="246"/>
      <c r="M511" s="244"/>
      <c r="N511" s="246" t="str">
        <f>_xlfn.TEXTJOIN("",TRUE,H_unit[[#This Row],[Exact]],H_unit[[#This Row],[Exact+n]],H_unit[[#This Row],[Copilot]])</f>
        <v/>
      </c>
      <c r="O511" s="246" t="str">
        <f>_xlfn.XLOOKUP(H_unit[[#This Row],[Municipality]],Municipality[Municipality],Municipality[Model],"")</f>
        <v/>
      </c>
      <c r="P511" s="236"/>
    </row>
    <row r="512" spans="1:16">
      <c r="A512" s="238" t="s">
        <v>1746</v>
      </c>
      <c r="B512" s="238" t="s">
        <v>1748</v>
      </c>
      <c r="C512" s="240" t="str" cm="1">
        <f t="array" ref="C512">" "&amp;LOWER(_xlfn.REDUCE(H_unit[[#This Row],[Company]]&amp;" "&amp;H_unit[[#This Row],[Unit]],{",",".","(",")","/"},_xlfn.LAMBDA(_xlpm.txt,_xlpm.delim,SUBSTITUTE(_xlpm.txt,_xlpm.delim," "))))&amp;" "</f>
        <v xml:space="preserve"> laihian nuuka lämpö oy pok </v>
      </c>
      <c r="D512" s="242">
        <v>2002</v>
      </c>
      <c r="E512" s="243">
        <v>5</v>
      </c>
      <c r="F512" s="243"/>
      <c r="G512" s="247"/>
      <c r="H512" s="267" t="s">
        <v>1430</v>
      </c>
      <c r="I512" s="248" t="s">
        <v>1141</v>
      </c>
      <c r="J512" s="246" t="str" cm="1">
        <f t="array" ref="J512">_xlfn.XLOOKUP(TRUE,ISNUMBER(SEARCH(" "&amp;Municipality[Municipality]&amp;" ",H_unit[[#This Row],[Info string]])),Municipality[Municipality],"")</f>
        <v/>
      </c>
      <c r="K512" s="246" t="str" cm="1">
        <f t="array" ref="K512">IF(H_unit[[#This Row],[Exact]]&lt;&gt;"","",_xlfn.XLOOKUP(TRUE,ISNUMBER(SEARCH(" "&amp;Municipality[Municipality]&amp;"n ",H_unit[[#This Row],[Info string]])),Municipality[Municipality],""))</f>
        <v>Laihia</v>
      </c>
      <c r="L512" s="246"/>
      <c r="M512" s="244"/>
      <c r="N512" s="246" t="str">
        <f>_xlfn.TEXTJOIN("",TRUE,H_unit[[#This Row],[Exact]],H_unit[[#This Row],[Exact+n]],H_unit[[#This Row],[Copilot]])</f>
        <v>Laihia</v>
      </c>
      <c r="O512" s="246" t="str">
        <f>_xlfn.XLOOKUP(H_unit[[#This Row],[Municipality]],Municipality[Municipality],Municipality[Model],"")</f>
        <v>West</v>
      </c>
      <c r="P512" s="236"/>
    </row>
    <row r="513" spans="1:16">
      <c r="A513" s="238" t="s">
        <v>1974</v>
      </c>
      <c r="B513" s="238" t="s">
        <v>1975</v>
      </c>
      <c r="C513" s="240" t="str" cm="1">
        <f t="array" ref="C513">" "&amp;LOWER(_xlfn.REDUCE(H_unit[[#This Row],[Company]]&amp;" "&amp;H_unit[[#This Row],[Unit]],{",",".","(",")","/"},_xlfn.LAMBDA(_xlpm.txt,_xlpm.delim,SUBSTITUTE(_xlpm.txt,_xlpm.delim," "))))&amp;" "</f>
        <v xml:space="preserve"> nurmeksen lämpö oy ritoniemi </v>
      </c>
      <c r="D513" s="242">
        <v>2003</v>
      </c>
      <c r="E513" s="243">
        <v>5</v>
      </c>
      <c r="F513" s="243"/>
      <c r="G513" s="247"/>
      <c r="H513" s="267" t="s">
        <v>1439</v>
      </c>
      <c r="I513" s="248" t="s">
        <v>1143</v>
      </c>
      <c r="J513" s="246" t="str" cm="1">
        <f t="array" ref="J513">_xlfn.XLOOKUP(TRUE,ISNUMBER(SEARCH(" "&amp;Municipality[Municipality]&amp;" ",H_unit[[#This Row],[Info string]])),Municipality[Municipality],"")</f>
        <v/>
      </c>
      <c r="K513" s="246" t="str" cm="1">
        <f t="array" ref="K513">IF(H_unit[[#This Row],[Exact]]&lt;&gt;"","",_xlfn.XLOOKUP(TRUE,ISNUMBER(SEARCH(" "&amp;Municipality[Municipality]&amp;"n ",H_unit[[#This Row],[Info string]])),Municipality[Municipality],""))</f>
        <v/>
      </c>
      <c r="L513" s="246" t="s">
        <v>2694</v>
      </c>
      <c r="M513" s="244" t="s">
        <v>2902</v>
      </c>
      <c r="N513" s="246" t="str">
        <f>_xlfn.TEXTJOIN("",TRUE,H_unit[[#This Row],[Exact]],H_unit[[#This Row],[Exact+n]],H_unit[[#This Row],[Copilot]])</f>
        <v>Nurmes</v>
      </c>
      <c r="O513" s="246" t="str">
        <f>_xlfn.XLOOKUP(H_unit[[#This Row],[Municipality]],Municipality[Municipality],Municipality[Model],"")</f>
        <v>East</v>
      </c>
      <c r="P513" s="236"/>
    </row>
    <row r="514" spans="1:16">
      <c r="A514" s="238" t="s">
        <v>1440</v>
      </c>
      <c r="B514" s="238" t="s">
        <v>1444</v>
      </c>
      <c r="C514" s="240" t="str" cm="1">
        <f t="array" ref="C514">" "&amp;LOWER(_xlfn.REDUCE(H_unit[[#This Row],[Company]]&amp;" "&amp;H_unit[[#This Row],[Unit]],{",",".","(",")","/"},_xlfn.LAMBDA(_xlpm.txt,_xlpm.delim,SUBSTITUTE(_xlpm.txt,_xlpm.delim," "))))&amp;" "</f>
        <v xml:space="preserve"> adven oy  lappeenranta joutsenon voimalaitos </v>
      </c>
      <c r="D514" s="242">
        <v>2006</v>
      </c>
      <c r="E514" s="243">
        <v>5</v>
      </c>
      <c r="F514" s="243">
        <v>4.5</v>
      </c>
      <c r="G514" s="247"/>
      <c r="H514" s="267" t="s">
        <v>1442</v>
      </c>
      <c r="I514" s="248" t="s">
        <v>1443</v>
      </c>
      <c r="J514" s="246" t="str" cm="1">
        <f t="array" ref="J514">_xlfn.XLOOKUP(TRUE,ISNUMBER(SEARCH(" "&amp;Municipality[Municipality]&amp;" ",H_unit[[#This Row],[Info string]])),Municipality[Municipality],"")</f>
        <v>Lappeenranta</v>
      </c>
      <c r="K514" s="246" t="str" cm="1">
        <f t="array" ref="K514">IF(H_unit[[#This Row],[Exact]]&lt;&gt;"","",_xlfn.XLOOKUP(TRUE,ISNUMBER(SEARCH(" "&amp;Municipality[Municipality]&amp;"n ",H_unit[[#This Row],[Info string]])),Municipality[Municipality],""))</f>
        <v/>
      </c>
      <c r="L514" s="246"/>
      <c r="M514" s="244"/>
      <c r="N514" s="246" t="str">
        <f>_xlfn.TEXTJOIN("",TRUE,H_unit[[#This Row],[Exact]],H_unit[[#This Row],[Exact+n]],H_unit[[#This Row],[Copilot]])</f>
        <v>Lappeenranta</v>
      </c>
      <c r="O514" s="246" t="str">
        <f>_xlfn.XLOOKUP(H_unit[[#This Row],[Municipality]],Municipality[Municipality],Municipality[Model],"")</f>
        <v>South East</v>
      </c>
      <c r="P514" s="236"/>
    </row>
    <row r="515" spans="1:16">
      <c r="A515" s="238" t="s">
        <v>2422</v>
      </c>
      <c r="B515" s="238" t="s">
        <v>2425</v>
      </c>
      <c r="C515" s="240" t="str" cm="1">
        <f t="array" ref="C515">" "&amp;LOWER(_xlfn.REDUCE(H_unit[[#This Row],[Company]]&amp;" "&amp;H_unit[[#This Row],[Unit]],{",",".","(",")","/"},_xlfn.LAMBDA(_xlpm.txt,_xlpm.delim,SUBSTITUTE(_xlpm.txt,_xlpm.delim," "))))&amp;" "</f>
        <v xml:space="preserve"> versowood oy 5 mw biokattila </v>
      </c>
      <c r="D515" s="242">
        <v>2007</v>
      </c>
      <c r="E515" s="243">
        <v>5</v>
      </c>
      <c r="F515" s="243"/>
      <c r="G515" s="247"/>
      <c r="H515" s="267" t="s">
        <v>1439</v>
      </c>
      <c r="I515" s="248" t="s">
        <v>1143</v>
      </c>
      <c r="J515" s="246" t="str" cm="1">
        <f t="array" ref="J515">_xlfn.XLOOKUP(TRUE,ISNUMBER(SEARCH(" "&amp;Municipality[Municipality]&amp;" ",H_unit[[#This Row],[Info string]])),Municipality[Municipality],"")</f>
        <v/>
      </c>
      <c r="K515" s="246" t="str" cm="1">
        <f t="array" ref="K515">IF(H_unit[[#This Row],[Exact]]&lt;&gt;"","",_xlfn.XLOOKUP(TRUE,ISNUMBER(SEARCH(" "&amp;Municipality[Municipality]&amp;"n ",H_unit[[#This Row],[Info string]])),Municipality[Municipality],""))</f>
        <v/>
      </c>
      <c r="L515" s="246"/>
      <c r="M515" s="244"/>
      <c r="N515" s="246" t="str">
        <f>_xlfn.TEXTJOIN("",TRUE,H_unit[[#This Row],[Exact]],H_unit[[#This Row],[Exact+n]],H_unit[[#This Row],[Copilot]])</f>
        <v/>
      </c>
      <c r="O515" s="246" t="str">
        <f>_xlfn.XLOOKUP(H_unit[[#This Row],[Municipality]],Municipality[Municipality],Municipality[Model],"")</f>
        <v/>
      </c>
      <c r="P515" s="236"/>
    </row>
    <row r="516" spans="1:16">
      <c r="A516" s="238" t="s">
        <v>1920</v>
      </c>
      <c r="B516" s="238" t="s">
        <v>1925</v>
      </c>
      <c r="C516" s="240" t="str" cm="1">
        <f t="array" ref="C516">" "&amp;LOWER(_xlfn.REDUCE(H_unit[[#This Row],[Company]]&amp;" "&amp;H_unit[[#This Row],[Unit]],{",",".","(",")","/"},_xlfn.LAMBDA(_xlpm.txt,_xlpm.delim,SUBSTITUTE(_xlpm.txt,_xlpm.delim," "))))&amp;" "</f>
        <v xml:space="preserve"> nevel oy  lieksa voimalaitos bio </v>
      </c>
      <c r="D516" s="242">
        <v>2008</v>
      </c>
      <c r="E516" s="243">
        <v>5</v>
      </c>
      <c r="F516" s="243"/>
      <c r="G516" s="247"/>
      <c r="H516" s="267" t="s">
        <v>1439</v>
      </c>
      <c r="I516" s="248" t="s">
        <v>1143</v>
      </c>
      <c r="J516" s="246" t="str" cm="1">
        <f t="array" ref="J516">_xlfn.XLOOKUP(TRUE,ISNUMBER(SEARCH(" "&amp;Municipality[Municipality]&amp;" ",H_unit[[#This Row],[Info string]])),Municipality[Municipality],"")</f>
        <v>Lieksa</v>
      </c>
      <c r="K516" s="246" t="str" cm="1">
        <f t="array" ref="K516">IF(H_unit[[#This Row],[Exact]]&lt;&gt;"","",_xlfn.XLOOKUP(TRUE,ISNUMBER(SEARCH(" "&amp;Municipality[Municipality]&amp;"n ",H_unit[[#This Row],[Info string]])),Municipality[Municipality],""))</f>
        <v/>
      </c>
      <c r="L516" s="246"/>
      <c r="M516" s="244"/>
      <c r="N516" s="246" t="str">
        <f>_xlfn.TEXTJOIN("",TRUE,H_unit[[#This Row],[Exact]],H_unit[[#This Row],[Exact+n]],H_unit[[#This Row],[Copilot]])</f>
        <v>Lieksa</v>
      </c>
      <c r="O516" s="246" t="str">
        <f>_xlfn.XLOOKUP(H_unit[[#This Row],[Municipality]],Municipality[Municipality],Municipality[Model],"")</f>
        <v>East</v>
      </c>
      <c r="P516" s="236"/>
    </row>
    <row r="517" spans="1:16">
      <c r="A517" s="238" t="s">
        <v>1927</v>
      </c>
      <c r="B517" s="238" t="s">
        <v>1929</v>
      </c>
      <c r="C517" s="240" t="str" cm="1">
        <f t="array" ref="C517">" "&amp;LOWER(_xlfn.REDUCE(H_unit[[#This Row],[Company]]&amp;" "&amp;H_unit[[#This Row],[Unit]],{",",".","(",")","/"},_xlfn.LAMBDA(_xlpm.txt,_xlpm.delim,SUBSTITUTE(_xlpm.txt,_xlpm.delim," "))))&amp;" "</f>
        <v xml:space="preserve"> nevel oy  mynämäki mynämäki pok </v>
      </c>
      <c r="D517" s="242">
        <v>2008</v>
      </c>
      <c r="E517" s="243">
        <v>5</v>
      </c>
      <c r="F517" s="243"/>
      <c r="G517" s="247"/>
      <c r="H517" s="267" t="s">
        <v>1430</v>
      </c>
      <c r="I517" s="248" t="s">
        <v>1141</v>
      </c>
      <c r="J517" s="246" t="str" cm="1">
        <f t="array" ref="J517">_xlfn.XLOOKUP(TRUE,ISNUMBER(SEARCH(" "&amp;Municipality[Municipality]&amp;" ",H_unit[[#This Row],[Info string]])),Municipality[Municipality],"")</f>
        <v>Mynämäki</v>
      </c>
      <c r="K517" s="246" t="str" cm="1">
        <f t="array" ref="K517">IF(H_unit[[#This Row],[Exact]]&lt;&gt;"","",_xlfn.XLOOKUP(TRUE,ISNUMBER(SEARCH(" "&amp;Municipality[Municipality]&amp;"n ",H_unit[[#This Row],[Info string]])),Municipality[Municipality],""))</f>
        <v/>
      </c>
      <c r="L517" s="246"/>
      <c r="M517" s="244"/>
      <c r="N517" s="246" t="str">
        <f>_xlfn.TEXTJOIN("",TRUE,H_unit[[#This Row],[Exact]],H_unit[[#This Row],[Exact+n]],H_unit[[#This Row],[Copilot]])</f>
        <v>Mynämäki</v>
      </c>
      <c r="O517" s="246" t="str">
        <f>_xlfn.XLOOKUP(H_unit[[#This Row],[Municipality]],Municipality[Municipality],Municipality[Model],"")</f>
        <v>South West</v>
      </c>
      <c r="P517" s="236"/>
    </row>
    <row r="518" spans="1:16">
      <c r="A518" s="238" t="s">
        <v>1576</v>
      </c>
      <c r="B518" s="238" t="s">
        <v>1578</v>
      </c>
      <c r="C518" s="240" t="str" cm="1">
        <f t="array" ref="C518">" "&amp;LOWER(_xlfn.REDUCE(H_unit[[#This Row],[Company]]&amp;" "&amp;H_unit[[#This Row],[Unit]],{",",".","(",")","/"},_xlfn.LAMBDA(_xlpm.txt,_xlpm.delim,SUBSTITUTE(_xlpm.txt,_xlpm.delim," "))))&amp;" "</f>
        <v xml:space="preserve"> kannuksen kaukolämpö oy biokattilalaitos </v>
      </c>
      <c r="D518" s="242">
        <v>2009</v>
      </c>
      <c r="E518" s="243">
        <v>5</v>
      </c>
      <c r="F518" s="243"/>
      <c r="G518" s="247"/>
      <c r="H518" s="267" t="s">
        <v>1423</v>
      </c>
      <c r="I518" s="248" t="s">
        <v>1143</v>
      </c>
      <c r="J518" s="246" t="str" cm="1">
        <f t="array" ref="J518">_xlfn.XLOOKUP(TRUE,ISNUMBER(SEARCH(" "&amp;Municipality[Municipality]&amp;" ",H_unit[[#This Row],[Info string]])),Municipality[Municipality],"")</f>
        <v/>
      </c>
      <c r="K518" s="246" t="str" cm="1">
        <f t="array" ref="K518">IF(H_unit[[#This Row],[Exact]]&lt;&gt;"","",_xlfn.XLOOKUP(TRUE,ISNUMBER(SEARCH(" "&amp;Municipality[Municipality]&amp;"n ",H_unit[[#This Row],[Info string]])),Municipality[Municipality],""))</f>
        <v/>
      </c>
      <c r="L518" s="246" t="s">
        <v>674</v>
      </c>
      <c r="M518" s="244" t="s">
        <v>2924</v>
      </c>
      <c r="N518" s="246" t="str">
        <f>_xlfn.TEXTJOIN("",TRUE,H_unit[[#This Row],[Exact]],H_unit[[#This Row],[Exact+n]],H_unit[[#This Row],[Copilot]])</f>
        <v>Kannus</v>
      </c>
      <c r="O518" s="246" t="str">
        <f>_xlfn.XLOOKUP(H_unit[[#This Row],[Municipality]],Municipality[Municipality],Municipality[Model],"")</f>
        <v>West</v>
      </c>
      <c r="P518" s="236"/>
    </row>
    <row r="519" spans="1:16">
      <c r="A519" s="238" t="s">
        <v>2363</v>
      </c>
      <c r="B519" s="238" t="s">
        <v>2364</v>
      </c>
      <c r="C519" s="240" t="str" cm="1">
        <f t="array" ref="C519">" "&amp;LOWER(_xlfn.REDUCE(H_unit[[#This Row],[Company]]&amp;" "&amp;H_unit[[#This Row],[Unit]],{",",".","(",")","/"},_xlfn.LAMBDA(_xlpm.txt,_xlpm.delim,SUBSTITUTE(_xlpm.txt,_xlpm.delim," "))))&amp;" "</f>
        <v xml:space="preserve"> pansion lämpö avoin yhtiö pansion lämpö  </v>
      </c>
      <c r="D519" s="242">
        <v>2010</v>
      </c>
      <c r="E519" s="243">
        <v>5</v>
      </c>
      <c r="F519" s="243"/>
      <c r="G519" s="247"/>
      <c r="H519" s="267" t="s">
        <v>1423</v>
      </c>
      <c r="I519" s="248" t="s">
        <v>1143</v>
      </c>
      <c r="J519" s="246" t="str" cm="1">
        <f t="array" ref="J519">_xlfn.XLOOKUP(TRUE,ISNUMBER(SEARCH(" "&amp;Municipality[Municipality]&amp;" ",H_unit[[#This Row],[Info string]])),Municipality[Municipality],"")</f>
        <v/>
      </c>
      <c r="K519" s="246" t="str" cm="1">
        <f t="array" ref="K519">IF(H_unit[[#This Row],[Exact]]&lt;&gt;"","",_xlfn.XLOOKUP(TRUE,ISNUMBER(SEARCH(" "&amp;Municipality[Municipality]&amp;"n ",H_unit[[#This Row],[Info string]])),Municipality[Municipality],""))</f>
        <v/>
      </c>
      <c r="L519" s="246" t="s">
        <v>2855</v>
      </c>
      <c r="M519" s="244" t="s">
        <v>2901</v>
      </c>
      <c r="N519" s="246" t="str">
        <f>_xlfn.TEXTJOIN("",TRUE,H_unit[[#This Row],[Exact]],H_unit[[#This Row],[Exact+n]],H_unit[[#This Row],[Copilot]])</f>
        <v>Turku</v>
      </c>
      <c r="O519" s="246" t="str">
        <f>_xlfn.XLOOKUP(H_unit[[#This Row],[Municipality]],Municipality[Municipality],Municipality[Model],"")</f>
        <v>South West</v>
      </c>
      <c r="P519" s="236"/>
    </row>
    <row r="520" spans="1:16">
      <c r="A520" s="238" t="s">
        <v>1633</v>
      </c>
      <c r="B520" s="238" t="s">
        <v>1636</v>
      </c>
      <c r="C520" s="240" t="str" cm="1">
        <f t="array" ref="C520">" "&amp;LOWER(_xlfn.REDUCE(H_unit[[#This Row],[Company]]&amp;" "&amp;H_unit[[#This Row],[Unit]],{",",".","(",")","/"},_xlfn.LAMBDA(_xlpm.txt,_xlpm.delim,SUBSTITUTE(_xlpm.txt,_xlpm.delim," "))))&amp;" "</f>
        <v xml:space="preserve"> kiteen lämpö oy selkue kpa </v>
      </c>
      <c r="D520" s="242">
        <v>2011</v>
      </c>
      <c r="E520" s="243">
        <v>5</v>
      </c>
      <c r="F520" s="243"/>
      <c r="G520" s="247"/>
      <c r="H520" s="267" t="s">
        <v>1423</v>
      </c>
      <c r="I520" s="248" t="s">
        <v>1143</v>
      </c>
      <c r="J520" s="246" t="str" cm="1">
        <f t="array" ref="J520">_xlfn.XLOOKUP(TRUE,ISNUMBER(SEARCH(" "&amp;Municipality[Municipality]&amp;" ",H_unit[[#This Row],[Info string]])),Municipality[Municipality],"")</f>
        <v/>
      </c>
      <c r="K520" s="246" t="str" cm="1">
        <f t="array" ref="K520">IF(H_unit[[#This Row],[Exact]]&lt;&gt;"","",_xlfn.XLOOKUP(TRUE,ISNUMBER(SEARCH(" "&amp;Municipality[Municipality]&amp;"n ",H_unit[[#This Row],[Info string]])),Municipality[Municipality],""))</f>
        <v>Kitee</v>
      </c>
      <c r="L520" s="246"/>
      <c r="M520" s="244"/>
      <c r="N520" s="246" t="str">
        <f>_xlfn.TEXTJOIN("",TRUE,H_unit[[#This Row],[Exact]],H_unit[[#This Row],[Exact+n]],H_unit[[#This Row],[Copilot]])</f>
        <v>Kitee</v>
      </c>
      <c r="O520" s="246" t="str">
        <f>_xlfn.XLOOKUP(H_unit[[#This Row],[Municipality]],Municipality[Municipality],Municipality[Model],"")</f>
        <v>East</v>
      </c>
      <c r="P520" s="236"/>
    </row>
    <row r="521" spans="1:16">
      <c r="A521" s="238" t="s">
        <v>2038</v>
      </c>
      <c r="B521" s="238" t="s">
        <v>2041</v>
      </c>
      <c r="C521" s="240" t="str" cm="1">
        <f t="array" ref="C521">" "&amp;LOWER(_xlfn.REDUCE(H_unit[[#This Row],[Company]]&amp;" "&amp;H_unit[[#This Row],[Unit]],{",",".","(",")","/"},_xlfn.LAMBDA(_xlpm.txt,_xlpm.delim,SUBSTITUTE(_xlpm.txt,_xlpm.delim," "))))&amp;" "</f>
        <v xml:space="preserve"> pori energia oy  harjavalta harjavalta 3 </v>
      </c>
      <c r="D521" s="242">
        <v>2012</v>
      </c>
      <c r="E521" s="243">
        <v>5</v>
      </c>
      <c r="F521" s="243"/>
      <c r="G521" s="247"/>
      <c r="H521" s="267" t="s">
        <v>1430</v>
      </c>
      <c r="I521" s="248" t="s">
        <v>1141</v>
      </c>
      <c r="J521" s="246" t="str" cm="1">
        <f t="array" ref="J521">_xlfn.XLOOKUP(TRUE,ISNUMBER(SEARCH(" "&amp;Municipality[Municipality]&amp;" ",H_unit[[#This Row],[Info string]])),Municipality[Municipality],"")</f>
        <v>Pori</v>
      </c>
      <c r="K521" s="246" t="str" cm="1">
        <f t="array" ref="K521">IF(H_unit[[#This Row],[Exact]]&lt;&gt;"","",_xlfn.XLOOKUP(TRUE,ISNUMBER(SEARCH(" "&amp;Municipality[Municipality]&amp;"n ",H_unit[[#This Row],[Info string]])),Municipality[Municipality],""))</f>
        <v/>
      </c>
      <c r="L521" s="246"/>
      <c r="M521" s="244"/>
      <c r="N521" s="246" t="str">
        <f>_xlfn.TEXTJOIN("",TRUE,H_unit[[#This Row],[Exact]],H_unit[[#This Row],[Exact+n]],H_unit[[#This Row],[Copilot]])</f>
        <v>Pori</v>
      </c>
      <c r="O521" s="246" t="str">
        <f>_xlfn.XLOOKUP(H_unit[[#This Row],[Municipality]],Municipality[Municipality],Municipality[Model],"")</f>
        <v>West</v>
      </c>
      <c r="P521" s="236"/>
    </row>
    <row r="522" spans="1:16">
      <c r="A522" s="238" t="s">
        <v>1555</v>
      </c>
      <c r="B522" s="238" t="s">
        <v>1557</v>
      </c>
      <c r="C522" s="240" t="str" cm="1">
        <f t="array" ref="C522">" "&amp;LOWER(_xlfn.REDUCE(H_unit[[#This Row],[Company]]&amp;" "&amp;H_unit[[#This Row],[Unit]],{",",".","(",")","/"},_xlfn.LAMBDA(_xlpm.txt,_xlpm.delim,SUBSTITUTE(_xlpm.txt,_xlpm.delim," "))))&amp;" "</f>
        <v xml:space="preserve"> juuan kaukolämpö oy juuan lämpökeskus 2 </v>
      </c>
      <c r="D522" s="242">
        <v>2014</v>
      </c>
      <c r="E522" s="243">
        <v>5</v>
      </c>
      <c r="F522" s="243"/>
      <c r="G522" s="247"/>
      <c r="H522" s="267" t="s">
        <v>1430</v>
      </c>
      <c r="I522" s="248" t="s">
        <v>1141</v>
      </c>
      <c r="J522" s="246" t="str" cm="1">
        <f t="array" ref="J522">_xlfn.XLOOKUP(TRUE,ISNUMBER(SEARCH(" "&amp;Municipality[Municipality]&amp;" ",H_unit[[#This Row],[Info string]])),Municipality[Municipality],"")</f>
        <v/>
      </c>
      <c r="K522" s="246" t="str" cm="1">
        <f t="array" ref="K522">IF(H_unit[[#This Row],[Exact]]&lt;&gt;"","",_xlfn.XLOOKUP(TRUE,ISNUMBER(SEARCH(" "&amp;Municipality[Municipality]&amp;"n ",H_unit[[#This Row],[Info string]])),Municipality[Municipality],""))</f>
        <v/>
      </c>
      <c r="L522" s="246" t="s">
        <v>2553</v>
      </c>
      <c r="M522" s="244" t="s">
        <v>2910</v>
      </c>
      <c r="N522" s="246" t="str">
        <f>_xlfn.TEXTJOIN("",TRUE,H_unit[[#This Row],[Exact]],H_unit[[#This Row],[Exact+n]],H_unit[[#This Row],[Copilot]])</f>
        <v>Juuka</v>
      </c>
      <c r="O522" s="246" t="str">
        <f>_xlfn.XLOOKUP(H_unit[[#This Row],[Municipality]],Municipality[Municipality],Municipality[Model],"")</f>
        <v>East</v>
      </c>
      <c r="P522" s="236"/>
    </row>
    <row r="523" spans="1:16">
      <c r="A523" s="238" t="s">
        <v>1642</v>
      </c>
      <c r="B523" s="238" t="s">
        <v>1646</v>
      </c>
      <c r="C523" s="240" t="str" cm="1">
        <f t="array" ref="C523">" "&amp;LOWER(_xlfn.REDUCE(H_unit[[#This Row],[Company]]&amp;" "&amp;H_unit[[#This Row],[Unit]],{",",".","(",")","/"},_xlfn.LAMBDA(_xlpm.txt,_xlpm.delim,SUBSTITUTE(_xlpm.txt,_xlpm.delim," "))))&amp;" "</f>
        <v xml:space="preserve"> kokemäen lämpö oy perunakatu 1  k5 </v>
      </c>
      <c r="D523" s="242">
        <v>2014</v>
      </c>
      <c r="E523" s="243">
        <v>5</v>
      </c>
      <c r="F523" s="243"/>
      <c r="G523" s="247"/>
      <c r="H523" s="267" t="s">
        <v>1423</v>
      </c>
      <c r="I523" s="248" t="s">
        <v>1143</v>
      </c>
      <c r="J523" s="246" t="str" cm="1">
        <f t="array" ref="J523">_xlfn.XLOOKUP(TRUE,ISNUMBER(SEARCH(" "&amp;Municipality[Municipality]&amp;" ",H_unit[[#This Row],[Info string]])),Municipality[Municipality],"")</f>
        <v/>
      </c>
      <c r="K523" s="246" t="str" cm="1">
        <f t="array" ref="K523">IF(H_unit[[#This Row],[Exact]]&lt;&gt;"","",_xlfn.XLOOKUP(TRUE,ISNUMBER(SEARCH(" "&amp;Municipality[Municipality]&amp;"n ",H_unit[[#This Row],[Info string]])),Municipality[Municipality],""))</f>
        <v/>
      </c>
      <c r="L523" s="246" t="s">
        <v>2619</v>
      </c>
      <c r="M523" s="244" t="s">
        <v>2920</v>
      </c>
      <c r="N523" s="246" t="str">
        <f>_xlfn.TEXTJOIN("",TRUE,H_unit[[#This Row],[Exact]],H_unit[[#This Row],[Exact+n]],H_unit[[#This Row],[Copilot]])</f>
        <v>Kokemäki</v>
      </c>
      <c r="O523" s="246" t="str">
        <f>_xlfn.XLOOKUP(H_unit[[#This Row],[Municipality]],Municipality[Municipality],Municipality[Model],"")</f>
        <v>West</v>
      </c>
      <c r="P523" s="236"/>
    </row>
    <row r="524" spans="1:16">
      <c r="A524" s="238" t="s">
        <v>2126</v>
      </c>
      <c r="B524" s="238" t="s">
        <v>2129</v>
      </c>
      <c r="C524" s="240" t="str" cm="1">
        <f t="array" ref="C524">" "&amp;LOWER(_xlfn.REDUCE(H_unit[[#This Row],[Company]]&amp;" "&amp;H_unit[[#This Row],[Unit]],{",",".","(",")","/"},_xlfn.LAMBDA(_xlpm.txt,_xlpm.delim,SUBSTITUTE(_xlpm.txt,_xlpm.delim," "))))&amp;" "</f>
        <v xml:space="preserve"> savon voima oyj  joroinen lk115 </v>
      </c>
      <c r="D524" s="242">
        <v>2015</v>
      </c>
      <c r="E524" s="243">
        <v>5</v>
      </c>
      <c r="F524" s="243"/>
      <c r="G524" s="247"/>
      <c r="H524" s="267" t="s">
        <v>1436</v>
      </c>
      <c r="I524" s="248" t="s">
        <v>1143</v>
      </c>
      <c r="J524" s="246" t="str" cm="1">
        <f t="array" ref="J524">_xlfn.XLOOKUP(TRUE,ISNUMBER(SEARCH(" "&amp;Municipality[Municipality]&amp;" ",H_unit[[#This Row],[Info string]])),Municipality[Municipality],"")</f>
        <v>Joroinen</v>
      </c>
      <c r="K524" s="246" t="str" cm="1">
        <f t="array" ref="K524">IF(H_unit[[#This Row],[Exact]]&lt;&gt;"","",_xlfn.XLOOKUP(TRUE,ISNUMBER(SEARCH(" "&amp;Municipality[Municipality]&amp;"n ",H_unit[[#This Row],[Info string]])),Municipality[Municipality],""))</f>
        <v/>
      </c>
      <c r="L524" s="246"/>
      <c r="M524" s="244"/>
      <c r="N524" s="246" t="str">
        <f>_xlfn.TEXTJOIN("",TRUE,H_unit[[#This Row],[Exact]],H_unit[[#This Row],[Exact+n]],H_unit[[#This Row],[Copilot]])</f>
        <v>Joroinen</v>
      </c>
      <c r="O524" s="246" t="str">
        <f>_xlfn.XLOOKUP(H_unit[[#This Row],[Municipality]],Municipality[Municipality],Municipality[Model],"")</f>
        <v>East</v>
      </c>
      <c r="P524" s="236"/>
    </row>
    <row r="525" spans="1:16">
      <c r="A525" s="238" t="s">
        <v>2406</v>
      </c>
      <c r="B525" s="238" t="s">
        <v>2407</v>
      </c>
      <c r="C525" s="240" t="str" cm="1">
        <f t="array" ref="C525">" "&amp;LOWER(_xlfn.REDUCE(H_unit[[#This Row],[Company]]&amp;" "&amp;H_unit[[#This Row],[Unit]],{",",".","(",")","/"},_xlfn.LAMBDA(_xlpm.txt,_xlpm.delim,SUBSTITUTE(_xlpm.txt,_xlpm.delim," "))))&amp;" "</f>
        <v xml:space="preserve"> södra wood oy  hamina bioboiler 10 5mw </v>
      </c>
      <c r="D525" s="242">
        <v>2022</v>
      </c>
      <c r="E525" s="243">
        <v>5</v>
      </c>
      <c r="F525" s="243"/>
      <c r="G525" s="247"/>
      <c r="H525" s="267" t="s">
        <v>1439</v>
      </c>
      <c r="I525" s="248" t="s">
        <v>1443</v>
      </c>
      <c r="J525" s="246" t="str" cm="1">
        <f t="array" ref="J525">_xlfn.XLOOKUP(TRUE,ISNUMBER(SEARCH(" "&amp;Municipality[Municipality]&amp;" ",H_unit[[#This Row],[Info string]])),Municipality[Municipality],"")</f>
        <v>Hamina</v>
      </c>
      <c r="K525" s="246" t="str" cm="1">
        <f t="array" ref="K525">IF(H_unit[[#This Row],[Exact]]&lt;&gt;"","",_xlfn.XLOOKUP(TRUE,ISNUMBER(SEARCH(" "&amp;Municipality[Municipality]&amp;"n ",H_unit[[#This Row],[Info string]])),Municipality[Municipality],""))</f>
        <v/>
      </c>
      <c r="L525" s="246"/>
      <c r="M525" s="244"/>
      <c r="N525" s="246" t="str">
        <f>_xlfn.TEXTJOIN("",TRUE,H_unit[[#This Row],[Exact]],H_unit[[#This Row],[Exact+n]],H_unit[[#This Row],[Copilot]])</f>
        <v>Hamina</v>
      </c>
      <c r="O525" s="246" t="str">
        <f>_xlfn.XLOOKUP(H_unit[[#This Row],[Municipality]],Municipality[Municipality],Municipality[Model],"")</f>
        <v>South East</v>
      </c>
      <c r="P525" s="236"/>
    </row>
    <row r="526" spans="1:16">
      <c r="A526" s="238" t="s">
        <v>1728</v>
      </c>
      <c r="B526" s="238" t="s">
        <v>1741</v>
      </c>
      <c r="C526" s="240" t="str" cm="1">
        <f t="array" ref="C526">" "&amp;LOWER(_xlfn.REDUCE(H_unit[[#This Row],[Company]]&amp;" "&amp;H_unit[[#This Row],[Unit]],{",",".","(",")","/"},_xlfn.LAMBDA(_xlpm.txt,_xlpm.delim,SUBSTITUTE(_xlpm.txt,_xlpm.delim," "))))&amp;" "</f>
        <v xml:space="preserve"> lahti energia oy  lahti ali-juhakkala </v>
      </c>
      <c r="D526" s="242">
        <v>2023</v>
      </c>
      <c r="E526" s="243">
        <v>5</v>
      </c>
      <c r="F526" s="243"/>
      <c r="G526" s="247"/>
      <c r="H526" s="267" t="s">
        <v>1417</v>
      </c>
      <c r="I526" s="248" t="s">
        <v>1144</v>
      </c>
      <c r="J526" s="246" t="str" cm="1">
        <f t="array" ref="J526">_xlfn.XLOOKUP(TRUE,ISNUMBER(SEARCH(" "&amp;Municipality[Municipality]&amp;" ",H_unit[[#This Row],[Info string]])),Municipality[Municipality],"")</f>
        <v>Lahti</v>
      </c>
      <c r="K526" s="246" t="str" cm="1">
        <f t="array" ref="K526">IF(H_unit[[#This Row],[Exact]]&lt;&gt;"","",_xlfn.XLOOKUP(TRUE,ISNUMBER(SEARCH(" "&amp;Municipality[Municipality]&amp;"n ",H_unit[[#This Row],[Info string]])),Municipality[Municipality],""))</f>
        <v/>
      </c>
      <c r="L526" s="246"/>
      <c r="M526" s="244"/>
      <c r="N526" s="246" t="str">
        <f>_xlfn.TEXTJOIN("",TRUE,H_unit[[#This Row],[Exact]],H_unit[[#This Row],[Exact+n]],H_unit[[#This Row],[Copilot]])</f>
        <v>Lahti</v>
      </c>
      <c r="O526" s="246" t="str">
        <f>_xlfn.XLOOKUP(H_unit[[#This Row],[Municipality]],Municipality[Municipality],Municipality[Model],"")</f>
        <v>South East</v>
      </c>
      <c r="P526" s="236"/>
    </row>
    <row r="527" spans="1:16">
      <c r="A527" s="238" t="s">
        <v>1963</v>
      </c>
      <c r="B527" s="238" t="s">
        <v>1972</v>
      </c>
      <c r="C527" s="240" t="str" cm="1">
        <f t="array" ref="C527">" "&amp;LOWER(_xlfn.REDUCE(H_unit[[#This Row],[Company]]&amp;" "&amp;H_unit[[#This Row],[Unit]],{",",".","(",")","/"},_xlfn.LAMBDA(_xlpm.txt,_xlpm.delim,SUBSTITUTE(_xlpm.txt,_xlpm.delim," "))))&amp;" "</f>
        <v xml:space="preserve"> nivos vesi ja lämpö oy  mäntsälä kapulin biolämpölaitos </v>
      </c>
      <c r="D527" s="242">
        <v>2023</v>
      </c>
      <c r="E527" s="243">
        <v>5</v>
      </c>
      <c r="F527" s="243"/>
      <c r="G527" s="247"/>
      <c r="H527" s="267" t="s">
        <v>1436</v>
      </c>
      <c r="I527" s="248" t="s">
        <v>1143</v>
      </c>
      <c r="J527" s="246" t="str" cm="1">
        <f t="array" ref="J527">_xlfn.XLOOKUP(TRUE,ISNUMBER(SEARCH(" "&amp;Municipality[Municipality]&amp;" ",H_unit[[#This Row],[Info string]])),Municipality[Municipality],"")</f>
        <v>Mäntsälä</v>
      </c>
      <c r="K527" s="246" t="str" cm="1">
        <f t="array" ref="K527">IF(H_unit[[#This Row],[Exact]]&lt;&gt;"","",_xlfn.XLOOKUP(TRUE,ISNUMBER(SEARCH(" "&amp;Municipality[Municipality]&amp;"n ",H_unit[[#This Row],[Info string]])),Municipality[Municipality],""))</f>
        <v/>
      </c>
      <c r="L527" s="246"/>
      <c r="M527" s="244"/>
      <c r="N527" s="246" t="str">
        <f>_xlfn.TEXTJOIN("",TRUE,H_unit[[#This Row],[Exact]],H_unit[[#This Row],[Exact+n]],H_unit[[#This Row],[Copilot]])</f>
        <v>Mäntsälä</v>
      </c>
      <c r="O527" s="246" t="str">
        <f>_xlfn.XLOOKUP(H_unit[[#This Row],[Municipality]],Municipality[Municipality],Municipality[Model],"")</f>
        <v>Uusimaa</v>
      </c>
      <c r="P527" s="236"/>
    </row>
    <row r="528" spans="1:16">
      <c r="A528" s="238" t="s">
        <v>1484</v>
      </c>
      <c r="B528" s="238" t="s">
        <v>1486</v>
      </c>
      <c r="C528" s="240" t="str" cm="1">
        <f t="array" ref="C528">" "&amp;LOWER(_xlfn.REDUCE(H_unit[[#This Row],[Company]]&amp;" "&amp;H_unit[[#This Row],[Unit]],{",",".","(",")","/"},_xlfn.LAMBDA(_xlpm.txt,_xlpm.delim,SUBSTITUTE(_xlpm.txt,_xlpm.delim," "))))&amp;" "</f>
        <v xml:space="preserve"> alavuden lämpö oy salmentien lämpökeskus </v>
      </c>
      <c r="D528" s="242" t="s">
        <v>1448</v>
      </c>
      <c r="E528" s="243">
        <v>5</v>
      </c>
      <c r="F528" s="243"/>
      <c r="G528" s="247"/>
      <c r="H528" s="267" t="s">
        <v>1430</v>
      </c>
      <c r="I528" s="248" t="s">
        <v>1141</v>
      </c>
      <c r="J528" s="246" t="str" cm="1">
        <f t="array" ref="J528">_xlfn.XLOOKUP(TRUE,ISNUMBER(SEARCH(" "&amp;Municipality[Municipality]&amp;" ",H_unit[[#This Row],[Info string]])),Municipality[Municipality],"")</f>
        <v/>
      </c>
      <c r="K528" s="246" t="str" cm="1">
        <f t="array" ref="K528">IF(H_unit[[#This Row],[Exact]]&lt;&gt;"","",_xlfn.XLOOKUP(TRUE,ISNUMBER(SEARCH(" "&amp;Municipality[Municipality]&amp;"n ",H_unit[[#This Row],[Info string]])),Municipality[Municipality],""))</f>
        <v/>
      </c>
      <c r="L528" s="246" t="s">
        <v>2490</v>
      </c>
      <c r="M528" s="244" t="s">
        <v>2911</v>
      </c>
      <c r="N528" s="246" t="str">
        <f>_xlfn.TEXTJOIN("",TRUE,H_unit[[#This Row],[Exact]],H_unit[[#This Row],[Exact+n]],H_unit[[#This Row],[Copilot]])</f>
        <v>Alavus</v>
      </c>
      <c r="O528" s="246" t="str">
        <f>_xlfn.XLOOKUP(H_unit[[#This Row],[Municipality]],Municipality[Municipality],Municipality[Model],"")</f>
        <v>West</v>
      </c>
      <c r="P528" s="236"/>
    </row>
    <row r="529" spans="1:16">
      <c r="A529" s="238" t="s">
        <v>1839</v>
      </c>
      <c r="B529" s="238" t="s">
        <v>1847</v>
      </c>
      <c r="C529" s="240" t="str" cm="1">
        <f t="array" ref="C529">" "&amp;LOWER(_xlfn.REDUCE(H_unit[[#This Row],[Company]]&amp;" "&amp;H_unit[[#This Row],[Unit]],{",",".","(",")","/"},_xlfn.LAMBDA(_xlpm.txt,_xlpm.delim,SUBSTITUTE(_xlpm.txt,_xlpm.delim," "))))&amp;" "</f>
        <v xml:space="preserve"> loimua oy  hämeenlinna kalevalanpuistotie lk  lammi </v>
      </c>
      <c r="D529" s="242" t="s">
        <v>1448</v>
      </c>
      <c r="E529" s="243">
        <v>5</v>
      </c>
      <c r="F529" s="243"/>
      <c r="G529" s="247"/>
      <c r="H529" s="267" t="s">
        <v>1430</v>
      </c>
      <c r="I529" s="248" t="s">
        <v>1141</v>
      </c>
      <c r="J529" s="246" t="str" cm="1">
        <f t="array" ref="J529">_xlfn.XLOOKUP(TRUE,ISNUMBER(SEARCH(" "&amp;Municipality[Municipality]&amp;" ",H_unit[[#This Row],[Info string]])),Municipality[Municipality],"")</f>
        <v>Lammi</v>
      </c>
      <c r="K529" s="246" t="str" cm="1">
        <f t="array" ref="K529">IF(H_unit[[#This Row],[Exact]]&lt;&gt;"","",_xlfn.XLOOKUP(TRUE,ISNUMBER(SEARCH(" "&amp;Municipality[Municipality]&amp;"n ",H_unit[[#This Row],[Info string]])),Municipality[Municipality],""))</f>
        <v/>
      </c>
      <c r="L529" s="246"/>
      <c r="M529" s="244"/>
      <c r="N529" s="246" t="str">
        <f>_xlfn.TEXTJOIN("",TRUE,H_unit[[#This Row],[Exact]],H_unit[[#This Row],[Exact+n]],H_unit[[#This Row],[Copilot]])</f>
        <v>Lammi</v>
      </c>
      <c r="O529" s="246" t="str">
        <f>_xlfn.XLOOKUP(H_unit[[#This Row],[Municipality]],Municipality[Municipality],Municipality[Model],"")</f>
        <v>South West</v>
      </c>
      <c r="P529" s="236"/>
    </row>
    <row r="530" spans="1:16">
      <c r="A530" s="238" t="s">
        <v>1839</v>
      </c>
      <c r="B530" s="238" t="s">
        <v>1848</v>
      </c>
      <c r="C530" s="240" t="str" cm="1">
        <f t="array" ref="C530">" "&amp;LOWER(_xlfn.REDUCE(H_unit[[#This Row],[Company]]&amp;" "&amp;H_unit[[#This Row],[Unit]],{",",".","(",")","/"},_xlfn.LAMBDA(_xlpm.txt,_xlpm.delim,SUBSTITUTE(_xlpm.txt,_xlpm.delim," "))))&amp;" "</f>
        <v xml:space="preserve"> loimua oy  hämeenlinna puhdistamon lk  lammi </v>
      </c>
      <c r="D530" s="242" t="s">
        <v>1448</v>
      </c>
      <c r="E530" s="243">
        <v>5</v>
      </c>
      <c r="F530" s="243"/>
      <c r="G530" s="247"/>
      <c r="H530" s="267" t="s">
        <v>1418</v>
      </c>
      <c r="I530" s="248" t="s">
        <v>1141</v>
      </c>
      <c r="J530" s="246" t="str" cm="1">
        <f t="array" ref="J530">_xlfn.XLOOKUP(TRUE,ISNUMBER(SEARCH(" "&amp;Municipality[Municipality]&amp;" ",H_unit[[#This Row],[Info string]])),Municipality[Municipality],"")</f>
        <v>Lammi</v>
      </c>
      <c r="K530" s="246" t="str" cm="1">
        <f t="array" ref="K530">IF(H_unit[[#This Row],[Exact]]&lt;&gt;"","",_xlfn.XLOOKUP(TRUE,ISNUMBER(SEARCH(" "&amp;Municipality[Municipality]&amp;"n ",H_unit[[#This Row],[Info string]])),Municipality[Municipality],""))</f>
        <v/>
      </c>
      <c r="L530" s="246"/>
      <c r="M530" s="244"/>
      <c r="N530" s="246" t="str">
        <f>_xlfn.TEXTJOIN("",TRUE,H_unit[[#This Row],[Exact]],H_unit[[#This Row],[Exact+n]],H_unit[[#This Row],[Copilot]])</f>
        <v>Lammi</v>
      </c>
      <c r="O530" s="246" t="str">
        <f>_xlfn.XLOOKUP(H_unit[[#This Row],[Municipality]],Municipality[Municipality],Municipality[Model],"")</f>
        <v>South West</v>
      </c>
      <c r="P530" s="236"/>
    </row>
    <row r="531" spans="1:16">
      <c r="A531" s="238" t="s">
        <v>1854</v>
      </c>
      <c r="B531" s="238" t="s">
        <v>1856</v>
      </c>
      <c r="C531" s="240" t="str" cm="1">
        <f t="array" ref="C531">" "&amp;LOWER(_xlfn.REDUCE(H_unit[[#This Row],[Company]]&amp;" "&amp;H_unit[[#This Row],[Unit]],{",",".","(",")","/"},_xlfn.LAMBDA(_xlpm.txt,_xlpm.delim,SUBSTITUTE(_xlpm.txt,_xlpm.delim," "))))&amp;" "</f>
        <v xml:space="preserve"> loimua oy  janakkala kuumolan lk </v>
      </c>
      <c r="D531" s="242" t="s">
        <v>1448</v>
      </c>
      <c r="E531" s="243">
        <v>5</v>
      </c>
      <c r="F531" s="243"/>
      <c r="G531" s="247"/>
      <c r="H531" s="267" t="s">
        <v>1430</v>
      </c>
      <c r="I531" s="248" t="s">
        <v>1141</v>
      </c>
      <c r="J531" s="246" t="str" cm="1">
        <f t="array" ref="J531">_xlfn.XLOOKUP(TRUE,ISNUMBER(SEARCH(" "&amp;Municipality[Municipality]&amp;" ",H_unit[[#This Row],[Info string]])),Municipality[Municipality],"")</f>
        <v>Janakkala</v>
      </c>
      <c r="K531" s="246" t="str" cm="1">
        <f t="array" ref="K531">IF(H_unit[[#This Row],[Exact]]&lt;&gt;"","",_xlfn.XLOOKUP(TRUE,ISNUMBER(SEARCH(" "&amp;Municipality[Municipality]&amp;"n ",H_unit[[#This Row],[Info string]])),Municipality[Municipality],""))</f>
        <v/>
      </c>
      <c r="L531" s="246"/>
      <c r="M531" s="244"/>
      <c r="N531" s="246" t="str">
        <f>_xlfn.TEXTJOIN("",TRUE,H_unit[[#This Row],[Exact]],H_unit[[#This Row],[Exact+n]],H_unit[[#This Row],[Copilot]])</f>
        <v>Janakkala</v>
      </c>
      <c r="O531" s="246" t="str">
        <f>_xlfn.XLOOKUP(H_unit[[#This Row],[Municipality]],Municipality[Municipality],Municipality[Model],"")</f>
        <v>South West</v>
      </c>
      <c r="P531" s="236"/>
    </row>
    <row r="532" spans="1:16">
      <c r="A532" s="238" t="s">
        <v>1904</v>
      </c>
      <c r="B532" s="238" t="s">
        <v>1907</v>
      </c>
      <c r="C532" s="240" t="str" cm="1">
        <f t="array" ref="C532">" "&amp;LOWER(_xlfn.REDUCE(H_unit[[#This Row],[Company]]&amp;" "&amp;H_unit[[#This Row],[Unit]],{",",".","(",")","/"},_xlfn.LAMBDA(_xlpm.txt,_xlpm.delim,SUBSTITUTE(_xlpm.txt,_xlpm.delim," "))))&amp;" "</f>
        <v xml:space="preserve"> nevel oy  forssa jokioinen </v>
      </c>
      <c r="D532" s="242">
        <v>1981</v>
      </c>
      <c r="E532" s="243">
        <v>4.9000000000000004</v>
      </c>
      <c r="F532" s="243"/>
      <c r="G532" s="247"/>
      <c r="H532" s="267" t="s">
        <v>1430</v>
      </c>
      <c r="I532" s="248" t="s">
        <v>1143</v>
      </c>
      <c r="J532" s="246" t="str" cm="1">
        <f t="array" ref="J532">_xlfn.XLOOKUP(TRUE,ISNUMBER(SEARCH(" "&amp;Municipality[Municipality]&amp;" ",H_unit[[#This Row],[Info string]])),Municipality[Municipality],"")</f>
        <v>Forssa</v>
      </c>
      <c r="K532" s="246" t="str" cm="1">
        <f t="array" ref="K532">IF(H_unit[[#This Row],[Exact]]&lt;&gt;"","",_xlfn.XLOOKUP(TRUE,ISNUMBER(SEARCH(" "&amp;Municipality[Municipality]&amp;"n ",H_unit[[#This Row],[Info string]])),Municipality[Municipality],""))</f>
        <v/>
      </c>
      <c r="L532" s="246"/>
      <c r="M532" s="244"/>
      <c r="N532" s="246" t="str">
        <f>_xlfn.TEXTJOIN("",TRUE,H_unit[[#This Row],[Exact]],H_unit[[#This Row],[Exact+n]],H_unit[[#This Row],[Copilot]])</f>
        <v>Forssa</v>
      </c>
      <c r="O532" s="246" t="str">
        <f>_xlfn.XLOOKUP(H_unit[[#This Row],[Municipality]],Municipality[Municipality],Municipality[Model],"")</f>
        <v>South West</v>
      </c>
      <c r="P532" s="236"/>
    </row>
    <row r="533" spans="1:16">
      <c r="A533" s="238" t="s">
        <v>1904</v>
      </c>
      <c r="B533" s="238" t="s">
        <v>1908</v>
      </c>
      <c r="C533" s="240" t="str" cm="1">
        <f t="array" ref="C533">" "&amp;LOWER(_xlfn.REDUCE(H_unit[[#This Row],[Company]]&amp;" "&amp;H_unit[[#This Row],[Unit]],{",",".","(",")","/"},_xlfn.LAMBDA(_xlpm.txt,_xlpm.delim,SUBSTITUTE(_xlpm.txt,_xlpm.delim," "))))&amp;" "</f>
        <v xml:space="preserve"> nevel oy  forssa mtt </v>
      </c>
      <c r="D533" s="242">
        <v>1990</v>
      </c>
      <c r="E533" s="243">
        <v>4.9000000000000004</v>
      </c>
      <c r="F533" s="243"/>
      <c r="G533" s="247"/>
      <c r="H533" s="267" t="s">
        <v>1430</v>
      </c>
      <c r="I533" s="248" t="s">
        <v>1143</v>
      </c>
      <c r="J533" s="246" t="str" cm="1">
        <f t="array" ref="J533">_xlfn.XLOOKUP(TRUE,ISNUMBER(SEARCH(" "&amp;Municipality[Municipality]&amp;" ",H_unit[[#This Row],[Info string]])),Municipality[Municipality],"")</f>
        <v>Forssa</v>
      </c>
      <c r="K533" s="246" t="str" cm="1">
        <f t="array" ref="K533">IF(H_unit[[#This Row],[Exact]]&lt;&gt;"","",_xlfn.XLOOKUP(TRUE,ISNUMBER(SEARCH(" "&amp;Municipality[Municipality]&amp;"n ",H_unit[[#This Row],[Info string]])),Municipality[Municipality],""))</f>
        <v/>
      </c>
      <c r="L533" s="246"/>
      <c r="M533" s="244"/>
      <c r="N533" s="246" t="str">
        <f>_xlfn.TEXTJOIN("",TRUE,H_unit[[#This Row],[Exact]],H_unit[[#This Row],[Exact+n]],H_unit[[#This Row],[Copilot]])</f>
        <v>Forssa</v>
      </c>
      <c r="O533" s="246" t="str">
        <f>_xlfn.XLOOKUP(H_unit[[#This Row],[Municipality]],Municipality[Municipality],Municipality[Model],"")</f>
        <v>South West</v>
      </c>
      <c r="P533" s="236"/>
    </row>
    <row r="534" spans="1:16">
      <c r="A534" s="238" t="s">
        <v>1543</v>
      </c>
      <c r="B534" s="238" t="s">
        <v>1546</v>
      </c>
      <c r="C534" s="240" t="str" cm="1">
        <f t="array" ref="C534">" "&amp;LOWER(_xlfn.REDUCE(H_unit[[#This Row],[Company]]&amp;" "&amp;H_unit[[#This Row],[Unit]],{",",".","(",")","/"},_xlfn.LAMBDA(_xlpm.txt,_xlpm.delim,SUBSTITUTE(_xlpm.txt,_xlpm.delim," "))))&amp;" "</f>
        <v xml:space="preserve"> inergia lämpö oy inari </v>
      </c>
      <c r="D534" s="242">
        <v>2010</v>
      </c>
      <c r="E534" s="243">
        <v>4.9000000000000004</v>
      </c>
      <c r="F534" s="243"/>
      <c r="G534" s="247"/>
      <c r="H534" s="267" t="s">
        <v>1423</v>
      </c>
      <c r="I534" s="248" t="s">
        <v>1143</v>
      </c>
      <c r="J534" s="246" t="str" cm="1">
        <f t="array" ref="J534">_xlfn.XLOOKUP(TRUE,ISNUMBER(SEARCH(" "&amp;Municipality[Municipality]&amp;" ",H_unit[[#This Row],[Info string]])),Municipality[Municipality],"")</f>
        <v>Inari</v>
      </c>
      <c r="K534" s="246" t="str" cm="1">
        <f t="array" ref="K534">IF(H_unit[[#This Row],[Exact]]&lt;&gt;"","",_xlfn.XLOOKUP(TRUE,ISNUMBER(SEARCH(" "&amp;Municipality[Municipality]&amp;"n ",H_unit[[#This Row],[Info string]])),Municipality[Municipality],""))</f>
        <v/>
      </c>
      <c r="L534" s="246"/>
      <c r="M534" s="244"/>
      <c r="N534" s="246" t="str">
        <f>_xlfn.TEXTJOIN("",TRUE,H_unit[[#This Row],[Exact]],H_unit[[#This Row],[Exact+n]],H_unit[[#This Row],[Copilot]])</f>
        <v>Inari</v>
      </c>
      <c r="O534" s="246" t="str">
        <f>_xlfn.XLOOKUP(H_unit[[#This Row],[Municipality]],Municipality[Municipality],Municipality[Model],"")</f>
        <v>North</v>
      </c>
      <c r="P534" s="236"/>
    </row>
    <row r="535" spans="1:16">
      <c r="A535" s="238" t="s">
        <v>2014</v>
      </c>
      <c r="B535" s="238" t="s">
        <v>2016</v>
      </c>
      <c r="C535" s="240" t="str" cm="1">
        <f t="array" ref="C535">" "&amp;LOWER(_xlfn.REDUCE(H_unit[[#This Row],[Company]]&amp;" "&amp;H_unit[[#This Row],[Unit]],{",",".","(",")","/"},_xlfn.LAMBDA(_xlpm.txt,_xlpm.delim,SUBSTITUTE(_xlpm.txt,_xlpm.delim," "))))&amp;" "</f>
        <v xml:space="preserve"> oulun seudun sähkö  liminka liminka kramsunkuja </v>
      </c>
      <c r="D535" s="242">
        <v>1994</v>
      </c>
      <c r="E535" s="243">
        <v>4.8</v>
      </c>
      <c r="F535" s="243"/>
      <c r="G535" s="247"/>
      <c r="H535" s="267" t="s">
        <v>1430</v>
      </c>
      <c r="I535" s="248" t="s">
        <v>1141</v>
      </c>
      <c r="J535" s="246" t="str" cm="1">
        <f t="array" ref="J535">_xlfn.XLOOKUP(TRUE,ISNUMBER(SEARCH(" "&amp;Municipality[Municipality]&amp;" ",H_unit[[#This Row],[Info string]])),Municipality[Municipality],"")</f>
        <v>Liminka</v>
      </c>
      <c r="K535" s="246" t="str" cm="1">
        <f t="array" ref="K535">IF(H_unit[[#This Row],[Exact]]&lt;&gt;"","",_xlfn.XLOOKUP(TRUE,ISNUMBER(SEARCH(" "&amp;Municipality[Municipality]&amp;"n ",H_unit[[#This Row],[Info string]])),Municipality[Municipality],""))</f>
        <v/>
      </c>
      <c r="L535" s="246"/>
      <c r="M535" s="244"/>
      <c r="N535" s="246" t="str">
        <f>_xlfn.TEXTJOIN("",TRUE,H_unit[[#This Row],[Exact]],H_unit[[#This Row],[Exact+n]],H_unit[[#This Row],[Copilot]])</f>
        <v>Liminka</v>
      </c>
      <c r="O535" s="246" t="str">
        <f>_xlfn.XLOOKUP(H_unit[[#This Row],[Municipality]],Municipality[Municipality],Municipality[Model],"")</f>
        <v>North</v>
      </c>
      <c r="P535" s="236"/>
    </row>
    <row r="536" spans="1:16">
      <c r="A536" s="238" t="s">
        <v>1697</v>
      </c>
      <c r="B536" s="238" t="s">
        <v>1699</v>
      </c>
      <c r="C536" s="240" t="str" cm="1">
        <f t="array" ref="C536">" "&amp;LOWER(_xlfn.REDUCE(H_unit[[#This Row],[Company]]&amp;" "&amp;H_unit[[#This Row],[Unit]],{",",".","(",")","/"},_xlfn.LAMBDA(_xlpm.txt,_xlpm.delim,SUBSTITUTE(_xlpm.txt,_xlpm.delim," "))))&amp;" "</f>
        <v xml:space="preserve"> kurikan energia oy nummentie  kurikka </v>
      </c>
      <c r="D536" s="242">
        <v>1996</v>
      </c>
      <c r="E536" s="243">
        <v>4.8</v>
      </c>
      <c r="F536" s="243"/>
      <c r="G536" s="247"/>
      <c r="H536" s="267" t="s">
        <v>1430</v>
      </c>
      <c r="I536" s="248" t="s">
        <v>1141</v>
      </c>
      <c r="J536" s="246" t="str" cm="1">
        <f t="array" ref="J536">_xlfn.XLOOKUP(TRUE,ISNUMBER(SEARCH(" "&amp;Municipality[Municipality]&amp;" ",H_unit[[#This Row],[Info string]])),Municipality[Municipality],"")</f>
        <v>Kurikka</v>
      </c>
      <c r="K536" s="246" t="str" cm="1">
        <f t="array" ref="K536">IF(H_unit[[#This Row],[Exact]]&lt;&gt;"","",_xlfn.XLOOKUP(TRUE,ISNUMBER(SEARCH(" "&amp;Municipality[Municipality]&amp;"n ",H_unit[[#This Row],[Info string]])),Municipality[Municipality],""))</f>
        <v/>
      </c>
      <c r="L536" s="246"/>
      <c r="M536" s="244"/>
      <c r="N536" s="246" t="str">
        <f>_xlfn.TEXTJOIN("",TRUE,H_unit[[#This Row],[Exact]],H_unit[[#This Row],[Exact+n]],H_unit[[#This Row],[Copilot]])</f>
        <v>Kurikka</v>
      </c>
      <c r="O536" s="246" t="str">
        <f>_xlfn.XLOOKUP(H_unit[[#This Row],[Municipality]],Municipality[Municipality],Municipality[Model],"")</f>
        <v>West</v>
      </c>
      <c r="P536" s="236"/>
    </row>
    <row r="537" spans="1:16">
      <c r="A537" s="238" t="s">
        <v>1769</v>
      </c>
      <c r="B537" s="238" t="s">
        <v>1770</v>
      </c>
      <c r="C537" s="240" t="str" cm="1">
        <f t="array" ref="C537">" "&amp;LOWER(_xlfn.REDUCE(H_unit[[#This Row],[Company]]&amp;" "&amp;H_unit[[#This Row],[Unit]],{",",".","(",")","/"},_xlfn.LAMBDA(_xlpm.txt,_xlpm.delim,SUBSTITUTE(_xlpm.txt,_xlpm.delim," "))))&amp;" "</f>
        <v xml:space="preserve"> lempeä lämpö oy  puumala puumalan lämpölaitos </v>
      </c>
      <c r="D537" s="242">
        <v>2003</v>
      </c>
      <c r="E537" s="243">
        <v>4.8</v>
      </c>
      <c r="F537" s="243"/>
      <c r="G537" s="247"/>
      <c r="H537" s="267" t="s">
        <v>1423</v>
      </c>
      <c r="I537" s="248" t="s">
        <v>1143</v>
      </c>
      <c r="J537" s="246" t="str" cm="1">
        <f t="array" ref="J537">_xlfn.XLOOKUP(TRUE,ISNUMBER(SEARCH(" "&amp;Municipality[Municipality]&amp;" ",H_unit[[#This Row],[Info string]])),Municipality[Municipality],"")</f>
        <v>Puumala</v>
      </c>
      <c r="K537" s="246" t="str" cm="1">
        <f t="array" ref="K537">IF(H_unit[[#This Row],[Exact]]&lt;&gt;"","",_xlfn.XLOOKUP(TRUE,ISNUMBER(SEARCH(" "&amp;Municipality[Municipality]&amp;"n ",H_unit[[#This Row],[Info string]])),Municipality[Municipality],""))</f>
        <v/>
      </c>
      <c r="L537" s="246"/>
      <c r="M537" s="244"/>
      <c r="N537" s="246" t="str">
        <f>_xlfn.TEXTJOIN("",TRUE,H_unit[[#This Row],[Exact]],H_unit[[#This Row],[Exact+n]],H_unit[[#This Row],[Copilot]])</f>
        <v>Puumala</v>
      </c>
      <c r="O537" s="246" t="str">
        <f>_xlfn.XLOOKUP(H_unit[[#This Row],[Municipality]],Municipality[Municipality],Municipality[Model],"")</f>
        <v>East</v>
      </c>
      <c r="P537" s="236"/>
    </row>
    <row r="538" spans="1:16">
      <c r="A538" s="238" t="s">
        <v>1661</v>
      </c>
      <c r="B538" s="238" t="s">
        <v>1671</v>
      </c>
      <c r="C538" s="240" t="str" cm="1">
        <f t="array" ref="C538">" "&amp;LOWER(_xlfn.REDUCE(H_unit[[#This Row],[Company]]&amp;" "&amp;H_unit[[#This Row],[Unit]],{",",".","(",")","/"},_xlfn.LAMBDA(_xlpm.txt,_xlpm.delim,SUBSTITUTE(_xlpm.txt,_xlpm.delim," "))))&amp;" "</f>
        <v xml:space="preserve"> kss lämpö oy  kouvola kytöahonkuja </v>
      </c>
      <c r="D538" s="242">
        <v>2005</v>
      </c>
      <c r="E538" s="243">
        <v>4.8</v>
      </c>
      <c r="F538" s="243"/>
      <c r="G538" s="247"/>
      <c r="H538" s="267" t="s">
        <v>1453</v>
      </c>
      <c r="I538" s="248" t="s">
        <v>1142</v>
      </c>
      <c r="J538" s="246" t="str" cm="1">
        <f t="array" ref="J538">_xlfn.XLOOKUP(TRUE,ISNUMBER(SEARCH(" "&amp;Municipality[Municipality]&amp;" ",H_unit[[#This Row],[Info string]])),Municipality[Municipality],"")</f>
        <v>Kouvola</v>
      </c>
      <c r="K538" s="246" t="str" cm="1">
        <f t="array" ref="K538">IF(H_unit[[#This Row],[Exact]]&lt;&gt;"","",_xlfn.XLOOKUP(TRUE,ISNUMBER(SEARCH(" "&amp;Municipality[Municipality]&amp;"n ",H_unit[[#This Row],[Info string]])),Municipality[Municipality],""))</f>
        <v/>
      </c>
      <c r="L538" s="246"/>
      <c r="M538" s="244"/>
      <c r="N538" s="246" t="str">
        <f>_xlfn.TEXTJOIN("",TRUE,H_unit[[#This Row],[Exact]],H_unit[[#This Row],[Exact+n]],H_unit[[#This Row],[Copilot]])</f>
        <v>Kouvola</v>
      </c>
      <c r="O538" s="246" t="str">
        <f>_xlfn.XLOOKUP(H_unit[[#This Row],[Municipality]],Municipality[Municipality],Municipality[Model],"")</f>
        <v>South East</v>
      </c>
      <c r="P538" s="236"/>
    </row>
    <row r="539" spans="1:16">
      <c r="A539" s="238" t="s">
        <v>2094</v>
      </c>
      <c r="B539" s="238" t="s">
        <v>2099</v>
      </c>
      <c r="C539" s="240" t="str" cm="1">
        <f t="array" ref="C539">" "&amp;LOWER(_xlfn.REDUCE(H_unit[[#This Row],[Company]]&amp;" "&amp;H_unit[[#This Row],[Unit]],{",",".","(",")","/"},_xlfn.LAMBDA(_xlpm.txt,_xlpm.delim,SUBSTITUTE(_xlpm.txt,_xlpm.delim," "))))&amp;" "</f>
        <v xml:space="preserve"> saarijärven kaukolämpö oy kpa2-aseman laitos </v>
      </c>
      <c r="D539" s="242">
        <v>2009</v>
      </c>
      <c r="E539" s="243">
        <v>4.8</v>
      </c>
      <c r="F539" s="243"/>
      <c r="G539" s="247"/>
      <c r="H539" s="267" t="s">
        <v>1428</v>
      </c>
      <c r="I539" s="248" t="s">
        <v>1143</v>
      </c>
      <c r="J539" s="246" t="str" cm="1">
        <f t="array" ref="J539">_xlfn.XLOOKUP(TRUE,ISNUMBER(SEARCH(" "&amp;Municipality[Municipality]&amp;" ",H_unit[[#This Row],[Info string]])),Municipality[Municipality],"")</f>
        <v/>
      </c>
      <c r="K539" s="246" t="str" cm="1">
        <f t="array" ref="K539">IF(H_unit[[#This Row],[Exact]]&lt;&gt;"","",_xlfn.XLOOKUP(TRUE,ISNUMBER(SEARCH(" "&amp;Municipality[Municipality]&amp;"n ",H_unit[[#This Row],[Info string]])),Municipality[Municipality],""))</f>
        <v/>
      </c>
      <c r="L539" s="246" t="s">
        <v>1680</v>
      </c>
      <c r="M539" s="244" t="s">
        <v>2912</v>
      </c>
      <c r="N539" s="246" t="str">
        <f>_xlfn.TEXTJOIN("",TRUE,H_unit[[#This Row],[Exact]],H_unit[[#This Row],[Exact+n]],H_unit[[#This Row],[Copilot]])</f>
        <v>Saarijärvi</v>
      </c>
      <c r="O539" s="246" t="str">
        <f>_xlfn.XLOOKUP(H_unit[[#This Row],[Municipality]],Municipality[Municipality],Municipality[Model],"")</f>
        <v>Center</v>
      </c>
      <c r="P539" s="236"/>
    </row>
    <row r="540" spans="1:16">
      <c r="A540" s="238" t="s">
        <v>1721</v>
      </c>
      <c r="B540" s="238" t="s">
        <v>1724</v>
      </c>
      <c r="C540" s="240" t="str" cm="1">
        <f t="array" ref="C540">" "&amp;LOWER(_xlfn.REDUCE(H_unit[[#This Row],[Company]]&amp;" "&amp;H_unit[[#This Row],[Unit]],{",",".","(",")","/"},_xlfn.LAMBDA(_xlpm.txt,_xlpm.delim,SUBSTITUTE(_xlpm.txt,_xlpm.delim," "))))&amp;" "</f>
        <v xml:space="preserve"> lahti energia oy  asikkala biovääksy </v>
      </c>
      <c r="D540" s="242">
        <v>2018</v>
      </c>
      <c r="E540" s="243">
        <v>4.8</v>
      </c>
      <c r="F540" s="243"/>
      <c r="G540" s="247"/>
      <c r="H540" s="267" t="s">
        <v>1423</v>
      </c>
      <c r="I540" s="248" t="s">
        <v>1143</v>
      </c>
      <c r="J540" s="246" t="str" cm="1">
        <f t="array" ref="J540">_xlfn.XLOOKUP(TRUE,ISNUMBER(SEARCH(" "&amp;Municipality[Municipality]&amp;" ",H_unit[[#This Row],[Info string]])),Municipality[Municipality],"")</f>
        <v>Asikkala</v>
      </c>
      <c r="K540" s="246" t="str" cm="1">
        <f t="array" ref="K540">IF(H_unit[[#This Row],[Exact]]&lt;&gt;"","",_xlfn.XLOOKUP(TRUE,ISNUMBER(SEARCH(" "&amp;Municipality[Municipality]&amp;"n ",H_unit[[#This Row],[Info string]])),Municipality[Municipality],""))</f>
        <v/>
      </c>
      <c r="L540" s="246"/>
      <c r="M540" s="244"/>
      <c r="N540" s="246" t="str">
        <f>_xlfn.TEXTJOIN("",TRUE,H_unit[[#This Row],[Exact]],H_unit[[#This Row],[Exact+n]],H_unit[[#This Row],[Copilot]])</f>
        <v>Asikkala</v>
      </c>
      <c r="O540" s="246" t="str">
        <f>_xlfn.XLOOKUP(H_unit[[#This Row],[Municipality]],Municipality[Municipality],Municipality[Model],"")</f>
        <v>South East</v>
      </c>
      <c r="P540" s="236"/>
    </row>
    <row r="541" spans="1:16">
      <c r="A541" s="238" t="s">
        <v>2422</v>
      </c>
      <c r="B541" s="238" t="s">
        <v>2427</v>
      </c>
      <c r="C541" s="240" t="str" cm="1">
        <f t="array" ref="C541">" "&amp;LOWER(_xlfn.REDUCE(H_unit[[#This Row],[Company]]&amp;" "&amp;H_unit[[#This Row],[Unit]],{",",".","(",")","/"},_xlfn.LAMBDA(_xlpm.txt,_xlpm.delim,SUBSTITUTE(_xlpm.txt,_xlpm.delim," "))))&amp;" "</f>
        <v xml:space="preserve"> versowood oy 4 7 mw öljykattila </v>
      </c>
      <c r="D541" s="242">
        <v>1969</v>
      </c>
      <c r="E541" s="243">
        <v>4.7</v>
      </c>
      <c r="F541" s="243"/>
      <c r="G541" s="247"/>
      <c r="H541" s="267" t="s">
        <v>1430</v>
      </c>
      <c r="I541" s="248" t="s">
        <v>1141</v>
      </c>
      <c r="J541" s="246" t="str" cm="1">
        <f t="array" ref="J541">_xlfn.XLOOKUP(TRUE,ISNUMBER(SEARCH(" "&amp;Municipality[Municipality]&amp;" ",H_unit[[#This Row],[Info string]])),Municipality[Municipality],"")</f>
        <v/>
      </c>
      <c r="K541" s="246" t="str" cm="1">
        <f t="array" ref="K541">IF(H_unit[[#This Row],[Exact]]&lt;&gt;"","",_xlfn.XLOOKUP(TRUE,ISNUMBER(SEARCH(" "&amp;Municipality[Municipality]&amp;"n ",H_unit[[#This Row],[Info string]])),Municipality[Municipality],""))</f>
        <v/>
      </c>
      <c r="L541" s="246"/>
      <c r="M541" s="244"/>
      <c r="N541" s="246" t="str">
        <f>_xlfn.TEXTJOIN("",TRUE,H_unit[[#This Row],[Exact]],H_unit[[#This Row],[Exact+n]],H_unit[[#This Row],[Copilot]])</f>
        <v/>
      </c>
      <c r="O541" s="246" t="str">
        <f>_xlfn.XLOOKUP(H_unit[[#This Row],[Municipality]],Municipality[Municipality],Municipality[Model],"")</f>
        <v/>
      </c>
      <c r="P541" s="236"/>
    </row>
    <row r="542" spans="1:16">
      <c r="A542" s="238" t="s">
        <v>2157</v>
      </c>
      <c r="B542" s="238" t="s">
        <v>2158</v>
      </c>
      <c r="C542" s="240" t="str" cm="1">
        <f t="array" ref="C542">" "&amp;LOWER(_xlfn.REDUCE(H_unit[[#This Row],[Company]]&amp;" "&amp;H_unit[[#This Row],[Unit]],{",",".","(",")","/"},_xlfn.LAMBDA(_xlpm.txt,_xlpm.delim,SUBSTITUTE(_xlpm.txt,_xlpm.delim," "))))&amp;" "</f>
        <v xml:space="preserve"> savon voima oyj  siilinjärvi lk30  harjamäki </v>
      </c>
      <c r="D542" s="242">
        <v>1987</v>
      </c>
      <c r="E542" s="243">
        <v>4.7</v>
      </c>
      <c r="F542" s="243"/>
      <c r="G542" s="247"/>
      <c r="H542" s="267" t="s">
        <v>1458</v>
      </c>
      <c r="I542" s="248" t="s">
        <v>1143</v>
      </c>
      <c r="J542" s="246" t="str" cm="1">
        <f t="array" ref="J542">_xlfn.XLOOKUP(TRUE,ISNUMBER(SEARCH(" "&amp;Municipality[Municipality]&amp;" ",H_unit[[#This Row],[Info string]])),Municipality[Municipality],"")</f>
        <v>Siilinjärvi</v>
      </c>
      <c r="K542" s="246" t="str" cm="1">
        <f t="array" ref="K542">IF(H_unit[[#This Row],[Exact]]&lt;&gt;"","",_xlfn.XLOOKUP(TRUE,ISNUMBER(SEARCH(" "&amp;Municipality[Municipality]&amp;"n ",H_unit[[#This Row],[Info string]])),Municipality[Municipality],""))</f>
        <v/>
      </c>
      <c r="L542" s="246"/>
      <c r="M542" s="244"/>
      <c r="N542" s="246" t="str">
        <f>_xlfn.TEXTJOIN("",TRUE,H_unit[[#This Row],[Exact]],H_unit[[#This Row],[Exact+n]],H_unit[[#This Row],[Copilot]])</f>
        <v>Siilinjärvi</v>
      </c>
      <c r="O542" s="246" t="str">
        <f>_xlfn.XLOOKUP(H_unit[[#This Row],[Municipality]],Municipality[Municipality],Municipality[Model],"")</f>
        <v>East</v>
      </c>
      <c r="P542" s="236"/>
    </row>
    <row r="543" spans="1:16">
      <c r="A543" s="238" t="s">
        <v>1764</v>
      </c>
      <c r="B543" s="238" t="s">
        <v>1766</v>
      </c>
      <c r="C543" s="240" t="str" cm="1">
        <f t="array" ref="C543">" "&amp;LOWER(_xlfn.REDUCE(H_unit[[#This Row],[Company]]&amp;" "&amp;H_unit[[#This Row],[Unit]],{",",".","(",")","/"},_xlfn.LAMBDA(_xlpm.txt,_xlpm.delim,SUBSTITUTE(_xlpm.txt,_xlpm.delim," "))))&amp;" "</f>
        <v xml:space="preserve"> lempeä lämpö oy  mäntyharju hakelämpökeskus </v>
      </c>
      <c r="D543" s="242">
        <v>1981</v>
      </c>
      <c r="E543" s="243">
        <v>4.5999999999999996</v>
      </c>
      <c r="F543" s="243"/>
      <c r="G543" s="247"/>
      <c r="H543" s="267" t="s">
        <v>1430</v>
      </c>
      <c r="I543" s="248" t="s">
        <v>1141</v>
      </c>
      <c r="J543" s="246" t="str" cm="1">
        <f t="array" ref="J543">_xlfn.XLOOKUP(TRUE,ISNUMBER(SEARCH(" "&amp;Municipality[Municipality]&amp;" ",H_unit[[#This Row],[Info string]])),Municipality[Municipality],"")</f>
        <v>Mäntyharju</v>
      </c>
      <c r="K543" s="246" t="str" cm="1">
        <f t="array" ref="K543">IF(H_unit[[#This Row],[Exact]]&lt;&gt;"","",_xlfn.XLOOKUP(TRUE,ISNUMBER(SEARCH(" "&amp;Municipality[Municipality]&amp;"n ",H_unit[[#This Row],[Info string]])),Municipality[Municipality],""))</f>
        <v/>
      </c>
      <c r="L543" s="246"/>
      <c r="M543" s="244"/>
      <c r="N543" s="246" t="str">
        <f>_xlfn.TEXTJOIN("",TRUE,H_unit[[#This Row],[Exact]],H_unit[[#This Row],[Exact+n]],H_unit[[#This Row],[Copilot]])</f>
        <v>Mäntyharju</v>
      </c>
      <c r="O543" s="246" t="str">
        <f>_xlfn.XLOOKUP(H_unit[[#This Row],[Municipality]],Municipality[Municipality],Municipality[Model],"")</f>
        <v>East</v>
      </c>
      <c r="P543" s="236"/>
    </row>
    <row r="544" spans="1:16">
      <c r="A544" s="238" t="s">
        <v>1587</v>
      </c>
      <c r="B544" s="238" t="s">
        <v>1592</v>
      </c>
      <c r="C544" s="240" t="str" cm="1">
        <f t="array" ref="C544">" "&amp;LOWER(_xlfn.REDUCE(H_unit[[#This Row],[Company]]&amp;" "&amp;H_unit[[#This Row],[Unit]],{",",".","(",")","/"},_xlfn.LAMBDA(_xlpm.txt,_xlpm.delim,SUBSTITUTE(_xlpm.txt,_xlpm.delim," "))))&amp;" "</f>
        <v xml:space="preserve"> kauhavan kaukolämpö oy ylihärmän varapaketti </v>
      </c>
      <c r="D544" s="242">
        <v>1981</v>
      </c>
      <c r="E544" s="243">
        <v>4.5</v>
      </c>
      <c r="F544" s="243"/>
      <c r="G544" s="247"/>
      <c r="H544" s="267" t="s">
        <v>1430</v>
      </c>
      <c r="I544" s="248" t="s">
        <v>1141</v>
      </c>
      <c r="J544" s="246" t="str" cm="1">
        <f t="array" ref="J544">_xlfn.XLOOKUP(TRUE,ISNUMBER(SEARCH(" "&amp;Municipality[Municipality]&amp;" ",H_unit[[#This Row],[Info string]])),Municipality[Municipality],"")</f>
        <v/>
      </c>
      <c r="K544" s="246" t="str" cm="1">
        <f t="array" ref="K544">IF(H_unit[[#This Row],[Exact]]&lt;&gt;"","",_xlfn.XLOOKUP(TRUE,ISNUMBER(SEARCH(" "&amp;Municipality[Municipality]&amp;"n ",H_unit[[#This Row],[Info string]])),Municipality[Municipality],""))</f>
        <v>Kauhava</v>
      </c>
      <c r="L544" s="246"/>
      <c r="M544" s="244"/>
      <c r="N544" s="246" t="str">
        <f>_xlfn.TEXTJOIN("",TRUE,H_unit[[#This Row],[Exact]],H_unit[[#This Row],[Exact+n]],H_unit[[#This Row],[Copilot]])</f>
        <v>Kauhava</v>
      </c>
      <c r="O544" s="246" t="str">
        <f>_xlfn.XLOOKUP(H_unit[[#This Row],[Municipality]],Municipality[Municipality],Municipality[Model],"")</f>
        <v>West</v>
      </c>
      <c r="P544" s="236"/>
    </row>
    <row r="545" spans="1:16">
      <c r="A545" s="238" t="s">
        <v>1790</v>
      </c>
      <c r="B545" s="238" t="s">
        <v>1791</v>
      </c>
      <c r="C545" s="240" t="str" cm="1">
        <f t="array" ref="C545">" "&amp;LOWER(_xlfn.REDUCE(H_unit[[#This Row],[Company]]&amp;" "&amp;H_unit[[#This Row],[Unit]],{",",".","(",")","/"},_xlfn.LAMBDA(_xlpm.txt,_xlpm.delim,SUBSTITUTE(_xlpm.txt,_xlpm.delim," "))))&amp;" "</f>
        <v xml:space="preserve"> leppäkosken lämpö oy  ikaalinen kylpylän lk </v>
      </c>
      <c r="D545" s="242">
        <v>1992</v>
      </c>
      <c r="E545" s="243">
        <v>4.5</v>
      </c>
      <c r="F545" s="243"/>
      <c r="G545" s="247"/>
      <c r="H545" s="267" t="s">
        <v>1430</v>
      </c>
      <c r="I545" s="248" t="s">
        <v>1141</v>
      </c>
      <c r="J545" s="246" t="str" cm="1">
        <f t="array" ref="J545">_xlfn.XLOOKUP(TRUE,ISNUMBER(SEARCH(" "&amp;Municipality[Municipality]&amp;" ",H_unit[[#This Row],[Info string]])),Municipality[Municipality],"")</f>
        <v>Ikaalinen</v>
      </c>
      <c r="K545" s="246" t="str" cm="1">
        <f t="array" ref="K545">IF(H_unit[[#This Row],[Exact]]&lt;&gt;"","",_xlfn.XLOOKUP(TRUE,ISNUMBER(SEARCH(" "&amp;Municipality[Municipality]&amp;"n ",H_unit[[#This Row],[Info string]])),Municipality[Municipality],""))</f>
        <v/>
      </c>
      <c r="L545" s="246"/>
      <c r="M545" s="244"/>
      <c r="N545" s="246" t="str">
        <f>_xlfn.TEXTJOIN("",TRUE,H_unit[[#This Row],[Exact]],H_unit[[#This Row],[Exact+n]],H_unit[[#This Row],[Copilot]])</f>
        <v>Ikaalinen</v>
      </c>
      <c r="O545" s="246" t="str">
        <f>_xlfn.XLOOKUP(H_unit[[#This Row],[Municipality]],Municipality[Municipality],Municipality[Model],"")</f>
        <v>Center</v>
      </c>
      <c r="P545" s="236"/>
    </row>
    <row r="546" spans="1:16">
      <c r="A546" s="238" t="s">
        <v>1978</v>
      </c>
      <c r="B546" s="238" t="s">
        <v>1982</v>
      </c>
      <c r="C546" s="240" t="str" cm="1">
        <f t="array" ref="C546">" "&amp;LOWER(_xlfn.REDUCE(H_unit[[#This Row],[Company]]&amp;" "&amp;H_unit[[#This Row],[Unit]],{",",".","(",")","/"},_xlfn.LAMBDA(_xlpm.txt,_xlpm.delim,SUBSTITUTE(_xlpm.txt,_xlpm.delim," "))))&amp;" "</f>
        <v xml:space="preserve"> nurmijärven sähkö oy klaukkala kpa-kattila </v>
      </c>
      <c r="D546" s="242">
        <v>1998</v>
      </c>
      <c r="E546" s="243">
        <v>4.5</v>
      </c>
      <c r="F546" s="243"/>
      <c r="G546" s="247"/>
      <c r="H546" s="267" t="s">
        <v>1423</v>
      </c>
      <c r="I546" s="248" t="s">
        <v>1143</v>
      </c>
      <c r="J546" s="246" t="str" cm="1">
        <f t="array" ref="J546">_xlfn.XLOOKUP(TRUE,ISNUMBER(SEARCH(" "&amp;Municipality[Municipality]&amp;" ",H_unit[[#This Row],[Info string]])),Municipality[Municipality],"")</f>
        <v/>
      </c>
      <c r="K546" s="246" t="str" cm="1">
        <f t="array" ref="K546">IF(H_unit[[#This Row],[Exact]]&lt;&gt;"","",_xlfn.XLOOKUP(TRUE,ISNUMBER(SEARCH(" "&amp;Municipality[Municipality]&amp;"n ",H_unit[[#This Row],[Info string]])),Municipality[Municipality],""))</f>
        <v/>
      </c>
      <c r="L546" s="246" t="s">
        <v>2695</v>
      </c>
      <c r="M546" s="244" t="s">
        <v>2905</v>
      </c>
      <c r="N546" s="246" t="str">
        <f>_xlfn.TEXTJOIN("",TRUE,H_unit[[#This Row],[Exact]],H_unit[[#This Row],[Exact+n]],H_unit[[#This Row],[Copilot]])</f>
        <v>Nurmijärvi</v>
      </c>
      <c r="O546" s="246" t="str">
        <f>_xlfn.XLOOKUP(H_unit[[#This Row],[Municipality]],Municipality[Municipality],Municipality[Model],"")</f>
        <v>Uusimaa</v>
      </c>
      <c r="P546" s="236"/>
    </row>
    <row r="547" spans="1:16">
      <c r="A547" s="238" t="s">
        <v>1618</v>
      </c>
      <c r="B547" s="238" t="s">
        <v>1619</v>
      </c>
      <c r="C547" s="240" t="str" cm="1">
        <f t="array" ref="C547">" "&amp;LOWER(_xlfn.REDUCE(H_unit[[#This Row],[Company]]&amp;" "&amp;H_unit[[#This Row],[Unit]],{",",".","(",")","/"},_xlfn.LAMBDA(_xlpm.txt,_xlpm.delim,SUBSTITUTE(_xlpm.txt,_xlpm.delim," "))))&amp;" "</f>
        <v xml:space="preserve"> keravan energia oy  sipoo söderkulla </v>
      </c>
      <c r="D547" s="242">
        <v>2002</v>
      </c>
      <c r="E547" s="243">
        <v>4.5</v>
      </c>
      <c r="F547" s="243"/>
      <c r="G547" s="247"/>
      <c r="H547" s="267" t="s">
        <v>1453</v>
      </c>
      <c r="I547" s="248" t="s">
        <v>1142</v>
      </c>
      <c r="J547" s="246" t="str" cm="1">
        <f t="array" ref="J547">_xlfn.XLOOKUP(TRUE,ISNUMBER(SEARCH(" "&amp;Municipality[Municipality]&amp;" ",H_unit[[#This Row],[Info string]])),Municipality[Municipality],"")</f>
        <v>Sipoo</v>
      </c>
      <c r="K547" s="246" t="str" cm="1">
        <f t="array" ref="K547">IF(H_unit[[#This Row],[Exact]]&lt;&gt;"","",_xlfn.XLOOKUP(TRUE,ISNUMBER(SEARCH(" "&amp;Municipality[Municipality]&amp;"n ",H_unit[[#This Row],[Info string]])),Municipality[Municipality],""))</f>
        <v/>
      </c>
      <c r="L547" s="246"/>
      <c r="M547" s="244"/>
      <c r="N547" s="246" t="str">
        <f>_xlfn.TEXTJOIN("",TRUE,H_unit[[#This Row],[Exact]],H_unit[[#This Row],[Exact+n]],H_unit[[#This Row],[Copilot]])</f>
        <v>Sipoo</v>
      </c>
      <c r="O547" s="246" t="str">
        <f>_xlfn.XLOOKUP(H_unit[[#This Row],[Municipality]],Municipality[Municipality],Municipality[Model],"")</f>
        <v>Uusimaa</v>
      </c>
      <c r="P547" s="236"/>
    </row>
    <row r="548" spans="1:16">
      <c r="A548" s="238" t="s">
        <v>2022</v>
      </c>
      <c r="B548" s="238" t="s">
        <v>2024</v>
      </c>
      <c r="C548" s="240" t="str" cm="1">
        <f t="array" ref="C548">" "&amp;LOWER(_xlfn.REDUCE(H_unit[[#This Row],[Company]]&amp;" "&amp;H_unit[[#This Row],[Unit]],{",",".","(",")","/"},_xlfn.LAMBDA(_xlpm.txt,_xlpm.delim,SUBSTITUTE(_xlpm.txt,_xlpm.delim," "))))&amp;" "</f>
        <v xml:space="preserve"> oulun seudun sähkö  muhos muhos  päivärinne </v>
      </c>
      <c r="D548" s="242">
        <v>2003</v>
      </c>
      <c r="E548" s="243">
        <v>4.5</v>
      </c>
      <c r="F548" s="243"/>
      <c r="G548" s="247"/>
      <c r="H548" s="267" t="s">
        <v>1423</v>
      </c>
      <c r="I548" s="248" t="s">
        <v>1143</v>
      </c>
      <c r="J548" s="246" t="str" cm="1">
        <f t="array" ref="J548">_xlfn.XLOOKUP(TRUE,ISNUMBER(SEARCH(" "&amp;Municipality[Municipality]&amp;" ",H_unit[[#This Row],[Info string]])),Municipality[Municipality],"")</f>
        <v>Muhos</v>
      </c>
      <c r="K548" s="246" t="str" cm="1">
        <f t="array" ref="K548">IF(H_unit[[#This Row],[Exact]]&lt;&gt;"","",_xlfn.XLOOKUP(TRUE,ISNUMBER(SEARCH(" "&amp;Municipality[Municipality]&amp;"n ",H_unit[[#This Row],[Info string]])),Municipality[Municipality],""))</f>
        <v/>
      </c>
      <c r="L548" s="246"/>
      <c r="M548" s="244"/>
      <c r="N548" s="246" t="str">
        <f>_xlfn.TEXTJOIN("",TRUE,H_unit[[#This Row],[Exact]],H_unit[[#This Row],[Exact+n]],H_unit[[#This Row],[Copilot]])</f>
        <v>Muhos</v>
      </c>
      <c r="O548" s="246" t="str">
        <f>_xlfn.XLOOKUP(H_unit[[#This Row],[Municipality]],Municipality[Municipality],Municipality[Model],"")</f>
        <v>North</v>
      </c>
      <c r="P548" s="236"/>
    </row>
    <row r="549" spans="1:16">
      <c r="A549" s="238" t="s">
        <v>1493</v>
      </c>
      <c r="B549" s="238" t="s">
        <v>1494</v>
      </c>
      <c r="C549" s="240" t="str" cm="1">
        <f t="array" ref="C549">" "&amp;LOWER(_xlfn.REDUCE(H_unit[[#This Row],[Company]]&amp;" "&amp;H_unit[[#This Row],[Unit]],{",",".","(",")","/"},_xlfn.LAMBDA(_xlpm.txt,_xlpm.delim,SUBSTITUTE(_xlpm.txt,_xlpm.delim," "))))&amp;" "</f>
        <v xml:space="preserve"> aurora lämpö oy  kolari lämpökeskus </v>
      </c>
      <c r="D549" s="242">
        <v>2004</v>
      </c>
      <c r="E549" s="243">
        <v>4.5</v>
      </c>
      <c r="F549" s="243"/>
      <c r="G549" s="247"/>
      <c r="H549" s="267" t="s">
        <v>1423</v>
      </c>
      <c r="I549" s="248" t="s">
        <v>1143</v>
      </c>
      <c r="J549" s="246" t="str" cm="1">
        <f t="array" ref="J549">_xlfn.XLOOKUP(TRUE,ISNUMBER(SEARCH(" "&amp;Municipality[Municipality]&amp;" ",H_unit[[#This Row],[Info string]])),Municipality[Municipality],"")</f>
        <v>Kolari</v>
      </c>
      <c r="K549" s="246" t="str" cm="1">
        <f t="array" ref="K549">IF(H_unit[[#This Row],[Exact]]&lt;&gt;"","",_xlfn.XLOOKUP(TRUE,ISNUMBER(SEARCH(" "&amp;Municipality[Municipality]&amp;"n ",H_unit[[#This Row],[Info string]])),Municipality[Municipality],""))</f>
        <v/>
      </c>
      <c r="L549" s="246"/>
      <c r="M549" s="244"/>
      <c r="N549" s="246" t="str">
        <f>_xlfn.TEXTJOIN("",TRUE,H_unit[[#This Row],[Exact]],H_unit[[#This Row],[Exact+n]],H_unit[[#This Row],[Copilot]])</f>
        <v>Kolari</v>
      </c>
      <c r="O549" s="246" t="str">
        <f>_xlfn.XLOOKUP(H_unit[[#This Row],[Municipality]],Municipality[Municipality],Municipality[Model],"")</f>
        <v>North</v>
      </c>
      <c r="P549" s="236"/>
    </row>
    <row r="550" spans="1:16">
      <c r="A550" s="238" t="s">
        <v>1562</v>
      </c>
      <c r="B550" s="238" t="s">
        <v>1568</v>
      </c>
      <c r="C550" s="240" t="str" cm="1">
        <f t="array" ref="C550">" "&amp;LOWER(_xlfn.REDUCE(H_unit[[#This Row],[Company]]&amp;" "&amp;H_unit[[#This Row],[Unit]],{",",".","(",")","/"},_xlfn.LAMBDA(_xlpm.txt,_xlpm.delim,SUBSTITUTE(_xlpm.txt,_xlpm.delim," "))))&amp;" "</f>
        <v xml:space="preserve"> kalajoen lämpö oy himangan kpa </v>
      </c>
      <c r="D550" s="242">
        <v>2004</v>
      </c>
      <c r="E550" s="243">
        <v>4.5</v>
      </c>
      <c r="F550" s="243"/>
      <c r="G550" s="247"/>
      <c r="H550" s="267" t="s">
        <v>1423</v>
      </c>
      <c r="I550" s="248" t="s">
        <v>1143</v>
      </c>
      <c r="J550" s="246" t="str" cm="1">
        <f t="array" ref="J550">_xlfn.XLOOKUP(TRUE,ISNUMBER(SEARCH(" "&amp;Municipality[Municipality]&amp;" ",H_unit[[#This Row],[Info string]])),Municipality[Municipality],"")</f>
        <v/>
      </c>
      <c r="K550" s="246" t="str" cm="1">
        <f t="array" ref="K550">IF(H_unit[[#This Row],[Exact]]&lt;&gt;"","",_xlfn.XLOOKUP(TRUE,ISNUMBER(SEARCH(" "&amp;Municipality[Municipality]&amp;"n ",H_unit[[#This Row],[Info string]])),Municipality[Municipality],""))</f>
        <v/>
      </c>
      <c r="L550" s="246" t="s">
        <v>2562</v>
      </c>
      <c r="M550" s="244" t="s">
        <v>2915</v>
      </c>
      <c r="N550" s="246" t="str">
        <f>_xlfn.TEXTJOIN("",TRUE,H_unit[[#This Row],[Exact]],H_unit[[#This Row],[Exact+n]],H_unit[[#This Row],[Copilot]])</f>
        <v>Kalajoki</v>
      </c>
      <c r="O550" s="246" t="str">
        <f>_xlfn.XLOOKUP(H_unit[[#This Row],[Municipality]],Municipality[Municipality],Municipality[Model],"")</f>
        <v>North</v>
      </c>
      <c r="P550" s="236"/>
    </row>
    <row r="551" spans="1:16">
      <c r="A551" s="238" t="s">
        <v>1752</v>
      </c>
      <c r="B551" s="238" t="s">
        <v>1753</v>
      </c>
      <c r="C551" s="240" t="str" cm="1">
        <f t="array" ref="C551">" "&amp;LOWER(_xlfn.REDUCE(H_unit[[#This Row],[Company]]&amp;" "&amp;H_unit[[#This Row],[Unit]],{",",".","(",")","/"},_xlfn.LAMBDA(_xlpm.txt,_xlpm.delim,SUBSTITUTE(_xlpm.txt,_xlpm.delim," "))))&amp;" "</f>
        <v xml:space="preserve"> lappajärven lämpö oy hyytisentie </v>
      </c>
      <c r="D551" s="242">
        <v>2004</v>
      </c>
      <c r="E551" s="243">
        <v>4.5</v>
      </c>
      <c r="F551" s="243"/>
      <c r="G551" s="247"/>
      <c r="H551" s="267" t="s">
        <v>1423</v>
      </c>
      <c r="I551" s="248" t="s">
        <v>1143</v>
      </c>
      <c r="J551" s="246" t="str" cm="1">
        <f t="array" ref="J551">_xlfn.XLOOKUP(TRUE,ISNUMBER(SEARCH(" "&amp;Municipality[Municipality]&amp;" ",H_unit[[#This Row],[Info string]])),Municipality[Municipality],"")</f>
        <v/>
      </c>
      <c r="K551" s="246" t="str" cm="1">
        <f t="array" ref="K551">IF(H_unit[[#This Row],[Exact]]&lt;&gt;"","",_xlfn.XLOOKUP(TRUE,ISNUMBER(SEARCH(" "&amp;Municipality[Municipality]&amp;"n ",H_unit[[#This Row],[Info string]])),Municipality[Municipality],""))</f>
        <v/>
      </c>
      <c r="L551" s="246"/>
      <c r="M551" s="244"/>
      <c r="N551" s="246" t="str">
        <f>_xlfn.TEXTJOIN("",TRUE,H_unit[[#This Row],[Exact]],H_unit[[#This Row],[Exact+n]],H_unit[[#This Row],[Copilot]])</f>
        <v/>
      </c>
      <c r="O551" s="246" t="str">
        <f>_xlfn.XLOOKUP(H_unit[[#This Row],[Municipality]],Municipality[Municipality],Municipality[Model],"")</f>
        <v/>
      </c>
      <c r="P551" s="236"/>
    </row>
    <row r="552" spans="1:16">
      <c r="A552" s="238" t="s">
        <v>2368</v>
      </c>
      <c r="B552" s="238" t="s">
        <v>2372</v>
      </c>
      <c r="C552" s="240" t="str" cm="1">
        <f t="array" ref="C552">" "&amp;LOWER(_xlfn.REDUCE(H_unit[[#This Row],[Company]]&amp;" "&amp;H_unit[[#This Row],[Unit]],{",",".","(",")","/"},_xlfn.LAMBDA(_xlpm.txt,_xlpm.delim,SUBSTITUTE(_xlpm.txt,_xlpm.delim," "))))&amp;" "</f>
        <v xml:space="preserve"> picea oy ab  laitila vaasan kuljetuskanavat </v>
      </c>
      <c r="D552" s="242">
        <v>2013</v>
      </c>
      <c r="E552" s="243">
        <v>4.5</v>
      </c>
      <c r="F552" s="243"/>
      <c r="G552" s="247"/>
      <c r="H552" s="267" t="s">
        <v>1439</v>
      </c>
      <c r="I552" s="248" t="s">
        <v>1443</v>
      </c>
      <c r="J552" s="246" t="str" cm="1">
        <f t="array" ref="J552">_xlfn.XLOOKUP(TRUE,ISNUMBER(SEARCH(" "&amp;Municipality[Municipality]&amp;" ",H_unit[[#This Row],[Info string]])),Municipality[Municipality],"")</f>
        <v>Laitila</v>
      </c>
      <c r="K552" s="246" t="str" cm="1">
        <f t="array" ref="K552">IF(H_unit[[#This Row],[Exact]]&lt;&gt;"","",_xlfn.XLOOKUP(TRUE,ISNUMBER(SEARCH(" "&amp;Municipality[Municipality]&amp;"n ",H_unit[[#This Row],[Info string]])),Municipality[Municipality],""))</f>
        <v/>
      </c>
      <c r="L552" s="246"/>
      <c r="M552" s="244"/>
      <c r="N552" s="246" t="str">
        <f>_xlfn.TEXTJOIN("",TRUE,H_unit[[#This Row],[Exact]],H_unit[[#This Row],[Exact+n]],H_unit[[#This Row],[Copilot]])</f>
        <v>Laitila</v>
      </c>
      <c r="O552" s="246" t="str">
        <f>_xlfn.XLOOKUP(H_unit[[#This Row],[Municipality]],Municipality[Municipality],Municipality[Model],"")</f>
        <v>South West</v>
      </c>
      <c r="P552" s="236"/>
    </row>
    <row r="553" spans="1:16">
      <c r="A553" s="238" t="s">
        <v>2028</v>
      </c>
      <c r="B553" s="238" t="s">
        <v>2031</v>
      </c>
      <c r="C553" s="240" t="str" cm="1">
        <f t="array" ref="C553">" "&amp;LOWER(_xlfn.REDUCE(H_unit[[#This Row],[Company]]&amp;" "&amp;H_unit[[#This Row],[Unit]],{",",".","(",")","/"},_xlfn.LAMBDA(_xlpm.txt,_xlpm.delim,SUBSTITUTE(_xlpm.txt,_xlpm.delim," "))))&amp;" "</f>
        <v xml:space="preserve"> paimion lämpökeskus oy pelletti </v>
      </c>
      <c r="D553" s="242">
        <v>2014</v>
      </c>
      <c r="E553" s="243">
        <v>4.5</v>
      </c>
      <c r="F553" s="243"/>
      <c r="G553" s="247"/>
      <c r="H553" s="267" t="s">
        <v>1436</v>
      </c>
      <c r="I553" s="248" t="s">
        <v>1143</v>
      </c>
      <c r="J553" s="246" t="str" cm="1">
        <f t="array" ref="J553">_xlfn.XLOOKUP(TRUE,ISNUMBER(SEARCH(" "&amp;Municipality[Municipality]&amp;" ",H_unit[[#This Row],[Info string]])),Municipality[Municipality],"")</f>
        <v/>
      </c>
      <c r="K553" s="246" t="str" cm="1">
        <f t="array" ref="K553">IF(H_unit[[#This Row],[Exact]]&lt;&gt;"","",_xlfn.XLOOKUP(TRUE,ISNUMBER(SEARCH(" "&amp;Municipality[Municipality]&amp;"n ",H_unit[[#This Row],[Info string]])),Municipality[Municipality],""))</f>
        <v>Paimio</v>
      </c>
      <c r="L553" s="246"/>
      <c r="M553" s="244"/>
      <c r="N553" s="246" t="str">
        <f>_xlfn.TEXTJOIN("",TRUE,H_unit[[#This Row],[Exact]],H_unit[[#This Row],[Exact+n]],H_unit[[#This Row],[Copilot]])</f>
        <v>Paimio</v>
      </c>
      <c r="O553" s="246" t="str">
        <f>_xlfn.XLOOKUP(H_unit[[#This Row],[Municipality]],Municipality[Municipality],Municipality[Model],"")</f>
        <v>South West</v>
      </c>
      <c r="P553" s="236"/>
    </row>
    <row r="554" spans="1:16">
      <c r="A554" s="238" t="s">
        <v>1474</v>
      </c>
      <c r="B554" s="238" t="s">
        <v>1475</v>
      </c>
      <c r="C554" s="240" t="str" cm="1">
        <f t="array" ref="C554">" "&amp;LOWER(_xlfn.REDUCE(H_unit[[#This Row],[Company]]&amp;" "&amp;H_unit[[#This Row],[Unit]],{",",".","(",")","/"},_xlfn.LAMBDA(_xlpm.txt,_xlpm.delim,SUBSTITUTE(_xlpm.txt,_xlpm.delim," "))))&amp;" "</f>
        <v xml:space="preserve"> adven oy  siuntio lk 101 </v>
      </c>
      <c r="D554" s="242">
        <v>2015</v>
      </c>
      <c r="E554" s="243">
        <v>4.5</v>
      </c>
      <c r="F554" s="243"/>
      <c r="G554" s="247"/>
      <c r="H554" s="267" t="s">
        <v>1436</v>
      </c>
      <c r="I554" s="248" t="s">
        <v>1143</v>
      </c>
      <c r="J554" s="246" t="str" cm="1">
        <f t="array" ref="J554">_xlfn.XLOOKUP(TRUE,ISNUMBER(SEARCH(" "&amp;Municipality[Municipality]&amp;" ",H_unit[[#This Row],[Info string]])),Municipality[Municipality],"")</f>
        <v>Siuntio</v>
      </c>
      <c r="K554" s="246" t="str" cm="1">
        <f t="array" ref="K554">IF(H_unit[[#This Row],[Exact]]&lt;&gt;"","",_xlfn.XLOOKUP(TRUE,ISNUMBER(SEARCH(" "&amp;Municipality[Municipality]&amp;"n ",H_unit[[#This Row],[Info string]])),Municipality[Municipality],""))</f>
        <v/>
      </c>
      <c r="L554" s="246"/>
      <c r="M554" s="244"/>
      <c r="N554" s="246" t="str">
        <f>_xlfn.TEXTJOIN("",TRUE,H_unit[[#This Row],[Exact]],H_unit[[#This Row],[Exact+n]],H_unit[[#This Row],[Copilot]])</f>
        <v>Siuntio</v>
      </c>
      <c r="O554" s="246" t="str">
        <f>_xlfn.XLOOKUP(H_unit[[#This Row],[Municipality]],Municipality[Municipality],Municipality[Model],"")</f>
        <v>Uusimaa</v>
      </c>
      <c r="P554" s="236"/>
    </row>
    <row r="555" spans="1:16">
      <c r="A555" s="238" t="s">
        <v>2042</v>
      </c>
      <c r="B555" s="238" t="s">
        <v>2043</v>
      </c>
      <c r="C555" s="240" t="str" cm="1">
        <f t="array" ref="C555">" "&amp;LOWER(_xlfn.REDUCE(H_unit[[#This Row],[Company]]&amp;" "&amp;H_unit[[#This Row],[Unit]],{",",".","(",")","/"},_xlfn.LAMBDA(_xlpm.txt,_xlpm.delim,SUBSTITUTE(_xlpm.txt,_xlpm.delim," "))))&amp;" "</f>
        <v xml:space="preserve"> pori energia oy  kristiinankaupunki kristiina hakekattila </v>
      </c>
      <c r="D555" s="242">
        <v>2016</v>
      </c>
      <c r="E555" s="243">
        <v>4.5</v>
      </c>
      <c r="F555" s="243"/>
      <c r="G555" s="247"/>
      <c r="H555" s="267" t="s">
        <v>1423</v>
      </c>
      <c r="I555" s="248" t="s">
        <v>1143</v>
      </c>
      <c r="J555" s="246" t="str" cm="1">
        <f t="array" ref="J555">_xlfn.XLOOKUP(TRUE,ISNUMBER(SEARCH(" "&amp;Municipality[Municipality]&amp;" ",H_unit[[#This Row],[Info string]])),Municipality[Municipality],"")</f>
        <v>Pori</v>
      </c>
      <c r="K555" s="246" t="str" cm="1">
        <f t="array" ref="K555">IF(H_unit[[#This Row],[Exact]]&lt;&gt;"","",_xlfn.XLOOKUP(TRUE,ISNUMBER(SEARCH(" "&amp;Municipality[Municipality]&amp;"n ",H_unit[[#This Row],[Info string]])),Municipality[Municipality],""))</f>
        <v/>
      </c>
      <c r="L555" s="246"/>
      <c r="M555" s="244"/>
      <c r="N555" s="246" t="str">
        <f>_xlfn.TEXTJOIN("",TRUE,H_unit[[#This Row],[Exact]],H_unit[[#This Row],[Exact+n]],H_unit[[#This Row],[Copilot]])</f>
        <v>Pori</v>
      </c>
      <c r="O555" s="246" t="str">
        <f>_xlfn.XLOOKUP(H_unit[[#This Row],[Municipality]],Municipality[Municipality],Municipality[Model],"")</f>
        <v>West</v>
      </c>
      <c r="P555" s="236"/>
    </row>
    <row r="556" spans="1:16">
      <c r="A556" s="238" t="s">
        <v>1599</v>
      </c>
      <c r="B556" s="238" t="s">
        <v>1601</v>
      </c>
      <c r="C556" s="240" t="str" cm="1">
        <f t="array" ref="C556">" "&amp;LOWER(_xlfn.REDUCE(H_unit[[#This Row],[Company]]&amp;" "&amp;H_unit[[#This Row],[Unit]],{",",".","(",")","/"},_xlfn.LAMBDA(_xlpm.txt,_xlpm.delim,SUBSTITUTE(_xlpm.txt,_xlpm.delim," "))))&amp;" "</f>
        <v xml:space="preserve"> kemijärven lämpö ja vesi oy seinälä </v>
      </c>
      <c r="D556" s="242">
        <v>1980</v>
      </c>
      <c r="E556" s="243">
        <v>4.4000000000000004</v>
      </c>
      <c r="F556" s="243"/>
      <c r="G556" s="247"/>
      <c r="H556" s="267" t="s">
        <v>1430</v>
      </c>
      <c r="I556" s="248" t="s">
        <v>1141</v>
      </c>
      <c r="J556" s="246" t="str" cm="1">
        <f t="array" ref="J556">_xlfn.XLOOKUP(TRUE,ISNUMBER(SEARCH(" "&amp;Municipality[Municipality]&amp;" ",H_unit[[#This Row],[Info string]])),Municipality[Municipality],"")</f>
        <v/>
      </c>
      <c r="K556" s="246" t="str" cm="1">
        <f t="array" ref="K556">IF(H_unit[[#This Row],[Exact]]&lt;&gt;"","",_xlfn.XLOOKUP(TRUE,ISNUMBER(SEARCH(" "&amp;Municipality[Municipality]&amp;"n ",H_unit[[#This Row],[Info string]])),Municipality[Municipality],""))</f>
        <v/>
      </c>
      <c r="L556" s="246" t="s">
        <v>1044</v>
      </c>
      <c r="M556" s="244" t="s">
        <v>2898</v>
      </c>
      <c r="N556" s="246" t="str">
        <f>_xlfn.TEXTJOIN("",TRUE,H_unit[[#This Row],[Exact]],H_unit[[#This Row],[Exact+n]],H_unit[[#This Row],[Copilot]])</f>
        <v>Kemijärvi</v>
      </c>
      <c r="O556" s="246" t="str">
        <f>_xlfn.XLOOKUP(H_unit[[#This Row],[Municipality]],Municipality[Municipality],Municipality[Model],"")</f>
        <v>North</v>
      </c>
      <c r="P556" s="236"/>
    </row>
    <row r="557" spans="1:16">
      <c r="A557" s="238" t="s">
        <v>1950</v>
      </c>
      <c r="B557" s="238" t="s">
        <v>1953</v>
      </c>
      <c r="C557" s="240" t="str" cm="1">
        <f t="array" ref="C557">" "&amp;LOWER(_xlfn.REDUCE(H_unit[[#This Row],[Company]]&amp;" "&amp;H_unit[[#This Row],[Unit]],{",",".","(",")","/"},_xlfn.LAMBDA(_xlpm.txt,_xlpm.delim,SUBSTITUTE(_xlpm.txt,_xlpm.delim," "))))&amp;" "</f>
        <v xml:space="preserve"> nevel oy  tuusula  jokela  vaihdemiehentie pok </v>
      </c>
      <c r="D557" s="242">
        <v>2001</v>
      </c>
      <c r="E557" s="243">
        <v>4.4000000000000004</v>
      </c>
      <c r="F557" s="243"/>
      <c r="G557" s="247"/>
      <c r="H557" s="267" t="s">
        <v>1418</v>
      </c>
      <c r="I557" s="248" t="s">
        <v>1141</v>
      </c>
      <c r="J557" s="246" t="str" cm="1">
        <f t="array" ref="J557">_xlfn.XLOOKUP(TRUE,ISNUMBER(SEARCH(" "&amp;Municipality[Municipality]&amp;" ",H_unit[[#This Row],[Info string]])),Municipality[Municipality],"")</f>
        <v>Tuusula</v>
      </c>
      <c r="K557" s="246" t="str" cm="1">
        <f t="array" ref="K557">IF(H_unit[[#This Row],[Exact]]&lt;&gt;"","",_xlfn.XLOOKUP(TRUE,ISNUMBER(SEARCH(" "&amp;Municipality[Municipality]&amp;"n ",H_unit[[#This Row],[Info string]])),Municipality[Municipality],""))</f>
        <v/>
      </c>
      <c r="L557" s="246"/>
      <c r="M557" s="244"/>
      <c r="N557" s="246" t="str">
        <f>_xlfn.TEXTJOIN("",TRUE,H_unit[[#This Row],[Exact]],H_unit[[#This Row],[Exact+n]],H_unit[[#This Row],[Copilot]])</f>
        <v>Tuusula</v>
      </c>
      <c r="O557" s="246" t="str">
        <f>_xlfn.XLOOKUP(H_unit[[#This Row],[Municipality]],Municipality[Municipality],Municipality[Model],"")</f>
        <v>Uusimaa</v>
      </c>
      <c r="P557" s="236"/>
    </row>
    <row r="558" spans="1:16">
      <c r="A558" s="238" t="s">
        <v>1950</v>
      </c>
      <c r="B558" s="238" t="s">
        <v>1951</v>
      </c>
      <c r="C558" s="240" t="str" cm="1">
        <f t="array" ref="C558">" "&amp;LOWER(_xlfn.REDUCE(H_unit[[#This Row],[Company]]&amp;" "&amp;H_unit[[#This Row],[Unit]],{",",".","(",")","/"},_xlfn.LAMBDA(_xlpm.txt,_xlpm.delim,SUBSTITUTE(_xlpm.txt,_xlpm.delim," "))))&amp;" "</f>
        <v xml:space="preserve"> nevel oy  tuusula  jokela  opintie pok </v>
      </c>
      <c r="D558" s="242">
        <v>2007</v>
      </c>
      <c r="E558" s="243">
        <v>4.4000000000000004</v>
      </c>
      <c r="F558" s="243"/>
      <c r="G558" s="247"/>
      <c r="H558" s="267" t="s">
        <v>1418</v>
      </c>
      <c r="I558" s="248" t="s">
        <v>1141</v>
      </c>
      <c r="J558" s="246" t="str" cm="1">
        <f t="array" ref="J558">_xlfn.XLOOKUP(TRUE,ISNUMBER(SEARCH(" "&amp;Municipality[Municipality]&amp;" ",H_unit[[#This Row],[Info string]])),Municipality[Municipality],"")</f>
        <v>Tuusula</v>
      </c>
      <c r="K558" s="246" t="str" cm="1">
        <f t="array" ref="K558">IF(H_unit[[#This Row],[Exact]]&lt;&gt;"","",_xlfn.XLOOKUP(TRUE,ISNUMBER(SEARCH(" "&amp;Municipality[Municipality]&amp;"n ",H_unit[[#This Row],[Info string]])),Municipality[Municipality],""))</f>
        <v/>
      </c>
      <c r="L558" s="246"/>
      <c r="M558" s="244"/>
      <c r="N558" s="246" t="str">
        <f>_xlfn.TEXTJOIN("",TRUE,H_unit[[#This Row],[Exact]],H_unit[[#This Row],[Exact+n]],H_unit[[#This Row],[Copilot]])</f>
        <v>Tuusula</v>
      </c>
      <c r="O558" s="246" t="str">
        <f>_xlfn.XLOOKUP(H_unit[[#This Row],[Municipality]],Municipality[Municipality],Municipality[Model],"")</f>
        <v>Uusimaa</v>
      </c>
      <c r="P558" s="236"/>
    </row>
    <row r="559" spans="1:16">
      <c r="A559" s="238" t="s">
        <v>1728</v>
      </c>
      <c r="B559" s="238" t="s">
        <v>1732</v>
      </c>
      <c r="C559" s="240" t="str" cm="1">
        <f t="array" ref="C559">" "&amp;LOWER(_xlfn.REDUCE(H_unit[[#This Row],[Company]]&amp;" "&amp;H_unit[[#This Row],[Unit]],{",",".","(",")","/"},_xlfn.LAMBDA(_xlpm.txt,_xlpm.delim,SUBSTITUTE(_xlpm.txt,_xlpm.delim," "))))&amp;" "</f>
        <v xml:space="preserve"> lahti energia oy  lahti rautakankare </v>
      </c>
      <c r="D559" s="242">
        <v>1979</v>
      </c>
      <c r="E559" s="243">
        <v>4.3</v>
      </c>
      <c r="F559" s="243"/>
      <c r="G559" s="247"/>
      <c r="H559" s="267" t="s">
        <v>1430</v>
      </c>
      <c r="I559" s="248" t="s">
        <v>1141</v>
      </c>
      <c r="J559" s="246" t="str" cm="1">
        <f t="array" ref="J559">_xlfn.XLOOKUP(TRUE,ISNUMBER(SEARCH(" "&amp;Municipality[Municipality]&amp;" ",H_unit[[#This Row],[Info string]])),Municipality[Municipality],"")</f>
        <v>Lahti</v>
      </c>
      <c r="K559" s="246" t="str" cm="1">
        <f t="array" ref="K559">IF(H_unit[[#This Row],[Exact]]&lt;&gt;"","",_xlfn.XLOOKUP(TRUE,ISNUMBER(SEARCH(" "&amp;Municipality[Municipality]&amp;"n ",H_unit[[#This Row],[Info string]])),Municipality[Municipality],""))</f>
        <v/>
      </c>
      <c r="L559" s="246"/>
      <c r="M559" s="244"/>
      <c r="N559" s="246" t="str">
        <f>_xlfn.TEXTJOIN("",TRUE,H_unit[[#This Row],[Exact]],H_unit[[#This Row],[Exact+n]],H_unit[[#This Row],[Copilot]])</f>
        <v>Lahti</v>
      </c>
      <c r="O559" s="246" t="str">
        <f>_xlfn.XLOOKUP(H_unit[[#This Row],[Municipality]],Municipality[Municipality],Municipality[Model],"")</f>
        <v>South East</v>
      </c>
      <c r="P559" s="236"/>
    </row>
    <row r="560" spans="1:16" ht="27">
      <c r="A560" s="238" t="s">
        <v>1912</v>
      </c>
      <c r="B560" s="239" t="s">
        <v>1914</v>
      </c>
      <c r="C560" s="241" t="str" cm="1">
        <f t="array" ref="C560">" "&amp;LOWER(_xlfn.REDUCE(H_unit[[#This Row],[Company]]&amp;" "&amp;H_unit[[#This Row],[Unit]],{",",".","(",")","/"},_xlfn.LAMBDA(_xlpm.txt,_xlpm.delim,SUBSTITUTE(_xlpm.txt,_xlpm.delim," "))))&amp;" "</f>
        <v xml:space="preserve"> nevel oy  joensuu  hammaslahti  reijola  hammaslahti paavontie  pok  </v>
      </c>
      <c r="D560" s="242">
        <v>1982</v>
      </c>
      <c r="E560" s="243">
        <v>4.3</v>
      </c>
      <c r="F560" s="243"/>
      <c r="G560" s="247"/>
      <c r="H560" s="267" t="s">
        <v>1430</v>
      </c>
      <c r="I560" s="248" t="s">
        <v>1141</v>
      </c>
      <c r="J560" s="246" t="str" cm="1">
        <f t="array" ref="J560">_xlfn.XLOOKUP(TRUE,ISNUMBER(SEARCH(" "&amp;Municipality[Municipality]&amp;" ",H_unit[[#This Row],[Info string]])),Municipality[Municipality],"")</f>
        <v>Joensuu</v>
      </c>
      <c r="K560" s="246" t="str" cm="1">
        <f t="array" ref="K560">IF(H_unit[[#This Row],[Exact]]&lt;&gt;"","",_xlfn.XLOOKUP(TRUE,ISNUMBER(SEARCH(" "&amp;Municipality[Municipality]&amp;"n ",H_unit[[#This Row],[Info string]])),Municipality[Municipality],""))</f>
        <v/>
      </c>
      <c r="L560" s="246"/>
      <c r="M560" s="244"/>
      <c r="N560" s="246" t="str">
        <f>_xlfn.TEXTJOIN("",TRUE,H_unit[[#This Row],[Exact]],H_unit[[#This Row],[Exact+n]],H_unit[[#This Row],[Copilot]])</f>
        <v>Joensuu</v>
      </c>
      <c r="O560" s="246" t="str">
        <f>_xlfn.XLOOKUP(H_unit[[#This Row],[Municipality]],Municipality[Municipality],Municipality[Model],"")</f>
        <v>East</v>
      </c>
      <c r="P560" s="236"/>
    </row>
    <row r="561" spans="1:16">
      <c r="A561" s="238" t="s">
        <v>1873</v>
      </c>
      <c r="B561" s="238" t="s">
        <v>1874</v>
      </c>
      <c r="C561" s="240" t="str" cm="1">
        <f t="array" ref="C561">" "&amp;LOWER(_xlfn.REDUCE(H_unit[[#This Row],[Company]]&amp;" "&amp;H_unit[[#This Row],[Unit]],{",",".","(",")","/"},_xlfn.LAMBDA(_xlpm.txt,_xlpm.delim,SUBSTITUTE(_xlpm.txt,_xlpm.delim," "))))&amp;" "</f>
        <v xml:space="preserve"> loimua oy  vilppula puhdistamo </v>
      </c>
      <c r="D561" s="242">
        <v>1979</v>
      </c>
      <c r="E561" s="243">
        <v>4.2</v>
      </c>
      <c r="F561" s="243"/>
      <c r="G561" s="247"/>
      <c r="H561" s="267" t="s">
        <v>1430</v>
      </c>
      <c r="I561" s="248" t="s">
        <v>1141</v>
      </c>
      <c r="J561" s="246" t="str" cm="1">
        <f t="array" ref="J561">_xlfn.XLOOKUP(TRUE,ISNUMBER(SEARCH(" "&amp;Municipality[Municipality]&amp;" ",H_unit[[#This Row],[Info string]])),Municipality[Municipality],"")</f>
        <v>Vilppula</v>
      </c>
      <c r="K561" s="246" t="str" cm="1">
        <f t="array" ref="K561">IF(H_unit[[#This Row],[Exact]]&lt;&gt;"","",_xlfn.XLOOKUP(TRUE,ISNUMBER(SEARCH(" "&amp;Municipality[Municipality]&amp;"n ",H_unit[[#This Row],[Info string]])),Municipality[Municipality],""))</f>
        <v/>
      </c>
      <c r="L561" s="246"/>
      <c r="M561" s="244"/>
      <c r="N561" s="246" t="str">
        <f>_xlfn.TEXTJOIN("",TRUE,H_unit[[#This Row],[Exact]],H_unit[[#This Row],[Exact+n]],H_unit[[#This Row],[Copilot]])</f>
        <v>Vilppula</v>
      </c>
      <c r="O561" s="246" t="str">
        <f>_xlfn.XLOOKUP(H_unit[[#This Row],[Municipality]],Municipality[Municipality],Municipality[Model],"")</f>
        <v>Center</v>
      </c>
      <c r="P561" s="236"/>
    </row>
    <row r="562" spans="1:16">
      <c r="A562" s="238" t="s">
        <v>1694</v>
      </c>
      <c r="B562" s="238" t="s">
        <v>1695</v>
      </c>
      <c r="C562" s="240" t="str" cm="1">
        <f t="array" ref="C562">" "&amp;LOWER(_xlfn.REDUCE(H_unit[[#This Row],[Company]]&amp;" "&amp;H_unit[[#This Row],[Unit]],{",",".","(",")","/"},_xlfn.LAMBDA(_xlpm.txt,_xlpm.delim,SUBSTITUTE(_xlpm.txt,_xlpm.delim," "))))&amp;" "</f>
        <v xml:space="preserve"> kuortaneen energiaosuuskunta sampola </v>
      </c>
      <c r="D562" s="242">
        <v>2010</v>
      </c>
      <c r="E562" s="243">
        <v>4.2</v>
      </c>
      <c r="F562" s="243"/>
      <c r="G562" s="247"/>
      <c r="H562" s="267" t="s">
        <v>1423</v>
      </c>
      <c r="I562" s="248" t="s">
        <v>1143</v>
      </c>
      <c r="J562" s="246" t="str" cm="1">
        <f t="array" ref="J562">_xlfn.XLOOKUP(TRUE,ISNUMBER(SEARCH(" "&amp;Municipality[Municipality]&amp;" ",H_unit[[#This Row],[Info string]])),Municipality[Municipality],"")</f>
        <v/>
      </c>
      <c r="K562" s="246" t="str" cm="1">
        <f t="array" ref="K562">IF(H_unit[[#This Row],[Exact]]&lt;&gt;"","",_xlfn.XLOOKUP(TRUE,ISNUMBER(SEARCH(" "&amp;Municipality[Municipality]&amp;"n ",H_unit[[#This Row],[Info string]])),Municipality[Municipality],""))</f>
        <v/>
      </c>
      <c r="L562" s="246"/>
      <c r="M562" s="244"/>
      <c r="N562" s="246" t="str">
        <f>_xlfn.TEXTJOIN("",TRUE,H_unit[[#This Row],[Exact]],H_unit[[#This Row],[Exact+n]],H_unit[[#This Row],[Copilot]])</f>
        <v/>
      </c>
      <c r="O562" s="246" t="str">
        <f>_xlfn.XLOOKUP(H_unit[[#This Row],[Municipality]],Municipality[Municipality],Municipality[Model],"")</f>
        <v/>
      </c>
      <c r="P562" s="236"/>
    </row>
    <row r="563" spans="1:16">
      <c r="A563" s="238" t="s">
        <v>1824</v>
      </c>
      <c r="B563" s="238" t="s">
        <v>1830</v>
      </c>
      <c r="C563" s="240" t="str" cm="1">
        <f t="array" ref="C563">" "&amp;LOWER(_xlfn.REDUCE(H_unit[[#This Row],[Company]]&amp;" "&amp;H_unit[[#This Row],[Unit]],{",",".","(",")","/"},_xlfn.LAMBDA(_xlpm.txt,_xlpm.delim,SUBSTITUTE(_xlpm.txt,_xlpm.delim," "))))&amp;" "</f>
        <v xml:space="preserve"> loimaan kaukolämpö oy niittukulman varavoima </v>
      </c>
      <c r="D563" s="242">
        <v>2023</v>
      </c>
      <c r="E563" s="243">
        <v>4.2</v>
      </c>
      <c r="F563" s="243"/>
      <c r="G563" s="247"/>
      <c r="H563" s="267" t="s">
        <v>1436</v>
      </c>
      <c r="I563" s="248" t="s">
        <v>1143</v>
      </c>
      <c r="J563" s="246" t="str" cm="1">
        <f t="array" ref="J563">_xlfn.XLOOKUP(TRUE,ISNUMBER(SEARCH(" "&amp;Municipality[Municipality]&amp;" ",H_unit[[#This Row],[Info string]])),Municipality[Municipality],"")</f>
        <v/>
      </c>
      <c r="K563" s="246" t="str" cm="1">
        <f t="array" ref="K563">IF(H_unit[[#This Row],[Exact]]&lt;&gt;"","",_xlfn.XLOOKUP(TRUE,ISNUMBER(SEARCH(" "&amp;Municipality[Municipality]&amp;"n ",H_unit[[#This Row],[Info string]])),Municipality[Municipality],""))</f>
        <v>Loimaa</v>
      </c>
      <c r="L563" s="246"/>
      <c r="M563" s="244"/>
      <c r="N563" s="246" t="str">
        <f>_xlfn.TEXTJOIN("",TRUE,H_unit[[#This Row],[Exact]],H_unit[[#This Row],[Exact+n]],H_unit[[#This Row],[Copilot]])</f>
        <v>Loimaa</v>
      </c>
      <c r="O563" s="246" t="str">
        <f>_xlfn.XLOOKUP(H_unit[[#This Row],[Municipality]],Municipality[Municipality],Municipality[Model],"")</f>
        <v>South West</v>
      </c>
      <c r="P563" s="236"/>
    </row>
    <row r="564" spans="1:16">
      <c r="A564" s="238" t="s">
        <v>1814</v>
      </c>
      <c r="B564" s="238" t="s">
        <v>1822</v>
      </c>
      <c r="C564" s="240" t="str" cm="1">
        <f t="array" ref="C564">" "&amp;LOWER(_xlfn.REDUCE(H_unit[[#This Row],[Company]]&amp;" "&amp;H_unit[[#This Row],[Unit]],{",",".","(",")","/"},_xlfn.LAMBDA(_xlpm.txt,_xlpm.delim,SUBSTITUTE(_xlpm.txt,_xlpm.delim," "))))&amp;" "</f>
        <v xml:space="preserve"> lohjan energiahuolto oy loher mäntynummi  hakulintie </v>
      </c>
      <c r="D564" s="242" t="s">
        <v>1448</v>
      </c>
      <c r="E564" s="243">
        <v>4.2</v>
      </c>
      <c r="F564" s="243"/>
      <c r="G564" s="247"/>
      <c r="H564" s="267" t="s">
        <v>1453</v>
      </c>
      <c r="I564" s="248" t="s">
        <v>1142</v>
      </c>
      <c r="J564" s="246" t="str" cm="1">
        <f t="array" ref="J564">_xlfn.XLOOKUP(TRUE,ISNUMBER(SEARCH(" "&amp;Municipality[Municipality]&amp;" ",H_unit[[#This Row],[Info string]])),Municipality[Municipality],"")</f>
        <v/>
      </c>
      <c r="K564" s="246" t="str" cm="1">
        <f t="array" ref="K564">IF(H_unit[[#This Row],[Exact]]&lt;&gt;"","",_xlfn.XLOOKUP(TRUE,ISNUMBER(SEARCH(" "&amp;Municipality[Municipality]&amp;"n ",H_unit[[#This Row],[Info string]])),Municipality[Municipality],""))</f>
        <v>Lohja</v>
      </c>
      <c r="L564" s="246"/>
      <c r="M564" s="244"/>
      <c r="N564" s="246" t="str">
        <f>_xlfn.TEXTJOIN("",TRUE,H_unit[[#This Row],[Exact]],H_unit[[#This Row],[Exact+n]],H_unit[[#This Row],[Copilot]])</f>
        <v>Lohja</v>
      </c>
      <c r="O564" s="246" t="str">
        <f>_xlfn.XLOOKUP(H_unit[[#This Row],[Municipality]],Municipality[Municipality],Municipality[Model],"")</f>
        <v>Uusimaa</v>
      </c>
      <c r="P564" s="236"/>
    </row>
    <row r="565" spans="1:16">
      <c r="A565" s="238" t="s">
        <v>1597</v>
      </c>
      <c r="B565" s="238" t="s">
        <v>1598</v>
      </c>
      <c r="C565" s="240" t="str" cm="1">
        <f t="array" ref="C565">" "&amp;LOWER(_xlfn.REDUCE(H_unit[[#This Row],[Company]]&amp;" "&amp;H_unit[[#This Row],[Unit]],{",",".","(",")","/"},_xlfn.LAMBDA(_xlpm.txt,_xlpm.delim,SUBSTITUTE(_xlpm.txt,_xlpm.delim," "))))&amp;" "</f>
        <v xml:space="preserve"> kausalan kaukolämpö oy asemantie </v>
      </c>
      <c r="D565" s="242">
        <v>2001</v>
      </c>
      <c r="E565" s="243">
        <v>4.0999999999999996</v>
      </c>
      <c r="F565" s="243"/>
      <c r="G565" s="247"/>
      <c r="H565" s="267" t="s">
        <v>1423</v>
      </c>
      <c r="I565" s="248" t="s">
        <v>1143</v>
      </c>
      <c r="J565" s="246" t="str" cm="1">
        <f t="array" ref="J565">_xlfn.XLOOKUP(TRUE,ISNUMBER(SEARCH(" "&amp;Municipality[Municipality]&amp;" ",H_unit[[#This Row],[Info string]])),Municipality[Municipality],"")</f>
        <v/>
      </c>
      <c r="K565" s="246" t="str" cm="1">
        <f t="array" ref="K565">IF(H_unit[[#This Row],[Exact]]&lt;&gt;"","",_xlfn.XLOOKUP(TRUE,ISNUMBER(SEARCH(" "&amp;Municipality[Municipality]&amp;"n ",H_unit[[#This Row],[Info string]])),Municipality[Municipality],""))</f>
        <v/>
      </c>
      <c r="L565" s="246" t="s">
        <v>2542</v>
      </c>
      <c r="M565" s="244" t="s">
        <v>2917</v>
      </c>
      <c r="N565" s="246" t="str">
        <f>_xlfn.TEXTJOIN("",TRUE,H_unit[[#This Row],[Exact]],H_unit[[#This Row],[Exact+n]],H_unit[[#This Row],[Copilot]])</f>
        <v>Iitti</v>
      </c>
      <c r="O565" s="246" t="str">
        <f>_xlfn.XLOOKUP(H_unit[[#This Row],[Municipality]],Municipality[Municipality],Municipality[Model],"")</f>
        <v>South East</v>
      </c>
      <c r="P565" s="236"/>
    </row>
    <row r="566" spans="1:16">
      <c r="A566" s="238" t="s">
        <v>2005</v>
      </c>
      <c r="B566" s="238" t="s">
        <v>2007</v>
      </c>
      <c r="C566" s="240" t="str" cm="1">
        <f t="array" ref="C566">" "&amp;LOWER(_xlfn.REDUCE(H_unit[[#This Row],[Company]]&amp;" "&amp;H_unit[[#This Row],[Unit]],{",",".","(",")","/"},_xlfn.LAMBDA(_xlpm.txt,_xlpm.delim,SUBSTITUTE(_xlpm.txt,_xlpm.delim," "))))&amp;" "</f>
        <v xml:space="preserve"> otanmäen lämpö oy kiisu </v>
      </c>
      <c r="D566" s="242">
        <v>1970</v>
      </c>
      <c r="E566" s="243">
        <v>4</v>
      </c>
      <c r="F566" s="243"/>
      <c r="G566" s="247"/>
      <c r="H566" s="267" t="s">
        <v>1430</v>
      </c>
      <c r="I566" s="248" t="s">
        <v>1141</v>
      </c>
      <c r="J566" s="246" t="str" cm="1">
        <f t="array" ref="J566">_xlfn.XLOOKUP(TRUE,ISNUMBER(SEARCH(" "&amp;Municipality[Municipality]&amp;" ",H_unit[[#This Row],[Info string]])),Municipality[Municipality],"")</f>
        <v/>
      </c>
      <c r="K566" s="246" t="str" cm="1">
        <f t="array" ref="K566">IF(H_unit[[#This Row],[Exact]]&lt;&gt;"","",_xlfn.XLOOKUP(TRUE,ISNUMBER(SEARCH(" "&amp;Municipality[Municipality]&amp;"n ",H_unit[[#This Row],[Info string]])),Municipality[Municipality],""))</f>
        <v/>
      </c>
      <c r="L566" s="246"/>
      <c r="M566" s="244"/>
      <c r="N566" s="246" t="str">
        <f>_xlfn.TEXTJOIN("",TRUE,H_unit[[#This Row],[Exact]],H_unit[[#This Row],[Exact+n]],H_unit[[#This Row],[Copilot]])</f>
        <v/>
      </c>
      <c r="O566" s="246" t="str">
        <f>_xlfn.XLOOKUP(H_unit[[#This Row],[Municipality]],Municipality[Municipality],Municipality[Model],"")</f>
        <v/>
      </c>
      <c r="P566" s="236"/>
    </row>
    <row r="567" spans="1:16">
      <c r="A567" s="238" t="s">
        <v>2299</v>
      </c>
      <c r="B567" s="238" t="s">
        <v>2007</v>
      </c>
      <c r="C567" s="240" t="str" cm="1">
        <f t="array" ref="C567">" "&amp;LOWER(_xlfn.REDUCE(H_unit[[#This Row],[Company]]&amp;" "&amp;H_unit[[#This Row],[Unit]],{",",".","(",")","/"},_xlfn.LAMBDA(_xlpm.txt,_xlpm.delim,SUBSTITUTE(_xlpm.txt,_xlpm.delim," "))))&amp;" "</f>
        <v xml:space="preserve"> kainuun lämpöhuolto oy kiisu </v>
      </c>
      <c r="D567" s="242">
        <v>1970</v>
      </c>
      <c r="E567" s="243">
        <v>4</v>
      </c>
      <c r="F567" s="243"/>
      <c r="G567" s="247"/>
      <c r="H567" s="267" t="s">
        <v>1430</v>
      </c>
      <c r="I567" s="248" t="s">
        <v>1141</v>
      </c>
      <c r="J567" s="246" t="str" cm="1">
        <f t="array" ref="J567">_xlfn.XLOOKUP(TRUE,ISNUMBER(SEARCH(" "&amp;Municipality[Municipality]&amp;" ",H_unit[[#This Row],[Info string]])),Municipality[Municipality],"")</f>
        <v/>
      </c>
      <c r="K567" s="246" t="str" cm="1">
        <f t="array" ref="K567">IF(H_unit[[#This Row],[Exact]]&lt;&gt;"","",_xlfn.XLOOKUP(TRUE,ISNUMBER(SEARCH(" "&amp;Municipality[Municipality]&amp;"n ",H_unit[[#This Row],[Info string]])),Municipality[Municipality],""))</f>
        <v/>
      </c>
      <c r="L567" s="246"/>
      <c r="M567" s="244"/>
      <c r="N567" s="246" t="str">
        <f>_xlfn.TEXTJOIN("",TRUE,H_unit[[#This Row],[Exact]],H_unit[[#This Row],[Exact+n]],H_unit[[#This Row],[Copilot]])</f>
        <v/>
      </c>
      <c r="O567" s="246" t="str">
        <f>_xlfn.XLOOKUP(H_unit[[#This Row],[Municipality]],Municipality[Municipality],Municipality[Model],"")</f>
        <v/>
      </c>
      <c r="P567" s="236"/>
    </row>
    <row r="568" spans="1:16">
      <c r="A568" s="238" t="s">
        <v>1992</v>
      </c>
      <c r="B568" s="238" t="s">
        <v>1993</v>
      </c>
      <c r="C568" s="240" t="str" cm="1">
        <f t="array" ref="C568">" "&amp;LOWER(_xlfn.REDUCE(H_unit[[#This Row],[Company]]&amp;" "&amp;H_unit[[#This Row],[Unit]],{",",".","(",")","/"},_xlfn.LAMBDA(_xlpm.txt,_xlpm.delim,SUBSTITUTE(_xlpm.txt,_xlpm.delim," "))))&amp;" "</f>
        <v xml:space="preserve"> okun energia oy  outokumpu mustola </v>
      </c>
      <c r="D568" s="242">
        <v>1975</v>
      </c>
      <c r="E568" s="243">
        <v>4</v>
      </c>
      <c r="F568" s="243"/>
      <c r="G568" s="247"/>
      <c r="H568" s="267" t="s">
        <v>1430</v>
      </c>
      <c r="I568" s="248" t="s">
        <v>1141</v>
      </c>
      <c r="J568" s="246" t="str" cm="1">
        <f t="array" ref="J568">_xlfn.XLOOKUP(TRUE,ISNUMBER(SEARCH(" "&amp;Municipality[Municipality]&amp;" ",H_unit[[#This Row],[Info string]])),Municipality[Municipality],"")</f>
        <v>Outokumpu</v>
      </c>
      <c r="K568" s="246" t="str" cm="1">
        <f t="array" ref="K568">IF(H_unit[[#This Row],[Exact]]&lt;&gt;"","",_xlfn.XLOOKUP(TRUE,ISNUMBER(SEARCH(" "&amp;Municipality[Municipality]&amp;"n ",H_unit[[#This Row],[Info string]])),Municipality[Municipality],""))</f>
        <v/>
      </c>
      <c r="L568" s="246"/>
      <c r="M568" s="244"/>
      <c r="N568" s="246" t="str">
        <f>_xlfn.TEXTJOIN("",TRUE,H_unit[[#This Row],[Exact]],H_unit[[#This Row],[Exact+n]],H_unit[[#This Row],[Copilot]])</f>
        <v>Outokumpu</v>
      </c>
      <c r="O568" s="246" t="str">
        <f>_xlfn.XLOOKUP(H_unit[[#This Row],[Municipality]],Municipality[Municipality],Municipality[Model],"")</f>
        <v>East</v>
      </c>
      <c r="P568" s="236"/>
    </row>
    <row r="569" spans="1:16">
      <c r="A569" s="238" t="s">
        <v>2223</v>
      </c>
      <c r="B569" s="238" t="s">
        <v>2224</v>
      </c>
      <c r="C569" s="240" t="str" cm="1">
        <f t="array" ref="C569">" "&amp;LOWER(_xlfn.REDUCE(H_unit[[#This Row],[Company]]&amp;" "&amp;H_unit[[#This Row],[Unit]],{",",".","(",")","/"},_xlfn.LAMBDA(_xlpm.txt,_xlpm.delim,SUBSTITUTE(_xlpm.txt,_xlpm.delim," "))))&amp;" "</f>
        <v xml:space="preserve"> varkauden aluelämpö oy haijanvirta </v>
      </c>
      <c r="D569" s="242">
        <v>1978</v>
      </c>
      <c r="E569" s="243">
        <v>4</v>
      </c>
      <c r="F569" s="243"/>
      <c r="G569" s="247"/>
      <c r="H569" s="267" t="s">
        <v>1430</v>
      </c>
      <c r="I569" s="248" t="s">
        <v>1141</v>
      </c>
      <c r="J569" s="246" t="str" cm="1">
        <f t="array" ref="J569">_xlfn.XLOOKUP(TRUE,ISNUMBER(SEARCH(" "&amp;Municipality[Municipality]&amp;" ",H_unit[[#This Row],[Info string]])),Municipality[Municipality],"")</f>
        <v/>
      </c>
      <c r="K569" s="246" t="str" cm="1">
        <f t="array" ref="K569">IF(H_unit[[#This Row],[Exact]]&lt;&gt;"","",_xlfn.XLOOKUP(TRUE,ISNUMBER(SEARCH(" "&amp;Municipality[Municipality]&amp;"n ",H_unit[[#This Row],[Info string]])),Municipality[Municipality],""))</f>
        <v/>
      </c>
      <c r="L569" s="246" t="s">
        <v>1007</v>
      </c>
      <c r="M569" s="244" t="s">
        <v>2896</v>
      </c>
      <c r="N569" s="246" t="str">
        <f>_xlfn.TEXTJOIN("",TRUE,H_unit[[#This Row],[Exact]],H_unit[[#This Row],[Exact+n]],H_unit[[#This Row],[Copilot]])</f>
        <v>Varkaus</v>
      </c>
      <c r="O569" s="246" t="str">
        <f>_xlfn.XLOOKUP(H_unit[[#This Row],[Municipality]],Municipality[Municipality],Municipality[Model],"")</f>
        <v>East</v>
      </c>
      <c r="P569" s="236"/>
    </row>
    <row r="570" spans="1:16">
      <c r="A570" s="238" t="s">
        <v>1937</v>
      </c>
      <c r="B570" s="238" t="s">
        <v>1939</v>
      </c>
      <c r="C570" s="240" t="str" cm="1">
        <f t="array" ref="C570">" "&amp;LOWER(_xlfn.REDUCE(H_unit[[#This Row],[Company]]&amp;" "&amp;H_unit[[#This Row],[Unit]],{",",".","(",")","/"},_xlfn.LAMBDA(_xlpm.txt,_xlpm.delim,SUBSTITUTE(_xlpm.txt,_xlpm.delim," "))))&amp;" "</f>
        <v xml:space="preserve"> nevel oy  rääkkylä rääkkylä pok </v>
      </c>
      <c r="D570" s="242">
        <v>1979</v>
      </c>
      <c r="E570" s="243">
        <v>4</v>
      </c>
      <c r="F570" s="243"/>
      <c r="G570" s="247"/>
      <c r="H570" s="267" t="s">
        <v>1430</v>
      </c>
      <c r="I570" s="248" t="s">
        <v>1141</v>
      </c>
      <c r="J570" s="246" t="str" cm="1">
        <f t="array" ref="J570">_xlfn.XLOOKUP(TRUE,ISNUMBER(SEARCH(" "&amp;Municipality[Municipality]&amp;" ",H_unit[[#This Row],[Info string]])),Municipality[Municipality],"")</f>
        <v>Rääkkylä</v>
      </c>
      <c r="K570" s="246" t="str" cm="1">
        <f t="array" ref="K570">IF(H_unit[[#This Row],[Exact]]&lt;&gt;"","",_xlfn.XLOOKUP(TRUE,ISNUMBER(SEARCH(" "&amp;Municipality[Municipality]&amp;"n ",H_unit[[#This Row],[Info string]])),Municipality[Municipality],""))</f>
        <v/>
      </c>
      <c r="L570" s="246"/>
      <c r="M570" s="244"/>
      <c r="N570" s="246" t="str">
        <f>_xlfn.TEXTJOIN("",TRUE,H_unit[[#This Row],[Exact]],H_unit[[#This Row],[Exact+n]],H_unit[[#This Row],[Copilot]])</f>
        <v>Rääkkylä</v>
      </c>
      <c r="O570" s="246" t="str">
        <f>_xlfn.XLOOKUP(H_unit[[#This Row],[Municipality]],Municipality[Municipality],Municipality[Model],"")</f>
        <v>East</v>
      </c>
      <c r="P570" s="236"/>
    </row>
    <row r="571" spans="1:16">
      <c r="A571" s="238" t="s">
        <v>1633</v>
      </c>
      <c r="B571" s="238" t="s">
        <v>1634</v>
      </c>
      <c r="C571" s="240" t="str" cm="1">
        <f t="array" ref="C571">" "&amp;LOWER(_xlfn.REDUCE(H_unit[[#This Row],[Company]]&amp;" "&amp;H_unit[[#This Row],[Unit]],{",",".","(",")","/"},_xlfn.LAMBDA(_xlpm.txt,_xlpm.delim,SUBSTITUTE(_xlpm.txt,_xlpm.delim," "))))&amp;" "</f>
        <v xml:space="preserve"> kiteen lämpö oy koulukeskus </v>
      </c>
      <c r="D571" s="242">
        <v>1981</v>
      </c>
      <c r="E571" s="243">
        <v>4</v>
      </c>
      <c r="F571" s="243"/>
      <c r="G571" s="247"/>
      <c r="H571" s="267" t="s">
        <v>1430</v>
      </c>
      <c r="I571" s="248" t="s">
        <v>1141</v>
      </c>
      <c r="J571" s="246" t="str" cm="1">
        <f t="array" ref="J571">_xlfn.XLOOKUP(TRUE,ISNUMBER(SEARCH(" "&amp;Municipality[Municipality]&amp;" ",H_unit[[#This Row],[Info string]])),Municipality[Municipality],"")</f>
        <v/>
      </c>
      <c r="K571" s="246" t="str" cm="1">
        <f t="array" ref="K571">IF(H_unit[[#This Row],[Exact]]&lt;&gt;"","",_xlfn.XLOOKUP(TRUE,ISNUMBER(SEARCH(" "&amp;Municipality[Municipality]&amp;"n ",H_unit[[#This Row],[Info string]])),Municipality[Municipality],""))</f>
        <v>Kitee</v>
      </c>
      <c r="L571" s="246"/>
      <c r="M571" s="244"/>
      <c r="N571" s="246" t="str">
        <f>_xlfn.TEXTJOIN("",TRUE,H_unit[[#This Row],[Exact]],H_unit[[#This Row],[Exact+n]],H_unit[[#This Row],[Copilot]])</f>
        <v>Kitee</v>
      </c>
      <c r="O571" s="246" t="str">
        <f>_xlfn.XLOOKUP(H_unit[[#This Row],[Municipality]],Municipality[Municipality],Municipality[Model],"")</f>
        <v>East</v>
      </c>
      <c r="P571" s="236"/>
    </row>
    <row r="572" spans="1:16">
      <c r="A572" s="238" t="s">
        <v>2061</v>
      </c>
      <c r="B572" s="238" t="s">
        <v>2066</v>
      </c>
      <c r="C572" s="240" t="str" cm="1">
        <f t="array" ref="C572">" "&amp;LOWER(_xlfn.REDUCE(H_unit[[#This Row],[Company]]&amp;" "&amp;H_unit[[#This Row],[Unit]],{",",".","(",")","/"},_xlfn.LAMBDA(_xlpm.txt,_xlpm.delim,SUBSTITUTE(_xlpm.txt,_xlpm.delim," "))))&amp;" "</f>
        <v xml:space="preserve"> raahen energia oy lk-5 2 </v>
      </c>
      <c r="D572" s="242">
        <v>1981</v>
      </c>
      <c r="E572" s="243">
        <v>4</v>
      </c>
      <c r="F572" s="243"/>
      <c r="G572" s="247"/>
      <c r="H572" s="267" t="s">
        <v>1430</v>
      </c>
      <c r="I572" s="248" t="s">
        <v>1141</v>
      </c>
      <c r="J572" s="246" t="str" cm="1">
        <f t="array" ref="J572">_xlfn.XLOOKUP(TRUE,ISNUMBER(SEARCH(" "&amp;Municipality[Municipality]&amp;" ",H_unit[[#This Row],[Info string]])),Municipality[Municipality],"")</f>
        <v/>
      </c>
      <c r="K572" s="246" t="str" cm="1">
        <f t="array" ref="K572">IF(H_unit[[#This Row],[Exact]]&lt;&gt;"","",_xlfn.XLOOKUP(TRUE,ISNUMBER(SEARCH(" "&amp;Municipality[Municipality]&amp;"n ",H_unit[[#This Row],[Info string]])),Municipality[Municipality],""))</f>
        <v>Raahe</v>
      </c>
      <c r="L572" s="246"/>
      <c r="M572" s="244"/>
      <c r="N572" s="246" t="str">
        <f>_xlfn.TEXTJOIN("",TRUE,H_unit[[#This Row],[Exact]],H_unit[[#This Row],[Exact+n]],H_unit[[#This Row],[Copilot]])</f>
        <v>Raahe</v>
      </c>
      <c r="O572" s="246" t="str">
        <f>_xlfn.XLOOKUP(H_unit[[#This Row],[Municipality]],Municipality[Municipality],Municipality[Model],"")</f>
        <v>North</v>
      </c>
      <c r="P572" s="236"/>
    </row>
    <row r="573" spans="1:16">
      <c r="A573" s="238" t="s">
        <v>1997</v>
      </c>
      <c r="B573" s="238" t="s">
        <v>1999</v>
      </c>
      <c r="C573" s="240" t="str" cm="1">
        <f t="array" ref="C573">" "&amp;LOWER(_xlfn.REDUCE(H_unit[[#This Row],[Company]]&amp;" "&amp;H_unit[[#This Row],[Unit]],{",",".","(",")","/"},_xlfn.LAMBDA(_xlpm.txt,_xlpm.delim,SUBSTITUTE(_xlpm.txt,_xlpm.delim," "))))&amp;" "</f>
        <v xml:space="preserve"> orimattilan lämpö oy myllylä </v>
      </c>
      <c r="D573" s="242">
        <v>1984</v>
      </c>
      <c r="E573" s="243">
        <v>4</v>
      </c>
      <c r="F573" s="243"/>
      <c r="G573" s="247"/>
      <c r="H573" s="267" t="s">
        <v>1453</v>
      </c>
      <c r="I573" s="248" t="s">
        <v>1142</v>
      </c>
      <c r="J573" s="246" t="str" cm="1">
        <f t="array" ref="J573">_xlfn.XLOOKUP(TRUE,ISNUMBER(SEARCH(" "&amp;Municipality[Municipality]&amp;" ",H_unit[[#This Row],[Info string]])),Municipality[Municipality],"")</f>
        <v/>
      </c>
      <c r="K573" s="246" t="str" cm="1">
        <f t="array" ref="K573">IF(H_unit[[#This Row],[Exact]]&lt;&gt;"","",_xlfn.XLOOKUP(TRUE,ISNUMBER(SEARCH(" "&amp;Municipality[Municipality]&amp;"n ",H_unit[[#This Row],[Info string]])),Municipality[Municipality],""))</f>
        <v>Orimattila</v>
      </c>
      <c r="L573" s="246"/>
      <c r="M573" s="244"/>
      <c r="N573" s="246" t="str">
        <f>_xlfn.TEXTJOIN("",TRUE,H_unit[[#This Row],[Exact]],H_unit[[#This Row],[Exact+n]],H_unit[[#This Row],[Copilot]])</f>
        <v>Orimattila</v>
      </c>
      <c r="O573" s="246" t="str">
        <f>_xlfn.XLOOKUP(H_unit[[#This Row],[Municipality]],Municipality[Municipality],Municipality[Model],"")</f>
        <v>Uusimaa</v>
      </c>
      <c r="P573" s="236"/>
    </row>
    <row r="574" spans="1:16">
      <c r="A574" s="238" t="s">
        <v>1581</v>
      </c>
      <c r="B574" s="238" t="s">
        <v>1582</v>
      </c>
      <c r="C574" s="240" t="str" cm="1">
        <f t="array" ref="C574">" "&amp;LOWER(_xlfn.REDUCE(H_unit[[#This Row],[Company]]&amp;" "&amp;H_unit[[#This Row],[Unit]],{",",".","(",")","/"},_xlfn.LAMBDA(_xlpm.txt,_xlpm.delim,SUBSTITUTE(_xlpm.txt,_xlpm.delim," "))))&amp;" "</f>
        <v xml:space="preserve"> kauhajoen lämpöhuolto oy lellava </v>
      </c>
      <c r="D574" s="242">
        <v>1985</v>
      </c>
      <c r="E574" s="243">
        <v>4</v>
      </c>
      <c r="F574" s="243"/>
      <c r="G574" s="247"/>
      <c r="H574" s="267" t="s">
        <v>1418</v>
      </c>
      <c r="I574" s="248" t="s">
        <v>1141</v>
      </c>
      <c r="J574" s="246" t="str" cm="1">
        <f t="array" ref="J574">_xlfn.XLOOKUP(TRUE,ISNUMBER(SEARCH(" "&amp;Municipality[Municipality]&amp;" ",H_unit[[#This Row],[Info string]])),Municipality[Municipality],"")</f>
        <v/>
      </c>
      <c r="K574" s="246" t="str" cm="1">
        <f t="array" ref="K574">IF(H_unit[[#This Row],[Exact]]&lt;&gt;"","",_xlfn.XLOOKUP(TRUE,ISNUMBER(SEARCH(" "&amp;Municipality[Municipality]&amp;"n ",H_unit[[#This Row],[Info string]])),Municipality[Municipality],""))</f>
        <v/>
      </c>
      <c r="L574" s="246" t="s">
        <v>2577</v>
      </c>
      <c r="M574" s="244" t="s">
        <v>2918</v>
      </c>
      <c r="N574" s="246" t="str">
        <f>_xlfn.TEXTJOIN("",TRUE,H_unit[[#This Row],[Exact]],H_unit[[#This Row],[Exact+n]],H_unit[[#This Row],[Copilot]])</f>
        <v>Kauhajoki</v>
      </c>
      <c r="O574" s="246" t="str">
        <f>_xlfn.XLOOKUP(H_unit[[#This Row],[Municipality]],Municipality[Municipality],Municipality[Model],"")</f>
        <v>West</v>
      </c>
      <c r="P574" s="236"/>
    </row>
    <row r="575" spans="1:16">
      <c r="A575" s="238" t="s">
        <v>1661</v>
      </c>
      <c r="B575" s="238" t="s">
        <v>1669</v>
      </c>
      <c r="C575" s="240" t="str" cm="1">
        <f t="array" ref="C575">" "&amp;LOWER(_xlfn.REDUCE(H_unit[[#This Row],[Company]]&amp;" "&amp;H_unit[[#This Row],[Unit]],{",",".","(",")","/"},_xlfn.LAMBDA(_xlpm.txt,_xlpm.delim,SUBSTITUTE(_xlpm.txt,_xlpm.delim," "))))&amp;" "</f>
        <v xml:space="preserve"> kss lämpö oy  kouvola mäentausta </v>
      </c>
      <c r="D575" s="242">
        <v>1987</v>
      </c>
      <c r="E575" s="243">
        <v>4</v>
      </c>
      <c r="F575" s="243"/>
      <c r="G575" s="247"/>
      <c r="H575" s="267" t="s">
        <v>1453</v>
      </c>
      <c r="I575" s="248" t="s">
        <v>1142</v>
      </c>
      <c r="J575" s="246" t="str" cm="1">
        <f t="array" ref="J575">_xlfn.XLOOKUP(TRUE,ISNUMBER(SEARCH(" "&amp;Municipality[Municipality]&amp;" ",H_unit[[#This Row],[Info string]])),Municipality[Municipality],"")</f>
        <v>Kouvola</v>
      </c>
      <c r="K575" s="246" t="str" cm="1">
        <f t="array" ref="K575">IF(H_unit[[#This Row],[Exact]]&lt;&gt;"","",_xlfn.XLOOKUP(TRUE,ISNUMBER(SEARCH(" "&amp;Municipality[Municipality]&amp;"n ",H_unit[[#This Row],[Info string]])),Municipality[Municipality],""))</f>
        <v/>
      </c>
      <c r="L575" s="246"/>
      <c r="M575" s="244"/>
      <c r="N575" s="246" t="str">
        <f>_xlfn.TEXTJOIN("",TRUE,H_unit[[#This Row],[Exact]],H_unit[[#This Row],[Exact+n]],H_unit[[#This Row],[Copilot]])</f>
        <v>Kouvola</v>
      </c>
      <c r="O575" s="246" t="str">
        <f>_xlfn.XLOOKUP(H_unit[[#This Row],[Municipality]],Municipality[Municipality],Municipality[Model],"")</f>
        <v>South East</v>
      </c>
      <c r="P575" s="236"/>
    </row>
    <row r="576" spans="1:16">
      <c r="A576" s="238" t="s">
        <v>1839</v>
      </c>
      <c r="B576" s="238" t="s">
        <v>1844</v>
      </c>
      <c r="C576" s="240" t="str" cm="1">
        <f t="array" ref="C576">" "&amp;LOWER(_xlfn.REDUCE(H_unit[[#This Row],[Company]]&amp;" "&amp;H_unit[[#This Row],[Unit]],{",",".","(",")","/"},_xlfn.LAMBDA(_xlpm.txt,_xlpm.delim,SUBSTITUTE(_xlpm.txt,_xlpm.delim," "))))&amp;" "</f>
        <v xml:space="preserve"> loimua oy  hämeenlinna sairaala </v>
      </c>
      <c r="D576" s="242">
        <v>1992</v>
      </c>
      <c r="E576" s="243">
        <v>4</v>
      </c>
      <c r="F576" s="243"/>
      <c r="G576" s="247"/>
      <c r="H576" s="267" t="s">
        <v>1453</v>
      </c>
      <c r="I576" s="248" t="s">
        <v>1142</v>
      </c>
      <c r="J576" s="246" t="str" cm="1">
        <f t="array" ref="J576">_xlfn.XLOOKUP(TRUE,ISNUMBER(SEARCH(" "&amp;Municipality[Municipality]&amp;" ",H_unit[[#This Row],[Info string]])),Municipality[Municipality],"")</f>
        <v>Hämeenlinna</v>
      </c>
      <c r="K576" s="246" t="str" cm="1">
        <f t="array" ref="K576">IF(H_unit[[#This Row],[Exact]]&lt;&gt;"","",_xlfn.XLOOKUP(TRUE,ISNUMBER(SEARCH(" "&amp;Municipality[Municipality]&amp;"n ",H_unit[[#This Row],[Info string]])),Municipality[Municipality],""))</f>
        <v/>
      </c>
      <c r="L576" s="246"/>
      <c r="M576" s="244"/>
      <c r="N576" s="246" t="str">
        <f>_xlfn.TEXTJOIN("",TRUE,H_unit[[#This Row],[Exact]],H_unit[[#This Row],[Exact+n]],H_unit[[#This Row],[Copilot]])</f>
        <v>Hämeenlinna</v>
      </c>
      <c r="O576" s="246" t="str">
        <f>_xlfn.XLOOKUP(H_unit[[#This Row],[Municipality]],Municipality[Municipality],Municipality[Model],"")</f>
        <v>South West</v>
      </c>
      <c r="P576" s="236"/>
    </row>
    <row r="577" spans="1:16">
      <c r="A577" s="238" t="s">
        <v>1570</v>
      </c>
      <c r="B577" s="238" t="s">
        <v>1571</v>
      </c>
      <c r="C577" s="240" t="str" cm="1">
        <f t="array" ref="C577">" "&amp;LOWER(_xlfn.REDUCE(H_unit[[#This Row],[Company]]&amp;" "&amp;H_unit[[#This Row],[Unit]],{",",".","(",")","/"},_xlfn.LAMBDA(_xlpm.txt,_xlpm.delim,SUBSTITUTE(_xlpm.txt,_xlpm.delim," "))))&amp;" "</f>
        <v xml:space="preserve"> kangasalan lämpö oy lentola </v>
      </c>
      <c r="D577" s="242">
        <v>1995</v>
      </c>
      <c r="E577" s="243">
        <v>4</v>
      </c>
      <c r="F577" s="243"/>
      <c r="G577" s="247"/>
      <c r="H577" s="267" t="s">
        <v>1453</v>
      </c>
      <c r="I577" s="248" t="s">
        <v>1142</v>
      </c>
      <c r="J577" s="246" t="str" cm="1">
        <f t="array" ref="J577">_xlfn.XLOOKUP(TRUE,ISNUMBER(SEARCH(" "&amp;Municipality[Municipality]&amp;" ",H_unit[[#This Row],[Info string]])),Municipality[Municipality],"")</f>
        <v/>
      </c>
      <c r="K577" s="246" t="str" cm="1">
        <f t="array" ref="K577">IF(H_unit[[#This Row],[Exact]]&lt;&gt;"","",_xlfn.XLOOKUP(TRUE,ISNUMBER(SEARCH(" "&amp;Municipality[Municipality]&amp;"n ",H_unit[[#This Row],[Info string]])),Municipality[Municipality],""))</f>
        <v>Kangasala</v>
      </c>
      <c r="L577" s="246"/>
      <c r="M577" s="244"/>
      <c r="N577" s="246" t="str">
        <f>_xlfn.TEXTJOIN("",TRUE,H_unit[[#This Row],[Exact]],H_unit[[#This Row],[Exact+n]],H_unit[[#This Row],[Copilot]])</f>
        <v>Kangasala</v>
      </c>
      <c r="O577" s="246" t="str">
        <f>_xlfn.XLOOKUP(H_unit[[#This Row],[Municipality]],Municipality[Municipality],Municipality[Model],"")</f>
        <v>Center</v>
      </c>
      <c r="P577" s="236"/>
    </row>
    <row r="578" spans="1:16">
      <c r="A578" s="238" t="s">
        <v>1868</v>
      </c>
      <c r="B578" s="238" t="s">
        <v>1869</v>
      </c>
      <c r="C578" s="240" t="str" cm="1">
        <f t="array" ref="C578">" "&amp;LOWER(_xlfn.REDUCE(H_unit[[#This Row],[Company]]&amp;" "&amp;H_unit[[#This Row],[Unit]],{",",".","(",")","/"},_xlfn.LAMBDA(_xlpm.txt,_xlpm.delim,SUBSTITUTE(_xlpm.txt,_xlpm.delim," "))))&amp;" "</f>
        <v xml:space="preserve"> loimua oy  oulainen konttila </v>
      </c>
      <c r="D578" s="242">
        <v>1996</v>
      </c>
      <c r="E578" s="243">
        <v>4</v>
      </c>
      <c r="F578" s="243"/>
      <c r="G578" s="247"/>
      <c r="H578" s="267" t="s">
        <v>1430</v>
      </c>
      <c r="I578" s="248" t="s">
        <v>1141</v>
      </c>
      <c r="J578" s="246" t="str" cm="1">
        <f t="array" ref="J578">_xlfn.XLOOKUP(TRUE,ISNUMBER(SEARCH(" "&amp;Municipality[Municipality]&amp;" ",H_unit[[#This Row],[Info string]])),Municipality[Municipality],"")</f>
        <v>Oulainen</v>
      </c>
      <c r="K578" s="246" t="str" cm="1">
        <f t="array" ref="K578">IF(H_unit[[#This Row],[Exact]]&lt;&gt;"","",_xlfn.XLOOKUP(TRUE,ISNUMBER(SEARCH(" "&amp;Municipality[Municipality]&amp;"n ",H_unit[[#This Row],[Info string]])),Municipality[Municipality],""))</f>
        <v/>
      </c>
      <c r="L578" s="246"/>
      <c r="M578" s="244"/>
      <c r="N578" s="246" t="str">
        <f>_xlfn.TEXTJOIN("",TRUE,H_unit[[#This Row],[Exact]],H_unit[[#This Row],[Exact+n]],H_unit[[#This Row],[Copilot]])</f>
        <v>Oulainen</v>
      </c>
      <c r="O578" s="246" t="str">
        <f>_xlfn.XLOOKUP(H_unit[[#This Row],[Municipality]],Municipality[Municipality],Municipality[Model],"")</f>
        <v>North</v>
      </c>
      <c r="P578" s="236"/>
    </row>
    <row r="579" spans="1:16">
      <c r="A579" s="238" t="s">
        <v>1506</v>
      </c>
      <c r="B579" s="238" t="s">
        <v>1508</v>
      </c>
      <c r="C579" s="240" t="str" cm="1">
        <f t="array" ref="C579">" "&amp;LOWER(_xlfn.REDUCE(H_unit[[#This Row],[Company]]&amp;" "&amp;H_unit[[#This Row],[Unit]],{",",".","(",")","/"},_xlfn.LAMBDA(_xlpm.txt,_xlpm.delim,SUBSTITUTE(_xlpm.txt,_xlpm.delim," "))))&amp;" "</f>
        <v xml:space="preserve"> haapajärven lämpö oy klk 2 </v>
      </c>
      <c r="D579" s="242">
        <v>1997</v>
      </c>
      <c r="E579" s="243">
        <v>4</v>
      </c>
      <c r="F579" s="243"/>
      <c r="G579" s="247"/>
      <c r="H579" s="267" t="s">
        <v>1430</v>
      </c>
      <c r="I579" s="248" t="s">
        <v>1141</v>
      </c>
      <c r="J579" s="246" t="str" cm="1">
        <f t="array" ref="J579">_xlfn.XLOOKUP(TRUE,ISNUMBER(SEARCH(" "&amp;Municipality[Municipality]&amp;" ",H_unit[[#This Row],[Info string]])),Municipality[Municipality],"")</f>
        <v/>
      </c>
      <c r="K579" s="246" t="str" cm="1">
        <f t="array" ref="K579">IF(H_unit[[#This Row],[Exact]]&lt;&gt;"","",_xlfn.XLOOKUP(TRUE,ISNUMBER(SEARCH(" "&amp;Municipality[Municipality]&amp;"n ",H_unit[[#This Row],[Info string]])),Municipality[Municipality],""))</f>
        <v/>
      </c>
      <c r="L579" s="246" t="s">
        <v>2821</v>
      </c>
      <c r="M579" s="244" t="s">
        <v>2904</v>
      </c>
      <c r="N579" s="246" t="str">
        <f>_xlfn.TEXTJOIN("",TRUE,H_unit[[#This Row],[Exact]],H_unit[[#This Row],[Exact+n]],H_unit[[#This Row],[Copilot]])</f>
        <v>Valkeakoski</v>
      </c>
      <c r="O579" s="246" t="str">
        <f>_xlfn.XLOOKUP(H_unit[[#This Row],[Municipality]],Municipality[Municipality],Municipality[Model],"")</f>
        <v>Center</v>
      </c>
      <c r="P579" s="236"/>
    </row>
    <row r="580" spans="1:16">
      <c r="A580" s="238" t="s">
        <v>1755</v>
      </c>
      <c r="B580" s="238" t="s">
        <v>1756</v>
      </c>
      <c r="C580" s="240" t="str" cm="1">
        <f t="array" ref="C580">" "&amp;LOWER(_xlfn.REDUCE(H_unit[[#This Row],[Company]]&amp;" "&amp;H_unit[[#This Row],[Unit]],{",",".","(",")","/"},_xlfn.LAMBDA(_xlpm.txt,_xlpm.delim,SUBSTITUTE(_xlpm.txt,_xlpm.delim," "))))&amp;" "</f>
        <v xml:space="preserve"> lempeä lämpö oy  hartola asolan varalämpökeskus </v>
      </c>
      <c r="D580" s="242">
        <v>1997</v>
      </c>
      <c r="E580" s="243">
        <v>4</v>
      </c>
      <c r="F580" s="243"/>
      <c r="G580" s="247"/>
      <c r="H580" s="267" t="s">
        <v>1430</v>
      </c>
      <c r="I580" s="248" t="s">
        <v>1141</v>
      </c>
      <c r="J580" s="246" t="str" cm="1">
        <f t="array" ref="J580">_xlfn.XLOOKUP(TRUE,ISNUMBER(SEARCH(" "&amp;Municipality[Municipality]&amp;" ",H_unit[[#This Row],[Info string]])),Municipality[Municipality],"")</f>
        <v>Hartola</v>
      </c>
      <c r="K580" s="246" t="str" cm="1">
        <f t="array" ref="K580">IF(H_unit[[#This Row],[Exact]]&lt;&gt;"","",_xlfn.XLOOKUP(TRUE,ISNUMBER(SEARCH(" "&amp;Municipality[Municipality]&amp;"n ",H_unit[[#This Row],[Info string]])),Municipality[Municipality],""))</f>
        <v/>
      </c>
      <c r="L580" s="246"/>
      <c r="M580" s="244"/>
      <c r="N580" s="246" t="str">
        <f>_xlfn.TEXTJOIN("",TRUE,H_unit[[#This Row],[Exact]],H_unit[[#This Row],[Exact+n]],H_unit[[#This Row],[Copilot]])</f>
        <v>Hartola</v>
      </c>
      <c r="O580" s="246" t="str">
        <f>_xlfn.XLOOKUP(H_unit[[#This Row],[Municipality]],Municipality[Municipality],Municipality[Model],"")</f>
        <v>South East</v>
      </c>
      <c r="P580" s="236"/>
    </row>
    <row r="581" spans="1:16">
      <c r="A581" s="238" t="s">
        <v>1609</v>
      </c>
      <c r="B581" s="238" t="s">
        <v>1611</v>
      </c>
      <c r="C581" s="240" t="str" cm="1">
        <f t="array" ref="C581">" "&amp;LOWER(_xlfn.REDUCE(H_unit[[#This Row],[Company]]&amp;" "&amp;H_unit[[#This Row],[Unit]],{",",".","(",")","/"},_xlfn.LAMBDA(_xlpm.txt,_xlpm.delim,SUBSTITUTE(_xlpm.txt,_xlpm.delim," "))))&amp;" "</f>
        <v xml:space="preserve"> keminmaan energia ja vesi oy sannitien lämpölaitos </v>
      </c>
      <c r="D581" s="242">
        <v>2002</v>
      </c>
      <c r="E581" s="243">
        <v>4</v>
      </c>
      <c r="F581" s="243"/>
      <c r="G581" s="247"/>
      <c r="H581" s="267" t="s">
        <v>1418</v>
      </c>
      <c r="I581" s="248" t="s">
        <v>1141</v>
      </c>
      <c r="J581" s="246" t="str" cm="1">
        <f t="array" ref="J581">_xlfn.XLOOKUP(TRUE,ISNUMBER(SEARCH(" "&amp;Municipality[Municipality]&amp;" ",H_unit[[#This Row],[Info string]])),Municipality[Municipality],"")</f>
        <v/>
      </c>
      <c r="K581" s="246" t="str" cm="1">
        <f t="array" ref="K581">IF(H_unit[[#This Row],[Exact]]&lt;&gt;"","",_xlfn.XLOOKUP(TRUE,ISNUMBER(SEARCH(" "&amp;Municipality[Municipality]&amp;"n ",H_unit[[#This Row],[Info string]])),Municipality[Municipality],""))</f>
        <v>Keminmaa</v>
      </c>
      <c r="L581" s="246"/>
      <c r="M581" s="244"/>
      <c r="N581" s="246" t="str">
        <f>_xlfn.TEXTJOIN("",TRUE,H_unit[[#This Row],[Exact]],H_unit[[#This Row],[Exact+n]],H_unit[[#This Row],[Copilot]])</f>
        <v>Keminmaa</v>
      </c>
      <c r="O581" s="246" t="str">
        <f>_xlfn.XLOOKUP(H_unit[[#This Row],[Municipality]],Municipality[Municipality],Municipality[Model],"")</f>
        <v>North</v>
      </c>
      <c r="P581" s="236"/>
    </row>
    <row r="582" spans="1:16">
      <c r="A582" s="238" t="s">
        <v>1859</v>
      </c>
      <c r="B582" s="238" t="s">
        <v>1861</v>
      </c>
      <c r="C582" s="240" t="str" cm="1">
        <f t="array" ref="C582">" "&amp;LOWER(_xlfn.REDUCE(H_unit[[#This Row],[Company]]&amp;" "&amp;H_unit[[#This Row],[Unit]],{",",".","(",")","/"},_xlfn.LAMBDA(_xlpm.txt,_xlpm.delim,SUBSTITUTE(_xlpm.txt,_xlpm.delim," "))))&amp;" "</f>
        <v xml:space="preserve"> loimua oy  jyväskylän seutu uurainen uurainen </v>
      </c>
      <c r="D582" s="242">
        <v>2002</v>
      </c>
      <c r="E582" s="243">
        <v>4</v>
      </c>
      <c r="F582" s="243"/>
      <c r="G582" s="247"/>
      <c r="H582" s="267" t="s">
        <v>1862</v>
      </c>
      <c r="I582" s="248" t="s">
        <v>1143</v>
      </c>
      <c r="J582" s="246" t="str" cm="1">
        <f t="array" ref="J582">_xlfn.XLOOKUP(TRUE,ISNUMBER(SEARCH(" "&amp;Municipality[Municipality]&amp;" ",H_unit[[#This Row],[Info string]])),Municipality[Municipality],"")</f>
        <v>Jyväskylän</v>
      </c>
      <c r="K582" s="246" t="str" cm="1">
        <f t="array" ref="K582">IF(H_unit[[#This Row],[Exact]]&lt;&gt;"","",_xlfn.XLOOKUP(TRUE,ISNUMBER(SEARCH(" "&amp;Municipality[Municipality]&amp;"n ",H_unit[[#This Row],[Info string]])),Municipality[Municipality],""))</f>
        <v/>
      </c>
      <c r="L582" s="246"/>
      <c r="M582" s="244"/>
      <c r="N582" s="246" t="str">
        <f>_xlfn.TEXTJOIN("",TRUE,H_unit[[#This Row],[Exact]],H_unit[[#This Row],[Exact+n]],H_unit[[#This Row],[Copilot]])</f>
        <v>Jyväskylän</v>
      </c>
      <c r="O582" s="246" t="str">
        <f>_xlfn.XLOOKUP(H_unit[[#This Row],[Municipality]],Municipality[Municipality],Municipality[Model],"")</f>
        <v>Center</v>
      </c>
      <c r="P582" s="236"/>
    </row>
    <row r="583" spans="1:16">
      <c r="A583" s="238" t="s">
        <v>2295</v>
      </c>
      <c r="B583" s="238" t="s">
        <v>2296</v>
      </c>
      <c r="C583" s="240" t="str" cm="1">
        <f t="array" ref="C583">" "&amp;LOWER(_xlfn.REDUCE(H_unit[[#This Row],[Company]]&amp;" "&amp;H_unit[[#This Row],[Unit]],{",",".","(",")","/"},_xlfn.LAMBDA(_xlpm.txt,_xlpm.delim,SUBSTITUTE(_xlpm.txt,_xlpm.delim," "))))&amp;" "</f>
        <v xml:space="preserve"> junnikkala oy  kalajoki sermet </v>
      </c>
      <c r="D583" s="242">
        <v>2002</v>
      </c>
      <c r="E583" s="243">
        <v>4</v>
      </c>
      <c r="F583" s="243"/>
      <c r="G583" s="247"/>
      <c r="H583" s="267" t="s">
        <v>1439</v>
      </c>
      <c r="I583" s="248" t="s">
        <v>1143</v>
      </c>
      <c r="J583" s="246" t="str" cm="1">
        <f t="array" ref="J583">_xlfn.XLOOKUP(TRUE,ISNUMBER(SEARCH(" "&amp;Municipality[Municipality]&amp;" ",H_unit[[#This Row],[Info string]])),Municipality[Municipality],"")</f>
        <v>Kalajoki</v>
      </c>
      <c r="K583" s="246" t="str" cm="1">
        <f t="array" ref="K583">IF(H_unit[[#This Row],[Exact]]&lt;&gt;"","",_xlfn.XLOOKUP(TRUE,ISNUMBER(SEARCH(" "&amp;Municipality[Municipality]&amp;"n ",H_unit[[#This Row],[Info string]])),Municipality[Municipality],""))</f>
        <v/>
      </c>
      <c r="L583" s="246"/>
      <c r="M583" s="244"/>
      <c r="N583" s="246" t="str">
        <f>_xlfn.TEXTJOIN("",TRUE,H_unit[[#This Row],[Exact]],H_unit[[#This Row],[Exact+n]],H_unit[[#This Row],[Copilot]])</f>
        <v>Kalajoki</v>
      </c>
      <c r="O583" s="246" t="str">
        <f>_xlfn.XLOOKUP(H_unit[[#This Row],[Municipality]],Municipality[Municipality],Municipality[Model],"")</f>
        <v>North</v>
      </c>
      <c r="P583" s="236"/>
    </row>
    <row r="584" spans="1:16">
      <c r="A584" s="238" t="s">
        <v>1697</v>
      </c>
      <c r="B584" s="238" t="s">
        <v>1704</v>
      </c>
      <c r="C584" s="240" t="str" cm="1">
        <f t="array" ref="C584">" "&amp;LOWER(_xlfn.REDUCE(H_unit[[#This Row],[Company]]&amp;" "&amp;H_unit[[#This Row],[Unit]],{",",".","(",")","/"},_xlfn.LAMBDA(_xlpm.txt,_xlpm.delim,SUBSTITUTE(_xlpm.txt,_xlpm.delim," "))))&amp;" "</f>
        <v xml:space="preserve"> kurikan energia oy ilmajoentie  ilmajoki </v>
      </c>
      <c r="D584" s="242">
        <v>2004</v>
      </c>
      <c r="E584" s="243">
        <v>4</v>
      </c>
      <c r="F584" s="243"/>
      <c r="G584" s="247"/>
      <c r="H584" s="267" t="s">
        <v>1430</v>
      </c>
      <c r="I584" s="248" t="s">
        <v>1141</v>
      </c>
      <c r="J584" s="246" t="str" cm="1">
        <f t="array" ref="J584">_xlfn.XLOOKUP(TRUE,ISNUMBER(SEARCH(" "&amp;Municipality[Municipality]&amp;" ",H_unit[[#This Row],[Info string]])),Municipality[Municipality],"")</f>
        <v>Ilmajoki</v>
      </c>
      <c r="K584" s="246" t="str" cm="1">
        <f t="array" ref="K584">IF(H_unit[[#This Row],[Exact]]&lt;&gt;"","",_xlfn.XLOOKUP(TRUE,ISNUMBER(SEARCH(" "&amp;Municipality[Municipality]&amp;"n ",H_unit[[#This Row],[Info string]])),Municipality[Municipality],""))</f>
        <v/>
      </c>
      <c r="L584" s="246"/>
      <c r="M584" s="244"/>
      <c r="N584" s="246" t="str">
        <f>_xlfn.TEXTJOIN("",TRUE,H_unit[[#This Row],[Exact]],H_unit[[#This Row],[Exact+n]],H_unit[[#This Row],[Copilot]])</f>
        <v>Ilmajoki</v>
      </c>
      <c r="O584" s="246" t="str">
        <f>_xlfn.XLOOKUP(H_unit[[#This Row],[Municipality]],Municipality[Municipality],Municipality[Model],"")</f>
        <v>West</v>
      </c>
      <c r="P584" s="236"/>
    </row>
    <row r="585" spans="1:16">
      <c r="A585" s="238" t="s">
        <v>2179</v>
      </c>
      <c r="B585" s="238" t="s">
        <v>2180</v>
      </c>
      <c r="C585" s="240" t="str" cm="1">
        <f t="array" ref="C585">" "&amp;LOWER(_xlfn.REDUCE(H_unit[[#This Row],[Company]]&amp;" "&amp;H_unit[[#This Row],[Unit]],{",",".","(",")","/"},_xlfn.LAMBDA(_xlpm.txt,_xlpm.delim,SUBSTITUTE(_xlpm.txt,_xlpm.delim," "))))&amp;" "</f>
        <v xml:space="preserve"> teuvan kaukolämpö oy kpa 5 </v>
      </c>
      <c r="D585" s="242">
        <v>2005</v>
      </c>
      <c r="E585" s="243">
        <v>4</v>
      </c>
      <c r="F585" s="243"/>
      <c r="G585" s="247"/>
      <c r="H585" s="267" t="s">
        <v>1423</v>
      </c>
      <c r="I585" s="248" t="s">
        <v>1143</v>
      </c>
      <c r="J585" s="246" t="str" cm="1">
        <f t="array" ref="J585">_xlfn.XLOOKUP(TRUE,ISNUMBER(SEARCH(" "&amp;Municipality[Municipality]&amp;" ",H_unit[[#This Row],[Info string]])),Municipality[Municipality],"")</f>
        <v/>
      </c>
      <c r="K585" s="246" t="str" cm="1">
        <f t="array" ref="K585">IF(H_unit[[#This Row],[Exact]]&lt;&gt;"","",_xlfn.XLOOKUP(TRUE,ISNUMBER(SEARCH(" "&amp;Municipality[Municipality]&amp;"n ",H_unit[[#This Row],[Info string]])),Municipality[Municipality],""))</f>
        <v>Teuva</v>
      </c>
      <c r="L585" s="246"/>
      <c r="M585" s="244"/>
      <c r="N585" s="246" t="str">
        <f>_xlfn.TEXTJOIN("",TRUE,H_unit[[#This Row],[Exact]],H_unit[[#This Row],[Exact+n]],H_unit[[#This Row],[Copilot]])</f>
        <v>Teuva</v>
      </c>
      <c r="O585" s="246" t="str">
        <f>_xlfn.XLOOKUP(H_unit[[#This Row],[Municipality]],Municipality[Municipality],Municipality[Model],"")</f>
        <v>West</v>
      </c>
      <c r="P585" s="236"/>
    </row>
    <row r="586" spans="1:16">
      <c r="A586" s="238" t="s">
        <v>1661</v>
      </c>
      <c r="B586" s="238" t="s">
        <v>1668</v>
      </c>
      <c r="C586" s="240" t="str" cm="1">
        <f t="array" ref="C586">" "&amp;LOWER(_xlfn.REDUCE(H_unit[[#This Row],[Company]]&amp;" "&amp;H_unit[[#This Row],[Unit]],{",",".","(",")","/"},_xlfn.LAMBDA(_xlpm.txt,_xlpm.delim,SUBSTITUTE(_xlpm.txt,_xlpm.delim," "))))&amp;" "</f>
        <v xml:space="preserve"> kss lämpö oy  kouvola sairaalan lämpökeskus </v>
      </c>
      <c r="D586" s="242">
        <v>2006</v>
      </c>
      <c r="E586" s="243">
        <v>4</v>
      </c>
      <c r="F586" s="243"/>
      <c r="G586" s="247"/>
      <c r="H586" s="267" t="s">
        <v>1453</v>
      </c>
      <c r="I586" s="248" t="s">
        <v>1142</v>
      </c>
      <c r="J586" s="246" t="str" cm="1">
        <f t="array" ref="J586">_xlfn.XLOOKUP(TRUE,ISNUMBER(SEARCH(" "&amp;Municipality[Municipality]&amp;" ",H_unit[[#This Row],[Info string]])),Municipality[Municipality],"")</f>
        <v>Kouvola</v>
      </c>
      <c r="K586" s="246" t="str" cm="1">
        <f t="array" ref="K586">IF(H_unit[[#This Row],[Exact]]&lt;&gt;"","",_xlfn.XLOOKUP(TRUE,ISNUMBER(SEARCH(" "&amp;Municipality[Municipality]&amp;"n ",H_unit[[#This Row],[Info string]])),Municipality[Municipality],""))</f>
        <v/>
      </c>
      <c r="L586" s="246"/>
      <c r="M586" s="244"/>
      <c r="N586" s="246" t="str">
        <f>_xlfn.TEXTJOIN("",TRUE,H_unit[[#This Row],[Exact]],H_unit[[#This Row],[Exact+n]],H_unit[[#This Row],[Copilot]])</f>
        <v>Kouvola</v>
      </c>
      <c r="O586" s="246" t="str">
        <f>_xlfn.XLOOKUP(H_unit[[#This Row],[Municipality]],Municipality[Municipality],Municipality[Model],"")</f>
        <v>South East</v>
      </c>
      <c r="P586" s="236"/>
    </row>
    <row r="587" spans="1:16">
      <c r="A587" s="238" t="s">
        <v>1482</v>
      </c>
      <c r="B587" s="238" t="s">
        <v>1483</v>
      </c>
      <c r="C587" s="240" t="str" cm="1">
        <f t="array" ref="C587">" "&amp;LOWER(_xlfn.REDUCE(H_unit[[#This Row],[Company]]&amp;" "&amp;H_unit[[#This Row],[Unit]],{",",".","(",")","/"},_xlfn.LAMBDA(_xlpm.txt,_xlpm.delim,SUBSTITUTE(_xlpm.txt,_xlpm.delim," "))))&amp;" "</f>
        <v xml:space="preserve"> alajärven lämpö oy alajärvi </v>
      </c>
      <c r="D587" s="242">
        <v>2007</v>
      </c>
      <c r="E587" s="243">
        <v>4</v>
      </c>
      <c r="F587" s="243"/>
      <c r="G587" s="247"/>
      <c r="H587" s="267" t="s">
        <v>1423</v>
      </c>
      <c r="I587" s="248" t="s">
        <v>1143</v>
      </c>
      <c r="J587" s="246" t="str" cm="1">
        <f t="array" ref="J587">_xlfn.XLOOKUP(TRUE,ISNUMBER(SEARCH(" "&amp;Municipality[Municipality]&amp;" ",H_unit[[#This Row],[Info string]])),Municipality[Municipality],"")</f>
        <v>Alajärvi</v>
      </c>
      <c r="K587" s="246" t="str" cm="1">
        <f t="array" ref="K587">IF(H_unit[[#This Row],[Exact]]&lt;&gt;"","",_xlfn.XLOOKUP(TRUE,ISNUMBER(SEARCH(" "&amp;Municipality[Municipality]&amp;"n ",H_unit[[#This Row],[Info string]])),Municipality[Municipality],""))</f>
        <v/>
      </c>
      <c r="L587" s="246"/>
      <c r="M587" s="244"/>
      <c r="N587" s="246" t="str">
        <f>_xlfn.TEXTJOIN("",TRUE,H_unit[[#This Row],[Exact]],H_unit[[#This Row],[Exact+n]],H_unit[[#This Row],[Copilot]])</f>
        <v>Alajärvi</v>
      </c>
      <c r="O587" s="246" t="str">
        <f>_xlfn.XLOOKUP(H_unit[[#This Row],[Municipality]],Municipality[Municipality],Municipality[Model],"")</f>
        <v>West</v>
      </c>
      <c r="P587" s="236"/>
    </row>
    <row r="588" spans="1:16">
      <c r="A588" s="238" t="s">
        <v>1581</v>
      </c>
      <c r="B588" s="238" t="s">
        <v>1583</v>
      </c>
      <c r="C588" s="240" t="str" cm="1">
        <f t="array" ref="C588">" "&amp;LOWER(_xlfn.REDUCE(H_unit[[#This Row],[Company]]&amp;" "&amp;H_unit[[#This Row],[Unit]],{",",".","(",")","/"},_xlfn.LAMBDA(_xlpm.txt,_xlpm.delim,SUBSTITUTE(_xlpm.txt,_xlpm.delim," "))))&amp;" "</f>
        <v xml:space="preserve"> kauhajoen lämpöhuolto oy aro </v>
      </c>
      <c r="D588" s="242">
        <v>2008</v>
      </c>
      <c r="E588" s="243">
        <v>4</v>
      </c>
      <c r="F588" s="243"/>
      <c r="G588" s="247"/>
      <c r="H588" s="267" t="s">
        <v>1418</v>
      </c>
      <c r="I588" s="248" t="s">
        <v>1141</v>
      </c>
      <c r="J588" s="246" t="str" cm="1">
        <f t="array" ref="J588">_xlfn.XLOOKUP(TRUE,ISNUMBER(SEARCH(" "&amp;Municipality[Municipality]&amp;" ",H_unit[[#This Row],[Info string]])),Municipality[Municipality],"")</f>
        <v/>
      </c>
      <c r="K588" s="246" t="str" cm="1">
        <f t="array" ref="K588">IF(H_unit[[#This Row],[Exact]]&lt;&gt;"","",_xlfn.XLOOKUP(TRUE,ISNUMBER(SEARCH(" "&amp;Municipality[Municipality]&amp;"n ",H_unit[[#This Row],[Info string]])),Municipality[Municipality],""))</f>
        <v/>
      </c>
      <c r="L588" s="246" t="s">
        <v>2577</v>
      </c>
      <c r="M588" s="244" t="s">
        <v>2918</v>
      </c>
      <c r="N588" s="246" t="str">
        <f>_xlfn.TEXTJOIN("",TRUE,H_unit[[#This Row],[Exact]],H_unit[[#This Row],[Exact+n]],H_unit[[#This Row],[Copilot]])</f>
        <v>Kauhajoki</v>
      </c>
      <c r="O588" s="246" t="str">
        <f>_xlfn.XLOOKUP(H_unit[[#This Row],[Municipality]],Municipality[Municipality],Municipality[Model],"")</f>
        <v>West</v>
      </c>
      <c r="P588" s="236"/>
    </row>
    <row r="589" spans="1:16">
      <c r="A589" s="238" t="s">
        <v>1988</v>
      </c>
      <c r="B589" s="238" t="s">
        <v>1990</v>
      </c>
      <c r="C589" s="240" t="str" cm="1">
        <f t="array" ref="C589">" "&amp;LOWER(_xlfn.REDUCE(H_unit[[#This Row],[Company]]&amp;" "&amp;H_unit[[#This Row],[Unit]],{",",".","(",")","/"},_xlfn.LAMBDA(_xlpm.txt,_xlpm.delim,SUBSTITUTE(_xlpm.txt,_xlpm.delim," "))))&amp;" "</f>
        <v xml:space="preserve"> nykarleby kraftverk kpö kattilalaitos 2+2 mw </v>
      </c>
      <c r="D589" s="242">
        <v>2008</v>
      </c>
      <c r="E589" s="243">
        <v>4</v>
      </c>
      <c r="F589" s="243"/>
      <c r="G589" s="247"/>
      <c r="H589" s="267" t="s">
        <v>1430</v>
      </c>
      <c r="I589" s="248" t="s">
        <v>1141</v>
      </c>
      <c r="J589" s="246" t="str" cm="1">
        <f t="array" ref="J589">_xlfn.XLOOKUP(TRUE,ISNUMBER(SEARCH(" "&amp;Municipality[Municipality]&amp;" ",H_unit[[#This Row],[Info string]])),Municipality[Municipality],"")</f>
        <v/>
      </c>
      <c r="K589" s="246" t="str" cm="1">
        <f t="array" ref="K589">IF(H_unit[[#This Row],[Exact]]&lt;&gt;"","",_xlfn.XLOOKUP(TRUE,ISNUMBER(SEARCH(" "&amp;Municipality[Municipality]&amp;"n ",H_unit[[#This Row],[Info string]])),Municipality[Municipality],""))</f>
        <v/>
      </c>
      <c r="L589" s="246" t="s">
        <v>2697</v>
      </c>
      <c r="M589" s="244" t="s">
        <v>2925</v>
      </c>
      <c r="N589" s="246" t="str">
        <f>_xlfn.TEXTJOIN("",TRUE,H_unit[[#This Row],[Exact]],H_unit[[#This Row],[Exact+n]],H_unit[[#This Row],[Copilot]])</f>
        <v>Uusikaarlepyy</v>
      </c>
      <c r="O589" s="246" t="str">
        <f>_xlfn.XLOOKUP(H_unit[[#This Row],[Municipality]],Municipality[Municipality],Municipality[Model],"")</f>
        <v>West</v>
      </c>
      <c r="P589" s="236"/>
    </row>
    <row r="590" spans="1:16">
      <c r="A590" s="238" t="s">
        <v>1530</v>
      </c>
      <c r="B590" s="238" t="s">
        <v>1538</v>
      </c>
      <c r="C590" s="240" t="str" cm="1">
        <f t="array" ref="C590">" "&amp;LOWER(_xlfn.REDUCE(H_unit[[#This Row],[Company]]&amp;" "&amp;H_unit[[#This Row],[Unit]],{",",".","(",")","/"},_xlfn.LAMBDA(_xlpm.txt,_xlpm.delim,SUBSTITUTE(_xlpm.txt,_xlpm.delim," "))))&amp;" "</f>
        <v xml:space="preserve"> imatran lämpö oy sienimäki </v>
      </c>
      <c r="D590" s="242">
        <v>2009</v>
      </c>
      <c r="E590" s="243">
        <v>4</v>
      </c>
      <c r="F590" s="243"/>
      <c r="G590" s="247"/>
      <c r="H590" s="267" t="s">
        <v>1453</v>
      </c>
      <c r="I590" s="248" t="s">
        <v>1142</v>
      </c>
      <c r="J590" s="246" t="str" cm="1">
        <f t="array" ref="J590">_xlfn.XLOOKUP(TRUE,ISNUMBER(SEARCH(" "&amp;Municipality[Municipality]&amp;" ",H_unit[[#This Row],[Info string]])),Municipality[Municipality],"")</f>
        <v/>
      </c>
      <c r="K590" s="246" t="str" cm="1">
        <f t="array" ref="K590">IF(H_unit[[#This Row],[Exact]]&lt;&gt;"","",_xlfn.XLOOKUP(TRUE,ISNUMBER(SEARCH(" "&amp;Municipality[Municipality]&amp;"n ",H_unit[[#This Row],[Info string]])),Municipality[Municipality],""))</f>
        <v>Imatra</v>
      </c>
      <c r="L590" s="246"/>
      <c r="M590" s="244"/>
      <c r="N590" s="246" t="str">
        <f>_xlfn.TEXTJOIN("",TRUE,H_unit[[#This Row],[Exact]],H_unit[[#This Row],[Exact+n]],H_unit[[#This Row],[Copilot]])</f>
        <v>Imatra</v>
      </c>
      <c r="O590" s="246" t="str">
        <f>_xlfn.XLOOKUP(H_unit[[#This Row],[Municipality]],Municipality[Municipality],Municipality[Model],"")</f>
        <v>South East</v>
      </c>
      <c r="P590" s="236"/>
    </row>
    <row r="591" spans="1:16">
      <c r="A591" s="238" t="s">
        <v>2278</v>
      </c>
      <c r="B591" s="238" t="s">
        <v>2279</v>
      </c>
      <c r="C591" s="240" t="str" cm="1">
        <f t="array" ref="C591">" "&amp;LOWER(_xlfn.REDUCE(H_unit[[#This Row],[Company]]&amp;" "&amp;H_unit[[#This Row],[Unit]],{",",".","(",")","/"},_xlfn.LAMBDA(_xlpm.txt,_xlpm.delim,SUBSTITUTE(_xlpm.txt,_xlpm.delim," "))))&amp;" "</f>
        <v xml:space="preserve"> gasum oy gasum oy  turku </v>
      </c>
      <c r="D591" s="242">
        <v>2009</v>
      </c>
      <c r="E591" s="243">
        <v>4</v>
      </c>
      <c r="F591" s="243"/>
      <c r="G591" s="247"/>
      <c r="H591" s="267" t="s">
        <v>1529</v>
      </c>
      <c r="I591" s="248" t="s">
        <v>1142</v>
      </c>
      <c r="J591" s="246" t="str" cm="1">
        <f t="array" ref="J591">_xlfn.XLOOKUP(TRUE,ISNUMBER(SEARCH(" "&amp;Municipality[Municipality]&amp;" ",H_unit[[#This Row],[Info string]])),Municipality[Municipality],"")</f>
        <v>Turku</v>
      </c>
      <c r="K591" s="246" t="str" cm="1">
        <f t="array" ref="K591">IF(H_unit[[#This Row],[Exact]]&lt;&gt;"","",_xlfn.XLOOKUP(TRUE,ISNUMBER(SEARCH(" "&amp;Municipality[Municipality]&amp;"n ",H_unit[[#This Row],[Info string]])),Municipality[Municipality],""))</f>
        <v/>
      </c>
      <c r="L591" s="246"/>
      <c r="M591" s="244"/>
      <c r="N591" s="246" t="str">
        <f>_xlfn.TEXTJOIN("",TRUE,H_unit[[#This Row],[Exact]],H_unit[[#This Row],[Exact+n]],H_unit[[#This Row],[Copilot]])</f>
        <v>Turku</v>
      </c>
      <c r="O591" s="246" t="str">
        <f>_xlfn.XLOOKUP(H_unit[[#This Row],[Municipality]],Municipality[Municipality],Municipality[Model],"")</f>
        <v>South West</v>
      </c>
      <c r="P591" s="236"/>
    </row>
    <row r="592" spans="1:16">
      <c r="A592" s="238" t="s">
        <v>1633</v>
      </c>
      <c r="B592" s="238" t="s">
        <v>1637</v>
      </c>
      <c r="C592" s="240" t="str" cm="1">
        <f t="array" ref="C592">" "&amp;LOWER(_xlfn.REDUCE(H_unit[[#This Row],[Company]]&amp;" "&amp;H_unit[[#This Row],[Unit]],{",",".","(",")","/"},_xlfn.LAMBDA(_xlpm.txt,_xlpm.delim,SUBSTITUTE(_xlpm.txt,_xlpm.delim," "))))&amp;" "</f>
        <v xml:space="preserve"> kiteen lämpö oy selkue  </v>
      </c>
      <c r="D592" s="242">
        <v>2011</v>
      </c>
      <c r="E592" s="243">
        <v>4</v>
      </c>
      <c r="F592" s="243"/>
      <c r="G592" s="247"/>
      <c r="H592" s="267" t="s">
        <v>1430</v>
      </c>
      <c r="I592" s="248" t="s">
        <v>1141</v>
      </c>
      <c r="J592" s="246" t="str" cm="1">
        <f t="array" ref="J592">_xlfn.XLOOKUP(TRUE,ISNUMBER(SEARCH(" "&amp;Municipality[Municipality]&amp;" ",H_unit[[#This Row],[Info string]])),Municipality[Municipality],"")</f>
        <v/>
      </c>
      <c r="K592" s="246" t="str" cm="1">
        <f t="array" ref="K592">IF(H_unit[[#This Row],[Exact]]&lt;&gt;"","",_xlfn.XLOOKUP(TRUE,ISNUMBER(SEARCH(" "&amp;Municipality[Municipality]&amp;"n ",H_unit[[#This Row],[Info string]])),Municipality[Municipality],""))</f>
        <v>Kitee</v>
      </c>
      <c r="L592" s="246"/>
      <c r="M592" s="244"/>
      <c r="N592" s="246" t="str">
        <f>_xlfn.TEXTJOIN("",TRUE,H_unit[[#This Row],[Exact]],H_unit[[#This Row],[Exact+n]],H_unit[[#This Row],[Copilot]])</f>
        <v>Kitee</v>
      </c>
      <c r="O592" s="246" t="str">
        <f>_xlfn.XLOOKUP(H_unit[[#This Row],[Municipality]],Municipality[Municipality],Municipality[Model],"")</f>
        <v>East</v>
      </c>
      <c r="P592" s="236"/>
    </row>
    <row r="593" spans="1:16">
      <c r="A593" s="238" t="s">
        <v>1752</v>
      </c>
      <c r="B593" s="238" t="s">
        <v>1754</v>
      </c>
      <c r="C593" s="240" t="str" cm="1">
        <f t="array" ref="C593">" "&amp;LOWER(_xlfn.REDUCE(H_unit[[#This Row],[Company]]&amp;" "&amp;H_unit[[#This Row],[Unit]],{",",".","(",")","/"},_xlfn.LAMBDA(_xlpm.txt,_xlpm.delim,SUBSTITUTE(_xlpm.txt,_xlpm.delim," "))))&amp;" "</f>
        <v xml:space="preserve"> lappajärven lämpö oy kankaantie </v>
      </c>
      <c r="D593" s="242">
        <v>2011</v>
      </c>
      <c r="E593" s="243">
        <v>4</v>
      </c>
      <c r="F593" s="243"/>
      <c r="G593" s="247"/>
      <c r="H593" s="267" t="s">
        <v>1423</v>
      </c>
      <c r="I593" s="248" t="s">
        <v>1143</v>
      </c>
      <c r="J593" s="246" t="str" cm="1">
        <f t="array" ref="J593">_xlfn.XLOOKUP(TRUE,ISNUMBER(SEARCH(" "&amp;Municipality[Municipality]&amp;" ",H_unit[[#This Row],[Info string]])),Municipality[Municipality],"")</f>
        <v/>
      </c>
      <c r="K593" s="246" t="str" cm="1">
        <f t="array" ref="K593">IF(H_unit[[#This Row],[Exact]]&lt;&gt;"","",_xlfn.XLOOKUP(TRUE,ISNUMBER(SEARCH(" "&amp;Municipality[Municipality]&amp;"n ",H_unit[[#This Row],[Info string]])),Municipality[Municipality],""))</f>
        <v/>
      </c>
      <c r="L593" s="246"/>
      <c r="M593" s="244"/>
      <c r="N593" s="246" t="str">
        <f>_xlfn.TEXTJOIN("",TRUE,H_unit[[#This Row],[Exact]],H_unit[[#This Row],[Exact+n]],H_unit[[#This Row],[Copilot]])</f>
        <v/>
      </c>
      <c r="O593" s="246" t="str">
        <f>_xlfn.XLOOKUP(H_unit[[#This Row],[Municipality]],Municipality[Municipality],Municipality[Model],"")</f>
        <v/>
      </c>
      <c r="P593" s="236"/>
    </row>
    <row r="594" spans="1:16">
      <c r="A594" s="238" t="s">
        <v>1782</v>
      </c>
      <c r="B594" s="238" t="s">
        <v>1785</v>
      </c>
      <c r="C594" s="240" t="str" cm="1">
        <f t="array" ref="C594">" "&amp;LOWER(_xlfn.REDUCE(H_unit[[#This Row],[Company]]&amp;" "&amp;H_unit[[#This Row],[Unit]],{",",".","(",")","/"},_xlfn.LAMBDA(_xlpm.txt,_xlpm.delim,SUBSTITUTE(_xlpm.txt,_xlpm.delim," "))))&amp;" "</f>
        <v xml:space="preserve"> lempäälän lämpö oy varastotien lämpökeskus </v>
      </c>
      <c r="D594" s="242">
        <v>2013</v>
      </c>
      <c r="E594" s="243">
        <v>4</v>
      </c>
      <c r="F594" s="243"/>
      <c r="G594" s="247"/>
      <c r="H594" s="267" t="s">
        <v>1453</v>
      </c>
      <c r="I594" s="248" t="s">
        <v>1142</v>
      </c>
      <c r="J594" s="246" t="str" cm="1">
        <f t="array" ref="J594">_xlfn.XLOOKUP(TRUE,ISNUMBER(SEARCH(" "&amp;Municipality[Municipality]&amp;" ",H_unit[[#This Row],[Info string]])),Municipality[Municipality],"")</f>
        <v/>
      </c>
      <c r="K594" s="246" t="str" cm="1">
        <f t="array" ref="K594">IF(H_unit[[#This Row],[Exact]]&lt;&gt;"","",_xlfn.XLOOKUP(TRUE,ISNUMBER(SEARCH(" "&amp;Municipality[Municipality]&amp;"n ",H_unit[[#This Row],[Info string]])),Municipality[Municipality],""))</f>
        <v>Lempäälä</v>
      </c>
      <c r="L594" s="246"/>
      <c r="M594" s="244"/>
      <c r="N594" s="246" t="str">
        <f>_xlfn.TEXTJOIN("",TRUE,H_unit[[#This Row],[Exact]],H_unit[[#This Row],[Exact+n]],H_unit[[#This Row],[Copilot]])</f>
        <v>Lempäälä</v>
      </c>
      <c r="O594" s="246" t="str">
        <f>_xlfn.XLOOKUP(H_unit[[#This Row],[Municipality]],Municipality[Municipality],Municipality[Model],"")</f>
        <v>Center</v>
      </c>
      <c r="P594" s="236"/>
    </row>
    <row r="595" spans="1:16">
      <c r="A595" s="238" t="s">
        <v>2334</v>
      </c>
      <c r="B595" s="238" t="s">
        <v>1785</v>
      </c>
      <c r="C595" s="240" t="str" cm="1">
        <f t="array" ref="C595">" "&amp;LOWER(_xlfn.REDUCE(H_unit[[#This Row],[Company]]&amp;" "&amp;H_unit[[#This Row],[Unit]],{",",".","(",")","/"},_xlfn.LAMBDA(_xlpm.txt,_xlpm.delim,SUBSTITUTE(_xlpm.txt,_xlpm.delim," "))))&amp;" "</f>
        <v xml:space="preserve"> lempäälän energia oy varastotien lämpökeskus </v>
      </c>
      <c r="D595" s="242">
        <v>2013</v>
      </c>
      <c r="E595" s="243">
        <v>4</v>
      </c>
      <c r="F595" s="243"/>
      <c r="G595" s="247"/>
      <c r="H595" s="267" t="s">
        <v>1423</v>
      </c>
      <c r="I595" s="248" t="s">
        <v>1143</v>
      </c>
      <c r="J595" s="246" t="str" cm="1">
        <f t="array" ref="J595">_xlfn.XLOOKUP(TRUE,ISNUMBER(SEARCH(" "&amp;Municipality[Municipality]&amp;" ",H_unit[[#This Row],[Info string]])),Municipality[Municipality],"")</f>
        <v/>
      </c>
      <c r="K595" s="246" t="str" cm="1">
        <f t="array" ref="K595">IF(H_unit[[#This Row],[Exact]]&lt;&gt;"","",_xlfn.XLOOKUP(TRUE,ISNUMBER(SEARCH(" "&amp;Municipality[Municipality]&amp;"n ",H_unit[[#This Row],[Info string]])),Municipality[Municipality],""))</f>
        <v>Lempäälä</v>
      </c>
      <c r="L595" s="246"/>
      <c r="M595" s="244"/>
      <c r="N595" s="246" t="str">
        <f>_xlfn.TEXTJOIN("",TRUE,H_unit[[#This Row],[Exact]],H_unit[[#This Row],[Exact+n]],H_unit[[#This Row],[Copilot]])</f>
        <v>Lempäälä</v>
      </c>
      <c r="O595" s="246" t="str">
        <f>_xlfn.XLOOKUP(H_unit[[#This Row],[Municipality]],Municipality[Municipality],Municipality[Model],"")</f>
        <v>Center</v>
      </c>
      <c r="P595" s="236"/>
    </row>
    <row r="596" spans="1:16">
      <c r="A596" s="238" t="s">
        <v>2034</v>
      </c>
      <c r="B596" s="238" t="s">
        <v>2037</v>
      </c>
      <c r="C596" s="240" t="str" cm="1">
        <f t="array" ref="C596">" "&amp;LOWER(_xlfn.REDUCE(H_unit[[#This Row],[Company]]&amp;" "&amp;H_unit[[#This Row],[Unit]],{",",".","(",")","/"},_xlfn.LAMBDA(_xlpm.txt,_xlpm.delim,SUBSTITUTE(_xlpm.txt,_xlpm.delim," "))))&amp;" "</f>
        <v xml:space="preserve"> pargas fjärrvärme ab oy lehtiniemi </v>
      </c>
      <c r="D596" s="242">
        <v>2014</v>
      </c>
      <c r="E596" s="243">
        <v>4</v>
      </c>
      <c r="F596" s="243"/>
      <c r="G596" s="247"/>
      <c r="H596" s="267" t="s">
        <v>1423</v>
      </c>
      <c r="I596" s="248" t="s">
        <v>1143</v>
      </c>
      <c r="J596" s="246" t="str" cm="1">
        <f t="array" ref="J596">_xlfn.XLOOKUP(TRUE,ISNUMBER(SEARCH(" "&amp;Municipality[Municipality]&amp;" ",H_unit[[#This Row],[Info string]])),Municipality[Municipality],"")</f>
        <v/>
      </c>
      <c r="K596" s="246" t="str" cm="1">
        <f t="array" ref="K596">IF(H_unit[[#This Row],[Exact]]&lt;&gt;"","",_xlfn.XLOOKUP(TRUE,ISNUMBER(SEARCH(" "&amp;Municipality[Municipality]&amp;"n ",H_unit[[#This Row],[Info string]])),Municipality[Municipality],""))</f>
        <v/>
      </c>
      <c r="L596" s="246" t="s">
        <v>2708</v>
      </c>
      <c r="M596" s="244" t="s">
        <v>2916</v>
      </c>
      <c r="N596" s="246" t="str">
        <f>_xlfn.TEXTJOIN("",TRUE,H_unit[[#This Row],[Exact]],H_unit[[#This Row],[Exact+n]],H_unit[[#This Row],[Copilot]])</f>
        <v>Parainen</v>
      </c>
      <c r="O596" s="246" t="str">
        <f>_xlfn.XLOOKUP(H_unit[[#This Row],[Municipality]],Municipality[Municipality],Municipality[Model],"")</f>
        <v>South West</v>
      </c>
      <c r="P596" s="236"/>
    </row>
    <row r="597" spans="1:16">
      <c r="A597" s="238" t="s">
        <v>2034</v>
      </c>
      <c r="B597" s="238" t="s">
        <v>2037</v>
      </c>
      <c r="C597" s="240" t="str" cm="1">
        <f t="array" ref="C597">" "&amp;LOWER(_xlfn.REDUCE(H_unit[[#This Row],[Company]]&amp;" "&amp;H_unit[[#This Row],[Unit]],{",",".","(",")","/"},_xlfn.LAMBDA(_xlpm.txt,_xlpm.delim,SUBSTITUTE(_xlpm.txt,_xlpm.delim," "))))&amp;" "</f>
        <v xml:space="preserve"> pargas fjärrvärme ab oy lehtiniemi </v>
      </c>
      <c r="D597" s="242">
        <v>2014</v>
      </c>
      <c r="E597" s="243">
        <v>4</v>
      </c>
      <c r="F597" s="243"/>
      <c r="G597" s="247"/>
      <c r="H597" s="267" t="s">
        <v>1430</v>
      </c>
      <c r="I597" s="248" t="s">
        <v>1141</v>
      </c>
      <c r="J597" s="246" t="str" cm="1">
        <f t="array" ref="J597">_xlfn.XLOOKUP(TRUE,ISNUMBER(SEARCH(" "&amp;Municipality[Municipality]&amp;" ",H_unit[[#This Row],[Info string]])),Municipality[Municipality],"")</f>
        <v/>
      </c>
      <c r="K597" s="246" t="str" cm="1">
        <f t="array" ref="K597">IF(H_unit[[#This Row],[Exact]]&lt;&gt;"","",_xlfn.XLOOKUP(TRUE,ISNUMBER(SEARCH(" "&amp;Municipality[Municipality]&amp;"n ",H_unit[[#This Row],[Info string]])),Municipality[Municipality],""))</f>
        <v/>
      </c>
      <c r="L597" s="246" t="s">
        <v>2708</v>
      </c>
      <c r="M597" s="244" t="s">
        <v>2916</v>
      </c>
      <c r="N597" s="246" t="str">
        <f>_xlfn.TEXTJOIN("",TRUE,H_unit[[#This Row],[Exact]],H_unit[[#This Row],[Exact+n]],H_unit[[#This Row],[Copilot]])</f>
        <v>Parainen</v>
      </c>
      <c r="O597" s="246" t="str">
        <f>_xlfn.XLOOKUP(H_unit[[#This Row],[Municipality]],Municipality[Municipality],Municipality[Model],"")</f>
        <v>South West</v>
      </c>
      <c r="P597" s="236"/>
    </row>
    <row r="598" spans="1:16">
      <c r="A598" s="238" t="s">
        <v>1530</v>
      </c>
      <c r="B598" s="238" t="s">
        <v>1541</v>
      </c>
      <c r="C598" s="240" t="str" cm="1">
        <f t="array" ref="C598">" "&amp;LOWER(_xlfn.REDUCE(H_unit[[#This Row],[Company]]&amp;" "&amp;H_unit[[#This Row],[Unit]],{",",".","(",")","/"},_xlfn.LAMBDA(_xlpm.txt,_xlpm.delim,SUBSTITUTE(_xlpm.txt,_xlpm.delim," "))))&amp;" "</f>
        <v xml:space="preserve"> imatran lämpö oy rajapatsas bio </v>
      </c>
      <c r="D598" s="242">
        <v>2015</v>
      </c>
      <c r="E598" s="243">
        <v>4</v>
      </c>
      <c r="F598" s="243"/>
      <c r="G598" s="247"/>
      <c r="H598" s="267" t="s">
        <v>1423</v>
      </c>
      <c r="I598" s="248" t="s">
        <v>1143</v>
      </c>
      <c r="J598" s="246" t="str" cm="1">
        <f t="array" ref="J598">_xlfn.XLOOKUP(TRUE,ISNUMBER(SEARCH(" "&amp;Municipality[Municipality]&amp;" ",H_unit[[#This Row],[Info string]])),Municipality[Municipality],"")</f>
        <v/>
      </c>
      <c r="K598" s="246" t="str" cm="1">
        <f t="array" ref="K598">IF(H_unit[[#This Row],[Exact]]&lt;&gt;"","",_xlfn.XLOOKUP(TRUE,ISNUMBER(SEARCH(" "&amp;Municipality[Municipality]&amp;"n ",H_unit[[#This Row],[Info string]])),Municipality[Municipality],""))</f>
        <v>Imatra</v>
      </c>
      <c r="L598" s="246"/>
      <c r="M598" s="244"/>
      <c r="N598" s="246" t="str">
        <f>_xlfn.TEXTJOIN("",TRUE,H_unit[[#This Row],[Exact]],H_unit[[#This Row],[Exact+n]],H_unit[[#This Row],[Copilot]])</f>
        <v>Imatra</v>
      </c>
      <c r="O598" s="246" t="str">
        <f>_xlfn.XLOOKUP(H_unit[[#This Row],[Municipality]],Municipality[Municipality],Municipality[Model],"")</f>
        <v>South East</v>
      </c>
      <c r="P598" s="236"/>
    </row>
    <row r="599" spans="1:16">
      <c r="A599" s="238" t="s">
        <v>1562</v>
      </c>
      <c r="B599" s="238" t="s">
        <v>1563</v>
      </c>
      <c r="C599" s="240" t="str" cm="1">
        <f t="array" ref="C599">" "&amp;LOWER(_xlfn.REDUCE(H_unit[[#This Row],[Company]]&amp;" "&amp;H_unit[[#This Row],[Unit]],{",",".","(",")","/"},_xlfn.LAMBDA(_xlpm.txt,_xlpm.delim,SUBSTITUTE(_xlpm.txt,_xlpm.delim," "))))&amp;" "</f>
        <v xml:space="preserve"> kalajoen lämpö oy pirkonsuon kpa </v>
      </c>
      <c r="D599" s="242">
        <v>2015</v>
      </c>
      <c r="E599" s="243">
        <v>4</v>
      </c>
      <c r="F599" s="243"/>
      <c r="G599" s="247"/>
      <c r="H599" s="267" t="s">
        <v>1436</v>
      </c>
      <c r="I599" s="248" t="s">
        <v>1143</v>
      </c>
      <c r="J599" s="246" t="str" cm="1">
        <f t="array" ref="J599">_xlfn.XLOOKUP(TRUE,ISNUMBER(SEARCH(" "&amp;Municipality[Municipality]&amp;" ",H_unit[[#This Row],[Info string]])),Municipality[Municipality],"")</f>
        <v/>
      </c>
      <c r="K599" s="246" t="str" cm="1">
        <f t="array" ref="K599">IF(H_unit[[#This Row],[Exact]]&lt;&gt;"","",_xlfn.XLOOKUP(TRUE,ISNUMBER(SEARCH(" "&amp;Municipality[Municipality]&amp;"n ",H_unit[[#This Row],[Info string]])),Municipality[Municipality],""))</f>
        <v/>
      </c>
      <c r="L599" s="246" t="s">
        <v>2562</v>
      </c>
      <c r="M599" s="244" t="s">
        <v>2915</v>
      </c>
      <c r="N599" s="246" t="str">
        <f>_xlfn.TEXTJOIN("",TRUE,H_unit[[#This Row],[Exact]],H_unit[[#This Row],[Exact+n]],H_unit[[#This Row],[Copilot]])</f>
        <v>Kalajoki</v>
      </c>
      <c r="O599" s="246" t="str">
        <f>_xlfn.XLOOKUP(H_unit[[#This Row],[Municipality]],Municipality[Municipality],Municipality[Model],"")</f>
        <v>North</v>
      </c>
      <c r="P599" s="236"/>
    </row>
    <row r="600" spans="1:16">
      <c r="A600" s="238" t="s">
        <v>2151</v>
      </c>
      <c r="B600" s="238" t="s">
        <v>2153</v>
      </c>
      <c r="C600" s="240" t="str" cm="1">
        <f t="array" ref="C600">" "&amp;LOWER(_xlfn.REDUCE(H_unit[[#This Row],[Company]]&amp;" "&amp;H_unit[[#This Row],[Unit]],{",",".","(",")","/"},_xlfn.LAMBDA(_xlpm.txt,_xlpm.delim,SUBSTITUTE(_xlpm.txt,_xlpm.delim," "))))&amp;" "</f>
        <v xml:space="preserve"> savon voima oyj  pielavesi lk106  lämpökuja </v>
      </c>
      <c r="D600" s="242">
        <v>2015</v>
      </c>
      <c r="E600" s="243">
        <v>4</v>
      </c>
      <c r="F600" s="243"/>
      <c r="G600" s="247"/>
      <c r="H600" s="267" t="s">
        <v>1439</v>
      </c>
      <c r="I600" s="248" t="s">
        <v>1143</v>
      </c>
      <c r="J600" s="246" t="str" cm="1">
        <f t="array" ref="J600">_xlfn.XLOOKUP(TRUE,ISNUMBER(SEARCH(" "&amp;Municipality[Municipality]&amp;" ",H_unit[[#This Row],[Info string]])),Municipality[Municipality],"")</f>
        <v>Pielavesi</v>
      </c>
      <c r="K600" s="246" t="str" cm="1">
        <f t="array" ref="K600">IF(H_unit[[#This Row],[Exact]]&lt;&gt;"","",_xlfn.XLOOKUP(TRUE,ISNUMBER(SEARCH(" "&amp;Municipality[Municipality]&amp;"n ",H_unit[[#This Row],[Info string]])),Municipality[Municipality],""))</f>
        <v/>
      </c>
      <c r="L600" s="246"/>
      <c r="M600" s="244"/>
      <c r="N600" s="246" t="str">
        <f>_xlfn.TEXTJOIN("",TRUE,H_unit[[#This Row],[Exact]],H_unit[[#This Row],[Exact+n]],H_unit[[#This Row],[Copilot]])</f>
        <v>Pielavesi</v>
      </c>
      <c r="O600" s="246" t="str">
        <f>_xlfn.XLOOKUP(H_unit[[#This Row],[Municipality]],Municipality[Municipality],Municipality[Model],"")</f>
        <v>East</v>
      </c>
      <c r="P600" s="236"/>
    </row>
    <row r="601" spans="1:16">
      <c r="A601" s="238" t="s">
        <v>2179</v>
      </c>
      <c r="B601" s="238" t="s">
        <v>2182</v>
      </c>
      <c r="C601" s="240" t="str" cm="1">
        <f t="array" ref="C601">" "&amp;LOWER(_xlfn.REDUCE(H_unit[[#This Row],[Company]]&amp;" "&amp;H_unit[[#This Row],[Unit]],{",",".","(",")","/"},_xlfn.LAMBDA(_xlpm.txt,_xlpm.delim,SUBSTITUTE(_xlpm.txt,_xlpm.delim," "))))&amp;" "</f>
        <v xml:space="preserve"> teuvan kaukolämpö oy pok 4 mw </v>
      </c>
      <c r="D601" s="242">
        <v>2016</v>
      </c>
      <c r="E601" s="243">
        <v>4</v>
      </c>
      <c r="F601" s="243"/>
      <c r="G601" s="247"/>
      <c r="H601" s="267" t="s">
        <v>1430</v>
      </c>
      <c r="I601" s="248" t="s">
        <v>1141</v>
      </c>
      <c r="J601" s="246" t="str" cm="1">
        <f t="array" ref="J601">_xlfn.XLOOKUP(TRUE,ISNUMBER(SEARCH(" "&amp;Municipality[Municipality]&amp;" ",H_unit[[#This Row],[Info string]])),Municipality[Municipality],"")</f>
        <v/>
      </c>
      <c r="K601" s="246" t="str" cm="1">
        <f t="array" ref="K601">IF(H_unit[[#This Row],[Exact]]&lt;&gt;"","",_xlfn.XLOOKUP(TRUE,ISNUMBER(SEARCH(" "&amp;Municipality[Municipality]&amp;"n ",H_unit[[#This Row],[Info string]])),Municipality[Municipality],""))</f>
        <v>Teuva</v>
      </c>
      <c r="L601" s="246"/>
      <c r="M601" s="244"/>
      <c r="N601" s="246" t="str">
        <f>_xlfn.TEXTJOIN("",TRUE,H_unit[[#This Row],[Exact]],H_unit[[#This Row],[Exact+n]],H_unit[[#This Row],[Copilot]])</f>
        <v>Teuva</v>
      </c>
      <c r="O601" s="246" t="str">
        <f>_xlfn.XLOOKUP(H_unit[[#This Row],[Municipality]],Municipality[Municipality],Municipality[Model],"")</f>
        <v>West</v>
      </c>
      <c r="P601" s="236"/>
    </row>
    <row r="602" spans="1:16">
      <c r="A602" s="238" t="s">
        <v>1558</v>
      </c>
      <c r="B602" s="238" t="s">
        <v>1561</v>
      </c>
      <c r="C602" s="240" t="str" cm="1">
        <f t="array" ref="C602">" "&amp;LOWER(_xlfn.REDUCE(H_unit[[#This Row],[Company]]&amp;" "&amp;H_unit[[#This Row],[Unit]],{",",".","(",")","/"},_xlfn.LAMBDA(_xlpm.txt,_xlpm.delim,SUBSTITUTE(_xlpm.txt,_xlpm.delim," "))))&amp;" "</f>
        <v xml:space="preserve"> jämsän aluelämpö oy halli </v>
      </c>
      <c r="D602" s="242">
        <v>2017</v>
      </c>
      <c r="E602" s="243">
        <v>4</v>
      </c>
      <c r="F602" s="243"/>
      <c r="G602" s="247"/>
      <c r="H602" s="267" t="s">
        <v>1423</v>
      </c>
      <c r="I602" s="248" t="s">
        <v>1143</v>
      </c>
      <c r="J602" s="246" t="str" cm="1">
        <f t="array" ref="J602">_xlfn.XLOOKUP(TRUE,ISNUMBER(SEARCH(" "&amp;Municipality[Municipality]&amp;" ",H_unit[[#This Row],[Info string]])),Municipality[Municipality],"")</f>
        <v/>
      </c>
      <c r="K602" s="246" t="str" cm="1">
        <f t="array" ref="K602">IF(H_unit[[#This Row],[Exact]]&lt;&gt;"","",_xlfn.XLOOKUP(TRUE,ISNUMBER(SEARCH(" "&amp;Municipality[Municipality]&amp;"n ",H_unit[[#This Row],[Info string]])),Municipality[Municipality],""))</f>
        <v>Jämsä</v>
      </c>
      <c r="L602" s="246"/>
      <c r="M602" s="244"/>
      <c r="N602" s="246" t="str">
        <f>_xlfn.TEXTJOIN("",TRUE,H_unit[[#This Row],[Exact]],H_unit[[#This Row],[Exact+n]],H_unit[[#This Row],[Copilot]])</f>
        <v>Jämsä</v>
      </c>
      <c r="O602" s="246" t="str">
        <f>_xlfn.XLOOKUP(H_unit[[#This Row],[Municipality]],Municipality[Municipality],Municipality[Model],"")</f>
        <v>Center</v>
      </c>
      <c r="P602" s="236"/>
    </row>
    <row r="603" spans="1:16">
      <c r="A603" s="238" t="s">
        <v>2157</v>
      </c>
      <c r="B603" s="238" t="s">
        <v>2161</v>
      </c>
      <c r="C603" s="240" t="str" cm="1">
        <f t="array" ref="C603">" "&amp;LOWER(_xlfn.REDUCE(H_unit[[#This Row],[Company]]&amp;" "&amp;H_unit[[#This Row],[Unit]],{",",".","(",")","/"},_xlfn.LAMBDA(_xlpm.txt,_xlpm.delim,SUBSTITUTE(_xlpm.txt,_xlpm.delim," "))))&amp;" "</f>
        <v xml:space="preserve"> savon voima oyj  siilinjärvi lk 120  öljy </v>
      </c>
      <c r="D603" s="242">
        <v>2019</v>
      </c>
      <c r="E603" s="243">
        <v>4</v>
      </c>
      <c r="F603" s="243"/>
      <c r="G603" s="247"/>
      <c r="H603" s="267" t="s">
        <v>1430</v>
      </c>
      <c r="I603" s="248" t="s">
        <v>1141</v>
      </c>
      <c r="J603" s="246" t="str" cm="1">
        <f t="array" ref="J603">_xlfn.XLOOKUP(TRUE,ISNUMBER(SEARCH(" "&amp;Municipality[Municipality]&amp;" ",H_unit[[#This Row],[Info string]])),Municipality[Municipality],"")</f>
        <v>Siilinjärvi</v>
      </c>
      <c r="K603" s="246" t="str" cm="1">
        <f t="array" ref="K603">IF(H_unit[[#This Row],[Exact]]&lt;&gt;"","",_xlfn.XLOOKUP(TRUE,ISNUMBER(SEARCH(" "&amp;Municipality[Municipality]&amp;"n ",H_unit[[#This Row],[Info string]])),Municipality[Municipality],""))</f>
        <v/>
      </c>
      <c r="L603" s="246"/>
      <c r="M603" s="244"/>
      <c r="N603" s="246" t="str">
        <f>_xlfn.TEXTJOIN("",TRUE,H_unit[[#This Row],[Exact]],H_unit[[#This Row],[Exact+n]],H_unit[[#This Row],[Copilot]])</f>
        <v>Siilinjärvi</v>
      </c>
      <c r="O603" s="246" t="str">
        <f>_xlfn.XLOOKUP(H_unit[[#This Row],[Municipality]],Municipality[Municipality],Municipality[Model],"")</f>
        <v>East</v>
      </c>
      <c r="P603" s="236"/>
    </row>
    <row r="604" spans="1:16">
      <c r="A604" s="238" t="s">
        <v>1642</v>
      </c>
      <c r="B604" s="238" t="s">
        <v>1649</v>
      </c>
      <c r="C604" s="240" t="str" cm="1">
        <f t="array" ref="C604">" "&amp;LOWER(_xlfn.REDUCE(H_unit[[#This Row],[Company]]&amp;" "&amp;H_unit[[#This Row],[Unit]],{",",".","(",")","/"},_xlfn.LAMBDA(_xlpm.txt,_xlpm.delim,SUBSTITUTE(_xlpm.txt,_xlpm.delim," "))))&amp;" "</f>
        <v xml:space="preserve"> kokemäen lämpö oy putsari lk </v>
      </c>
      <c r="D604" s="242">
        <v>2020</v>
      </c>
      <c r="E604" s="243">
        <v>4</v>
      </c>
      <c r="F604" s="243"/>
      <c r="G604" s="247"/>
      <c r="H604" s="267" t="s">
        <v>1430</v>
      </c>
      <c r="I604" s="248" t="s">
        <v>1141</v>
      </c>
      <c r="J604" s="246" t="str" cm="1">
        <f t="array" ref="J604">_xlfn.XLOOKUP(TRUE,ISNUMBER(SEARCH(" "&amp;Municipality[Municipality]&amp;" ",H_unit[[#This Row],[Info string]])),Municipality[Municipality],"")</f>
        <v/>
      </c>
      <c r="K604" s="246" t="str" cm="1">
        <f t="array" ref="K604">IF(H_unit[[#This Row],[Exact]]&lt;&gt;"","",_xlfn.XLOOKUP(TRUE,ISNUMBER(SEARCH(" "&amp;Municipality[Municipality]&amp;"n ",H_unit[[#This Row],[Info string]])),Municipality[Municipality],""))</f>
        <v/>
      </c>
      <c r="L604" s="246" t="s">
        <v>2619</v>
      </c>
      <c r="M604" s="244" t="s">
        <v>2920</v>
      </c>
      <c r="N604" s="246" t="str">
        <f>_xlfn.TEXTJOIN("",TRUE,H_unit[[#This Row],[Exact]],H_unit[[#This Row],[Exact+n]],H_unit[[#This Row],[Copilot]])</f>
        <v>Kokemäki</v>
      </c>
      <c r="O604" s="246" t="str">
        <f>_xlfn.XLOOKUP(H_unit[[#This Row],[Municipality]],Municipality[Municipality],Municipality[Model],"")</f>
        <v>West</v>
      </c>
      <c r="P604" s="236"/>
    </row>
    <row r="605" spans="1:16">
      <c r="A605" s="238" t="s">
        <v>1814</v>
      </c>
      <c r="B605" s="238" t="s">
        <v>1823</v>
      </c>
      <c r="C605" s="240" t="str" cm="1">
        <f t="array" ref="C605">" "&amp;LOWER(_xlfn.REDUCE(H_unit[[#This Row],[Company]]&amp;" "&amp;H_unit[[#This Row],[Unit]],{",",".","(",")","/"},_xlfn.LAMBDA(_xlpm.txt,_xlpm.delim,SUBSTITUTE(_xlpm.txt,_xlpm.delim," "))))&amp;" "</f>
        <v xml:space="preserve"> lohjan energiahuolto oy loher virkkala  biolämpökeskus </v>
      </c>
      <c r="D605" s="242">
        <v>2021</v>
      </c>
      <c r="E605" s="243">
        <v>4</v>
      </c>
      <c r="F605" s="243"/>
      <c r="G605" s="247"/>
      <c r="H605" s="267" t="s">
        <v>1423</v>
      </c>
      <c r="I605" s="248" t="s">
        <v>1143</v>
      </c>
      <c r="J605" s="246" t="str" cm="1">
        <f t="array" ref="J605">_xlfn.XLOOKUP(TRUE,ISNUMBER(SEARCH(" "&amp;Municipality[Municipality]&amp;" ",H_unit[[#This Row],[Info string]])),Municipality[Municipality],"")</f>
        <v/>
      </c>
      <c r="K605" s="246" t="str" cm="1">
        <f t="array" ref="K605">IF(H_unit[[#This Row],[Exact]]&lt;&gt;"","",_xlfn.XLOOKUP(TRUE,ISNUMBER(SEARCH(" "&amp;Municipality[Municipality]&amp;"n ",H_unit[[#This Row],[Info string]])),Municipality[Municipality],""))</f>
        <v>Lohja</v>
      </c>
      <c r="L605" s="246"/>
      <c r="M605" s="244"/>
      <c r="N605" s="246" t="str">
        <f>_xlfn.TEXTJOIN("",TRUE,H_unit[[#This Row],[Exact]],H_unit[[#This Row],[Exact+n]],H_unit[[#This Row],[Copilot]])</f>
        <v>Lohja</v>
      </c>
      <c r="O605" s="246" t="str">
        <f>_xlfn.XLOOKUP(H_unit[[#This Row],[Municipality]],Municipality[Municipality],Municipality[Model],"")</f>
        <v>Uusimaa</v>
      </c>
      <c r="P605" s="236"/>
    </row>
    <row r="606" spans="1:16">
      <c r="A606" s="238" t="s">
        <v>1543</v>
      </c>
      <c r="B606" s="238" t="s">
        <v>1550</v>
      </c>
      <c r="C606" s="240" t="str" cm="1">
        <f t="array" ref="C606">" "&amp;LOWER(_xlfn.REDUCE(H_unit[[#This Row],[Company]]&amp;" "&amp;H_unit[[#This Row],[Unit]],{",",".","(",")","/"},_xlfn.LAMBDA(_xlpm.txt,_xlpm.delim,SUBSTITUTE(_xlpm.txt,_xlpm.delim," "))))&amp;" "</f>
        <v xml:space="preserve"> inergia lämpö oy virastotalo </v>
      </c>
      <c r="D606" s="242">
        <v>2022</v>
      </c>
      <c r="E606" s="243">
        <v>4</v>
      </c>
      <c r="F606" s="243"/>
      <c r="G606" s="247"/>
      <c r="H606" s="267" t="s">
        <v>1430</v>
      </c>
      <c r="I606" s="248" t="s">
        <v>1141</v>
      </c>
      <c r="J606" s="246" t="str" cm="1">
        <f t="array" ref="J606">_xlfn.XLOOKUP(TRUE,ISNUMBER(SEARCH(" "&amp;Municipality[Municipality]&amp;" ",H_unit[[#This Row],[Info string]])),Municipality[Municipality],"")</f>
        <v/>
      </c>
      <c r="K606" s="246" t="str" cm="1">
        <f t="array" ref="K606">IF(H_unit[[#This Row],[Exact]]&lt;&gt;"","",_xlfn.XLOOKUP(TRUE,ISNUMBER(SEARCH(" "&amp;Municipality[Municipality]&amp;"n ",H_unit[[#This Row],[Info string]])),Municipality[Municipality],""))</f>
        <v/>
      </c>
      <c r="L606" s="246" t="s">
        <v>1546</v>
      </c>
      <c r="M606" s="244" t="s">
        <v>2913</v>
      </c>
      <c r="N606" s="246" t="str">
        <f>_xlfn.TEXTJOIN("",TRUE,H_unit[[#This Row],[Exact]],H_unit[[#This Row],[Exact+n]],H_unit[[#This Row],[Copilot]])</f>
        <v>Inari</v>
      </c>
      <c r="O606" s="246" t="str">
        <f>_xlfn.XLOOKUP(H_unit[[#This Row],[Municipality]],Municipality[Municipality],Municipality[Model],"")</f>
        <v>North</v>
      </c>
      <c r="P606" s="236"/>
    </row>
    <row r="607" spans="1:16">
      <c r="A607" s="238" t="s">
        <v>1931</v>
      </c>
      <c r="B607" s="238" t="s">
        <v>1933</v>
      </c>
      <c r="C607" s="240" t="str" cm="1">
        <f t="array" ref="C607">" "&amp;LOWER(_xlfn.REDUCE(H_unit[[#This Row],[Company]]&amp;" "&amp;H_unit[[#This Row],[Unit]],{",",".","(",")","/"},_xlfn.LAMBDA(_xlpm.txt,_xlpm.delim,SUBSTITUTE(_xlpm.txt,_xlpm.delim," "))))&amp;" "</f>
        <v xml:space="preserve"> nevel oy  petäjävesi pok </v>
      </c>
      <c r="D607" s="242" t="s">
        <v>1417</v>
      </c>
      <c r="E607" s="243">
        <v>4</v>
      </c>
      <c r="F607" s="243"/>
      <c r="G607" s="247"/>
      <c r="H607" s="267" t="s">
        <v>1430</v>
      </c>
      <c r="I607" s="248" t="s">
        <v>1141</v>
      </c>
      <c r="J607" s="246" t="str" cm="1">
        <f t="array" ref="J607">_xlfn.XLOOKUP(TRUE,ISNUMBER(SEARCH(" "&amp;Municipality[Municipality]&amp;" ",H_unit[[#This Row],[Info string]])),Municipality[Municipality],"")</f>
        <v>Petäjävesi</v>
      </c>
      <c r="K607" s="246" t="str" cm="1">
        <f t="array" ref="K607">IF(H_unit[[#This Row],[Exact]]&lt;&gt;"","",_xlfn.XLOOKUP(TRUE,ISNUMBER(SEARCH(" "&amp;Municipality[Municipality]&amp;"n ",H_unit[[#This Row],[Info string]])),Municipality[Municipality],""))</f>
        <v/>
      </c>
      <c r="L607" s="246"/>
      <c r="M607" s="244"/>
      <c r="N607" s="246" t="str">
        <f>_xlfn.TEXTJOIN("",TRUE,H_unit[[#This Row],[Exact]],H_unit[[#This Row],[Exact+n]],H_unit[[#This Row],[Copilot]])</f>
        <v>Petäjävesi</v>
      </c>
      <c r="O607" s="246" t="str">
        <f>_xlfn.XLOOKUP(H_unit[[#This Row],[Municipality]],Municipality[Municipality],Municipality[Model],"")</f>
        <v>Center</v>
      </c>
      <c r="P607" s="236"/>
    </row>
    <row r="608" spans="1:16">
      <c r="A608" s="238" t="s">
        <v>1710</v>
      </c>
      <c r="B608" s="238" t="s">
        <v>1712</v>
      </c>
      <c r="C608" s="240" t="str" cm="1">
        <f t="array" ref="C608">" "&amp;LOWER(_xlfn.REDUCE(H_unit[[#This Row],[Company]]&amp;" "&amp;H_unit[[#This Row],[Unit]],{",",".","(",")","/"},_xlfn.LAMBDA(_xlpm.txt,_xlpm.delim,SUBSTITUTE(_xlpm.txt,_xlpm.delim," "))))&amp;" "</f>
        <v xml:space="preserve"> kuusamon energia- ja vesiosuuskunta tolpanniemien lämpökeskus </v>
      </c>
      <c r="D608" s="242" t="s">
        <v>1448</v>
      </c>
      <c r="E608" s="243">
        <v>4</v>
      </c>
      <c r="F608" s="243"/>
      <c r="G608" s="247"/>
      <c r="H608" s="267" t="s">
        <v>1430</v>
      </c>
      <c r="I608" s="248" t="s">
        <v>1141</v>
      </c>
      <c r="J608" s="246" t="str" cm="1">
        <f t="array" ref="J608">_xlfn.XLOOKUP(TRUE,ISNUMBER(SEARCH(" "&amp;Municipality[Municipality]&amp;" ",H_unit[[#This Row],[Info string]])),Municipality[Municipality],"")</f>
        <v/>
      </c>
      <c r="K608" s="246" t="str" cm="1">
        <f t="array" ref="K608">IF(H_unit[[#This Row],[Exact]]&lt;&gt;"","",_xlfn.XLOOKUP(TRUE,ISNUMBER(SEARCH(" "&amp;Municipality[Municipality]&amp;"n ",H_unit[[#This Row],[Info string]])),Municipality[Municipality],""))</f>
        <v>Kuusamo</v>
      </c>
      <c r="L608" s="246"/>
      <c r="M608" s="244"/>
      <c r="N608" s="246" t="str">
        <f>_xlfn.TEXTJOIN("",TRUE,H_unit[[#This Row],[Exact]],H_unit[[#This Row],[Exact+n]],H_unit[[#This Row],[Copilot]])</f>
        <v>Kuusamo</v>
      </c>
      <c r="O608" s="246" t="str">
        <f>_xlfn.XLOOKUP(H_unit[[#This Row],[Municipality]],Municipality[Municipality],Municipality[Model],"")</f>
        <v>North</v>
      </c>
      <c r="P608" s="236"/>
    </row>
    <row r="609" spans="1:16">
      <c r="A609" s="238" t="s">
        <v>1839</v>
      </c>
      <c r="B609" s="238" t="s">
        <v>1849</v>
      </c>
      <c r="C609" s="240" t="str" cm="1">
        <f t="array" ref="C609">" "&amp;LOWER(_xlfn.REDUCE(H_unit[[#This Row],[Company]]&amp;" "&amp;H_unit[[#This Row],[Unit]],{",",".","(",")","/"},_xlfn.LAMBDA(_xlpm.txt,_xlpm.delim,SUBSTITUTE(_xlpm.txt,_xlpm.delim," "))))&amp;" "</f>
        <v xml:space="preserve"> loimua oy  hämeenlinna lammi kpa-kattila </v>
      </c>
      <c r="D609" s="242" t="s">
        <v>1448</v>
      </c>
      <c r="E609" s="243">
        <v>4</v>
      </c>
      <c r="F609" s="243"/>
      <c r="G609" s="247"/>
      <c r="H609" s="267" t="s">
        <v>1423</v>
      </c>
      <c r="I609" s="248" t="s">
        <v>1143</v>
      </c>
      <c r="J609" s="246" t="str" cm="1">
        <f t="array" ref="J609">_xlfn.XLOOKUP(TRUE,ISNUMBER(SEARCH(" "&amp;Municipality[Municipality]&amp;" ",H_unit[[#This Row],[Info string]])),Municipality[Municipality],"")</f>
        <v>Lammi</v>
      </c>
      <c r="K609" s="246" t="str" cm="1">
        <f t="array" ref="K609">IF(H_unit[[#This Row],[Exact]]&lt;&gt;"","",_xlfn.XLOOKUP(TRUE,ISNUMBER(SEARCH(" "&amp;Municipality[Municipality]&amp;"n ",H_unit[[#This Row],[Info string]])),Municipality[Municipality],""))</f>
        <v/>
      </c>
      <c r="L609" s="246"/>
      <c r="M609" s="244"/>
      <c r="N609" s="246" t="str">
        <f>_xlfn.TEXTJOIN("",TRUE,H_unit[[#This Row],[Exact]],H_unit[[#This Row],[Exact+n]],H_unit[[#This Row],[Copilot]])</f>
        <v>Lammi</v>
      </c>
      <c r="O609" s="246" t="str">
        <f>_xlfn.XLOOKUP(H_unit[[#This Row],[Municipality]],Municipality[Municipality],Municipality[Model],"")</f>
        <v>South West</v>
      </c>
      <c r="P609" s="236"/>
    </row>
    <row r="610" spans="1:16">
      <c r="A610" s="238" t="s">
        <v>1868</v>
      </c>
      <c r="B610" s="238" t="s">
        <v>1872</v>
      </c>
      <c r="C610" s="240" t="str" cm="1">
        <f t="array" ref="C610">" "&amp;LOWER(_xlfn.REDUCE(H_unit[[#This Row],[Company]]&amp;" "&amp;H_unit[[#This Row],[Unit]],{",",".","(",")","/"},_xlfn.LAMBDA(_xlpm.txt,_xlpm.delim,SUBSTITUTE(_xlpm.txt,_xlpm.delim," "))))&amp;" "</f>
        <v xml:space="preserve"> loimua oy  oulainen junnikkala </v>
      </c>
      <c r="D610" s="242" t="s">
        <v>1448</v>
      </c>
      <c r="E610" s="243">
        <v>4</v>
      </c>
      <c r="F610" s="243"/>
      <c r="G610" s="247"/>
      <c r="H610" s="267" t="s">
        <v>1430</v>
      </c>
      <c r="I610" s="248" t="s">
        <v>1141</v>
      </c>
      <c r="J610" s="246" t="str" cm="1">
        <f t="array" ref="J610">_xlfn.XLOOKUP(TRUE,ISNUMBER(SEARCH(" "&amp;Municipality[Municipality]&amp;" ",H_unit[[#This Row],[Info string]])),Municipality[Municipality],"")</f>
        <v>Oulainen</v>
      </c>
      <c r="K610" s="246" t="str" cm="1">
        <f t="array" ref="K610">IF(H_unit[[#This Row],[Exact]]&lt;&gt;"","",_xlfn.XLOOKUP(TRUE,ISNUMBER(SEARCH(" "&amp;Municipality[Municipality]&amp;"n ",H_unit[[#This Row],[Info string]])),Municipality[Municipality],""))</f>
        <v/>
      </c>
      <c r="L610" s="246"/>
      <c r="M610" s="244"/>
      <c r="N610" s="246" t="str">
        <f>_xlfn.TEXTJOIN("",TRUE,H_unit[[#This Row],[Exact]],H_unit[[#This Row],[Exact+n]],H_unit[[#This Row],[Copilot]])</f>
        <v>Oulainen</v>
      </c>
      <c r="O610" s="246" t="str">
        <f>_xlfn.XLOOKUP(H_unit[[#This Row],[Municipality]],Municipality[Municipality],Municipality[Model],"")</f>
        <v>North</v>
      </c>
      <c r="P610" s="236"/>
    </row>
    <row r="611" spans="1:16">
      <c r="A611" s="238" t="s">
        <v>2250</v>
      </c>
      <c r="B611" s="238" t="s">
        <v>2252</v>
      </c>
      <c r="C611" s="240" t="str" cm="1">
        <f t="array" ref="C611">" "&amp;LOWER(_xlfn.REDUCE(H_unit[[#This Row],[Company]]&amp;" "&amp;H_unit[[#This Row],[Unit]],{",",".","(",")","/"},_xlfn.LAMBDA(_xlpm.txt,_xlpm.delim,SUBSTITUTE(_xlpm.txt,_xlpm.delim," "))))&amp;" "</f>
        <v xml:space="preserve"> virtain energia oy nallela </v>
      </c>
      <c r="D611" s="242" t="s">
        <v>1448</v>
      </c>
      <c r="E611" s="243">
        <v>4</v>
      </c>
      <c r="F611" s="243"/>
      <c r="G611" s="247"/>
      <c r="H611" s="267" t="s">
        <v>1430</v>
      </c>
      <c r="I611" s="248" t="s">
        <v>1141</v>
      </c>
      <c r="J611" s="246" t="str" cm="1">
        <f t="array" ref="J611">_xlfn.XLOOKUP(TRUE,ISNUMBER(SEARCH(" "&amp;Municipality[Municipality]&amp;" ",H_unit[[#This Row],[Info string]])),Municipality[Municipality],"")</f>
        <v/>
      </c>
      <c r="K611" s="246" t="str" cm="1">
        <f t="array" ref="K611">IF(H_unit[[#This Row],[Exact]]&lt;&gt;"","",_xlfn.XLOOKUP(TRUE,ISNUMBER(SEARCH(" "&amp;Municipality[Municipality]&amp;"n ",H_unit[[#This Row],[Info string]])),Municipality[Municipality],""))</f>
        <v/>
      </c>
      <c r="L611" s="246" t="s">
        <v>2840</v>
      </c>
      <c r="M611" s="244" t="s">
        <v>2906</v>
      </c>
      <c r="N611" s="246" t="str">
        <f>_xlfn.TEXTJOIN("",TRUE,H_unit[[#This Row],[Exact]],H_unit[[#This Row],[Exact+n]],H_unit[[#This Row],[Copilot]])</f>
        <v>Virrat</v>
      </c>
      <c r="O611" s="246" t="str">
        <f>_xlfn.XLOOKUP(H_unit[[#This Row],[Municipality]],Municipality[Municipality],Municipality[Model],"")</f>
        <v>Center</v>
      </c>
      <c r="P611" s="236"/>
    </row>
    <row r="612" spans="1:16">
      <c r="A612" s="238" t="s">
        <v>2420</v>
      </c>
      <c r="B612" s="238" t="s">
        <v>2421</v>
      </c>
      <c r="C612" s="240" t="str" cm="1">
        <f t="array" ref="C612">" "&amp;LOWER(_xlfn.REDUCE(H_unit[[#This Row],[Company]]&amp;" "&amp;H_unit[[#This Row],[Unit]],{",",".","(",")","/"},_xlfn.LAMBDA(_xlpm.txt,_xlpm.delim,SUBSTITUTE(_xlpm.txt,_xlpm.delim," "))))&amp;" "</f>
        <v xml:space="preserve"> vapo terra oy  turengin pellettitehdas turengin pellettitehdas </v>
      </c>
      <c r="D612" s="242">
        <v>2007</v>
      </c>
      <c r="E612" s="243">
        <v>3.8</v>
      </c>
      <c r="F612" s="243"/>
      <c r="G612" s="247"/>
      <c r="H612" s="267" t="s">
        <v>1428</v>
      </c>
      <c r="I612" s="248" t="s">
        <v>1443</v>
      </c>
      <c r="J612" s="246" t="str" cm="1">
        <f t="array" ref="J612">_xlfn.XLOOKUP(TRUE,ISNUMBER(SEARCH(" "&amp;Municipality[Municipality]&amp;" ",H_unit[[#This Row],[Info string]])),Municipality[Municipality],"")</f>
        <v/>
      </c>
      <c r="K612" s="246" t="str" cm="1">
        <f t="array" ref="K612">IF(H_unit[[#This Row],[Exact]]&lt;&gt;"","",_xlfn.XLOOKUP(TRUE,ISNUMBER(SEARCH(" "&amp;Municipality[Municipality]&amp;"n ",H_unit[[#This Row],[Info string]])),Municipality[Municipality],""))</f>
        <v/>
      </c>
      <c r="L612" s="246"/>
      <c r="M612" s="244"/>
      <c r="N612" s="246" t="str">
        <f>_xlfn.TEXTJOIN("",TRUE,H_unit[[#This Row],[Exact]],H_unit[[#This Row],[Exact+n]],H_unit[[#This Row],[Copilot]])</f>
        <v/>
      </c>
      <c r="O612" s="246" t="str">
        <f>_xlfn.XLOOKUP(H_unit[[#This Row],[Municipality]],Municipality[Municipality],Municipality[Model],"")</f>
        <v/>
      </c>
      <c r="P612" s="236"/>
    </row>
    <row r="613" spans="1:16">
      <c r="A613" s="238" t="s">
        <v>1854</v>
      </c>
      <c r="B613" s="238" t="s">
        <v>1858</v>
      </c>
      <c r="C613" s="240" t="str" cm="1">
        <f t="array" ref="C613">" "&amp;LOWER(_xlfn.REDUCE(H_unit[[#This Row],[Company]]&amp;" "&amp;H_unit[[#This Row],[Unit]],{",",".","(",")","/"},_xlfn.LAMBDA(_xlpm.txt,_xlpm.delim,SUBSTITUTE(_xlpm.txt,_xlpm.delim," "))))&amp;" "</f>
        <v xml:space="preserve"> loimua oy  janakkala turenki lk </v>
      </c>
      <c r="D613" s="242" t="s">
        <v>1448</v>
      </c>
      <c r="E613" s="243">
        <v>3.8</v>
      </c>
      <c r="F613" s="243"/>
      <c r="G613" s="247"/>
      <c r="H613" s="267" t="s">
        <v>1453</v>
      </c>
      <c r="I613" s="248" t="s">
        <v>1142</v>
      </c>
      <c r="J613" s="246" t="str" cm="1">
        <f t="array" ref="J613">_xlfn.XLOOKUP(TRUE,ISNUMBER(SEARCH(" "&amp;Municipality[Municipality]&amp;" ",H_unit[[#This Row],[Info string]])),Municipality[Municipality],"")</f>
        <v>Janakkala</v>
      </c>
      <c r="K613" s="246" t="str" cm="1">
        <f t="array" ref="K613">IF(H_unit[[#This Row],[Exact]]&lt;&gt;"","",_xlfn.XLOOKUP(TRUE,ISNUMBER(SEARCH(" "&amp;Municipality[Municipality]&amp;"n ",H_unit[[#This Row],[Info string]])),Municipality[Municipality],""))</f>
        <v/>
      </c>
      <c r="L613" s="246"/>
      <c r="M613" s="244"/>
      <c r="N613" s="246" t="str">
        <f>_xlfn.TEXTJOIN("",TRUE,H_unit[[#This Row],[Exact]],H_unit[[#This Row],[Exact+n]],H_unit[[#This Row],[Copilot]])</f>
        <v>Janakkala</v>
      </c>
      <c r="O613" s="246" t="str">
        <f>_xlfn.XLOOKUP(H_unit[[#This Row],[Municipality]],Municipality[Municipality],Municipality[Model],"")</f>
        <v>South West</v>
      </c>
      <c r="P613" s="236"/>
    </row>
    <row r="614" spans="1:16">
      <c r="A614" s="238" t="s">
        <v>1661</v>
      </c>
      <c r="B614" s="238" t="s">
        <v>1670</v>
      </c>
      <c r="C614" s="240" t="str" cm="1">
        <f t="array" ref="C614">" "&amp;LOWER(_xlfn.REDUCE(H_unit[[#This Row],[Company]]&amp;" "&amp;H_unit[[#This Row],[Unit]],{",",".","(",")","/"},_xlfn.LAMBDA(_xlpm.txt,_xlpm.delim,SUBSTITUTE(_xlpm.txt,_xlpm.delim," "))))&amp;" "</f>
        <v xml:space="preserve"> kss lämpö oy  kouvola sairaalankaari </v>
      </c>
      <c r="D614" s="242">
        <v>2003</v>
      </c>
      <c r="E614" s="243">
        <v>3.7</v>
      </c>
      <c r="F614" s="243"/>
      <c r="G614" s="247"/>
      <c r="H614" s="267" t="s">
        <v>1453</v>
      </c>
      <c r="I614" s="248" t="s">
        <v>1142</v>
      </c>
      <c r="J614" s="246" t="str" cm="1">
        <f t="array" ref="J614">_xlfn.XLOOKUP(TRUE,ISNUMBER(SEARCH(" "&amp;Municipality[Municipality]&amp;" ",H_unit[[#This Row],[Info string]])),Municipality[Municipality],"")</f>
        <v>Kouvola</v>
      </c>
      <c r="K614" s="246" t="str" cm="1">
        <f t="array" ref="K614">IF(H_unit[[#This Row],[Exact]]&lt;&gt;"","",_xlfn.XLOOKUP(TRUE,ISNUMBER(SEARCH(" "&amp;Municipality[Municipality]&amp;"n ",H_unit[[#This Row],[Info string]])),Municipality[Municipality],""))</f>
        <v/>
      </c>
      <c r="L614" s="246"/>
      <c r="M614" s="244"/>
      <c r="N614" s="246" t="str">
        <f>_xlfn.TEXTJOIN("",TRUE,H_unit[[#This Row],[Exact]],H_unit[[#This Row],[Exact+n]],H_unit[[#This Row],[Copilot]])</f>
        <v>Kouvola</v>
      </c>
      <c r="O614" s="246" t="str">
        <f>_xlfn.XLOOKUP(H_unit[[#This Row],[Municipality]],Municipality[Municipality],Municipality[Model],"")</f>
        <v>South East</v>
      </c>
      <c r="P614" s="236"/>
    </row>
    <row r="615" spans="1:16">
      <c r="A615" s="238" t="s">
        <v>2179</v>
      </c>
      <c r="B615" s="238" t="s">
        <v>2183</v>
      </c>
      <c r="C615" s="240" t="str" cm="1">
        <f t="array" ref="C615">" "&amp;LOWER(_xlfn.REDUCE(H_unit[[#This Row],[Company]]&amp;" "&amp;H_unit[[#This Row],[Unit]],{",",".","(",")","/"},_xlfn.LAMBDA(_xlpm.txt,_xlpm.delim,SUBSTITUTE(_xlpm.txt,_xlpm.delim," "))))&amp;" "</f>
        <v xml:space="preserve"> teuvan kaukolämpö oy pok 3 7 mw </v>
      </c>
      <c r="D615" s="242">
        <v>2017</v>
      </c>
      <c r="E615" s="243">
        <v>3.7</v>
      </c>
      <c r="F615" s="243"/>
      <c r="G615" s="247"/>
      <c r="H615" s="267" t="s">
        <v>1430</v>
      </c>
      <c r="I615" s="248" t="s">
        <v>1141</v>
      </c>
      <c r="J615" s="246" t="str" cm="1">
        <f t="array" ref="J615">_xlfn.XLOOKUP(TRUE,ISNUMBER(SEARCH(" "&amp;Municipality[Municipality]&amp;" ",H_unit[[#This Row],[Info string]])),Municipality[Municipality],"")</f>
        <v/>
      </c>
      <c r="K615" s="246" t="str" cm="1">
        <f t="array" ref="K615">IF(H_unit[[#This Row],[Exact]]&lt;&gt;"","",_xlfn.XLOOKUP(TRUE,ISNUMBER(SEARCH(" "&amp;Municipality[Municipality]&amp;"n ",H_unit[[#This Row],[Info string]])),Municipality[Municipality],""))</f>
        <v>Teuva</v>
      </c>
      <c r="L615" s="246"/>
      <c r="M615" s="244"/>
      <c r="N615" s="246" t="str">
        <f>_xlfn.TEXTJOIN("",TRUE,H_unit[[#This Row],[Exact]],H_unit[[#This Row],[Exact+n]],H_unit[[#This Row],[Copilot]])</f>
        <v>Teuva</v>
      </c>
      <c r="O615" s="246" t="str">
        <f>_xlfn.XLOOKUP(H_unit[[#This Row],[Municipality]],Municipality[Municipality],Municipality[Model],"")</f>
        <v>West</v>
      </c>
      <c r="P615" s="236"/>
    </row>
    <row r="616" spans="1:16">
      <c r="A616" s="238" t="s">
        <v>2151</v>
      </c>
      <c r="B616" s="238" t="s">
        <v>2152</v>
      </c>
      <c r="C616" s="240" t="str" cm="1">
        <f t="array" ref="C616">" "&amp;LOWER(_xlfn.REDUCE(H_unit[[#This Row],[Company]]&amp;" "&amp;H_unit[[#This Row],[Unit]],{",",".","(",")","/"},_xlfn.LAMBDA(_xlpm.txt,_xlpm.delim,SUBSTITUTE(_xlpm.txt,_xlpm.delim," "))))&amp;" "</f>
        <v xml:space="preserve"> savon voima oyj  pielavesi lk49  lämpökuja </v>
      </c>
      <c r="D616" s="242">
        <v>1998</v>
      </c>
      <c r="E616" s="243">
        <v>3.6</v>
      </c>
      <c r="F616" s="243"/>
      <c r="G616" s="247"/>
      <c r="H616" s="267" t="s">
        <v>1439</v>
      </c>
      <c r="I616" s="248" t="s">
        <v>1143</v>
      </c>
      <c r="J616" s="246" t="str" cm="1">
        <f t="array" ref="J616">_xlfn.XLOOKUP(TRUE,ISNUMBER(SEARCH(" "&amp;Municipality[Municipality]&amp;" ",H_unit[[#This Row],[Info string]])),Municipality[Municipality],"")</f>
        <v>Pielavesi</v>
      </c>
      <c r="K616" s="246" t="str" cm="1">
        <f t="array" ref="K616">IF(H_unit[[#This Row],[Exact]]&lt;&gt;"","",_xlfn.XLOOKUP(TRUE,ISNUMBER(SEARCH(" "&amp;Municipality[Municipality]&amp;"n ",H_unit[[#This Row],[Info string]])),Municipality[Municipality],""))</f>
        <v/>
      </c>
      <c r="L616" s="246"/>
      <c r="M616" s="244"/>
      <c r="N616" s="246" t="str">
        <f>_xlfn.TEXTJOIN("",TRUE,H_unit[[#This Row],[Exact]],H_unit[[#This Row],[Exact+n]],H_unit[[#This Row],[Copilot]])</f>
        <v>Pielavesi</v>
      </c>
      <c r="O616" s="246" t="str">
        <f>_xlfn.XLOOKUP(H_unit[[#This Row],[Municipality]],Municipality[Municipality],Municipality[Model],"")</f>
        <v>East</v>
      </c>
      <c r="P616" s="236"/>
    </row>
    <row r="617" spans="1:16">
      <c r="A617" s="238" t="s">
        <v>1581</v>
      </c>
      <c r="B617" s="238" t="s">
        <v>1583</v>
      </c>
      <c r="C617" s="240" t="str" cm="1">
        <f t="array" ref="C617">" "&amp;LOWER(_xlfn.REDUCE(H_unit[[#This Row],[Company]]&amp;" "&amp;H_unit[[#This Row],[Unit]],{",",".","(",")","/"},_xlfn.LAMBDA(_xlpm.txt,_xlpm.delim,SUBSTITUTE(_xlpm.txt,_xlpm.delim," "))))&amp;" "</f>
        <v xml:space="preserve"> kauhajoen lämpöhuolto oy aro </v>
      </c>
      <c r="D617" s="242">
        <v>2001</v>
      </c>
      <c r="E617" s="243">
        <v>3.6</v>
      </c>
      <c r="F617" s="243"/>
      <c r="G617" s="247"/>
      <c r="H617" s="267" t="s">
        <v>1428</v>
      </c>
      <c r="I617" s="248" t="s">
        <v>1143</v>
      </c>
      <c r="J617" s="246" t="str" cm="1">
        <f t="array" ref="J617">_xlfn.XLOOKUP(TRUE,ISNUMBER(SEARCH(" "&amp;Municipality[Municipality]&amp;" ",H_unit[[#This Row],[Info string]])),Municipality[Municipality],"")</f>
        <v/>
      </c>
      <c r="K617" s="246" t="str" cm="1">
        <f t="array" ref="K617">IF(H_unit[[#This Row],[Exact]]&lt;&gt;"","",_xlfn.XLOOKUP(TRUE,ISNUMBER(SEARCH(" "&amp;Municipality[Municipality]&amp;"n ",H_unit[[#This Row],[Info string]])),Municipality[Municipality],""))</f>
        <v/>
      </c>
      <c r="L617" s="246" t="s">
        <v>2577</v>
      </c>
      <c r="M617" s="244" t="s">
        <v>2918</v>
      </c>
      <c r="N617" s="246" t="str">
        <f>_xlfn.TEXTJOIN("",TRUE,H_unit[[#This Row],[Exact]],H_unit[[#This Row],[Exact+n]],H_unit[[#This Row],[Copilot]])</f>
        <v>Kauhajoki</v>
      </c>
      <c r="O617" s="246" t="str">
        <f>_xlfn.XLOOKUP(H_unit[[#This Row],[Municipality]],Municipality[Municipality],Municipality[Model],"")</f>
        <v>West</v>
      </c>
      <c r="P617" s="236"/>
    </row>
    <row r="618" spans="1:16">
      <c r="A618" s="238" t="s">
        <v>2241</v>
      </c>
      <c r="B618" s="238" t="s">
        <v>2242</v>
      </c>
      <c r="C618" s="240" t="str" cm="1">
        <f t="array" ref="C618">" "&amp;LOWER(_xlfn.REDUCE(H_unit[[#This Row],[Company]]&amp;" "&amp;H_unit[[#This Row],[Unit]],{",",".","(",")","/"},_xlfn.LAMBDA(_xlpm.txt,_xlpm.delim,SUBSTITUTE(_xlpm.txt,_xlpm.delim," "))))&amp;" "</f>
        <v xml:space="preserve"> vierumäen infra oy huoltokeskus </v>
      </c>
      <c r="D618" s="242">
        <v>2017</v>
      </c>
      <c r="E618" s="243">
        <v>3.6</v>
      </c>
      <c r="F618" s="243"/>
      <c r="G618" s="247"/>
      <c r="H618" s="267" t="s">
        <v>1458</v>
      </c>
      <c r="I618" s="248" t="s">
        <v>1141</v>
      </c>
      <c r="J618" s="246" t="str" cm="1">
        <f t="array" ref="J618">_xlfn.XLOOKUP(TRUE,ISNUMBER(SEARCH(" "&amp;Municipality[Municipality]&amp;" ",H_unit[[#This Row],[Info string]])),Municipality[Municipality],"")</f>
        <v/>
      </c>
      <c r="K618" s="246" t="str" cm="1">
        <f t="array" ref="K618">IF(H_unit[[#This Row],[Exact]]&lt;&gt;"","",_xlfn.XLOOKUP(TRUE,ISNUMBER(SEARCH(" "&amp;Municipality[Municipality]&amp;"n ",H_unit[[#This Row],[Info string]])),Municipality[Municipality],""))</f>
        <v/>
      </c>
      <c r="L618" s="246"/>
      <c r="M618" s="244"/>
      <c r="N618" s="246" t="str">
        <f>_xlfn.TEXTJOIN("",TRUE,H_unit[[#This Row],[Exact]],H_unit[[#This Row],[Exact+n]],H_unit[[#This Row],[Copilot]])</f>
        <v/>
      </c>
      <c r="O618" s="246" t="str">
        <f>_xlfn.XLOOKUP(H_unit[[#This Row],[Municipality]],Municipality[Municipality],Municipality[Model],"")</f>
        <v/>
      </c>
      <c r="P618" s="236"/>
    </row>
    <row r="619" spans="1:16">
      <c r="A619" s="238" t="s">
        <v>1806</v>
      </c>
      <c r="B619" s="238" t="s">
        <v>1809</v>
      </c>
      <c r="C619" s="240" t="str" cm="1">
        <f t="array" ref="C619">" "&amp;LOWER(_xlfn.REDUCE(H_unit[[#This Row],[Company]]&amp;" "&amp;H_unit[[#This Row],[Unit]],{",",".","(",")","/"},_xlfn.LAMBDA(_xlpm.txt,_xlpm.delim,SUBSTITUTE(_xlpm.txt,_xlpm.delim," "))))&amp;" "</f>
        <v xml:space="preserve"> liedon lämpö oy avanti </v>
      </c>
      <c r="D619" s="242" t="s">
        <v>1448</v>
      </c>
      <c r="E619" s="243">
        <v>3.6</v>
      </c>
      <c r="F619" s="243"/>
      <c r="G619" s="247"/>
      <c r="H619" s="267" t="s">
        <v>1430</v>
      </c>
      <c r="I619" s="248" t="s">
        <v>1141</v>
      </c>
      <c r="J619" s="246" t="str" cm="1">
        <f t="array" ref="J619">_xlfn.XLOOKUP(TRUE,ISNUMBER(SEARCH(" "&amp;Municipality[Municipality]&amp;" ",H_unit[[#This Row],[Info string]])),Municipality[Municipality],"")</f>
        <v/>
      </c>
      <c r="K619" s="246" t="str" cm="1">
        <f t="array" ref="K619">IF(H_unit[[#This Row],[Exact]]&lt;&gt;"","",_xlfn.XLOOKUP(TRUE,ISNUMBER(SEARCH(" "&amp;Municipality[Municipality]&amp;"n ",H_unit[[#This Row],[Info string]])),Municipality[Municipality],""))</f>
        <v/>
      </c>
      <c r="L619" s="246" t="s">
        <v>2661</v>
      </c>
      <c r="M619" s="244" t="s">
        <v>2909</v>
      </c>
      <c r="N619" s="246" t="str">
        <f>_xlfn.TEXTJOIN("",TRUE,H_unit[[#This Row],[Exact]],H_unit[[#This Row],[Exact+n]],H_unit[[#This Row],[Copilot]])</f>
        <v>Lieto</v>
      </c>
      <c r="O619" s="246" t="str">
        <f>_xlfn.XLOOKUP(H_unit[[#This Row],[Municipality]],Municipality[Municipality],Municipality[Model],"")</f>
        <v>South West</v>
      </c>
      <c r="P619" s="236"/>
    </row>
    <row r="620" spans="1:16">
      <c r="A620" s="238" t="s">
        <v>1511</v>
      </c>
      <c r="B620" s="238" t="s">
        <v>1512</v>
      </c>
      <c r="C620" s="240" t="str" cm="1">
        <f t="array" ref="C620">" "&amp;LOWER(_xlfn.REDUCE(H_unit[[#This Row],[Company]]&amp;" "&amp;H_unit[[#This Row],[Unit]],{",",".","(",")","/"},_xlfn.LAMBDA(_xlpm.txt,_xlpm.delim,SUBSTITUTE(_xlpm.txt,_xlpm.delim," "))))&amp;" "</f>
        <v xml:space="preserve"> haminan kaukolämpö oy ruissalo </v>
      </c>
      <c r="D620" s="242">
        <v>1977</v>
      </c>
      <c r="E620" s="243">
        <v>3.5</v>
      </c>
      <c r="F620" s="243"/>
      <c r="G620" s="247"/>
      <c r="H620" s="267" t="s">
        <v>1453</v>
      </c>
      <c r="I620" s="248" t="s">
        <v>1142</v>
      </c>
      <c r="J620" s="246" t="str" cm="1">
        <f t="array" ref="J620">_xlfn.XLOOKUP(TRUE,ISNUMBER(SEARCH(" "&amp;Municipality[Municipality]&amp;" ",H_unit[[#This Row],[Info string]])),Municipality[Municipality],"")</f>
        <v/>
      </c>
      <c r="K620" s="246" t="str" cm="1">
        <f t="array" ref="K620">IF(H_unit[[#This Row],[Exact]]&lt;&gt;"","",_xlfn.XLOOKUP(TRUE,ISNUMBER(SEARCH(" "&amp;Municipality[Municipality]&amp;"n ",H_unit[[#This Row],[Info string]])),Municipality[Municipality],""))</f>
        <v>Hamina</v>
      </c>
      <c r="L620" s="246"/>
      <c r="M620" s="244"/>
      <c r="N620" s="246" t="str">
        <f>_xlfn.TEXTJOIN("",TRUE,H_unit[[#This Row],[Exact]],H_unit[[#This Row],[Exact+n]],H_unit[[#This Row],[Copilot]])</f>
        <v>Hamina</v>
      </c>
      <c r="O620" s="246" t="str">
        <f>_xlfn.XLOOKUP(H_unit[[#This Row],[Municipality]],Municipality[Municipality],Municipality[Model],"")</f>
        <v>South East</v>
      </c>
      <c r="P620" s="236"/>
    </row>
    <row r="621" spans="1:16">
      <c r="A621" s="238" t="s">
        <v>1961</v>
      </c>
      <c r="B621" s="238" t="s">
        <v>1962</v>
      </c>
      <c r="C621" s="240" t="str" cm="1">
        <f t="array" ref="C621">" "&amp;LOWER(_xlfn.REDUCE(H_unit[[#This Row],[Company]]&amp;" "&amp;H_unit[[#This Row],[Unit]],{",",".","(",")","/"},_xlfn.LAMBDA(_xlpm.txt,_xlpm.delim,SUBSTITUTE(_xlpm.txt,_xlpm.delim," "))))&amp;" "</f>
        <v xml:space="preserve"> nivalan kaukolämpö oy kyläoja </v>
      </c>
      <c r="D621" s="242">
        <v>1978</v>
      </c>
      <c r="E621" s="243">
        <v>3.5</v>
      </c>
      <c r="F621" s="243"/>
      <c r="G621" s="247"/>
      <c r="H621" s="267" t="s">
        <v>1430</v>
      </c>
      <c r="I621" s="248" t="s">
        <v>1141</v>
      </c>
      <c r="J621" s="246" t="str" cm="1">
        <f t="array" ref="J621">_xlfn.XLOOKUP(TRUE,ISNUMBER(SEARCH(" "&amp;Municipality[Municipality]&amp;" ",H_unit[[#This Row],[Info string]])),Municipality[Municipality],"")</f>
        <v/>
      </c>
      <c r="K621" s="246" t="str" cm="1">
        <f t="array" ref="K621">IF(H_unit[[#This Row],[Exact]]&lt;&gt;"","",_xlfn.XLOOKUP(TRUE,ISNUMBER(SEARCH(" "&amp;Municipality[Municipality]&amp;"n ",H_unit[[#This Row],[Info string]])),Municipality[Municipality],""))</f>
        <v>Nivala</v>
      </c>
      <c r="L621" s="246"/>
      <c r="M621" s="244"/>
      <c r="N621" s="246" t="str">
        <f>_xlfn.TEXTJOIN("",TRUE,H_unit[[#This Row],[Exact]],H_unit[[#This Row],[Exact+n]],H_unit[[#This Row],[Copilot]])</f>
        <v>Nivala</v>
      </c>
      <c r="O621" s="246" t="str">
        <f>_xlfn.XLOOKUP(H_unit[[#This Row],[Municipality]],Municipality[Municipality],Municipality[Model],"")</f>
        <v>North</v>
      </c>
      <c r="P621" s="236"/>
    </row>
    <row r="622" spans="1:16">
      <c r="A622" s="238" t="s">
        <v>1954</v>
      </c>
      <c r="B622" s="238" t="s">
        <v>1956</v>
      </c>
      <c r="C622" s="240" t="str" cm="1">
        <f t="array" ref="C622">" "&amp;LOWER(_xlfn.REDUCE(H_unit[[#This Row],[Company]]&amp;" "&amp;H_unit[[#This Row],[Unit]],{",",".","(",")","/"},_xlfn.LAMBDA(_xlpm.txt,_xlpm.delim,SUBSTITUTE(_xlpm.txt,_xlpm.delim," "))))&amp;" "</f>
        <v xml:space="preserve"> nevel oy  utajärvi utajärvi kpa </v>
      </c>
      <c r="D622" s="242">
        <v>2002</v>
      </c>
      <c r="E622" s="243">
        <v>3.5</v>
      </c>
      <c r="F622" s="243"/>
      <c r="G622" s="247"/>
      <c r="H622" s="267" t="s">
        <v>1423</v>
      </c>
      <c r="I622" s="248" t="s">
        <v>1143</v>
      </c>
      <c r="J622" s="246" t="str" cm="1">
        <f t="array" ref="J622">_xlfn.XLOOKUP(TRUE,ISNUMBER(SEARCH(" "&amp;Municipality[Municipality]&amp;" ",H_unit[[#This Row],[Info string]])),Municipality[Municipality],"")</f>
        <v>Utajärvi</v>
      </c>
      <c r="K622" s="246" t="str" cm="1">
        <f t="array" ref="K622">IF(H_unit[[#This Row],[Exact]]&lt;&gt;"","",_xlfn.XLOOKUP(TRUE,ISNUMBER(SEARCH(" "&amp;Municipality[Municipality]&amp;"n ",H_unit[[#This Row],[Info string]])),Municipality[Municipality],""))</f>
        <v/>
      </c>
      <c r="L622" s="246"/>
      <c r="M622" s="244"/>
      <c r="N622" s="246" t="str">
        <f>_xlfn.TEXTJOIN("",TRUE,H_unit[[#This Row],[Exact]],H_unit[[#This Row],[Exact+n]],H_unit[[#This Row],[Copilot]])</f>
        <v>Utajärvi</v>
      </c>
      <c r="O622" s="246" t="str">
        <f>_xlfn.XLOOKUP(H_unit[[#This Row],[Municipality]],Municipality[Municipality],Municipality[Model],"")</f>
        <v>North</v>
      </c>
      <c r="P622" s="236"/>
    </row>
    <row r="623" spans="1:16">
      <c r="A623" s="238" t="s">
        <v>1697</v>
      </c>
      <c r="B623" s="238" t="s">
        <v>1705</v>
      </c>
      <c r="C623" s="240" t="str" cm="1">
        <f t="array" ref="C623">" "&amp;LOWER(_xlfn.REDUCE(H_unit[[#This Row],[Company]]&amp;" "&amp;H_unit[[#This Row],[Unit]],{",",".","(",")","/"},_xlfn.LAMBDA(_xlpm.txt,_xlpm.delim,SUBSTITUTE(_xlpm.txt,_xlpm.delim," "))))&amp;" "</f>
        <v xml:space="preserve"> kurikan energia oy koulukeskus  ilmajoki </v>
      </c>
      <c r="D623" s="242">
        <v>2004</v>
      </c>
      <c r="E623" s="243">
        <v>3.5</v>
      </c>
      <c r="F623" s="243"/>
      <c r="G623" s="247"/>
      <c r="H623" s="267" t="s">
        <v>1430</v>
      </c>
      <c r="I623" s="248" t="s">
        <v>1141</v>
      </c>
      <c r="J623" s="246" t="str" cm="1">
        <f t="array" ref="J623">_xlfn.XLOOKUP(TRUE,ISNUMBER(SEARCH(" "&amp;Municipality[Municipality]&amp;" ",H_unit[[#This Row],[Info string]])),Municipality[Municipality],"")</f>
        <v>Ilmajoki</v>
      </c>
      <c r="K623" s="246" t="str" cm="1">
        <f t="array" ref="K623">IF(H_unit[[#This Row],[Exact]]&lt;&gt;"","",_xlfn.XLOOKUP(TRUE,ISNUMBER(SEARCH(" "&amp;Municipality[Municipality]&amp;"n ",H_unit[[#This Row],[Info string]])),Municipality[Municipality],""))</f>
        <v/>
      </c>
      <c r="L623" s="246"/>
      <c r="M623" s="244"/>
      <c r="N623" s="246" t="str">
        <f>_xlfn.TEXTJOIN("",TRUE,H_unit[[#This Row],[Exact]],H_unit[[#This Row],[Exact+n]],H_unit[[#This Row],[Copilot]])</f>
        <v>Ilmajoki</v>
      </c>
      <c r="O623" s="246" t="str">
        <f>_xlfn.XLOOKUP(H_unit[[#This Row],[Municipality]],Municipality[Municipality],Municipality[Model],"")</f>
        <v>West</v>
      </c>
      <c r="P623" s="236"/>
    </row>
    <row r="624" spans="1:16">
      <c r="A624" s="238" t="s">
        <v>2141</v>
      </c>
      <c r="B624" s="238" t="s">
        <v>2142</v>
      </c>
      <c r="C624" s="240" t="str" cm="1">
        <f t="array" ref="C624">" "&amp;LOWER(_xlfn.REDUCE(H_unit[[#This Row],[Company]]&amp;" "&amp;H_unit[[#This Row],[Unit]],{",",".","(",")","/"},_xlfn.LAMBDA(_xlpm.txt,_xlpm.delim,SUBSTITUTE(_xlpm.txt,_xlpm.delim," "))))&amp;" "</f>
        <v xml:space="preserve"> savon voima oyj  lapinlahti lk 100  suoniementie </v>
      </c>
      <c r="D624" s="242">
        <v>2006</v>
      </c>
      <c r="E624" s="243">
        <v>3.5</v>
      </c>
      <c r="F624" s="243"/>
      <c r="G624" s="247"/>
      <c r="H624" s="267" t="s">
        <v>1423</v>
      </c>
      <c r="I624" s="248" t="s">
        <v>1143</v>
      </c>
      <c r="J624" s="246" t="str" cm="1">
        <f t="array" ref="J624">_xlfn.XLOOKUP(TRUE,ISNUMBER(SEARCH(" "&amp;Municipality[Municipality]&amp;" ",H_unit[[#This Row],[Info string]])),Municipality[Municipality],"")</f>
        <v>Lapinlahti</v>
      </c>
      <c r="K624" s="246" t="str" cm="1">
        <f t="array" ref="K624">IF(H_unit[[#This Row],[Exact]]&lt;&gt;"","",_xlfn.XLOOKUP(TRUE,ISNUMBER(SEARCH(" "&amp;Municipality[Municipality]&amp;"n ",H_unit[[#This Row],[Info string]])),Municipality[Municipality],""))</f>
        <v/>
      </c>
      <c r="L624" s="246"/>
      <c r="M624" s="244"/>
      <c r="N624" s="246" t="str">
        <f>_xlfn.TEXTJOIN("",TRUE,H_unit[[#This Row],[Exact]],H_unit[[#This Row],[Exact+n]],H_unit[[#This Row],[Copilot]])</f>
        <v>Lapinlahti</v>
      </c>
      <c r="O624" s="246" t="str">
        <f>_xlfn.XLOOKUP(H_unit[[#This Row],[Municipality]],Municipality[Municipality],Municipality[Model],"")</f>
        <v>East</v>
      </c>
      <c r="P624" s="236"/>
    </row>
    <row r="625" spans="1:16">
      <c r="A625" s="238" t="s">
        <v>1927</v>
      </c>
      <c r="B625" s="238" t="s">
        <v>1928</v>
      </c>
      <c r="C625" s="240" t="str" cm="1">
        <f t="array" ref="C625">" "&amp;LOWER(_xlfn.REDUCE(H_unit[[#This Row],[Company]]&amp;" "&amp;H_unit[[#This Row],[Unit]],{",",".","(",")","/"},_xlfn.LAMBDA(_xlpm.txt,_xlpm.delim,SUBSTITUTE(_xlpm.txt,_xlpm.delim," "))))&amp;" "</f>
        <v xml:space="preserve"> nevel oy  mynämäki mynämäki pelletti </v>
      </c>
      <c r="D625" s="242">
        <v>2008</v>
      </c>
      <c r="E625" s="243">
        <v>3.5</v>
      </c>
      <c r="F625" s="243"/>
      <c r="G625" s="247"/>
      <c r="H625" s="267" t="s">
        <v>1436</v>
      </c>
      <c r="I625" s="248" t="s">
        <v>1143</v>
      </c>
      <c r="J625" s="246" t="str" cm="1">
        <f t="array" ref="J625">_xlfn.XLOOKUP(TRUE,ISNUMBER(SEARCH(" "&amp;Municipality[Municipality]&amp;" ",H_unit[[#This Row],[Info string]])),Municipality[Municipality],"")</f>
        <v>Mynämäki</v>
      </c>
      <c r="K625" s="246" t="str" cm="1">
        <f t="array" ref="K625">IF(H_unit[[#This Row],[Exact]]&lt;&gt;"","",_xlfn.XLOOKUP(TRUE,ISNUMBER(SEARCH(" "&amp;Municipality[Municipality]&amp;"n ",H_unit[[#This Row],[Info string]])),Municipality[Municipality],""))</f>
        <v/>
      </c>
      <c r="L625" s="246"/>
      <c r="M625" s="244"/>
      <c r="N625" s="246" t="str">
        <f>_xlfn.TEXTJOIN("",TRUE,H_unit[[#This Row],[Exact]],H_unit[[#This Row],[Exact+n]],H_unit[[#This Row],[Copilot]])</f>
        <v>Mynämäki</v>
      </c>
      <c r="O625" s="246" t="str">
        <f>_xlfn.XLOOKUP(H_unit[[#This Row],[Municipality]],Municipality[Municipality],Municipality[Model],"")</f>
        <v>South West</v>
      </c>
      <c r="P625" s="236"/>
    </row>
    <row r="626" spans="1:16">
      <c r="A626" s="238" t="s">
        <v>1599</v>
      </c>
      <c r="B626" s="238" t="s">
        <v>1603</v>
      </c>
      <c r="C626" s="240" t="str" cm="1">
        <f t="array" ref="C626">" "&amp;LOWER(_xlfn.REDUCE(H_unit[[#This Row],[Company]]&amp;" "&amp;H_unit[[#This Row],[Unit]],{",",".","(",")","/"},_xlfn.LAMBDA(_xlpm.txt,_xlpm.delim,SUBSTITUTE(_xlpm.txt,_xlpm.delim," "))))&amp;" "</f>
        <v xml:space="preserve"> kemijärven lämpö ja vesi oy suomu </v>
      </c>
      <c r="D626" s="242">
        <v>2010</v>
      </c>
      <c r="E626" s="243">
        <v>3.5</v>
      </c>
      <c r="F626" s="243"/>
      <c r="G626" s="247"/>
      <c r="H626" s="267" t="s">
        <v>1439</v>
      </c>
      <c r="I626" s="248" t="s">
        <v>1143</v>
      </c>
      <c r="J626" s="246" t="str" cm="1">
        <f t="array" ref="J626">_xlfn.XLOOKUP(TRUE,ISNUMBER(SEARCH(" "&amp;Municipality[Municipality]&amp;" ",H_unit[[#This Row],[Info string]])),Municipality[Municipality],"")</f>
        <v/>
      </c>
      <c r="K626" s="246" t="str" cm="1">
        <f t="array" ref="K626">IF(H_unit[[#This Row],[Exact]]&lt;&gt;"","",_xlfn.XLOOKUP(TRUE,ISNUMBER(SEARCH(" "&amp;Municipality[Municipality]&amp;"n ",H_unit[[#This Row],[Info string]])),Municipality[Municipality],""))</f>
        <v/>
      </c>
      <c r="L626" s="246" t="s">
        <v>1044</v>
      </c>
      <c r="M626" s="244" t="s">
        <v>2898</v>
      </c>
      <c r="N626" s="246" t="str">
        <f>_xlfn.TEXTJOIN("",TRUE,H_unit[[#This Row],[Exact]],H_unit[[#This Row],[Exact+n]],H_unit[[#This Row],[Copilot]])</f>
        <v>Kemijärvi</v>
      </c>
      <c r="O626" s="246" t="str">
        <f>_xlfn.XLOOKUP(H_unit[[#This Row],[Municipality]],Municipality[Municipality],Municipality[Model],"")</f>
        <v>North</v>
      </c>
      <c r="P626" s="236"/>
    </row>
    <row r="627" spans="1:16">
      <c r="A627" s="238" t="s">
        <v>1587</v>
      </c>
      <c r="B627" s="238" t="s">
        <v>1591</v>
      </c>
      <c r="C627" s="240" t="str" cm="1">
        <f t="array" ref="C627">" "&amp;LOWER(_xlfn.REDUCE(H_unit[[#This Row],[Company]]&amp;" "&amp;H_unit[[#This Row],[Unit]],{",",".","(",")","/"},_xlfn.LAMBDA(_xlpm.txt,_xlpm.delim,SUBSTITUTE(_xlpm.txt,_xlpm.delim," "))))&amp;" "</f>
        <v xml:space="preserve"> kauhavan kaukolämpö oy ylihärmä </v>
      </c>
      <c r="D627" s="242">
        <v>2013</v>
      </c>
      <c r="E627" s="243">
        <v>3.5</v>
      </c>
      <c r="F627" s="243"/>
      <c r="G627" s="247"/>
      <c r="H627" s="267" t="s">
        <v>1428</v>
      </c>
      <c r="I627" s="248" t="s">
        <v>1143</v>
      </c>
      <c r="J627" s="246" t="str" cm="1">
        <f t="array" ref="J627">_xlfn.XLOOKUP(TRUE,ISNUMBER(SEARCH(" "&amp;Municipality[Municipality]&amp;" ",H_unit[[#This Row],[Info string]])),Municipality[Municipality],"")</f>
        <v>Ylihärmä</v>
      </c>
      <c r="K627" s="246" t="str" cm="1">
        <f t="array" ref="K627">IF(H_unit[[#This Row],[Exact]]&lt;&gt;"","",_xlfn.XLOOKUP(TRUE,ISNUMBER(SEARCH(" "&amp;Municipality[Municipality]&amp;"n ",H_unit[[#This Row],[Info string]])),Municipality[Municipality],""))</f>
        <v/>
      </c>
      <c r="L627" s="246"/>
      <c r="M627" s="244"/>
      <c r="N627" s="246" t="str">
        <f>_xlfn.TEXTJOIN("",TRUE,H_unit[[#This Row],[Exact]],H_unit[[#This Row],[Exact+n]],H_unit[[#This Row],[Copilot]])</f>
        <v>Ylihärmä</v>
      </c>
      <c r="O627" s="246" t="str">
        <f>_xlfn.XLOOKUP(H_unit[[#This Row],[Municipality]],Municipality[Municipality],Municipality[Model],"")</f>
        <v>West</v>
      </c>
      <c r="P627" s="236"/>
    </row>
    <row r="628" spans="1:16">
      <c r="A628" s="238" t="s">
        <v>2359</v>
      </c>
      <c r="B628" s="238" t="s">
        <v>2360</v>
      </c>
      <c r="C628" s="240" t="str" cm="1">
        <f t="array" ref="C628">" "&amp;LOWER(_xlfn.REDUCE(H_unit[[#This Row],[Company]]&amp;" "&amp;H_unit[[#This Row],[Unit]],{",",".","(",")","/"},_xlfn.LAMBDA(_xlpm.txt,_xlpm.delim,SUBSTITUTE(_xlpm.txt,_xlpm.delim," "))))&amp;" "</f>
        <v xml:space="preserve"> nordkalk oy ab  lohja nordkalk  lämmönvaihtimet </v>
      </c>
      <c r="D628" s="242">
        <v>2015</v>
      </c>
      <c r="E628" s="243">
        <v>3.5</v>
      </c>
      <c r="F628" s="243"/>
      <c r="G628" s="247"/>
      <c r="H628" s="267" t="s">
        <v>2273</v>
      </c>
      <c r="I628" s="248" t="s">
        <v>1443</v>
      </c>
      <c r="J628" s="246" t="str" cm="1">
        <f t="array" ref="J628">_xlfn.XLOOKUP(TRUE,ISNUMBER(SEARCH(" "&amp;Municipality[Municipality]&amp;" ",H_unit[[#This Row],[Info string]])),Municipality[Municipality],"")</f>
        <v>Lohja</v>
      </c>
      <c r="K628" s="246" t="str" cm="1">
        <f t="array" ref="K628">IF(H_unit[[#This Row],[Exact]]&lt;&gt;"","",_xlfn.XLOOKUP(TRUE,ISNUMBER(SEARCH(" "&amp;Municipality[Municipality]&amp;"n ",H_unit[[#This Row],[Info string]])),Municipality[Municipality],""))</f>
        <v/>
      </c>
      <c r="L628" s="246"/>
      <c r="M628" s="244"/>
      <c r="N628" s="246" t="str">
        <f>_xlfn.TEXTJOIN("",TRUE,H_unit[[#This Row],[Exact]],H_unit[[#This Row],[Exact+n]],H_unit[[#This Row],[Copilot]])</f>
        <v>Lohja</v>
      </c>
      <c r="O628" s="246" t="str">
        <f>_xlfn.XLOOKUP(H_unit[[#This Row],[Municipality]],Municipality[Municipality],Municipality[Model],"")</f>
        <v>Uusimaa</v>
      </c>
      <c r="P628" s="236"/>
    </row>
    <row r="629" spans="1:16">
      <c r="A629" s="238" t="s">
        <v>1934</v>
      </c>
      <c r="B629" s="238" t="s">
        <v>1936</v>
      </c>
      <c r="C629" s="240" t="str" cm="1">
        <f t="array" ref="C629">" "&amp;LOWER(_xlfn.REDUCE(H_unit[[#This Row],[Company]]&amp;" "&amp;H_unit[[#This Row],[Unit]],{",",".","(",")","/"},_xlfn.LAMBDA(_xlpm.txt,_xlpm.delim,SUBSTITUTE(_xlpm.txt,_xlpm.delim," "))))&amp;" "</f>
        <v xml:space="preserve"> nevel oy  ruovesi ruovesi kpa </v>
      </c>
      <c r="D629" s="242">
        <v>2019</v>
      </c>
      <c r="E629" s="243">
        <v>3.5</v>
      </c>
      <c r="F629" s="243"/>
      <c r="G629" s="247"/>
      <c r="H629" s="267" t="s">
        <v>1423</v>
      </c>
      <c r="I629" s="248" t="s">
        <v>1143</v>
      </c>
      <c r="J629" s="246" t="str" cm="1">
        <f t="array" ref="J629">_xlfn.XLOOKUP(TRUE,ISNUMBER(SEARCH(" "&amp;Municipality[Municipality]&amp;" ",H_unit[[#This Row],[Info string]])),Municipality[Municipality],"")</f>
        <v>Ruovesi</v>
      </c>
      <c r="K629" s="246" t="str" cm="1">
        <f t="array" ref="K629">IF(H_unit[[#This Row],[Exact]]&lt;&gt;"","",_xlfn.XLOOKUP(TRUE,ISNUMBER(SEARCH(" "&amp;Municipality[Municipality]&amp;"n ",H_unit[[#This Row],[Info string]])),Municipality[Municipality],""))</f>
        <v/>
      </c>
      <c r="L629" s="246"/>
      <c r="M629" s="244"/>
      <c r="N629" s="246" t="str">
        <f>_xlfn.TEXTJOIN("",TRUE,H_unit[[#This Row],[Exact]],H_unit[[#This Row],[Exact+n]],H_unit[[#This Row],[Copilot]])</f>
        <v>Ruovesi</v>
      </c>
      <c r="O629" s="246" t="str">
        <f>_xlfn.XLOOKUP(H_unit[[#This Row],[Municipality]],Municipality[Municipality],Municipality[Model],"")</f>
        <v>Center</v>
      </c>
      <c r="P629" s="236"/>
    </row>
    <row r="630" spans="1:16">
      <c r="A630" s="238" t="s">
        <v>1931</v>
      </c>
      <c r="B630" s="238" t="s">
        <v>1932</v>
      </c>
      <c r="C630" s="240" t="str" cm="1">
        <f t="array" ref="C630">" "&amp;LOWER(_xlfn.REDUCE(H_unit[[#This Row],[Company]]&amp;" "&amp;H_unit[[#This Row],[Unit]],{",",".","(",")","/"},_xlfn.LAMBDA(_xlpm.txt,_xlpm.delim,SUBSTITUTE(_xlpm.txt,_xlpm.delim," "))))&amp;" "</f>
        <v xml:space="preserve"> nevel oy  petäjävesi kpa </v>
      </c>
      <c r="D630" s="242" t="s">
        <v>1417</v>
      </c>
      <c r="E630" s="243">
        <v>3.5</v>
      </c>
      <c r="F630" s="243"/>
      <c r="G630" s="247"/>
      <c r="H630" s="267" t="s">
        <v>1423</v>
      </c>
      <c r="I630" s="248" t="s">
        <v>1143</v>
      </c>
      <c r="J630" s="246" t="str" cm="1">
        <f t="array" ref="J630">_xlfn.XLOOKUP(TRUE,ISNUMBER(SEARCH(" "&amp;Municipality[Municipality]&amp;" ",H_unit[[#This Row],[Info string]])),Municipality[Municipality],"")</f>
        <v>Petäjävesi</v>
      </c>
      <c r="K630" s="246" t="str" cm="1">
        <f t="array" ref="K630">IF(H_unit[[#This Row],[Exact]]&lt;&gt;"","",_xlfn.XLOOKUP(TRUE,ISNUMBER(SEARCH(" "&amp;Municipality[Municipality]&amp;"n ",H_unit[[#This Row],[Info string]])),Municipality[Municipality],""))</f>
        <v/>
      </c>
      <c r="L630" s="246"/>
      <c r="M630" s="244"/>
      <c r="N630" s="246" t="str">
        <f>_xlfn.TEXTJOIN("",TRUE,H_unit[[#This Row],[Exact]],H_unit[[#This Row],[Exact+n]],H_unit[[#This Row],[Copilot]])</f>
        <v>Petäjävesi</v>
      </c>
      <c r="O630" s="246" t="str">
        <f>_xlfn.XLOOKUP(H_unit[[#This Row],[Municipality]],Municipality[Municipality],Municipality[Model],"")</f>
        <v>Center</v>
      </c>
      <c r="P630" s="236"/>
    </row>
    <row r="631" spans="1:16">
      <c r="A631" s="238" t="s">
        <v>2361</v>
      </c>
      <c r="B631" s="238" t="s">
        <v>2362</v>
      </c>
      <c r="C631" s="240" t="str" cm="1">
        <f t="array" ref="C631">" "&amp;LOWER(_xlfn.REDUCE(H_unit[[#This Row],[Company]]&amp;" "&amp;H_unit[[#This Row],[Unit]],{",",".","(",")","/"},_xlfn.LAMBDA(_xlpm.txt,_xlpm.delim,SUBSTITUTE(_xlpm.txt,_xlpm.delim," "))))&amp;" "</f>
        <v xml:space="preserve"> nordkalk oy  parainen nordkalk </v>
      </c>
      <c r="D631" s="242" t="s">
        <v>1448</v>
      </c>
      <c r="E631" s="243">
        <v>3.5</v>
      </c>
      <c r="F631" s="243"/>
      <c r="G631" s="247"/>
      <c r="H631" s="267" t="s">
        <v>2273</v>
      </c>
      <c r="I631" s="248" t="s">
        <v>1443</v>
      </c>
      <c r="J631" s="246" t="str" cm="1">
        <f t="array" ref="J631">_xlfn.XLOOKUP(TRUE,ISNUMBER(SEARCH(" "&amp;Municipality[Municipality]&amp;" ",H_unit[[#This Row],[Info string]])),Municipality[Municipality],"")</f>
        <v>Parainen</v>
      </c>
      <c r="K631" s="246" t="str" cm="1">
        <f t="array" ref="K631">IF(H_unit[[#This Row],[Exact]]&lt;&gt;"","",_xlfn.XLOOKUP(TRUE,ISNUMBER(SEARCH(" "&amp;Municipality[Municipality]&amp;"n ",H_unit[[#This Row],[Info string]])),Municipality[Municipality],""))</f>
        <v/>
      </c>
      <c r="L631" s="246"/>
      <c r="M631" s="244"/>
      <c r="N631" s="246" t="str">
        <f>_xlfn.TEXTJOIN("",TRUE,H_unit[[#This Row],[Exact]],H_unit[[#This Row],[Exact+n]],H_unit[[#This Row],[Copilot]])</f>
        <v>Parainen</v>
      </c>
      <c r="O631" s="246" t="str">
        <f>_xlfn.XLOOKUP(H_unit[[#This Row],[Municipality]],Municipality[Municipality],Municipality[Model],"")</f>
        <v>South West</v>
      </c>
      <c r="P631" s="236"/>
    </row>
    <row r="632" spans="1:16">
      <c r="A632" s="238" t="s">
        <v>2154</v>
      </c>
      <c r="B632" s="238" t="s">
        <v>2155</v>
      </c>
      <c r="C632" s="240" t="str" cm="1">
        <f t="array" ref="C632">" "&amp;LOWER(_xlfn.REDUCE(H_unit[[#This Row],[Company]]&amp;" "&amp;H_unit[[#This Row],[Unit]],{",",".","(",")","/"},_xlfn.LAMBDA(_xlpm.txt,_xlpm.delim,SUBSTITUTE(_xlpm.txt,_xlpm.delim," "))))&amp;" "</f>
        <v xml:space="preserve"> savon voima oyj  rautalampi lk19  kellokuja </v>
      </c>
      <c r="D632" s="242">
        <v>1980</v>
      </c>
      <c r="E632" s="243">
        <v>3.4</v>
      </c>
      <c r="F632" s="243"/>
      <c r="G632" s="247"/>
      <c r="H632" s="267" t="s">
        <v>1430</v>
      </c>
      <c r="I632" s="248" t="s">
        <v>1141</v>
      </c>
      <c r="J632" s="246" t="str" cm="1">
        <f t="array" ref="J632">_xlfn.XLOOKUP(TRUE,ISNUMBER(SEARCH(" "&amp;Municipality[Municipality]&amp;" ",H_unit[[#This Row],[Info string]])),Municipality[Municipality],"")</f>
        <v>Rautalampi</v>
      </c>
      <c r="K632" s="246" t="str" cm="1">
        <f t="array" ref="K632">IF(H_unit[[#This Row],[Exact]]&lt;&gt;"","",_xlfn.XLOOKUP(TRUE,ISNUMBER(SEARCH(" "&amp;Municipality[Municipality]&amp;"n ",H_unit[[#This Row],[Info string]])),Municipality[Municipality],""))</f>
        <v/>
      </c>
      <c r="L632" s="246"/>
      <c r="M632" s="244"/>
      <c r="N632" s="246" t="str">
        <f>_xlfn.TEXTJOIN("",TRUE,H_unit[[#This Row],[Exact]],H_unit[[#This Row],[Exact+n]],H_unit[[#This Row],[Copilot]])</f>
        <v>Rautalampi</v>
      </c>
      <c r="O632" s="246" t="str">
        <f>_xlfn.XLOOKUP(H_unit[[#This Row],[Municipality]],Municipality[Municipality],Municipality[Model],"")</f>
        <v>East</v>
      </c>
      <c r="P632" s="236"/>
    </row>
    <row r="633" spans="1:16">
      <c r="A633" s="238" t="s">
        <v>2005</v>
      </c>
      <c r="B633" s="238" t="s">
        <v>2006</v>
      </c>
      <c r="C633" s="240" t="str" cm="1">
        <f t="array" ref="C633">" "&amp;LOWER(_xlfn.REDUCE(H_unit[[#This Row],[Company]]&amp;" "&amp;H_unit[[#This Row],[Unit]],{",",".","(",")","/"},_xlfn.LAMBDA(_xlpm.txt,_xlpm.delim,SUBSTITUTE(_xlpm.txt,_xlpm.delim," "))))&amp;" "</f>
        <v xml:space="preserve"> otanmäen lämpö oy lämpökuja </v>
      </c>
      <c r="D633" s="242">
        <v>1999</v>
      </c>
      <c r="E633" s="243">
        <v>3.4</v>
      </c>
      <c r="F633" s="243"/>
      <c r="G633" s="247"/>
      <c r="H633" s="267" t="s">
        <v>1423</v>
      </c>
      <c r="I633" s="248" t="s">
        <v>1143</v>
      </c>
      <c r="J633" s="246" t="str" cm="1">
        <f t="array" ref="J633">_xlfn.XLOOKUP(TRUE,ISNUMBER(SEARCH(" "&amp;Municipality[Municipality]&amp;" ",H_unit[[#This Row],[Info string]])),Municipality[Municipality],"")</f>
        <v/>
      </c>
      <c r="K633" s="246" t="str" cm="1">
        <f t="array" ref="K633">IF(H_unit[[#This Row],[Exact]]&lt;&gt;"","",_xlfn.XLOOKUP(TRUE,ISNUMBER(SEARCH(" "&amp;Municipality[Municipality]&amp;"n ",H_unit[[#This Row],[Info string]])),Municipality[Municipality],""))</f>
        <v/>
      </c>
      <c r="L633" s="246"/>
      <c r="M633" s="244"/>
      <c r="N633" s="246" t="str">
        <f>_xlfn.TEXTJOIN("",TRUE,H_unit[[#This Row],[Exact]],H_unit[[#This Row],[Exact+n]],H_unit[[#This Row],[Copilot]])</f>
        <v/>
      </c>
      <c r="O633" s="246" t="str">
        <f>_xlfn.XLOOKUP(H_unit[[#This Row],[Municipality]],Municipality[Municipality],Municipality[Model],"")</f>
        <v/>
      </c>
      <c r="P633" s="236"/>
    </row>
    <row r="634" spans="1:16">
      <c r="A634" s="238" t="s">
        <v>2299</v>
      </c>
      <c r="B634" s="238" t="s">
        <v>2006</v>
      </c>
      <c r="C634" s="240" t="str" cm="1">
        <f t="array" ref="C634">" "&amp;LOWER(_xlfn.REDUCE(H_unit[[#This Row],[Company]]&amp;" "&amp;H_unit[[#This Row],[Unit]],{",",".","(",")","/"},_xlfn.LAMBDA(_xlpm.txt,_xlpm.delim,SUBSTITUTE(_xlpm.txt,_xlpm.delim," "))))&amp;" "</f>
        <v xml:space="preserve"> kainuun lämpöhuolto oy lämpökuja </v>
      </c>
      <c r="D634" s="242">
        <v>1999</v>
      </c>
      <c r="E634" s="243">
        <v>3.4</v>
      </c>
      <c r="F634" s="243"/>
      <c r="G634" s="247"/>
      <c r="H634" s="267" t="s">
        <v>1423</v>
      </c>
      <c r="I634" s="248" t="s">
        <v>1143</v>
      </c>
      <c r="J634" s="246" t="str" cm="1">
        <f t="array" ref="J634">_xlfn.XLOOKUP(TRUE,ISNUMBER(SEARCH(" "&amp;Municipality[Municipality]&amp;" ",H_unit[[#This Row],[Info string]])),Municipality[Municipality],"")</f>
        <v/>
      </c>
      <c r="K634" s="246" t="str" cm="1">
        <f t="array" ref="K634">IF(H_unit[[#This Row],[Exact]]&lt;&gt;"","",_xlfn.XLOOKUP(TRUE,ISNUMBER(SEARCH(" "&amp;Municipality[Municipality]&amp;"n ",H_unit[[#This Row],[Info string]])),Municipality[Municipality],""))</f>
        <v/>
      </c>
      <c r="L634" s="246"/>
      <c r="M634" s="244"/>
      <c r="N634" s="246" t="str">
        <f>_xlfn.TEXTJOIN("",TRUE,H_unit[[#This Row],[Exact]],H_unit[[#This Row],[Exact+n]],H_unit[[#This Row],[Copilot]])</f>
        <v/>
      </c>
      <c r="O634" s="246" t="str">
        <f>_xlfn.XLOOKUP(H_unit[[#This Row],[Municipality]],Municipality[Municipality],Municipality[Model],"")</f>
        <v/>
      </c>
      <c r="P634" s="236"/>
    </row>
    <row r="635" spans="1:16">
      <c r="A635" s="238" t="s">
        <v>1482</v>
      </c>
      <c r="B635" s="238" t="s">
        <v>1483</v>
      </c>
      <c r="C635" s="240" t="str" cm="1">
        <f t="array" ref="C635">" "&amp;LOWER(_xlfn.REDUCE(H_unit[[#This Row],[Company]]&amp;" "&amp;H_unit[[#This Row],[Unit]],{",",".","(",")","/"},_xlfn.LAMBDA(_xlpm.txt,_xlpm.delim,SUBSTITUTE(_xlpm.txt,_xlpm.delim," "))))&amp;" "</f>
        <v xml:space="preserve"> alajärven lämpö oy alajärvi </v>
      </c>
      <c r="D635" s="242">
        <v>1993</v>
      </c>
      <c r="E635" s="243">
        <v>3.2</v>
      </c>
      <c r="F635" s="243"/>
      <c r="G635" s="247"/>
      <c r="H635" s="267" t="s">
        <v>1430</v>
      </c>
      <c r="I635" s="248" t="s">
        <v>1141</v>
      </c>
      <c r="J635" s="246" t="str" cm="1">
        <f t="array" ref="J635">_xlfn.XLOOKUP(TRUE,ISNUMBER(SEARCH(" "&amp;Municipality[Municipality]&amp;" ",H_unit[[#This Row],[Info string]])),Municipality[Municipality],"")</f>
        <v>Alajärvi</v>
      </c>
      <c r="K635" s="246" t="str" cm="1">
        <f t="array" ref="K635">IF(H_unit[[#This Row],[Exact]]&lt;&gt;"","",_xlfn.XLOOKUP(TRUE,ISNUMBER(SEARCH(" "&amp;Municipality[Municipality]&amp;"n ",H_unit[[#This Row],[Info string]])),Municipality[Municipality],""))</f>
        <v/>
      </c>
      <c r="L635" s="246"/>
      <c r="M635" s="244"/>
      <c r="N635" s="246" t="str">
        <f>_xlfn.TEXTJOIN("",TRUE,H_unit[[#This Row],[Exact]],H_unit[[#This Row],[Exact+n]],H_unit[[#This Row],[Copilot]])</f>
        <v>Alajärvi</v>
      </c>
      <c r="O635" s="246" t="str">
        <f>_xlfn.XLOOKUP(H_unit[[#This Row],[Municipality]],Municipality[Municipality],Municipality[Model],"")</f>
        <v>West</v>
      </c>
      <c r="P635" s="236"/>
    </row>
    <row r="636" spans="1:16">
      <c r="A636" s="238" t="s">
        <v>2223</v>
      </c>
      <c r="B636" s="238" t="s">
        <v>2228</v>
      </c>
      <c r="C636" s="240" t="str" cm="1">
        <f t="array" ref="C636">" "&amp;LOWER(_xlfn.REDUCE(H_unit[[#This Row],[Company]]&amp;" "&amp;H_unit[[#This Row],[Unit]],{",",".","(",")","/"},_xlfn.LAMBDA(_xlpm.txt,_xlpm.delim,SUBSTITUTE(_xlpm.txt,_xlpm.delim," "))))&amp;" "</f>
        <v xml:space="preserve"> varkauden aluelämpö oy a-rehu </v>
      </c>
      <c r="D636" s="242">
        <v>2017</v>
      </c>
      <c r="E636" s="243">
        <v>3.2</v>
      </c>
      <c r="F636" s="243"/>
      <c r="G636" s="247"/>
      <c r="H636" s="267" t="s">
        <v>1958</v>
      </c>
      <c r="I636" s="248" t="s">
        <v>1143</v>
      </c>
      <c r="J636" s="246" t="str" cm="1">
        <f t="array" ref="J636">_xlfn.XLOOKUP(TRUE,ISNUMBER(SEARCH(" "&amp;Municipality[Municipality]&amp;" ",H_unit[[#This Row],[Info string]])),Municipality[Municipality],"")</f>
        <v/>
      </c>
      <c r="K636" s="246" t="str" cm="1">
        <f t="array" ref="K636">IF(H_unit[[#This Row],[Exact]]&lt;&gt;"","",_xlfn.XLOOKUP(TRUE,ISNUMBER(SEARCH(" "&amp;Municipality[Municipality]&amp;"n ",H_unit[[#This Row],[Info string]])),Municipality[Municipality],""))</f>
        <v/>
      </c>
      <c r="L636" s="246" t="s">
        <v>1007</v>
      </c>
      <c r="M636" s="244" t="s">
        <v>2896</v>
      </c>
      <c r="N636" s="246" t="str">
        <f>_xlfn.TEXTJOIN("",TRUE,H_unit[[#This Row],[Exact]],H_unit[[#This Row],[Exact+n]],H_unit[[#This Row],[Copilot]])</f>
        <v>Varkaus</v>
      </c>
      <c r="O636" s="246" t="str">
        <f>_xlfn.XLOOKUP(H_unit[[#This Row],[Municipality]],Municipality[Municipality],Municipality[Model],"")</f>
        <v>East</v>
      </c>
      <c r="P636" s="236"/>
    </row>
    <row r="637" spans="1:16">
      <c r="A637" s="238" t="s">
        <v>2408</v>
      </c>
      <c r="B637" s="238" t="s">
        <v>2409</v>
      </c>
      <c r="C637" s="240" t="str" cm="1">
        <f t="array" ref="C637">" "&amp;LOWER(_xlfn.REDUCE(H_unit[[#This Row],[Company]]&amp;" "&amp;H_unit[[#This Row],[Unit]],{",",".","(",")","/"},_xlfn.LAMBDA(_xlpm.txt,_xlpm.delim,SUBSTITUTE(_xlpm.txt,_xlpm.delim," "))))&amp;" "</f>
        <v xml:space="preserve"> tervakoski oy  janakkala ls-16 </v>
      </c>
      <c r="D637" s="242">
        <v>2017</v>
      </c>
      <c r="E637" s="243">
        <v>3.2</v>
      </c>
      <c r="F637" s="243"/>
      <c r="G637" s="247"/>
      <c r="H637" s="267" t="s">
        <v>1417</v>
      </c>
      <c r="I637" s="248" t="s">
        <v>1443</v>
      </c>
      <c r="J637" s="246" t="str" cm="1">
        <f t="array" ref="J637">_xlfn.XLOOKUP(TRUE,ISNUMBER(SEARCH(" "&amp;Municipality[Municipality]&amp;" ",H_unit[[#This Row],[Info string]])),Municipality[Municipality],"")</f>
        <v>Janakkala</v>
      </c>
      <c r="K637" s="246" t="str" cm="1">
        <f t="array" ref="K637">IF(H_unit[[#This Row],[Exact]]&lt;&gt;"","",_xlfn.XLOOKUP(TRUE,ISNUMBER(SEARCH(" "&amp;Municipality[Municipality]&amp;"n ",H_unit[[#This Row],[Info string]])),Municipality[Municipality],""))</f>
        <v/>
      </c>
      <c r="L637" s="246"/>
      <c r="M637" s="244"/>
      <c r="N637" s="246" t="str">
        <f>_xlfn.TEXTJOIN("",TRUE,H_unit[[#This Row],[Exact]],H_unit[[#This Row],[Exact+n]],H_unit[[#This Row],[Copilot]])</f>
        <v>Janakkala</v>
      </c>
      <c r="O637" s="246" t="str">
        <f>_xlfn.XLOOKUP(H_unit[[#This Row],[Municipality]],Municipality[Municipality],Municipality[Model],"")</f>
        <v>South West</v>
      </c>
      <c r="P637" s="236"/>
    </row>
    <row r="638" spans="1:16">
      <c r="A638" s="238" t="s">
        <v>1587</v>
      </c>
      <c r="B638" s="238" t="s">
        <v>1593</v>
      </c>
      <c r="C638" s="240" t="str" cm="1">
        <f t="array" ref="C638">" "&amp;LOWER(_xlfn.REDUCE(H_unit[[#This Row],[Company]]&amp;" "&amp;H_unit[[#This Row],[Unit]],{",",".","(",")","/"},_xlfn.LAMBDA(_xlpm.txt,_xlpm.delim,SUBSTITUTE(_xlpm.txt,_xlpm.delim," "))))&amp;" "</f>
        <v xml:space="preserve"> kauhavan kaukolämpö oy kortesjärvi </v>
      </c>
      <c r="D638" s="242">
        <v>1980</v>
      </c>
      <c r="E638" s="243">
        <v>3</v>
      </c>
      <c r="F638" s="243"/>
      <c r="G638" s="247"/>
      <c r="H638" s="267" t="s">
        <v>1428</v>
      </c>
      <c r="I638" s="248" t="s">
        <v>1143</v>
      </c>
      <c r="J638" s="246" t="str" cm="1">
        <f t="array" ref="J638">_xlfn.XLOOKUP(TRUE,ISNUMBER(SEARCH(" "&amp;Municipality[Municipality]&amp;" ",H_unit[[#This Row],[Info string]])),Municipality[Municipality],"")</f>
        <v>Kortesjärvi</v>
      </c>
      <c r="K638" s="246" t="str" cm="1">
        <f t="array" ref="K638">IF(H_unit[[#This Row],[Exact]]&lt;&gt;"","",_xlfn.XLOOKUP(TRUE,ISNUMBER(SEARCH(" "&amp;Municipality[Municipality]&amp;"n ",H_unit[[#This Row],[Info string]])),Municipality[Municipality],""))</f>
        <v/>
      </c>
      <c r="L638" s="246"/>
      <c r="M638" s="244"/>
      <c r="N638" s="246" t="str">
        <f>_xlfn.TEXTJOIN("",TRUE,H_unit[[#This Row],[Exact]],H_unit[[#This Row],[Exact+n]],H_unit[[#This Row],[Copilot]])</f>
        <v>Kortesjärvi</v>
      </c>
      <c r="O638" s="246" t="str">
        <f>_xlfn.XLOOKUP(H_unit[[#This Row],[Municipality]],Municipality[Municipality],Municipality[Model],"")</f>
        <v>West</v>
      </c>
      <c r="P638" s="236"/>
    </row>
    <row r="639" spans="1:16">
      <c r="A639" s="238" t="s">
        <v>1639</v>
      </c>
      <c r="B639" s="238" t="s">
        <v>1640</v>
      </c>
      <c r="C639" s="240" t="str" cm="1">
        <f t="array" ref="C639">" "&amp;LOWER(_xlfn.REDUCE(H_unit[[#This Row],[Company]]&amp;" "&amp;H_unit[[#This Row],[Unit]],{",",".","(",")","/"},_xlfn.LAMBDA(_xlpm.txt,_xlpm.delim,SUBSTITUTE(_xlpm.txt,_xlpm.delim," "))))&amp;" "</f>
        <v xml:space="preserve"> kittilän aluelämpö oy linnatie </v>
      </c>
      <c r="D639" s="242">
        <v>1982</v>
      </c>
      <c r="E639" s="243">
        <v>3</v>
      </c>
      <c r="F639" s="243"/>
      <c r="G639" s="247"/>
      <c r="H639" s="267" t="s">
        <v>1428</v>
      </c>
      <c r="I639" s="248" t="s">
        <v>1143</v>
      </c>
      <c r="J639" s="246" t="str" cm="1">
        <f t="array" ref="J639">_xlfn.XLOOKUP(TRUE,ISNUMBER(SEARCH(" "&amp;Municipality[Municipality]&amp;" ",H_unit[[#This Row],[Info string]])),Municipality[Municipality],"")</f>
        <v/>
      </c>
      <c r="K639" s="246" t="str" cm="1">
        <f t="array" ref="K639">IF(H_unit[[#This Row],[Exact]]&lt;&gt;"","",_xlfn.XLOOKUP(TRUE,ISNUMBER(SEARCH(" "&amp;Municipality[Municipality]&amp;"n ",H_unit[[#This Row],[Info string]])),Municipality[Municipality],""))</f>
        <v>Kittilä</v>
      </c>
      <c r="L639" s="246"/>
      <c r="M639" s="244"/>
      <c r="N639" s="246" t="str">
        <f>_xlfn.TEXTJOIN("",TRUE,H_unit[[#This Row],[Exact]],H_unit[[#This Row],[Exact+n]],H_unit[[#This Row],[Copilot]])</f>
        <v>Kittilä</v>
      </c>
      <c r="O639" s="246" t="str">
        <f>_xlfn.XLOOKUP(H_unit[[#This Row],[Municipality]],Municipality[Municipality],Municipality[Model],"")</f>
        <v>North</v>
      </c>
      <c r="P639" s="236"/>
    </row>
    <row r="640" spans="1:16">
      <c r="A640" s="238" t="s">
        <v>1530</v>
      </c>
      <c r="B640" s="238" t="s">
        <v>1532</v>
      </c>
      <c r="C640" s="240" t="str" cm="1">
        <f t="array" ref="C640">" "&amp;LOWER(_xlfn.REDUCE(H_unit[[#This Row],[Company]]&amp;" "&amp;H_unit[[#This Row],[Unit]],{",",".","(",")","/"},_xlfn.LAMBDA(_xlpm.txt,_xlpm.delim,SUBSTITUTE(_xlpm.txt,_xlpm.delim," "))))&amp;" "</f>
        <v xml:space="preserve"> imatran lämpö oy immola </v>
      </c>
      <c r="D640" s="242">
        <v>1984</v>
      </c>
      <c r="E640" s="243">
        <v>3</v>
      </c>
      <c r="F640" s="243"/>
      <c r="G640" s="247"/>
      <c r="H640" s="267" t="s">
        <v>1453</v>
      </c>
      <c r="I640" s="248" t="s">
        <v>1142</v>
      </c>
      <c r="J640" s="246" t="str" cm="1">
        <f t="array" ref="J640">_xlfn.XLOOKUP(TRUE,ISNUMBER(SEARCH(" "&amp;Municipality[Municipality]&amp;" ",H_unit[[#This Row],[Info string]])),Municipality[Municipality],"")</f>
        <v/>
      </c>
      <c r="K640" s="246" t="str" cm="1">
        <f t="array" ref="K640">IF(H_unit[[#This Row],[Exact]]&lt;&gt;"","",_xlfn.XLOOKUP(TRUE,ISNUMBER(SEARCH(" "&amp;Municipality[Municipality]&amp;"n ",H_unit[[#This Row],[Info string]])),Municipality[Municipality],""))</f>
        <v>Imatra</v>
      </c>
      <c r="L640" s="246"/>
      <c r="M640" s="244"/>
      <c r="N640" s="246" t="str">
        <f>_xlfn.TEXTJOIN("",TRUE,H_unit[[#This Row],[Exact]],H_unit[[#This Row],[Exact+n]],H_unit[[#This Row],[Copilot]])</f>
        <v>Imatra</v>
      </c>
      <c r="O640" s="246" t="str">
        <f>_xlfn.XLOOKUP(H_unit[[#This Row],[Municipality]],Municipality[Municipality],Municipality[Model],"")</f>
        <v>South East</v>
      </c>
      <c r="P640" s="236"/>
    </row>
    <row r="641" spans="1:16">
      <c r="A641" s="238" t="s">
        <v>1562</v>
      </c>
      <c r="B641" s="238" t="s">
        <v>1567</v>
      </c>
      <c r="C641" s="240" t="str" cm="1">
        <f t="array" ref="C641">" "&amp;LOWER(_xlfn.REDUCE(H_unit[[#This Row],[Company]]&amp;" "&amp;H_unit[[#This Row],[Unit]],{",",".","(",")","/"},_xlfn.LAMBDA(_xlpm.txt,_xlpm.delim,SUBSTITUTE(_xlpm.txt,_xlpm.delim," "))))&amp;" "</f>
        <v xml:space="preserve"> kalajoen lämpö oy hiekkasärkkien pok </v>
      </c>
      <c r="D641" s="242">
        <v>1990</v>
      </c>
      <c r="E641" s="243">
        <v>3</v>
      </c>
      <c r="F641" s="243"/>
      <c r="G641" s="247"/>
      <c r="H641" s="267" t="s">
        <v>1430</v>
      </c>
      <c r="I641" s="248" t="s">
        <v>1141</v>
      </c>
      <c r="J641" s="246" t="str" cm="1">
        <f t="array" ref="J641">_xlfn.XLOOKUP(TRUE,ISNUMBER(SEARCH(" "&amp;Municipality[Municipality]&amp;" ",H_unit[[#This Row],[Info string]])),Municipality[Municipality],"")</f>
        <v/>
      </c>
      <c r="K641" s="246" t="str" cm="1">
        <f t="array" ref="K641">IF(H_unit[[#This Row],[Exact]]&lt;&gt;"","",_xlfn.XLOOKUP(TRUE,ISNUMBER(SEARCH(" "&amp;Municipality[Municipality]&amp;"n ",H_unit[[#This Row],[Info string]])),Municipality[Municipality],""))</f>
        <v/>
      </c>
      <c r="L641" s="246" t="s">
        <v>2562</v>
      </c>
      <c r="M641" s="244" t="s">
        <v>2915</v>
      </c>
      <c r="N641" s="246" t="str">
        <f>_xlfn.TEXTJOIN("",TRUE,H_unit[[#This Row],[Exact]],H_unit[[#This Row],[Exact+n]],H_unit[[#This Row],[Copilot]])</f>
        <v>Kalajoki</v>
      </c>
      <c r="O641" s="246" t="str">
        <f>_xlfn.XLOOKUP(H_unit[[#This Row],[Municipality]],Municipality[Municipality],Municipality[Model],"")</f>
        <v>North</v>
      </c>
      <c r="P641" s="236"/>
    </row>
    <row r="642" spans="1:16">
      <c r="A642" s="238" t="s">
        <v>1478</v>
      </c>
      <c r="B642" s="238" t="s">
        <v>1481</v>
      </c>
      <c r="C642" s="240" t="str" cm="1">
        <f t="array" ref="C642">" "&amp;LOWER(_xlfn.REDUCE(H_unit[[#This Row],[Company]]&amp;" "&amp;H_unit[[#This Row],[Unit]],{",",".","(",")","/"},_xlfn.LAMBDA(_xlpm.txt,_xlpm.delim,SUBSTITUTE(_xlpm.txt,_xlpm.delim," "))))&amp;" "</f>
        <v xml:space="preserve"> adven oy  ylämylly-honkalampi lk170 </v>
      </c>
      <c r="D642" s="242">
        <v>1994</v>
      </c>
      <c r="E642" s="243">
        <v>3</v>
      </c>
      <c r="F642" s="243"/>
      <c r="G642" s="247"/>
      <c r="H642" s="267" t="s">
        <v>1436</v>
      </c>
      <c r="I642" s="248" t="s">
        <v>1143</v>
      </c>
      <c r="J642" s="246" t="str" cm="1">
        <f t="array" ref="J642">_xlfn.XLOOKUP(TRUE,ISNUMBER(SEARCH(" "&amp;Municipality[Municipality]&amp;" ",H_unit[[#This Row],[Info string]])),Municipality[Municipality],"")</f>
        <v/>
      </c>
      <c r="K642" s="246" t="str" cm="1">
        <f t="array" ref="K642">IF(H_unit[[#This Row],[Exact]]&lt;&gt;"","",_xlfn.XLOOKUP(TRUE,ISNUMBER(SEARCH(" "&amp;Municipality[Municipality]&amp;"n ",H_unit[[#This Row],[Info string]])),Municipality[Municipality],""))</f>
        <v/>
      </c>
      <c r="L642" s="246" t="s">
        <v>2652</v>
      </c>
      <c r="M642" s="244" t="s">
        <v>2923</v>
      </c>
      <c r="N642" s="246" t="str">
        <f>_xlfn.TEXTJOIN("",TRUE,H_unit[[#This Row],[Exact]],H_unit[[#This Row],[Exact+n]],H_unit[[#This Row],[Copilot]])</f>
        <v>Liperi</v>
      </c>
      <c r="O642" s="246" t="str">
        <f>_xlfn.XLOOKUP(H_unit[[#This Row],[Municipality]],Municipality[Municipality],Municipality[Model],"")</f>
        <v>East</v>
      </c>
      <c r="P642" s="236"/>
    </row>
    <row r="643" spans="1:16">
      <c r="A643" s="238" t="s">
        <v>1624</v>
      </c>
      <c r="B643" s="238" t="s">
        <v>1626</v>
      </c>
      <c r="C643" s="240" t="str" cm="1">
        <f t="array" ref="C643">" "&amp;LOWER(_xlfn.REDUCE(H_unit[[#This Row],[Company]]&amp;" "&amp;H_unit[[#This Row],[Unit]],{",",".","(",")","/"},_xlfn.LAMBDA(_xlpm.txt,_xlpm.delim,SUBSTITUTE(_xlpm.txt,_xlpm.delim," "))))&amp;" "</f>
        <v xml:space="preserve"> keuruun lämpövoima oy ketvelniemi </v>
      </c>
      <c r="D643" s="242">
        <v>1995</v>
      </c>
      <c r="E643" s="243">
        <v>3</v>
      </c>
      <c r="F643" s="243"/>
      <c r="G643" s="247"/>
      <c r="H643" s="267" t="s">
        <v>1430</v>
      </c>
      <c r="I643" s="248" t="s">
        <v>1141</v>
      </c>
      <c r="J643" s="246" t="str" cm="1">
        <f t="array" ref="J643">_xlfn.XLOOKUP(TRUE,ISNUMBER(SEARCH(" "&amp;Municipality[Municipality]&amp;" ",H_unit[[#This Row],[Info string]])),Municipality[Municipality],"")</f>
        <v/>
      </c>
      <c r="K643" s="246" t="str" cm="1">
        <f t="array" ref="K643">IF(H_unit[[#This Row],[Exact]]&lt;&gt;"","",_xlfn.XLOOKUP(TRUE,ISNUMBER(SEARCH(" "&amp;Municipality[Municipality]&amp;"n ",H_unit[[#This Row],[Info string]])),Municipality[Municipality],""))</f>
        <v>Keuruu</v>
      </c>
      <c r="L643" s="246"/>
      <c r="M643" s="244"/>
      <c r="N643" s="246" t="str">
        <f>_xlfn.TEXTJOIN("",TRUE,H_unit[[#This Row],[Exact]],H_unit[[#This Row],[Exact+n]],H_unit[[#This Row],[Copilot]])</f>
        <v>Keuruu</v>
      </c>
      <c r="O643" s="246" t="str">
        <f>_xlfn.XLOOKUP(H_unit[[#This Row],[Municipality]],Municipality[Municipality],Municipality[Model],"")</f>
        <v>Center</v>
      </c>
      <c r="P643" s="236"/>
    </row>
    <row r="644" spans="1:16">
      <c r="A644" s="238" t="s">
        <v>2025</v>
      </c>
      <c r="B644" s="238" t="s">
        <v>2026</v>
      </c>
      <c r="C644" s="240" t="str" cm="1">
        <f t="array" ref="C644">" "&amp;LOWER(_xlfn.REDUCE(H_unit[[#This Row],[Company]]&amp;" "&amp;H_unit[[#This Row],[Unit]],{",",".","(",")","/"},_xlfn.LAMBDA(_xlpm.txt,_xlpm.delim,SUBSTITUTE(_xlpm.txt,_xlpm.delim," "))))&amp;" "</f>
        <v xml:space="preserve"> oulun seudun sähkö  tyrnävä tyrnävä  ketolantie </v>
      </c>
      <c r="D644" s="242">
        <v>1995</v>
      </c>
      <c r="E644" s="243">
        <v>3</v>
      </c>
      <c r="F644" s="243"/>
      <c r="G644" s="247"/>
      <c r="H644" s="267" t="s">
        <v>1430</v>
      </c>
      <c r="I644" s="248" t="s">
        <v>1141</v>
      </c>
      <c r="J644" s="246" t="str" cm="1">
        <f t="array" ref="J644">_xlfn.XLOOKUP(TRUE,ISNUMBER(SEARCH(" "&amp;Municipality[Municipality]&amp;" ",H_unit[[#This Row],[Info string]])),Municipality[Municipality],"")</f>
        <v>Tyrnävä</v>
      </c>
      <c r="K644" s="246" t="str" cm="1">
        <f t="array" ref="K644">IF(H_unit[[#This Row],[Exact]]&lt;&gt;"","",_xlfn.XLOOKUP(TRUE,ISNUMBER(SEARCH(" "&amp;Municipality[Municipality]&amp;"n ",H_unit[[#This Row],[Info string]])),Municipality[Municipality],""))</f>
        <v/>
      </c>
      <c r="L644" s="246"/>
      <c r="M644" s="244"/>
      <c r="N644" s="246" t="str">
        <f>_xlfn.TEXTJOIN("",TRUE,H_unit[[#This Row],[Exact]],H_unit[[#This Row],[Exact+n]],H_unit[[#This Row],[Copilot]])</f>
        <v>Tyrnävä</v>
      </c>
      <c r="O644" s="246" t="str">
        <f>_xlfn.XLOOKUP(H_unit[[#This Row],[Municipality]],Municipality[Municipality],Municipality[Model],"")</f>
        <v>North</v>
      </c>
      <c r="P644" s="236"/>
    </row>
    <row r="645" spans="1:16">
      <c r="A645" s="238" t="s">
        <v>1530</v>
      </c>
      <c r="B645" s="238" t="s">
        <v>1535</v>
      </c>
      <c r="C645" s="240" t="str" cm="1">
        <f t="array" ref="C645">" "&amp;LOWER(_xlfn.REDUCE(H_unit[[#This Row],[Company]]&amp;" "&amp;H_unit[[#This Row],[Unit]],{",",".","(",")","/"},_xlfn.LAMBDA(_xlpm.txt,_xlpm.delim,SUBSTITUTE(_xlpm.txt,_xlpm.delim," "))))&amp;" "</f>
        <v xml:space="preserve"> imatran lämpö oy kanavakatu </v>
      </c>
      <c r="D645" s="242">
        <v>2000</v>
      </c>
      <c r="E645" s="243">
        <v>3</v>
      </c>
      <c r="F645" s="243"/>
      <c r="G645" s="247"/>
      <c r="H645" s="267" t="s">
        <v>1453</v>
      </c>
      <c r="I645" s="248" t="s">
        <v>1142</v>
      </c>
      <c r="J645" s="246" t="str" cm="1">
        <f t="array" ref="J645">_xlfn.XLOOKUP(TRUE,ISNUMBER(SEARCH(" "&amp;Municipality[Municipality]&amp;" ",H_unit[[#This Row],[Info string]])),Municipality[Municipality],"")</f>
        <v/>
      </c>
      <c r="K645" s="246" t="str" cm="1">
        <f t="array" ref="K645">IF(H_unit[[#This Row],[Exact]]&lt;&gt;"","",_xlfn.XLOOKUP(TRUE,ISNUMBER(SEARCH(" "&amp;Municipality[Municipality]&amp;"n ",H_unit[[#This Row],[Info string]])),Municipality[Municipality],""))</f>
        <v>Imatra</v>
      </c>
      <c r="L645" s="246"/>
      <c r="M645" s="244"/>
      <c r="N645" s="246" t="str">
        <f>_xlfn.TEXTJOIN("",TRUE,H_unit[[#This Row],[Exact]],H_unit[[#This Row],[Exact+n]],H_unit[[#This Row],[Copilot]])</f>
        <v>Imatra</v>
      </c>
      <c r="O645" s="246" t="str">
        <f>_xlfn.XLOOKUP(H_unit[[#This Row],[Municipality]],Municipality[Municipality],Municipality[Model],"")</f>
        <v>South East</v>
      </c>
      <c r="P645" s="236"/>
    </row>
    <row r="646" spans="1:16">
      <c r="A646" s="238" t="s">
        <v>1764</v>
      </c>
      <c r="B646" s="238" t="s">
        <v>1766</v>
      </c>
      <c r="C646" s="240" t="str" cm="1">
        <f t="array" ref="C646">" "&amp;LOWER(_xlfn.REDUCE(H_unit[[#This Row],[Company]]&amp;" "&amp;H_unit[[#This Row],[Unit]],{",",".","(",")","/"},_xlfn.LAMBDA(_xlpm.txt,_xlpm.delim,SUBSTITUTE(_xlpm.txt,_xlpm.delim," "))))&amp;" "</f>
        <v xml:space="preserve"> lempeä lämpö oy  mäntyharju hakelämpökeskus </v>
      </c>
      <c r="D646" s="242">
        <v>2002</v>
      </c>
      <c r="E646" s="243">
        <v>3</v>
      </c>
      <c r="F646" s="243"/>
      <c r="G646" s="247"/>
      <c r="H646" s="267" t="s">
        <v>1430</v>
      </c>
      <c r="I646" s="248" t="s">
        <v>1141</v>
      </c>
      <c r="J646" s="246" t="str" cm="1">
        <f t="array" ref="J646">_xlfn.XLOOKUP(TRUE,ISNUMBER(SEARCH(" "&amp;Municipality[Municipality]&amp;" ",H_unit[[#This Row],[Info string]])),Municipality[Municipality],"")</f>
        <v>Mäntyharju</v>
      </c>
      <c r="K646" s="246" t="str" cm="1">
        <f t="array" ref="K646">IF(H_unit[[#This Row],[Exact]]&lt;&gt;"","",_xlfn.XLOOKUP(TRUE,ISNUMBER(SEARCH(" "&amp;Municipality[Municipality]&amp;"n ",H_unit[[#This Row],[Info string]])),Municipality[Municipality],""))</f>
        <v/>
      </c>
      <c r="L646" s="246"/>
      <c r="M646" s="244"/>
      <c r="N646" s="246" t="str">
        <f>_xlfn.TEXTJOIN("",TRUE,H_unit[[#This Row],[Exact]],H_unit[[#This Row],[Exact+n]],H_unit[[#This Row],[Copilot]])</f>
        <v>Mäntyharju</v>
      </c>
      <c r="O646" s="246" t="str">
        <f>_xlfn.XLOOKUP(H_unit[[#This Row],[Municipality]],Municipality[Municipality],Municipality[Model],"")</f>
        <v>East</v>
      </c>
      <c r="P646" s="236"/>
    </row>
    <row r="647" spans="1:16">
      <c r="A647" s="238" t="s">
        <v>1587</v>
      </c>
      <c r="B647" s="238" t="s">
        <v>1594</v>
      </c>
      <c r="C647" s="240" t="str" cm="1">
        <f t="array" ref="C647">" "&amp;LOWER(_xlfn.REDUCE(H_unit[[#This Row],[Company]]&amp;" "&amp;H_unit[[#This Row],[Unit]],{",",".","(",")","/"},_xlfn.LAMBDA(_xlpm.txt,_xlpm.delim,SUBSTITUTE(_xlpm.txt,_xlpm.delim," "))))&amp;" "</f>
        <v xml:space="preserve"> kauhavan kaukolämpö oy kauhava lsk </v>
      </c>
      <c r="D647" s="242">
        <v>2003</v>
      </c>
      <c r="E647" s="243">
        <v>3</v>
      </c>
      <c r="F647" s="243"/>
      <c r="G647" s="247"/>
      <c r="H647" s="267" t="s">
        <v>1430</v>
      </c>
      <c r="I647" s="248" t="s">
        <v>1141</v>
      </c>
      <c r="J647" s="246" t="str" cm="1">
        <f t="array" ref="J647">_xlfn.XLOOKUP(TRUE,ISNUMBER(SEARCH(" "&amp;Municipality[Municipality]&amp;" ",H_unit[[#This Row],[Info string]])),Municipality[Municipality],"")</f>
        <v>Kauhava</v>
      </c>
      <c r="K647" s="246" t="str" cm="1">
        <f t="array" ref="K647">IF(H_unit[[#This Row],[Exact]]&lt;&gt;"","",_xlfn.XLOOKUP(TRUE,ISNUMBER(SEARCH(" "&amp;Municipality[Municipality]&amp;"n ",H_unit[[#This Row],[Info string]])),Municipality[Municipality],""))</f>
        <v/>
      </c>
      <c r="L647" s="246"/>
      <c r="M647" s="244"/>
      <c r="N647" s="246" t="str">
        <f>_xlfn.TEXTJOIN("",TRUE,H_unit[[#This Row],[Exact]],H_unit[[#This Row],[Exact+n]],H_unit[[#This Row],[Copilot]])</f>
        <v>Kauhava</v>
      </c>
      <c r="O647" s="246" t="str">
        <f>_xlfn.XLOOKUP(H_unit[[#This Row],[Municipality]],Municipality[Municipality],Municipality[Model],"")</f>
        <v>West</v>
      </c>
      <c r="P647" s="236"/>
    </row>
    <row r="648" spans="1:16">
      <c r="A648" s="238" t="s">
        <v>1859</v>
      </c>
      <c r="B648" s="238" t="s">
        <v>1863</v>
      </c>
      <c r="C648" s="240" t="str" cm="1">
        <f t="array" ref="C648">" "&amp;LOWER(_xlfn.REDUCE(H_unit[[#This Row],[Company]]&amp;" "&amp;H_unit[[#This Row],[Unit]],{",",".","(",")","/"},_xlfn.LAMBDA(_xlpm.txt,_xlpm.delim,SUBSTITUTE(_xlpm.txt,_xlpm.delim," "))))&amp;" "</f>
        <v xml:space="preserve"> loimua oy  jyväskylän seutu lentoemännäntie laukaa </v>
      </c>
      <c r="D648" s="242">
        <v>2003</v>
      </c>
      <c r="E648" s="243">
        <v>3</v>
      </c>
      <c r="F648" s="243"/>
      <c r="G648" s="247"/>
      <c r="H648" s="267" t="s">
        <v>1436</v>
      </c>
      <c r="I648" s="248" t="s">
        <v>1143</v>
      </c>
      <c r="J648" s="246" t="str" cm="1">
        <f t="array" ref="J648">_xlfn.XLOOKUP(TRUE,ISNUMBER(SEARCH(" "&amp;Municipality[Municipality]&amp;" ",H_unit[[#This Row],[Info string]])),Municipality[Municipality],"")</f>
        <v>Jyväskylän</v>
      </c>
      <c r="K648" s="246" t="str" cm="1">
        <f t="array" ref="K648">IF(H_unit[[#This Row],[Exact]]&lt;&gt;"","",_xlfn.XLOOKUP(TRUE,ISNUMBER(SEARCH(" "&amp;Municipality[Municipality]&amp;"n ",H_unit[[#This Row],[Info string]])),Municipality[Municipality],""))</f>
        <v/>
      </c>
      <c r="L648" s="246"/>
      <c r="M648" s="244"/>
      <c r="N648" s="246" t="str">
        <f>_xlfn.TEXTJOIN("",TRUE,H_unit[[#This Row],[Exact]],H_unit[[#This Row],[Exact+n]],H_unit[[#This Row],[Copilot]])</f>
        <v>Jyväskylän</v>
      </c>
      <c r="O648" s="246" t="str">
        <f>_xlfn.XLOOKUP(H_unit[[#This Row],[Municipality]],Municipality[Municipality],Municipality[Model],"")</f>
        <v>Center</v>
      </c>
      <c r="P648" s="236"/>
    </row>
    <row r="649" spans="1:16">
      <c r="A649" s="238" t="s">
        <v>1947</v>
      </c>
      <c r="B649" s="238" t="s">
        <v>1948</v>
      </c>
      <c r="C649" s="240" t="str" cm="1">
        <f t="array" ref="C649">" "&amp;LOWER(_xlfn.REDUCE(H_unit[[#This Row],[Company]]&amp;" "&amp;H_unit[[#This Row],[Unit]],{",",".","(",")","/"},_xlfn.LAMBDA(_xlpm.txt,_xlpm.delim,SUBSTITUTE(_xlpm.txt,_xlpm.delim," "))))&amp;" "</f>
        <v xml:space="preserve"> nevel oy  tohmajärvi tohmajärvi kpa </v>
      </c>
      <c r="D649" s="242">
        <v>2003</v>
      </c>
      <c r="E649" s="243">
        <v>3</v>
      </c>
      <c r="F649" s="243"/>
      <c r="G649" s="247"/>
      <c r="H649" s="267" t="s">
        <v>1428</v>
      </c>
      <c r="I649" s="248" t="s">
        <v>1143</v>
      </c>
      <c r="J649" s="246" t="str" cm="1">
        <f t="array" ref="J649">_xlfn.XLOOKUP(TRUE,ISNUMBER(SEARCH(" "&amp;Municipality[Municipality]&amp;" ",H_unit[[#This Row],[Info string]])),Municipality[Municipality],"")</f>
        <v>Tohmajärvi</v>
      </c>
      <c r="K649" s="246" t="str" cm="1">
        <f t="array" ref="K649">IF(H_unit[[#This Row],[Exact]]&lt;&gt;"","",_xlfn.XLOOKUP(TRUE,ISNUMBER(SEARCH(" "&amp;Municipality[Municipality]&amp;"n ",H_unit[[#This Row],[Info string]])),Municipality[Municipality],""))</f>
        <v/>
      </c>
      <c r="L649" s="246"/>
      <c r="M649" s="244"/>
      <c r="N649" s="246" t="str">
        <f>_xlfn.TEXTJOIN("",TRUE,H_unit[[#This Row],[Exact]],H_unit[[#This Row],[Exact+n]],H_unit[[#This Row],[Copilot]])</f>
        <v>Tohmajärvi</v>
      </c>
      <c r="O649" s="246" t="str">
        <f>_xlfn.XLOOKUP(H_unit[[#This Row],[Municipality]],Municipality[Municipality],Municipality[Model],"")</f>
        <v>East</v>
      </c>
      <c r="P649" s="236"/>
    </row>
    <row r="650" spans="1:16">
      <c r="A650" s="238" t="s">
        <v>1433</v>
      </c>
      <c r="B650" s="238" t="s">
        <v>1435</v>
      </c>
      <c r="C650" s="240" t="str" cm="1">
        <f t="array" ref="C650">" "&amp;LOWER(_xlfn.REDUCE(H_unit[[#This Row],[Company]]&amp;" "&amp;H_unit[[#This Row],[Unit]],{",",".","(",")","/"},_xlfn.LAMBDA(_xlpm.txt,_xlpm.delim,SUBSTITUTE(_xlpm.txt,_xlpm.delim," "))))&amp;" "</f>
        <v xml:space="preserve"> adven oy  kirkkonummi lk263 veikkola </v>
      </c>
      <c r="D650" s="242">
        <v>2004</v>
      </c>
      <c r="E650" s="243">
        <v>3</v>
      </c>
      <c r="F650" s="243"/>
      <c r="G650" s="247"/>
      <c r="H650" s="267" t="s">
        <v>1436</v>
      </c>
      <c r="I650" s="248" t="s">
        <v>1143</v>
      </c>
      <c r="J650" s="246" t="str" cm="1">
        <f t="array" ref="J650">_xlfn.XLOOKUP(TRUE,ISNUMBER(SEARCH(" "&amp;Municipality[Municipality]&amp;" ",H_unit[[#This Row],[Info string]])),Municipality[Municipality],"")</f>
        <v>Kirkkonummi</v>
      </c>
      <c r="K650" s="246" t="str" cm="1">
        <f t="array" ref="K650">IF(H_unit[[#This Row],[Exact]]&lt;&gt;"","",_xlfn.XLOOKUP(TRUE,ISNUMBER(SEARCH(" "&amp;Municipality[Municipality]&amp;"n ",H_unit[[#This Row],[Info string]])),Municipality[Municipality],""))</f>
        <v/>
      </c>
      <c r="L650" s="246"/>
      <c r="M650" s="244"/>
      <c r="N650" s="246" t="str">
        <f>_xlfn.TEXTJOIN("",TRUE,H_unit[[#This Row],[Exact]],H_unit[[#This Row],[Exact+n]],H_unit[[#This Row],[Copilot]])</f>
        <v>Kirkkonummi</v>
      </c>
      <c r="O650" s="246" t="str">
        <f>_xlfn.XLOOKUP(H_unit[[#This Row],[Municipality]],Municipality[Municipality],Municipality[Model],"")</f>
        <v>Uusimaa</v>
      </c>
      <c r="P650" s="236"/>
    </row>
    <row r="651" spans="1:16">
      <c r="A651" s="238" t="s">
        <v>2253</v>
      </c>
      <c r="B651" s="238" t="s">
        <v>1844</v>
      </c>
      <c r="C651" s="240" t="str" cm="1">
        <f t="array" ref="C651">" "&amp;LOWER(_xlfn.REDUCE(H_unit[[#This Row],[Company]]&amp;" "&amp;H_unit[[#This Row],[Unit]],{",",".","(",")","/"},_xlfn.LAMBDA(_xlpm.txt,_xlpm.delim,SUBSTITUTE(_xlpm.txt,_xlpm.delim," "))))&amp;" "</f>
        <v xml:space="preserve"> vsv energia oy sairaala </v>
      </c>
      <c r="D651" s="242">
        <v>2005</v>
      </c>
      <c r="E651" s="243">
        <v>3</v>
      </c>
      <c r="F651" s="243"/>
      <c r="G651" s="247"/>
      <c r="H651" s="267" t="s">
        <v>1430</v>
      </c>
      <c r="I651" s="248" t="s">
        <v>1141</v>
      </c>
      <c r="J651" s="246" t="str" cm="1">
        <f t="array" ref="J651">_xlfn.XLOOKUP(TRUE,ISNUMBER(SEARCH(" "&amp;Municipality[Municipality]&amp;" ",H_unit[[#This Row],[Info string]])),Municipality[Municipality],"")</f>
        <v/>
      </c>
      <c r="K651" s="246" t="str" cm="1">
        <f t="array" ref="K651">IF(H_unit[[#This Row],[Exact]]&lt;&gt;"","",_xlfn.XLOOKUP(TRUE,ISNUMBER(SEARCH(" "&amp;Municipality[Municipality]&amp;"n ",H_unit[[#This Row],[Info string]])),Municipality[Municipality],""))</f>
        <v/>
      </c>
      <c r="L651" s="246" t="s">
        <v>955</v>
      </c>
      <c r="M651" s="244" t="s">
        <v>2899</v>
      </c>
      <c r="N651" s="246" t="str">
        <f>_xlfn.TEXTJOIN("",TRUE,H_unit[[#This Row],[Exact]],H_unit[[#This Row],[Exact+n]],H_unit[[#This Row],[Copilot]])</f>
        <v>Uusikaupunki</v>
      </c>
      <c r="O651" s="246" t="str">
        <f>_xlfn.XLOOKUP(H_unit[[#This Row],[Municipality]],Municipality[Municipality],Municipality[Model],"")</f>
        <v>South West</v>
      </c>
      <c r="P651" s="236"/>
    </row>
    <row r="652" spans="1:16">
      <c r="A652" s="238" t="s">
        <v>2274</v>
      </c>
      <c r="B652" s="238" t="s">
        <v>2275</v>
      </c>
      <c r="C652" s="240" t="str" cm="1">
        <f t="array" ref="C652">" "&amp;LOWER(_xlfn.REDUCE(H_unit[[#This Row],[Company]]&amp;" "&amp;H_unit[[#This Row],[Unit]],{",",".","(",")","/"},_xlfn.LAMBDA(_xlpm.txt,_xlpm.delim,SUBSTITUTE(_xlpm.txt,_xlpm.delim," "))))&amp;" "</f>
        <v xml:space="preserve"> finnsementti oy  parainen finnsementti </v>
      </c>
      <c r="D652" s="242">
        <v>2005</v>
      </c>
      <c r="E652" s="243">
        <v>3</v>
      </c>
      <c r="F652" s="243"/>
      <c r="G652" s="247"/>
      <c r="H652" s="267" t="s">
        <v>2273</v>
      </c>
      <c r="I652" s="248" t="s">
        <v>1143</v>
      </c>
      <c r="J652" s="246" t="str" cm="1">
        <f t="array" ref="J652">_xlfn.XLOOKUP(TRUE,ISNUMBER(SEARCH(" "&amp;Municipality[Municipality]&amp;" ",H_unit[[#This Row],[Info string]])),Municipality[Municipality],"")</f>
        <v>Parainen</v>
      </c>
      <c r="K652" s="246" t="str" cm="1">
        <f t="array" ref="K652">IF(H_unit[[#This Row],[Exact]]&lt;&gt;"","",_xlfn.XLOOKUP(TRUE,ISNUMBER(SEARCH(" "&amp;Municipality[Municipality]&amp;"n ",H_unit[[#This Row],[Info string]])),Municipality[Municipality],""))</f>
        <v/>
      </c>
      <c r="L652" s="246"/>
      <c r="M652" s="244"/>
      <c r="N652" s="246" t="str">
        <f>_xlfn.TEXTJOIN("",TRUE,H_unit[[#This Row],[Exact]],H_unit[[#This Row],[Exact+n]],H_unit[[#This Row],[Copilot]])</f>
        <v>Parainen</v>
      </c>
      <c r="O652" s="246" t="str">
        <f>_xlfn.XLOOKUP(H_unit[[#This Row],[Municipality]],Municipality[Municipality],Municipality[Model],"")</f>
        <v>South West</v>
      </c>
      <c r="P652" s="236"/>
    </row>
    <row r="653" spans="1:16">
      <c r="A653" s="238" t="s">
        <v>2044</v>
      </c>
      <c r="B653" s="238" t="s">
        <v>2050</v>
      </c>
      <c r="C653" s="240" t="str" cm="1">
        <f t="array" ref="C653">" "&amp;LOWER(_xlfn.REDUCE(H_unit[[#This Row],[Company]]&amp;" "&amp;H_unit[[#This Row],[Unit]],{",",".","(",")","/"},_xlfn.LAMBDA(_xlpm.txt,_xlpm.delim,SUBSTITUTE(_xlpm.txt,_xlpm.delim," "))))&amp;" "</f>
        <v xml:space="preserve"> pori energia oy  pori reposaari </v>
      </c>
      <c r="D653" s="242">
        <v>2007</v>
      </c>
      <c r="E653" s="243">
        <v>3</v>
      </c>
      <c r="F653" s="243"/>
      <c r="G653" s="247"/>
      <c r="H653" s="267" t="s">
        <v>1423</v>
      </c>
      <c r="I653" s="248" t="s">
        <v>1143</v>
      </c>
      <c r="J653" s="246" t="str" cm="1">
        <f t="array" ref="J653">_xlfn.XLOOKUP(TRUE,ISNUMBER(SEARCH(" "&amp;Municipality[Municipality]&amp;" ",H_unit[[#This Row],[Info string]])),Municipality[Municipality],"")</f>
        <v>Pori</v>
      </c>
      <c r="K653" s="246" t="str" cm="1">
        <f t="array" ref="K653">IF(H_unit[[#This Row],[Exact]]&lt;&gt;"","",_xlfn.XLOOKUP(TRUE,ISNUMBER(SEARCH(" "&amp;Municipality[Municipality]&amp;"n ",H_unit[[#This Row],[Info string]])),Municipality[Municipality],""))</f>
        <v/>
      </c>
      <c r="L653" s="246"/>
      <c r="M653" s="244"/>
      <c r="N653" s="246" t="str">
        <f>_xlfn.TEXTJOIN("",TRUE,H_unit[[#This Row],[Exact]],H_unit[[#This Row],[Exact+n]],H_unit[[#This Row],[Copilot]])</f>
        <v>Pori</v>
      </c>
      <c r="O653" s="246" t="str">
        <f>_xlfn.XLOOKUP(H_unit[[#This Row],[Municipality]],Municipality[Municipality],Municipality[Model],"")</f>
        <v>West</v>
      </c>
      <c r="P653" s="236"/>
    </row>
    <row r="654" spans="1:16">
      <c r="A654" s="238" t="s">
        <v>2126</v>
      </c>
      <c r="B654" s="238" t="s">
        <v>2127</v>
      </c>
      <c r="C654" s="240" t="str" cm="1">
        <f t="array" ref="C654">" "&amp;LOWER(_xlfn.REDUCE(H_unit[[#This Row],[Company]]&amp;" "&amp;H_unit[[#This Row],[Unit]],{",",".","(",")","/"},_xlfn.LAMBDA(_xlpm.txt,_xlpm.delim,SUBSTITUTE(_xlpm.txt,_xlpm.delim," "))))&amp;" "</f>
        <v xml:space="preserve"> savon voima oyj  joroinen lk111  </v>
      </c>
      <c r="D654" s="242">
        <v>2007</v>
      </c>
      <c r="E654" s="243">
        <v>3</v>
      </c>
      <c r="F654" s="243"/>
      <c r="G654" s="247"/>
      <c r="H654" s="267" t="s">
        <v>1430</v>
      </c>
      <c r="I654" s="248" t="s">
        <v>1141</v>
      </c>
      <c r="J654" s="246" t="str" cm="1">
        <f t="array" ref="J654">_xlfn.XLOOKUP(TRUE,ISNUMBER(SEARCH(" "&amp;Municipality[Municipality]&amp;" ",H_unit[[#This Row],[Info string]])),Municipality[Municipality],"")</f>
        <v>Joroinen</v>
      </c>
      <c r="K654" s="246" t="str" cm="1">
        <f t="array" ref="K654">IF(H_unit[[#This Row],[Exact]]&lt;&gt;"","",_xlfn.XLOOKUP(TRUE,ISNUMBER(SEARCH(" "&amp;Municipality[Municipality]&amp;"n ",H_unit[[#This Row],[Info string]])),Municipality[Municipality],""))</f>
        <v/>
      </c>
      <c r="L654" s="246"/>
      <c r="M654" s="244"/>
      <c r="N654" s="246" t="str">
        <f>_xlfn.TEXTJOIN("",TRUE,H_unit[[#This Row],[Exact]],H_unit[[#This Row],[Exact+n]],H_unit[[#This Row],[Copilot]])</f>
        <v>Joroinen</v>
      </c>
      <c r="O654" s="246" t="str">
        <f>_xlfn.XLOOKUP(H_unit[[#This Row],[Municipality]],Municipality[Municipality],Municipality[Model],"")</f>
        <v>East</v>
      </c>
      <c r="P654" s="236"/>
    </row>
    <row r="655" spans="1:16">
      <c r="A655" s="238" t="s">
        <v>1579</v>
      </c>
      <c r="B655" s="238" t="s">
        <v>1579</v>
      </c>
      <c r="C655" s="240" t="str" cm="1">
        <f t="array" ref="C655">" "&amp;LOWER(_xlfn.REDUCE(H_unit[[#This Row],[Company]]&amp;" "&amp;H_unit[[#This Row],[Unit]],{",",".","(",")","/"},_xlfn.LAMBDA(_xlpm.txt,_xlpm.delim,SUBSTITUTE(_xlpm.txt,_xlpm.delim," "))))&amp;" "</f>
        <v xml:space="preserve"> karvian lämpö oy karvian lämpö oy </v>
      </c>
      <c r="D655" s="242">
        <v>2008</v>
      </c>
      <c r="E655" s="243">
        <v>3</v>
      </c>
      <c r="F655" s="243"/>
      <c r="G655" s="247"/>
      <c r="H655" s="267" t="s">
        <v>1423</v>
      </c>
      <c r="I655" s="248" t="s">
        <v>1143</v>
      </c>
      <c r="J655" s="246" t="str" cm="1">
        <f t="array" ref="J655">_xlfn.XLOOKUP(TRUE,ISNUMBER(SEARCH(" "&amp;Municipality[Municipality]&amp;" ",H_unit[[#This Row],[Info string]])),Municipality[Municipality],"")</f>
        <v/>
      </c>
      <c r="K655" s="246" t="str" cm="1">
        <f t="array" ref="K655">IF(H_unit[[#This Row],[Exact]]&lt;&gt;"","",_xlfn.XLOOKUP(TRUE,ISNUMBER(SEARCH(" "&amp;Municipality[Municipality]&amp;"n ",H_unit[[#This Row],[Info string]])),Municipality[Municipality],""))</f>
        <v>Karvia</v>
      </c>
      <c r="L655" s="246"/>
      <c r="M655" s="244"/>
      <c r="N655" s="246" t="str">
        <f>_xlfn.TEXTJOIN("",TRUE,H_unit[[#This Row],[Exact]],H_unit[[#This Row],[Exact+n]],H_unit[[#This Row],[Copilot]])</f>
        <v>Karvia</v>
      </c>
      <c r="O655" s="246" t="str">
        <f>_xlfn.XLOOKUP(H_unit[[#This Row],[Municipality]],Municipality[Municipality],Municipality[Model],"")</f>
        <v>West</v>
      </c>
      <c r="P655" s="236"/>
    </row>
    <row r="656" spans="1:16">
      <c r="A656" s="238" t="s">
        <v>2070</v>
      </c>
      <c r="B656" s="238" t="s">
        <v>2073</v>
      </c>
      <c r="C656" s="240" t="str" cm="1">
        <f t="array" ref="C656">" "&amp;LOWER(_xlfn.REDUCE(H_unit[[#This Row],[Company]]&amp;" "&amp;H_unit[[#This Row],[Unit]],{",",".","(",")","/"},_xlfn.LAMBDA(_xlpm.txt,_xlpm.delim,SUBSTITUTE(_xlpm.txt,_xlpm.delim," "))))&amp;" "</f>
        <v xml:space="preserve"> raseborgs energi ab bio3 </v>
      </c>
      <c r="D656" s="242">
        <v>2008</v>
      </c>
      <c r="E656" s="243">
        <v>3</v>
      </c>
      <c r="F656" s="243"/>
      <c r="G656" s="247"/>
      <c r="H656" s="267" t="s">
        <v>1423</v>
      </c>
      <c r="I656" s="248" t="s">
        <v>1143</v>
      </c>
      <c r="J656" s="246" t="str" cm="1">
        <f t="array" ref="J656">_xlfn.XLOOKUP(TRUE,ISNUMBER(SEARCH(" "&amp;Municipality[Municipality]&amp;" ",H_unit[[#This Row],[Info string]])),Municipality[Municipality],"")</f>
        <v/>
      </c>
      <c r="K656" s="246" t="str" cm="1">
        <f t="array" ref="K656">IF(H_unit[[#This Row],[Exact]]&lt;&gt;"","",_xlfn.XLOOKUP(TRUE,ISNUMBER(SEARCH(" "&amp;Municipality[Municipality]&amp;"n ",H_unit[[#This Row],[Info string]])),Municipality[Municipality],""))</f>
        <v/>
      </c>
      <c r="L656" s="246" t="s">
        <v>2502</v>
      </c>
      <c r="M656" s="244" t="s">
        <v>2928</v>
      </c>
      <c r="N656" s="246" t="str">
        <f>_xlfn.TEXTJOIN("",TRUE,H_unit[[#This Row],[Exact]],H_unit[[#This Row],[Exact+n]],H_unit[[#This Row],[Copilot]])</f>
        <v>Tammisaari</v>
      </c>
      <c r="O656" s="246" t="str">
        <f>_xlfn.XLOOKUP(H_unit[[#This Row],[Municipality]],Municipality[Municipality],Municipality[Model],"")</f>
        <v>Uusimaa</v>
      </c>
      <c r="P656" s="236"/>
    </row>
    <row r="657" spans="1:16">
      <c r="A657" s="238" t="s">
        <v>1449</v>
      </c>
      <c r="B657" s="238" t="s">
        <v>1450</v>
      </c>
      <c r="C657" s="240" t="str" cm="1">
        <f t="array" ref="C657">" "&amp;LOWER(_xlfn.REDUCE(H_unit[[#This Row],[Company]]&amp;" "&amp;H_unit[[#This Row],[Unit]],{",",".","(",")","/"},_xlfn.LAMBDA(_xlpm.txt,_xlpm.delim,SUBSTITUTE(_xlpm.txt,_xlpm.delim," "))))&amp;" "</f>
        <v xml:space="preserve"> adven oy  loppi loppi kpa-laitos lk283 </v>
      </c>
      <c r="D657" s="242">
        <v>2009</v>
      </c>
      <c r="E657" s="243">
        <v>3</v>
      </c>
      <c r="F657" s="243"/>
      <c r="G657" s="247"/>
      <c r="H657" s="267" t="s">
        <v>1423</v>
      </c>
      <c r="I657" s="248" t="s">
        <v>1143</v>
      </c>
      <c r="J657" s="246" t="str" cm="1">
        <f t="array" ref="J657">_xlfn.XLOOKUP(TRUE,ISNUMBER(SEARCH(" "&amp;Municipality[Municipality]&amp;" ",H_unit[[#This Row],[Info string]])),Municipality[Municipality],"")</f>
        <v>Loppi</v>
      </c>
      <c r="K657" s="246" t="str" cm="1">
        <f t="array" ref="K657">IF(H_unit[[#This Row],[Exact]]&lt;&gt;"","",_xlfn.XLOOKUP(TRUE,ISNUMBER(SEARCH(" "&amp;Municipality[Municipality]&amp;"n ",H_unit[[#This Row],[Info string]])),Municipality[Municipality],""))</f>
        <v/>
      </c>
      <c r="L657" s="246"/>
      <c r="M657" s="244"/>
      <c r="N657" s="246" t="str">
        <f>_xlfn.TEXTJOIN("",TRUE,H_unit[[#This Row],[Exact]],H_unit[[#This Row],[Exact+n]],H_unit[[#This Row],[Copilot]])</f>
        <v>Loppi</v>
      </c>
      <c r="O657" s="246" t="str">
        <f>_xlfn.XLOOKUP(H_unit[[#This Row],[Municipality]],Municipality[Municipality],Municipality[Model],"")</f>
        <v>South West</v>
      </c>
      <c r="P657" s="236"/>
    </row>
    <row r="658" spans="1:16">
      <c r="A658" s="238" t="s">
        <v>2165</v>
      </c>
      <c r="B658" s="238" t="s">
        <v>2167</v>
      </c>
      <c r="C658" s="240" t="str" cm="1">
        <f t="array" ref="C658">" "&amp;LOWER(_xlfn.REDUCE(H_unit[[#This Row],[Company]]&amp;" "&amp;H_unit[[#This Row],[Unit]],{",",".","(",")","/"},_xlfn.LAMBDA(_xlpm.txt,_xlpm.delim,SUBSTITUTE(_xlpm.txt,_xlpm.delim," "))))&amp;" "</f>
        <v xml:space="preserve"> seinäjoen energia oy peräseinäjoki metallitie </v>
      </c>
      <c r="D658" s="242">
        <v>2009</v>
      </c>
      <c r="E658" s="243">
        <v>3</v>
      </c>
      <c r="F658" s="243"/>
      <c r="G658" s="247"/>
      <c r="H658" s="267" t="s">
        <v>1428</v>
      </c>
      <c r="I658" s="248" t="s">
        <v>1143</v>
      </c>
      <c r="J658" s="246" t="str" cm="1">
        <f t="array" ref="J658">_xlfn.XLOOKUP(TRUE,ISNUMBER(SEARCH(" "&amp;Municipality[Municipality]&amp;" ",H_unit[[#This Row],[Info string]])),Municipality[Municipality],"")</f>
        <v>Peräseinäjoki</v>
      </c>
      <c r="K658" s="246" t="str" cm="1">
        <f t="array" ref="K658">IF(H_unit[[#This Row],[Exact]]&lt;&gt;"","",_xlfn.XLOOKUP(TRUE,ISNUMBER(SEARCH(" "&amp;Municipality[Municipality]&amp;"n ",H_unit[[#This Row],[Info string]])),Municipality[Municipality],""))</f>
        <v/>
      </c>
      <c r="L658" s="246"/>
      <c r="M658" s="244"/>
      <c r="N658" s="246" t="str">
        <f>_xlfn.TEXTJOIN("",TRUE,H_unit[[#This Row],[Exact]],H_unit[[#This Row],[Exact+n]],H_unit[[#This Row],[Copilot]])</f>
        <v>Peräseinäjoki</v>
      </c>
      <c r="O658" s="246" t="str">
        <f>_xlfn.XLOOKUP(H_unit[[#This Row],[Municipality]],Municipality[Municipality],Municipality[Model],"")</f>
        <v>West</v>
      </c>
      <c r="P658" s="236"/>
    </row>
    <row r="659" spans="1:16">
      <c r="A659" s="238" t="s">
        <v>1478</v>
      </c>
      <c r="B659" s="238" t="s">
        <v>1479</v>
      </c>
      <c r="C659" s="240" t="str" cm="1">
        <f t="array" ref="C659">" "&amp;LOWER(_xlfn.REDUCE(H_unit[[#This Row],[Company]]&amp;" "&amp;H_unit[[#This Row],[Unit]],{",",".","(",")","/"},_xlfn.LAMBDA(_xlpm.txt,_xlpm.delim,SUBSTITUTE(_xlpm.txt,_xlpm.delim," "))))&amp;" "</f>
        <v xml:space="preserve"> adven oy  ylämylly-honkalampi lk193 </v>
      </c>
      <c r="D659" s="242">
        <v>2010</v>
      </c>
      <c r="E659" s="243">
        <v>3</v>
      </c>
      <c r="F659" s="243"/>
      <c r="G659" s="247"/>
      <c r="H659" s="267" t="s">
        <v>1423</v>
      </c>
      <c r="I659" s="248" t="s">
        <v>1143</v>
      </c>
      <c r="J659" s="246" t="str" cm="1">
        <f t="array" ref="J659">_xlfn.XLOOKUP(TRUE,ISNUMBER(SEARCH(" "&amp;Municipality[Municipality]&amp;" ",H_unit[[#This Row],[Info string]])),Municipality[Municipality],"")</f>
        <v/>
      </c>
      <c r="K659" s="246" t="str" cm="1">
        <f t="array" ref="K659">IF(H_unit[[#This Row],[Exact]]&lt;&gt;"","",_xlfn.XLOOKUP(TRUE,ISNUMBER(SEARCH(" "&amp;Municipality[Municipality]&amp;"n ",H_unit[[#This Row],[Info string]])),Municipality[Municipality],""))</f>
        <v/>
      </c>
      <c r="L659" s="246" t="s">
        <v>2652</v>
      </c>
      <c r="M659" s="244" t="s">
        <v>2923</v>
      </c>
      <c r="N659" s="246" t="str">
        <f>_xlfn.TEXTJOIN("",TRUE,H_unit[[#This Row],[Exact]],H_unit[[#This Row],[Exact+n]],H_unit[[#This Row],[Copilot]])</f>
        <v>Liperi</v>
      </c>
      <c r="O659" s="246" t="str">
        <f>_xlfn.XLOOKUP(H_unit[[#This Row],[Municipality]],Municipality[Municipality],Municipality[Model],"")</f>
        <v>East</v>
      </c>
      <c r="P659" s="236"/>
    </row>
    <row r="660" spans="1:16">
      <c r="A660" s="238" t="s">
        <v>1963</v>
      </c>
      <c r="B660" s="238" t="s">
        <v>1968</v>
      </c>
      <c r="C660" s="240" t="str" cm="1">
        <f t="array" ref="C660">" "&amp;LOWER(_xlfn.REDUCE(H_unit[[#This Row],[Company]]&amp;" "&amp;H_unit[[#This Row],[Unit]],{",",".","(",")","/"},_xlfn.LAMBDA(_xlpm.txt,_xlpm.delim,SUBSTITUTE(_xlpm.txt,_xlpm.delim," "))))&amp;" "</f>
        <v xml:space="preserve"> nivos vesi ja lämpö oy  mäntsälä saari </v>
      </c>
      <c r="D660" s="242">
        <v>2010</v>
      </c>
      <c r="E660" s="243">
        <v>3</v>
      </c>
      <c r="F660" s="243"/>
      <c r="G660" s="247"/>
      <c r="H660" s="267" t="s">
        <v>1430</v>
      </c>
      <c r="I660" s="248" t="s">
        <v>1141</v>
      </c>
      <c r="J660" s="246" t="str" cm="1">
        <f t="array" ref="J660">_xlfn.XLOOKUP(TRUE,ISNUMBER(SEARCH(" "&amp;Municipality[Municipality]&amp;" ",H_unit[[#This Row],[Info string]])),Municipality[Municipality],"")</f>
        <v>Mäntsälä</v>
      </c>
      <c r="K660" s="246" t="str" cm="1">
        <f t="array" ref="K660">IF(H_unit[[#This Row],[Exact]]&lt;&gt;"","",_xlfn.XLOOKUP(TRUE,ISNUMBER(SEARCH(" "&amp;Municipality[Municipality]&amp;"n ",H_unit[[#This Row],[Info string]])),Municipality[Municipality],""))</f>
        <v/>
      </c>
      <c r="L660" s="246"/>
      <c r="M660" s="244"/>
      <c r="N660" s="246" t="str">
        <f>_xlfn.TEXTJOIN("",TRUE,H_unit[[#This Row],[Exact]],H_unit[[#This Row],[Exact+n]],H_unit[[#This Row],[Copilot]])</f>
        <v>Mäntsälä</v>
      </c>
      <c r="O660" s="246" t="str">
        <f>_xlfn.XLOOKUP(H_unit[[#This Row],[Municipality]],Municipality[Municipality],Municipality[Model],"")</f>
        <v>Uusimaa</v>
      </c>
      <c r="P660" s="236"/>
    </row>
    <row r="661" spans="1:16">
      <c r="A661" s="238" t="s">
        <v>2126</v>
      </c>
      <c r="B661" s="238" t="s">
        <v>2128</v>
      </c>
      <c r="C661" s="240" t="str" cm="1">
        <f t="array" ref="C661">" "&amp;LOWER(_xlfn.REDUCE(H_unit[[#This Row],[Company]]&amp;" "&amp;H_unit[[#This Row],[Unit]],{",",".","(",")","/"},_xlfn.LAMBDA(_xlpm.txt,_xlpm.delim,SUBSTITUTE(_xlpm.txt,_xlpm.delim," "))))&amp;" "</f>
        <v xml:space="preserve"> savon voima oyj  joroinen lk110 </v>
      </c>
      <c r="D661" s="242">
        <v>2010</v>
      </c>
      <c r="E661" s="243">
        <v>3</v>
      </c>
      <c r="F661" s="243"/>
      <c r="G661" s="247"/>
      <c r="H661" s="267" t="s">
        <v>1423</v>
      </c>
      <c r="I661" s="248" t="s">
        <v>1143</v>
      </c>
      <c r="J661" s="246" t="str" cm="1">
        <f t="array" ref="J661">_xlfn.XLOOKUP(TRUE,ISNUMBER(SEARCH(" "&amp;Municipality[Municipality]&amp;" ",H_unit[[#This Row],[Info string]])),Municipality[Municipality],"")</f>
        <v>Joroinen</v>
      </c>
      <c r="K661" s="246" t="str" cm="1">
        <f t="array" ref="K661">IF(H_unit[[#This Row],[Exact]]&lt;&gt;"","",_xlfn.XLOOKUP(TRUE,ISNUMBER(SEARCH(" "&amp;Municipality[Municipality]&amp;"n ",H_unit[[#This Row],[Info string]])),Municipality[Municipality],""))</f>
        <v/>
      </c>
      <c r="L661" s="246"/>
      <c r="M661" s="244"/>
      <c r="N661" s="246" t="str">
        <f>_xlfn.TEXTJOIN("",TRUE,H_unit[[#This Row],[Exact]],H_unit[[#This Row],[Exact+n]],H_unit[[#This Row],[Copilot]])</f>
        <v>Joroinen</v>
      </c>
      <c r="O661" s="246" t="str">
        <f>_xlfn.XLOOKUP(H_unit[[#This Row],[Municipality]],Municipality[Municipality],Municipality[Model],"")</f>
        <v>East</v>
      </c>
      <c r="P661" s="236"/>
    </row>
    <row r="662" spans="1:16">
      <c r="A662" s="238" t="s">
        <v>1790</v>
      </c>
      <c r="B662" s="238" t="s">
        <v>1792</v>
      </c>
      <c r="C662" s="240" t="str" cm="1">
        <f t="array" ref="C662">" "&amp;LOWER(_xlfn.REDUCE(H_unit[[#This Row],[Company]]&amp;" "&amp;H_unit[[#This Row],[Unit]],{",",".","(",")","/"},_xlfn.LAMBDA(_xlpm.txt,_xlpm.delim,SUBSTITUTE(_xlpm.txt,_xlpm.delim," "))))&amp;" "</f>
        <v xml:space="preserve"> leppäkosken lämpö oy  ikaalinen kylpylän pellettilk </v>
      </c>
      <c r="D662" s="242">
        <v>2012</v>
      </c>
      <c r="E662" s="243">
        <v>3</v>
      </c>
      <c r="F662" s="243"/>
      <c r="G662" s="247"/>
      <c r="H662" s="267" t="s">
        <v>1436</v>
      </c>
      <c r="I662" s="248" t="s">
        <v>1143</v>
      </c>
      <c r="J662" s="246" t="str" cm="1">
        <f t="array" ref="J662">_xlfn.XLOOKUP(TRUE,ISNUMBER(SEARCH(" "&amp;Municipality[Municipality]&amp;" ",H_unit[[#This Row],[Info string]])),Municipality[Municipality],"")</f>
        <v>Ikaalinen</v>
      </c>
      <c r="K662" s="246" t="str" cm="1">
        <f t="array" ref="K662">IF(H_unit[[#This Row],[Exact]]&lt;&gt;"","",_xlfn.XLOOKUP(TRUE,ISNUMBER(SEARCH(" "&amp;Municipality[Municipality]&amp;"n ",H_unit[[#This Row],[Info string]])),Municipality[Municipality],""))</f>
        <v/>
      </c>
      <c r="L662" s="246"/>
      <c r="M662" s="244"/>
      <c r="N662" s="246" t="str">
        <f>_xlfn.TEXTJOIN("",TRUE,H_unit[[#This Row],[Exact]],H_unit[[#This Row],[Exact+n]],H_unit[[#This Row],[Copilot]])</f>
        <v>Ikaalinen</v>
      </c>
      <c r="O662" s="246" t="str">
        <f>_xlfn.XLOOKUP(H_unit[[#This Row],[Municipality]],Municipality[Municipality],Municipality[Model],"")</f>
        <v>Center</v>
      </c>
      <c r="P662" s="236"/>
    </row>
    <row r="663" spans="1:16">
      <c r="A663" s="238" t="s">
        <v>1790</v>
      </c>
      <c r="B663" s="238" t="s">
        <v>1793</v>
      </c>
      <c r="C663" s="240" t="str" cm="1">
        <f t="array" ref="C663">" "&amp;LOWER(_xlfn.REDUCE(H_unit[[#This Row],[Company]]&amp;" "&amp;H_unit[[#This Row],[Unit]],{",",".","(",")","/"},_xlfn.LAMBDA(_xlpm.txt,_xlpm.delim,SUBSTITUTE(_xlpm.txt,_xlpm.delim," "))))&amp;" "</f>
        <v xml:space="preserve"> leppäkosken lämpö oy  ikaalinen mvl pellettikattila </v>
      </c>
      <c r="D663" s="242">
        <v>2014</v>
      </c>
      <c r="E663" s="243">
        <v>3</v>
      </c>
      <c r="F663" s="243"/>
      <c r="G663" s="247"/>
      <c r="H663" s="267" t="s">
        <v>1436</v>
      </c>
      <c r="I663" s="248" t="s">
        <v>1143</v>
      </c>
      <c r="J663" s="246" t="str" cm="1">
        <f t="array" ref="J663">_xlfn.XLOOKUP(TRUE,ISNUMBER(SEARCH(" "&amp;Municipality[Municipality]&amp;" ",H_unit[[#This Row],[Info string]])),Municipality[Municipality],"")</f>
        <v>Ikaalinen</v>
      </c>
      <c r="K663" s="246" t="str" cm="1">
        <f t="array" ref="K663">IF(H_unit[[#This Row],[Exact]]&lt;&gt;"","",_xlfn.XLOOKUP(TRUE,ISNUMBER(SEARCH(" "&amp;Municipality[Municipality]&amp;"n ",H_unit[[#This Row],[Info string]])),Municipality[Municipality],""))</f>
        <v/>
      </c>
      <c r="L663" s="246"/>
      <c r="M663" s="244"/>
      <c r="N663" s="246" t="str">
        <f>_xlfn.TEXTJOIN("",TRUE,H_unit[[#This Row],[Exact]],H_unit[[#This Row],[Exact+n]],H_unit[[#This Row],[Copilot]])</f>
        <v>Ikaalinen</v>
      </c>
      <c r="O663" s="246" t="str">
        <f>_xlfn.XLOOKUP(H_unit[[#This Row],[Municipality]],Municipality[Municipality],Municipality[Model],"")</f>
        <v>Center</v>
      </c>
      <c r="P663" s="236"/>
    </row>
    <row r="664" spans="1:16">
      <c r="A664" s="238" t="s">
        <v>2168</v>
      </c>
      <c r="B664" s="238" t="s">
        <v>2171</v>
      </c>
      <c r="C664" s="240" t="str" cm="1">
        <f t="array" ref="C664">" "&amp;LOWER(_xlfn.REDUCE(H_unit[[#This Row],[Company]]&amp;" "&amp;H_unit[[#This Row],[Unit]],{",",".","(",")","/"},_xlfn.LAMBDA(_xlpm.txt,_xlpm.delim,SUBSTITUTE(_xlpm.txt,_xlpm.delim," "))))&amp;" "</f>
        <v xml:space="preserve"> someron lämpö oy uusi kpa </v>
      </c>
      <c r="D664" s="242">
        <v>2014</v>
      </c>
      <c r="E664" s="243">
        <v>3</v>
      </c>
      <c r="F664" s="243"/>
      <c r="G664" s="247"/>
      <c r="H664" s="267" t="s">
        <v>1430</v>
      </c>
      <c r="I664" s="248" t="s">
        <v>1141</v>
      </c>
      <c r="J664" s="246" t="str" cm="1">
        <f t="array" ref="J664">_xlfn.XLOOKUP(TRUE,ISNUMBER(SEARCH(" "&amp;Municipality[Municipality]&amp;" ",H_unit[[#This Row],[Info string]])),Municipality[Municipality],"")</f>
        <v/>
      </c>
      <c r="K664" s="246" t="str" cm="1">
        <f t="array" ref="K664">IF(H_unit[[#This Row],[Exact]]&lt;&gt;"","",_xlfn.XLOOKUP(TRUE,ISNUMBER(SEARCH(" "&amp;Municipality[Municipality]&amp;"n ",H_unit[[#This Row],[Info string]])),Municipality[Municipality],""))</f>
        <v>Somero</v>
      </c>
      <c r="L664" s="246"/>
      <c r="M664" s="244"/>
      <c r="N664" s="246" t="str">
        <f>_xlfn.TEXTJOIN("",TRUE,H_unit[[#This Row],[Exact]],H_unit[[#This Row],[Exact+n]],H_unit[[#This Row],[Copilot]])</f>
        <v>Somero</v>
      </c>
      <c r="O664" s="246" t="str">
        <f>_xlfn.XLOOKUP(H_unit[[#This Row],[Municipality]],Municipality[Municipality],Municipality[Model],"")</f>
        <v>South West</v>
      </c>
      <c r="P664" s="236"/>
    </row>
    <row r="665" spans="1:16">
      <c r="A665" s="238" t="s">
        <v>2401</v>
      </c>
      <c r="B665" s="238" t="s">
        <v>2402</v>
      </c>
      <c r="C665" s="240" t="str" cm="1">
        <f t="array" ref="C665">" "&amp;LOWER(_xlfn.REDUCE(H_unit[[#This Row],[Company]]&amp;" "&amp;H_unit[[#This Row],[Unit]],{",",".","(",")","/"},_xlfn.LAMBDA(_xlpm.txt,_xlpm.delim,SUBSTITUTE(_xlpm.txt,_xlpm.delim," "))))&amp;" "</f>
        <v xml:space="preserve"> suomen teollisuuden energiapalvelut oy  harjavalta pellettikattila </v>
      </c>
      <c r="D665" s="242">
        <v>2014</v>
      </c>
      <c r="E665" s="243">
        <v>3</v>
      </c>
      <c r="F665" s="243"/>
      <c r="G665" s="247"/>
      <c r="H665" s="267" t="s">
        <v>1436</v>
      </c>
      <c r="I665" s="248" t="s">
        <v>1443</v>
      </c>
      <c r="J665" s="246" t="str" cm="1">
        <f t="array" ref="J665">_xlfn.XLOOKUP(TRUE,ISNUMBER(SEARCH(" "&amp;Municipality[Municipality]&amp;" ",H_unit[[#This Row],[Info string]])),Municipality[Municipality],"")</f>
        <v>Harjavalta</v>
      </c>
      <c r="K665" s="246" t="str" cm="1">
        <f t="array" ref="K665">IF(H_unit[[#This Row],[Exact]]&lt;&gt;"","",_xlfn.XLOOKUP(TRUE,ISNUMBER(SEARCH(" "&amp;Municipality[Municipality]&amp;"n ",H_unit[[#This Row],[Info string]])),Municipality[Municipality],""))</f>
        <v/>
      </c>
      <c r="L665" s="246"/>
      <c r="M665" s="244"/>
      <c r="N665" s="246" t="str">
        <f>_xlfn.TEXTJOIN("",TRUE,H_unit[[#This Row],[Exact]],H_unit[[#This Row],[Exact+n]],H_unit[[#This Row],[Copilot]])</f>
        <v>Harjavalta</v>
      </c>
      <c r="O665" s="246" t="str">
        <f>_xlfn.XLOOKUP(H_unit[[#This Row],[Municipality]],Municipality[Municipality],Municipality[Model],"")</f>
        <v>West</v>
      </c>
      <c r="P665" s="236"/>
    </row>
    <row r="666" spans="1:16">
      <c r="A666" s="238" t="s">
        <v>1746</v>
      </c>
      <c r="B666" s="238" t="s">
        <v>1747</v>
      </c>
      <c r="C666" s="240" t="str" cm="1">
        <f t="array" ref="C666">" "&amp;LOWER(_xlfn.REDUCE(H_unit[[#This Row],[Company]]&amp;" "&amp;H_unit[[#This Row],[Unit]],{",",".","(",")","/"},_xlfn.LAMBDA(_xlpm.txt,_xlpm.delim,SUBSTITUTE(_xlpm.txt,_xlpm.delim," "))))&amp;" "</f>
        <v xml:space="preserve"> laihian nuuka lämpö oy kpa </v>
      </c>
      <c r="D666" s="242">
        <v>2015</v>
      </c>
      <c r="E666" s="243">
        <v>3</v>
      </c>
      <c r="F666" s="243"/>
      <c r="G666" s="247"/>
      <c r="H666" s="267" t="s">
        <v>1423</v>
      </c>
      <c r="I666" s="248" t="s">
        <v>1143</v>
      </c>
      <c r="J666" s="246" t="str" cm="1">
        <f t="array" ref="J666">_xlfn.XLOOKUP(TRUE,ISNUMBER(SEARCH(" "&amp;Municipality[Municipality]&amp;" ",H_unit[[#This Row],[Info string]])),Municipality[Municipality],"")</f>
        <v/>
      </c>
      <c r="K666" s="246" t="str" cm="1">
        <f t="array" ref="K666">IF(H_unit[[#This Row],[Exact]]&lt;&gt;"","",_xlfn.XLOOKUP(TRUE,ISNUMBER(SEARCH(" "&amp;Municipality[Municipality]&amp;"n ",H_unit[[#This Row],[Info string]])),Municipality[Municipality],""))</f>
        <v>Laihia</v>
      </c>
      <c r="L666" s="246"/>
      <c r="M666" s="244"/>
      <c r="N666" s="246" t="str">
        <f>_xlfn.TEXTJOIN("",TRUE,H_unit[[#This Row],[Exact]],H_unit[[#This Row],[Exact+n]],H_unit[[#This Row],[Copilot]])</f>
        <v>Laihia</v>
      </c>
      <c r="O666" s="246" t="str">
        <f>_xlfn.XLOOKUP(H_unit[[#This Row],[Municipality]],Municipality[Municipality],Municipality[Model],"")</f>
        <v>West</v>
      </c>
      <c r="P666" s="236"/>
    </row>
    <row r="667" spans="1:16">
      <c r="A667" s="238" t="s">
        <v>1757</v>
      </c>
      <c r="B667" s="238" t="s">
        <v>1759</v>
      </c>
      <c r="C667" s="240" t="str" cm="1">
        <f t="array" ref="C667">" "&amp;LOWER(_xlfn.REDUCE(H_unit[[#This Row],[Company]]&amp;" "&amp;H_unit[[#This Row],[Unit]],{",",".","(",")","/"},_xlfn.LAMBDA(_xlpm.txt,_xlpm.delim,SUBSTITUTE(_xlpm.txt,_xlpm.delim," "))))&amp;" "</f>
        <v xml:space="preserve"> lempeä lämpö oy  juva tirrolan lämpökeskus </v>
      </c>
      <c r="D667" s="242">
        <v>2015</v>
      </c>
      <c r="E667" s="243">
        <v>3</v>
      </c>
      <c r="F667" s="243"/>
      <c r="G667" s="247"/>
      <c r="H667" s="267" t="s">
        <v>1436</v>
      </c>
      <c r="I667" s="248" t="s">
        <v>1143</v>
      </c>
      <c r="J667" s="246" t="str" cm="1">
        <f t="array" ref="J667">_xlfn.XLOOKUP(TRUE,ISNUMBER(SEARCH(" "&amp;Municipality[Municipality]&amp;" ",H_unit[[#This Row],[Info string]])),Municipality[Municipality],"")</f>
        <v>Juva</v>
      </c>
      <c r="K667" s="246" t="str" cm="1">
        <f t="array" ref="K667">IF(H_unit[[#This Row],[Exact]]&lt;&gt;"","",_xlfn.XLOOKUP(TRUE,ISNUMBER(SEARCH(" "&amp;Municipality[Municipality]&amp;"n ",H_unit[[#This Row],[Info string]])),Municipality[Municipality],""))</f>
        <v/>
      </c>
      <c r="L667" s="246"/>
      <c r="M667" s="244"/>
      <c r="N667" s="246" t="str">
        <f>_xlfn.TEXTJOIN("",TRUE,H_unit[[#This Row],[Exact]],H_unit[[#This Row],[Exact+n]],H_unit[[#This Row],[Copilot]])</f>
        <v>Juva</v>
      </c>
      <c r="O667" s="246" t="str">
        <f>_xlfn.XLOOKUP(H_unit[[#This Row],[Municipality]],Municipality[Municipality],Municipality[Model],"")</f>
        <v>East</v>
      </c>
      <c r="P667" s="236"/>
    </row>
    <row r="668" spans="1:16">
      <c r="A668" s="238" t="s">
        <v>1950</v>
      </c>
      <c r="B668" s="238" t="s">
        <v>1952</v>
      </c>
      <c r="C668" s="240" t="str" cm="1">
        <f t="array" ref="C668">" "&amp;LOWER(_xlfn.REDUCE(H_unit[[#This Row],[Company]]&amp;" "&amp;H_unit[[#This Row],[Unit]],{",",".","(",")","/"},_xlfn.LAMBDA(_xlpm.txt,_xlpm.delim,SUBSTITUTE(_xlpm.txt,_xlpm.delim," "))))&amp;" "</f>
        <v xml:space="preserve"> nevel oy  tuusula  jokela  vaihdemiehentie kpa </v>
      </c>
      <c r="D668" s="242">
        <v>2015</v>
      </c>
      <c r="E668" s="243">
        <v>3</v>
      </c>
      <c r="F668" s="243"/>
      <c r="G668" s="247"/>
      <c r="H668" s="267" t="s">
        <v>1423</v>
      </c>
      <c r="I668" s="248" t="s">
        <v>1143</v>
      </c>
      <c r="J668" s="246" t="str" cm="1">
        <f t="array" ref="J668">_xlfn.XLOOKUP(TRUE,ISNUMBER(SEARCH(" "&amp;Municipality[Municipality]&amp;" ",H_unit[[#This Row],[Info string]])),Municipality[Municipality],"")</f>
        <v>Tuusula</v>
      </c>
      <c r="K668" s="246" t="str" cm="1">
        <f t="array" ref="K668">IF(H_unit[[#This Row],[Exact]]&lt;&gt;"","",_xlfn.XLOOKUP(TRUE,ISNUMBER(SEARCH(" "&amp;Municipality[Municipality]&amp;"n ",H_unit[[#This Row],[Info string]])),Municipality[Municipality],""))</f>
        <v/>
      </c>
      <c r="L668" s="246"/>
      <c r="M668" s="244"/>
      <c r="N668" s="246" t="str">
        <f>_xlfn.TEXTJOIN("",TRUE,H_unit[[#This Row],[Exact]],H_unit[[#This Row],[Exact+n]],H_unit[[#This Row],[Copilot]])</f>
        <v>Tuusula</v>
      </c>
      <c r="O668" s="246" t="str">
        <f>_xlfn.XLOOKUP(H_unit[[#This Row],[Municipality]],Municipality[Municipality],Municipality[Model],"")</f>
        <v>Uusimaa</v>
      </c>
      <c r="P668" s="236"/>
    </row>
    <row r="669" spans="1:16">
      <c r="A669" s="238" t="s">
        <v>1927</v>
      </c>
      <c r="B669" s="238" t="s">
        <v>1930</v>
      </c>
      <c r="C669" s="240" t="str" cm="1">
        <f t="array" ref="C669">" "&amp;LOWER(_xlfn.REDUCE(H_unit[[#This Row],[Company]]&amp;" "&amp;H_unit[[#This Row],[Unit]],{",",".","(",")","/"},_xlfn.LAMBDA(_xlpm.txt,_xlpm.delim,SUBSTITUTE(_xlpm.txt,_xlpm.delim," "))))&amp;" "</f>
        <v xml:space="preserve"> nevel oy  mynämäki mynämäki kpa </v>
      </c>
      <c r="D669" s="242">
        <v>2016</v>
      </c>
      <c r="E669" s="243">
        <v>3</v>
      </c>
      <c r="F669" s="243"/>
      <c r="G669" s="247"/>
      <c r="H669" s="267" t="s">
        <v>1423</v>
      </c>
      <c r="I669" s="248" t="s">
        <v>1143</v>
      </c>
      <c r="J669" s="246" t="str" cm="1">
        <f t="array" ref="J669">_xlfn.XLOOKUP(TRUE,ISNUMBER(SEARCH(" "&amp;Municipality[Municipality]&amp;" ",H_unit[[#This Row],[Info string]])),Municipality[Municipality],"")</f>
        <v>Mynämäki</v>
      </c>
      <c r="K669" s="246" t="str" cm="1">
        <f t="array" ref="K669">IF(H_unit[[#This Row],[Exact]]&lt;&gt;"","",_xlfn.XLOOKUP(TRUE,ISNUMBER(SEARCH(" "&amp;Municipality[Municipality]&amp;"n ",H_unit[[#This Row],[Info string]])),Municipality[Municipality],""))</f>
        <v/>
      </c>
      <c r="L669" s="246"/>
      <c r="M669" s="244"/>
      <c r="N669" s="246" t="str">
        <f>_xlfn.TEXTJOIN("",TRUE,H_unit[[#This Row],[Exact]],H_unit[[#This Row],[Exact+n]],H_unit[[#This Row],[Copilot]])</f>
        <v>Mynämäki</v>
      </c>
      <c r="O669" s="246" t="str">
        <f>_xlfn.XLOOKUP(H_unit[[#This Row],[Municipality]],Municipality[Municipality],Municipality[Model],"")</f>
        <v>South West</v>
      </c>
      <c r="P669" s="236"/>
    </row>
    <row r="670" spans="1:16">
      <c r="A670" s="238" t="s">
        <v>1678</v>
      </c>
      <c r="B670" s="238" t="s">
        <v>1686</v>
      </c>
      <c r="C670" s="240" t="str" cm="1">
        <f t="array" ref="C670">" "&amp;LOWER(_xlfn.REDUCE(H_unit[[#This Row],[Company]]&amp;" "&amp;H_unit[[#This Row],[Unit]],{",",".","(",")","/"},_xlfn.LAMBDA(_xlpm.txt,_xlpm.delim,SUBSTITUTE(_xlpm.txt,_xlpm.delim," "))))&amp;" "</f>
        <v xml:space="preserve"> kuopion energia oy kj-laitoksen lp2 </v>
      </c>
      <c r="D670" s="242">
        <v>2020</v>
      </c>
      <c r="E670" s="243">
        <v>3</v>
      </c>
      <c r="F670" s="243"/>
      <c r="G670" s="247"/>
      <c r="H670" s="267" t="s">
        <v>1417</v>
      </c>
      <c r="I670" s="248" t="s">
        <v>1144</v>
      </c>
      <c r="J670" s="246" t="str" cm="1">
        <f t="array" ref="J670">_xlfn.XLOOKUP(TRUE,ISNUMBER(SEARCH(" "&amp;Municipality[Municipality]&amp;" ",H_unit[[#This Row],[Info string]])),Municipality[Municipality],"")</f>
        <v/>
      </c>
      <c r="K670" s="246" t="str" cm="1">
        <f t="array" ref="K670">IF(H_unit[[#This Row],[Exact]]&lt;&gt;"","",_xlfn.XLOOKUP(TRUE,ISNUMBER(SEARCH(" "&amp;Municipality[Municipality]&amp;"n ",H_unit[[#This Row],[Info string]])),Municipality[Municipality],""))</f>
        <v>Kuopio</v>
      </c>
      <c r="L670" s="246"/>
      <c r="M670" s="244"/>
      <c r="N670" s="246" t="str">
        <f>_xlfn.TEXTJOIN("",TRUE,H_unit[[#This Row],[Exact]],H_unit[[#This Row],[Exact+n]],H_unit[[#This Row],[Copilot]])</f>
        <v>Kuopio</v>
      </c>
      <c r="O670" s="246" t="str">
        <f>_xlfn.XLOOKUP(H_unit[[#This Row],[Municipality]],Municipality[Municipality],Municipality[Model],"")</f>
        <v>East</v>
      </c>
      <c r="P670" s="236"/>
    </row>
    <row r="671" spans="1:16">
      <c r="A671" s="238" t="s">
        <v>2318</v>
      </c>
      <c r="B671" s="238" t="s">
        <v>2331</v>
      </c>
      <c r="C671" s="240" t="str" cm="1">
        <f t="array" ref="C671">" "&amp;LOWER(_xlfn.REDUCE(H_unit[[#This Row],[Company]]&amp;" "&amp;H_unit[[#This Row],[Unit]],{",",".","(",")","/"},_xlfn.LAMBDA(_xlpm.txt,_xlpm.delim,SUBSTITUTE(_xlpm.txt,_xlpm.delim," "))))&amp;" "</f>
        <v xml:space="preserve"> lappeenrannan lämpövoima oy pulp  joutseno  </v>
      </c>
      <c r="D671" s="242">
        <v>2020</v>
      </c>
      <c r="E671" s="243">
        <v>3</v>
      </c>
      <c r="F671" s="243"/>
      <c r="G671" s="247"/>
      <c r="H671" s="267" t="s">
        <v>1436</v>
      </c>
      <c r="I671" s="248" t="s">
        <v>1143</v>
      </c>
      <c r="J671" s="246" t="str" cm="1">
        <f t="array" ref="J671">_xlfn.XLOOKUP(TRUE,ISNUMBER(SEARCH(" "&amp;Municipality[Municipality]&amp;" ",H_unit[[#This Row],[Info string]])),Municipality[Municipality],"")</f>
        <v>Joutseno</v>
      </c>
      <c r="K671" s="246" t="str" cm="1">
        <f t="array" ref="K671">IF(H_unit[[#This Row],[Exact]]&lt;&gt;"","",_xlfn.XLOOKUP(TRUE,ISNUMBER(SEARCH(" "&amp;Municipality[Municipality]&amp;"n ",H_unit[[#This Row],[Info string]])),Municipality[Municipality],""))</f>
        <v/>
      </c>
      <c r="L671" s="246"/>
      <c r="M671" s="244"/>
      <c r="N671" s="246" t="str">
        <f>_xlfn.TEXTJOIN("",TRUE,H_unit[[#This Row],[Exact]],H_unit[[#This Row],[Exact+n]],H_unit[[#This Row],[Copilot]])</f>
        <v>Joutseno</v>
      </c>
      <c r="O671" s="246" t="str">
        <f>_xlfn.XLOOKUP(H_unit[[#This Row],[Municipality]],Municipality[Municipality],Municipality[Model],"")</f>
        <v>South East</v>
      </c>
      <c r="P671" s="236"/>
    </row>
    <row r="672" spans="1:16">
      <c r="A672" s="238" t="s">
        <v>1710</v>
      </c>
      <c r="B672" s="238" t="s">
        <v>1718</v>
      </c>
      <c r="C672" s="240" t="str" cm="1">
        <f t="array" ref="C672">" "&amp;LOWER(_xlfn.REDUCE(H_unit[[#This Row],[Company]]&amp;" "&amp;H_unit[[#This Row],[Unit]],{",",".","(",")","/"},_xlfn.LAMBDA(_xlpm.txt,_xlpm.delim,SUBSTITUTE(_xlpm.txt,_xlpm.delim," "))))&amp;" "</f>
        <v xml:space="preserve"> kuusamon energia- ja vesiosuuskunta rukan lämpökeskus </v>
      </c>
      <c r="D672" s="242" t="s">
        <v>1448</v>
      </c>
      <c r="E672" s="243">
        <v>3</v>
      </c>
      <c r="F672" s="243"/>
      <c r="G672" s="247"/>
      <c r="H672" s="267" t="s">
        <v>1430</v>
      </c>
      <c r="I672" s="248" t="s">
        <v>1141</v>
      </c>
      <c r="J672" s="246" t="str" cm="1">
        <f t="array" ref="J672">_xlfn.XLOOKUP(TRUE,ISNUMBER(SEARCH(" "&amp;Municipality[Municipality]&amp;" ",H_unit[[#This Row],[Info string]])),Municipality[Municipality],"")</f>
        <v/>
      </c>
      <c r="K672" s="246" t="str" cm="1">
        <f t="array" ref="K672">IF(H_unit[[#This Row],[Exact]]&lt;&gt;"","",_xlfn.XLOOKUP(TRUE,ISNUMBER(SEARCH(" "&amp;Municipality[Municipality]&amp;"n ",H_unit[[#This Row],[Info string]])),Municipality[Municipality],""))</f>
        <v>Kuusamo</v>
      </c>
      <c r="L672" s="246"/>
      <c r="M672" s="244"/>
      <c r="N672" s="246" t="str">
        <f>_xlfn.TEXTJOIN("",TRUE,H_unit[[#This Row],[Exact]],H_unit[[#This Row],[Exact+n]],H_unit[[#This Row],[Copilot]])</f>
        <v>Kuusamo</v>
      </c>
      <c r="O672" s="246" t="str">
        <f>_xlfn.XLOOKUP(H_unit[[#This Row],[Municipality]],Municipality[Municipality],Municipality[Model],"")</f>
        <v>North</v>
      </c>
      <c r="P672" s="236"/>
    </row>
    <row r="673" spans="1:16">
      <c r="A673" s="238" t="s">
        <v>2318</v>
      </c>
      <c r="B673" s="238" t="s">
        <v>2329</v>
      </c>
      <c r="C673" s="240" t="str" cm="1">
        <f t="array" ref="C673">" "&amp;LOWER(_xlfn.REDUCE(H_unit[[#This Row],[Company]]&amp;" "&amp;H_unit[[#This Row],[Unit]],{",",".","(",")","/"},_xlfn.LAMBDA(_xlpm.txt,_xlpm.delim,SUBSTITUTE(_xlpm.txt,_xlpm.delim," "))))&amp;" "</f>
        <v xml:space="preserve"> lappeenrannan lämpövoima oy selkäharju </v>
      </c>
      <c r="D673" s="242">
        <v>1990</v>
      </c>
      <c r="E673" s="243">
        <v>2.8</v>
      </c>
      <c r="F673" s="243"/>
      <c r="G673" s="247"/>
      <c r="H673" s="267" t="s">
        <v>1453</v>
      </c>
      <c r="I673" s="248" t="s">
        <v>1142</v>
      </c>
      <c r="J673" s="246" t="str" cm="1">
        <f t="array" ref="J673">_xlfn.XLOOKUP(TRUE,ISNUMBER(SEARCH(" "&amp;Municipality[Municipality]&amp;" ",H_unit[[#This Row],[Info string]])),Municipality[Municipality],"")</f>
        <v/>
      </c>
      <c r="K673" s="246" t="str" cm="1">
        <f t="array" ref="K673">IF(H_unit[[#This Row],[Exact]]&lt;&gt;"","",_xlfn.XLOOKUP(TRUE,ISNUMBER(SEARCH(" "&amp;Municipality[Municipality]&amp;"n ",H_unit[[#This Row],[Info string]])),Municipality[Municipality],""))</f>
        <v/>
      </c>
      <c r="L673" s="246" t="s">
        <v>980</v>
      </c>
      <c r="M673" s="244" t="s">
        <v>2892</v>
      </c>
      <c r="N673" s="246" t="str">
        <f>_xlfn.TEXTJOIN("",TRUE,H_unit[[#This Row],[Exact]],H_unit[[#This Row],[Exact+n]],H_unit[[#This Row],[Copilot]])</f>
        <v>Lappeenranta</v>
      </c>
      <c r="O673" s="246" t="str">
        <f>_xlfn.XLOOKUP(H_unit[[#This Row],[Municipality]],Municipality[Municipality],Municipality[Model],"")</f>
        <v>South East</v>
      </c>
      <c r="P673" s="236"/>
    </row>
    <row r="674" spans="1:16">
      <c r="A674" s="238" t="s">
        <v>1897</v>
      </c>
      <c r="B674" s="238" t="s">
        <v>1902</v>
      </c>
      <c r="C674" s="240" t="str" cm="1">
        <f t="array" ref="C674">" "&amp;LOWER(_xlfn.REDUCE(H_unit[[#This Row],[Company]]&amp;" "&amp;H_unit[[#This Row],[Unit]],{",",".","(",")","/"},_xlfn.LAMBDA(_xlpm.txt,_xlpm.delim,SUBSTITUTE(_xlpm.txt,_xlpm.delim," "))))&amp;" "</f>
        <v xml:space="preserve"> neve oy  rovaniemi rautiosaari </v>
      </c>
      <c r="D674" s="242">
        <v>2010</v>
      </c>
      <c r="E674" s="243">
        <v>2.7</v>
      </c>
      <c r="F674" s="243"/>
      <c r="G674" s="247"/>
      <c r="H674" s="267" t="s">
        <v>1436</v>
      </c>
      <c r="I674" s="248" t="s">
        <v>1143</v>
      </c>
      <c r="J674" s="246" t="str" cm="1">
        <f t="array" ref="J674">_xlfn.XLOOKUP(TRUE,ISNUMBER(SEARCH(" "&amp;Municipality[Municipality]&amp;" ",H_unit[[#This Row],[Info string]])),Municipality[Municipality],"")</f>
        <v>Rovaniemi</v>
      </c>
      <c r="K674" s="246" t="str" cm="1">
        <f t="array" ref="K674">IF(H_unit[[#This Row],[Exact]]&lt;&gt;"","",_xlfn.XLOOKUP(TRUE,ISNUMBER(SEARCH(" "&amp;Municipality[Municipality]&amp;"n ",H_unit[[#This Row],[Info string]])),Municipality[Municipality],""))</f>
        <v/>
      </c>
      <c r="L674" s="246"/>
      <c r="M674" s="244"/>
      <c r="N674" s="246" t="str">
        <f>_xlfn.TEXTJOIN("",TRUE,H_unit[[#This Row],[Exact]],H_unit[[#This Row],[Exact+n]],H_unit[[#This Row],[Copilot]])</f>
        <v>Rovaniemi</v>
      </c>
      <c r="O674" s="246" t="str">
        <f>_xlfn.XLOOKUP(H_unit[[#This Row],[Municipality]],Municipality[Municipality],Municipality[Model],"")</f>
        <v>North</v>
      </c>
      <c r="P674" s="236"/>
    </row>
    <row r="675" spans="1:16">
      <c r="A675" s="238" t="s">
        <v>2186</v>
      </c>
      <c r="B675" s="238" t="s">
        <v>2188</v>
      </c>
      <c r="C675" s="240" t="str" cm="1">
        <f t="array" ref="C675">" "&amp;LOWER(_xlfn.REDUCE(H_unit[[#This Row],[Company]]&amp;" "&amp;H_unit[[#This Row],[Unit]],{",",".","(",")","/"},_xlfn.LAMBDA(_xlpm.txt,_xlpm.delim,SUBSTITUTE(_xlpm.txt,_xlpm.delim," "))))&amp;" "</f>
        <v xml:space="preserve"> toholammin energia oy pok 2 </v>
      </c>
      <c r="D675" s="242">
        <v>1980</v>
      </c>
      <c r="E675" s="243">
        <v>2.5</v>
      </c>
      <c r="F675" s="243"/>
      <c r="G675" s="247"/>
      <c r="H675" s="267" t="s">
        <v>1430</v>
      </c>
      <c r="I675" s="248" t="s">
        <v>1141</v>
      </c>
      <c r="J675" s="246" t="str" cm="1">
        <f t="array" ref="J675">_xlfn.XLOOKUP(TRUE,ISNUMBER(SEARCH(" "&amp;Municipality[Municipality]&amp;" ",H_unit[[#This Row],[Info string]])),Municipality[Municipality],"")</f>
        <v/>
      </c>
      <c r="K675" s="246" t="str" cm="1">
        <f t="array" ref="K675">IF(H_unit[[#This Row],[Exact]]&lt;&gt;"","",_xlfn.XLOOKUP(TRUE,ISNUMBER(SEARCH(" "&amp;Municipality[Municipality]&amp;"n ",H_unit[[#This Row],[Info string]])),Municipality[Municipality],""))</f>
        <v/>
      </c>
      <c r="L675" s="246" t="s">
        <v>1077</v>
      </c>
      <c r="M675" s="244" t="s">
        <v>2921</v>
      </c>
      <c r="N675" s="246" t="str">
        <f>_xlfn.TEXTJOIN("",TRUE,H_unit[[#This Row],[Exact]],H_unit[[#This Row],[Exact+n]],H_unit[[#This Row],[Copilot]])</f>
        <v>Toholampi</v>
      </c>
      <c r="O675" s="246" t="str">
        <f>_xlfn.XLOOKUP(H_unit[[#This Row],[Municipality]],Municipality[Municipality],Municipality[Model],"")</f>
        <v>West</v>
      </c>
      <c r="P675" s="236"/>
    </row>
    <row r="676" spans="1:16">
      <c r="A676" s="238" t="s">
        <v>1937</v>
      </c>
      <c r="B676" s="238" t="s">
        <v>1938</v>
      </c>
      <c r="C676" s="240" t="str" cm="1">
        <f t="array" ref="C676">" "&amp;LOWER(_xlfn.REDUCE(H_unit[[#This Row],[Company]]&amp;" "&amp;H_unit[[#This Row],[Unit]],{",",".","(",")","/"},_xlfn.LAMBDA(_xlpm.txt,_xlpm.delim,SUBSTITUTE(_xlpm.txt,_xlpm.delim," "))))&amp;" "</f>
        <v xml:space="preserve"> nevel oy  rääkkylä rääkkylä kpa </v>
      </c>
      <c r="D676" s="242">
        <v>1984</v>
      </c>
      <c r="E676" s="243">
        <v>2.5</v>
      </c>
      <c r="F676" s="243"/>
      <c r="G676" s="247"/>
      <c r="H676" s="267" t="s">
        <v>1423</v>
      </c>
      <c r="I676" s="248" t="s">
        <v>1143</v>
      </c>
      <c r="J676" s="246" t="str" cm="1">
        <f t="array" ref="J676">_xlfn.XLOOKUP(TRUE,ISNUMBER(SEARCH(" "&amp;Municipality[Municipality]&amp;" ",H_unit[[#This Row],[Info string]])),Municipality[Municipality],"")</f>
        <v>Rääkkylä</v>
      </c>
      <c r="K676" s="246" t="str" cm="1">
        <f t="array" ref="K676">IF(H_unit[[#This Row],[Exact]]&lt;&gt;"","",_xlfn.XLOOKUP(TRUE,ISNUMBER(SEARCH(" "&amp;Municipality[Municipality]&amp;"n ",H_unit[[#This Row],[Info string]])),Municipality[Municipality],""))</f>
        <v/>
      </c>
      <c r="L676" s="246"/>
      <c r="M676" s="244"/>
      <c r="N676" s="246" t="str">
        <f>_xlfn.TEXTJOIN("",TRUE,H_unit[[#This Row],[Exact]],H_unit[[#This Row],[Exact+n]],H_unit[[#This Row],[Copilot]])</f>
        <v>Rääkkylä</v>
      </c>
      <c r="O676" s="246" t="str">
        <f>_xlfn.XLOOKUP(H_unit[[#This Row],[Municipality]],Municipality[Municipality],Municipality[Model],"")</f>
        <v>East</v>
      </c>
      <c r="P676" s="236"/>
    </row>
    <row r="677" spans="1:16">
      <c r="A677" s="238" t="s">
        <v>2038</v>
      </c>
      <c r="B677" s="238" t="s">
        <v>2040</v>
      </c>
      <c r="C677" s="240" t="str" cm="1">
        <f t="array" ref="C677">" "&amp;LOWER(_xlfn.REDUCE(H_unit[[#This Row],[Company]]&amp;" "&amp;H_unit[[#This Row],[Unit]],{",",".","(",")","/"},_xlfn.LAMBDA(_xlpm.txt,_xlpm.delim,SUBSTITUTE(_xlpm.txt,_xlpm.delim," "))))&amp;" "</f>
        <v xml:space="preserve"> pori energia oy  harjavalta harjavalta 2 </v>
      </c>
      <c r="D677" s="242">
        <v>1986</v>
      </c>
      <c r="E677" s="243">
        <v>2.5</v>
      </c>
      <c r="F677" s="243"/>
      <c r="G677" s="247"/>
      <c r="H677" s="267" t="s">
        <v>1430</v>
      </c>
      <c r="I677" s="248" t="s">
        <v>1141</v>
      </c>
      <c r="J677" s="246" t="str" cm="1">
        <f t="array" ref="J677">_xlfn.XLOOKUP(TRUE,ISNUMBER(SEARCH(" "&amp;Municipality[Municipality]&amp;" ",H_unit[[#This Row],[Info string]])),Municipality[Municipality],"")</f>
        <v>Pori</v>
      </c>
      <c r="K677" s="246" t="str" cm="1">
        <f t="array" ref="K677">IF(H_unit[[#This Row],[Exact]]&lt;&gt;"","",_xlfn.XLOOKUP(TRUE,ISNUMBER(SEARCH(" "&amp;Municipality[Municipality]&amp;"n ",H_unit[[#This Row],[Info string]])),Municipality[Municipality],""))</f>
        <v/>
      </c>
      <c r="L677" s="246"/>
      <c r="M677" s="244"/>
      <c r="N677" s="246" t="str">
        <f>_xlfn.TEXTJOIN("",TRUE,H_unit[[#This Row],[Exact]],H_unit[[#This Row],[Exact+n]],H_unit[[#This Row],[Copilot]])</f>
        <v>Pori</v>
      </c>
      <c r="O677" s="246" t="str">
        <f>_xlfn.XLOOKUP(H_unit[[#This Row],[Municipality]],Municipality[Municipality],Municipality[Model],"")</f>
        <v>West</v>
      </c>
      <c r="P677" s="236"/>
    </row>
    <row r="678" spans="1:16">
      <c r="A678" s="238" t="s">
        <v>1511</v>
      </c>
      <c r="B678" s="238" t="s">
        <v>1514</v>
      </c>
      <c r="C678" s="240" t="str" cm="1">
        <f t="array" ref="C678">" "&amp;LOWER(_xlfn.REDUCE(H_unit[[#This Row],[Company]]&amp;" "&amp;H_unit[[#This Row],[Unit]],{",",".","(",")","/"},_xlfn.LAMBDA(_xlpm.txt,_xlpm.delim,SUBSTITUTE(_xlpm.txt,_xlpm.delim," "))))&amp;" "</f>
        <v xml:space="preserve"> haminan kaukolämpö oy harju </v>
      </c>
      <c r="D678" s="242">
        <v>1994</v>
      </c>
      <c r="E678" s="243">
        <v>2.5</v>
      </c>
      <c r="F678" s="243"/>
      <c r="G678" s="247"/>
      <c r="H678" s="267" t="s">
        <v>1453</v>
      </c>
      <c r="I678" s="248" t="s">
        <v>1142</v>
      </c>
      <c r="J678" s="246" t="str" cm="1">
        <f t="array" ref="J678">_xlfn.XLOOKUP(TRUE,ISNUMBER(SEARCH(" "&amp;Municipality[Municipality]&amp;" ",H_unit[[#This Row],[Info string]])),Municipality[Municipality],"")</f>
        <v/>
      </c>
      <c r="K678" s="246" t="str" cm="1">
        <f t="array" ref="K678">IF(H_unit[[#This Row],[Exact]]&lt;&gt;"","",_xlfn.XLOOKUP(TRUE,ISNUMBER(SEARCH(" "&amp;Municipality[Municipality]&amp;"n ",H_unit[[#This Row],[Info string]])),Municipality[Municipality],""))</f>
        <v>Hamina</v>
      </c>
      <c r="L678" s="246"/>
      <c r="M678" s="244"/>
      <c r="N678" s="246" t="str">
        <f>_xlfn.TEXTJOIN("",TRUE,H_unit[[#This Row],[Exact]],H_unit[[#This Row],[Exact+n]],H_unit[[#This Row],[Copilot]])</f>
        <v>Hamina</v>
      </c>
      <c r="O678" s="246" t="str">
        <f>_xlfn.XLOOKUP(H_unit[[#This Row],[Municipality]],Municipality[Municipality],Municipality[Model],"")</f>
        <v>South East</v>
      </c>
      <c r="P678" s="236"/>
    </row>
    <row r="679" spans="1:16">
      <c r="A679" s="238" t="s">
        <v>1581</v>
      </c>
      <c r="B679" s="238" t="s">
        <v>1584</v>
      </c>
      <c r="C679" s="240" t="str" cm="1">
        <f t="array" ref="C679">" "&amp;LOWER(_xlfn.REDUCE(H_unit[[#This Row],[Company]]&amp;" "&amp;H_unit[[#This Row],[Unit]],{",",".","(",")","/"},_xlfn.LAMBDA(_xlpm.txt,_xlpm.delim,SUBSTITUTE(_xlpm.txt,_xlpm.delim," "))))&amp;" "</f>
        <v xml:space="preserve"> kauhajoen lämpöhuolto oy koivisto-kokko </v>
      </c>
      <c r="D679" s="242">
        <v>1995</v>
      </c>
      <c r="E679" s="243">
        <v>2.5</v>
      </c>
      <c r="F679" s="243"/>
      <c r="G679" s="247"/>
      <c r="H679" s="267" t="s">
        <v>1418</v>
      </c>
      <c r="I679" s="248" t="s">
        <v>1141</v>
      </c>
      <c r="J679" s="246" t="str" cm="1">
        <f t="array" ref="J679">_xlfn.XLOOKUP(TRUE,ISNUMBER(SEARCH(" "&amp;Municipality[Municipality]&amp;" ",H_unit[[#This Row],[Info string]])),Municipality[Municipality],"")</f>
        <v/>
      </c>
      <c r="K679" s="246" t="str" cm="1">
        <f t="array" ref="K679">IF(H_unit[[#This Row],[Exact]]&lt;&gt;"","",_xlfn.XLOOKUP(TRUE,ISNUMBER(SEARCH(" "&amp;Municipality[Municipality]&amp;"n ",H_unit[[#This Row],[Info string]])),Municipality[Municipality],""))</f>
        <v/>
      </c>
      <c r="L679" s="246" t="s">
        <v>2577</v>
      </c>
      <c r="M679" s="244" t="s">
        <v>2918</v>
      </c>
      <c r="N679" s="246" t="str">
        <f>_xlfn.TEXTJOIN("",TRUE,H_unit[[#This Row],[Exact]],H_unit[[#This Row],[Exact+n]],H_unit[[#This Row],[Copilot]])</f>
        <v>Kauhajoki</v>
      </c>
      <c r="O679" s="246" t="str">
        <f>_xlfn.XLOOKUP(H_unit[[#This Row],[Municipality]],Municipality[Municipality],Municipality[Model],"")</f>
        <v>West</v>
      </c>
      <c r="P679" s="236"/>
    </row>
    <row r="680" spans="1:16">
      <c r="A680" s="238" t="s">
        <v>1517</v>
      </c>
      <c r="B680" s="238" t="s">
        <v>1518</v>
      </c>
      <c r="C680" s="240" t="str" cm="1">
        <f t="array" ref="C680">" "&amp;LOWER(_xlfn.REDUCE(H_unit[[#This Row],[Company]]&amp;" "&amp;H_unit[[#This Row],[Unit]],{",",".","(",")","/"},_xlfn.LAMBDA(_xlpm.txt,_xlpm.delim,SUBSTITUTE(_xlpm.txt,_xlpm.delim," "))))&amp;" "</f>
        <v xml:space="preserve"> herrfors oy ab  alavieska alavieska </v>
      </c>
      <c r="D680" s="242">
        <v>2000</v>
      </c>
      <c r="E680" s="243">
        <v>2.5</v>
      </c>
      <c r="F680" s="243"/>
      <c r="G680" s="247"/>
      <c r="H680" s="267" t="s">
        <v>1423</v>
      </c>
      <c r="I680" s="248" t="s">
        <v>1143</v>
      </c>
      <c r="J680" s="246" t="str" cm="1">
        <f t="array" ref="J680">_xlfn.XLOOKUP(TRUE,ISNUMBER(SEARCH(" "&amp;Municipality[Municipality]&amp;" ",H_unit[[#This Row],[Info string]])),Municipality[Municipality],"")</f>
        <v>Alavieska</v>
      </c>
      <c r="K680" s="246" t="str" cm="1">
        <f t="array" ref="K680">IF(H_unit[[#This Row],[Exact]]&lt;&gt;"","",_xlfn.XLOOKUP(TRUE,ISNUMBER(SEARCH(" "&amp;Municipality[Municipality]&amp;"n ",H_unit[[#This Row],[Info string]])),Municipality[Municipality],""))</f>
        <v/>
      </c>
      <c r="L680" s="246"/>
      <c r="M680" s="244"/>
      <c r="N680" s="246" t="str">
        <f>_xlfn.TEXTJOIN("",TRUE,H_unit[[#This Row],[Exact]],H_unit[[#This Row],[Exact+n]],H_unit[[#This Row],[Copilot]])</f>
        <v>Alavieska</v>
      </c>
      <c r="O680" s="246" t="str">
        <f>_xlfn.XLOOKUP(H_unit[[#This Row],[Municipality]],Municipality[Municipality],Municipality[Model],"")</f>
        <v>North</v>
      </c>
      <c r="P680" s="236"/>
    </row>
    <row r="681" spans="1:16">
      <c r="A681" s="238" t="s">
        <v>2087</v>
      </c>
      <c r="B681" s="238" t="s">
        <v>2093</v>
      </c>
      <c r="C681" s="240" t="str" cm="1">
        <f t="array" ref="C681">" "&amp;LOWER(_xlfn.REDUCE(H_unit[[#This Row],[Company]]&amp;" "&amp;H_unit[[#This Row],[Unit]],{",",".","(",")","/"},_xlfn.LAMBDA(_xlpm.txt,_xlpm.delim,SUBSTITUTE(_xlpm.txt,_xlpm.delim," "))))&amp;" "</f>
        <v xml:space="preserve"> riihimäen kaukolämpö oy kynttilätie </v>
      </c>
      <c r="D681" s="242">
        <v>2000</v>
      </c>
      <c r="E681" s="243">
        <v>2.5</v>
      </c>
      <c r="F681" s="243"/>
      <c r="G681" s="247"/>
      <c r="H681" s="267" t="s">
        <v>1453</v>
      </c>
      <c r="I681" s="248" t="s">
        <v>1142</v>
      </c>
      <c r="J681" s="246" t="str" cm="1">
        <f t="array" ref="J681">_xlfn.XLOOKUP(TRUE,ISNUMBER(SEARCH(" "&amp;Municipality[Municipality]&amp;" ",H_unit[[#This Row],[Info string]])),Municipality[Municipality],"")</f>
        <v/>
      </c>
      <c r="K681" s="246" t="str" cm="1">
        <f t="array" ref="K681">IF(H_unit[[#This Row],[Exact]]&lt;&gt;"","",_xlfn.XLOOKUP(TRUE,ISNUMBER(SEARCH(" "&amp;Municipality[Municipality]&amp;"n ",H_unit[[#This Row],[Info string]])),Municipality[Municipality],""))</f>
        <v/>
      </c>
      <c r="L681" s="246" t="s">
        <v>2751</v>
      </c>
      <c r="M681" s="244" t="s">
        <v>2908</v>
      </c>
      <c r="N681" s="246" t="str">
        <f>_xlfn.TEXTJOIN("",TRUE,H_unit[[#This Row],[Exact]],H_unit[[#This Row],[Exact+n]],H_unit[[#This Row],[Copilot]])</f>
        <v>Riihimäki</v>
      </c>
      <c r="O681" s="246" t="str">
        <f>_xlfn.XLOOKUP(H_unit[[#This Row],[Municipality]],Municipality[Municipality],Municipality[Model],"")</f>
        <v>South West</v>
      </c>
      <c r="P681" s="236"/>
    </row>
    <row r="682" spans="1:16">
      <c r="A682" s="238" t="s">
        <v>2241</v>
      </c>
      <c r="B682" s="238" t="s">
        <v>2242</v>
      </c>
      <c r="C682" s="240" t="str" cm="1">
        <f t="array" ref="C682">" "&amp;LOWER(_xlfn.REDUCE(H_unit[[#This Row],[Company]]&amp;" "&amp;H_unit[[#This Row],[Unit]],{",",".","(",")","/"},_xlfn.LAMBDA(_xlpm.txt,_xlpm.delim,SUBSTITUTE(_xlpm.txt,_xlpm.delim," "))))&amp;" "</f>
        <v xml:space="preserve"> vierumäen infra oy huoltokeskus </v>
      </c>
      <c r="D682" s="242">
        <v>2002</v>
      </c>
      <c r="E682" s="243">
        <v>2.5</v>
      </c>
      <c r="F682" s="243"/>
      <c r="G682" s="247"/>
      <c r="H682" s="267" t="s">
        <v>1458</v>
      </c>
      <c r="I682" s="248" t="s">
        <v>1141</v>
      </c>
      <c r="J682" s="246" t="str" cm="1">
        <f t="array" ref="J682">_xlfn.XLOOKUP(TRUE,ISNUMBER(SEARCH(" "&amp;Municipality[Municipality]&amp;" ",H_unit[[#This Row],[Info string]])),Municipality[Municipality],"")</f>
        <v/>
      </c>
      <c r="K682" s="246" t="str" cm="1">
        <f t="array" ref="K682">IF(H_unit[[#This Row],[Exact]]&lt;&gt;"","",_xlfn.XLOOKUP(TRUE,ISNUMBER(SEARCH(" "&amp;Municipality[Municipality]&amp;"n ",H_unit[[#This Row],[Info string]])),Municipality[Municipality],""))</f>
        <v/>
      </c>
      <c r="L682" s="246"/>
      <c r="M682" s="244"/>
      <c r="N682" s="246" t="str">
        <f>_xlfn.TEXTJOIN("",TRUE,H_unit[[#This Row],[Exact]],H_unit[[#This Row],[Exact+n]],H_unit[[#This Row],[Copilot]])</f>
        <v/>
      </c>
      <c r="O682" s="246" t="str">
        <f>_xlfn.XLOOKUP(H_unit[[#This Row],[Municipality]],Municipality[Municipality],Municipality[Model],"")</f>
        <v/>
      </c>
      <c r="P682" s="236"/>
    </row>
    <row r="683" spans="1:16">
      <c r="A683" s="238" t="s">
        <v>1796</v>
      </c>
      <c r="B683" s="238" t="s">
        <v>1799</v>
      </c>
      <c r="C683" s="240" t="str" cm="1">
        <f t="array" ref="C683">" "&amp;LOWER(_xlfn.REDUCE(H_unit[[#This Row],[Company]]&amp;" "&amp;H_unit[[#This Row],[Unit]],{",",".","(",")","/"},_xlfn.LAMBDA(_xlpm.txt,_xlpm.delim,SUBSTITUTE(_xlpm.txt,_xlpm.delim," "))))&amp;" "</f>
        <v xml:space="preserve"> leppäkosken lämpö oy  nokia nosturikadun lämpökeskus </v>
      </c>
      <c r="D683" s="242">
        <v>2004</v>
      </c>
      <c r="E683" s="243">
        <v>2.5</v>
      </c>
      <c r="F683" s="243"/>
      <c r="G683" s="247"/>
      <c r="H683" s="267" t="s">
        <v>1436</v>
      </c>
      <c r="I683" s="248" t="s">
        <v>1143</v>
      </c>
      <c r="J683" s="246" t="str" cm="1">
        <f t="array" ref="J683">_xlfn.XLOOKUP(TRUE,ISNUMBER(SEARCH(" "&amp;Municipality[Municipality]&amp;" ",H_unit[[#This Row],[Info string]])),Municipality[Municipality],"")</f>
        <v>Nokia</v>
      </c>
      <c r="K683" s="246" t="str" cm="1">
        <f t="array" ref="K683">IF(H_unit[[#This Row],[Exact]]&lt;&gt;"","",_xlfn.XLOOKUP(TRUE,ISNUMBER(SEARCH(" "&amp;Municipality[Municipality]&amp;"n ",H_unit[[#This Row],[Info string]])),Municipality[Municipality],""))</f>
        <v/>
      </c>
      <c r="L683" s="246"/>
      <c r="M683" s="244"/>
      <c r="N683" s="246" t="str">
        <f>_xlfn.TEXTJOIN("",TRUE,H_unit[[#This Row],[Exact]],H_unit[[#This Row],[Exact+n]],H_unit[[#This Row],[Copilot]])</f>
        <v>Nokia</v>
      </c>
      <c r="O683" s="246" t="str">
        <f>_xlfn.XLOOKUP(H_unit[[#This Row],[Municipality]],Municipality[Municipality],Municipality[Model],"")</f>
        <v>Center</v>
      </c>
      <c r="P683" s="236"/>
    </row>
    <row r="684" spans="1:16">
      <c r="A684" s="238" t="s">
        <v>1866</v>
      </c>
      <c r="B684" s="238" t="s">
        <v>1867</v>
      </c>
      <c r="C684" s="240" t="str" cm="1">
        <f t="array" ref="C684">" "&amp;LOWER(_xlfn.REDUCE(H_unit[[#This Row],[Company]]&amp;" "&amp;H_unit[[#This Row],[Unit]],{",",".","(",")","/"},_xlfn.LAMBDA(_xlpm.txt,_xlpm.delim,SUBSTITUTE(_xlpm.txt,_xlpm.delim," "))))&amp;" "</f>
        <v xml:space="preserve"> loimua oy  kärsämäki varastotie 1 </v>
      </c>
      <c r="D684" s="242">
        <v>2005</v>
      </c>
      <c r="E684" s="243">
        <v>2.5</v>
      </c>
      <c r="F684" s="243"/>
      <c r="G684" s="247"/>
      <c r="H684" s="267" t="s">
        <v>1423</v>
      </c>
      <c r="I684" s="248" t="s">
        <v>1143</v>
      </c>
      <c r="J684" s="246" t="str" cm="1">
        <f t="array" ref="J684">_xlfn.XLOOKUP(TRUE,ISNUMBER(SEARCH(" "&amp;Municipality[Municipality]&amp;" ",H_unit[[#This Row],[Info string]])),Municipality[Municipality],"")</f>
        <v>Kärsämäki</v>
      </c>
      <c r="K684" s="246" t="str" cm="1">
        <f t="array" ref="K684">IF(H_unit[[#This Row],[Exact]]&lt;&gt;"","",_xlfn.XLOOKUP(TRUE,ISNUMBER(SEARCH(" "&amp;Municipality[Municipality]&amp;"n ",H_unit[[#This Row],[Info string]])),Municipality[Municipality],""))</f>
        <v/>
      </c>
      <c r="L684" s="246"/>
      <c r="M684" s="244"/>
      <c r="N684" s="246" t="str">
        <f>_xlfn.TEXTJOIN("",TRUE,H_unit[[#This Row],[Exact]],H_unit[[#This Row],[Exact+n]],H_unit[[#This Row],[Copilot]])</f>
        <v>Kärsämäki</v>
      </c>
      <c r="O684" s="246" t="str">
        <f>_xlfn.XLOOKUP(H_unit[[#This Row],[Municipality]],Municipality[Municipality],Municipality[Model],"")</f>
        <v>North</v>
      </c>
      <c r="P684" s="236"/>
    </row>
    <row r="685" spans="1:16">
      <c r="A685" s="238" t="s">
        <v>1866</v>
      </c>
      <c r="B685" s="238" t="s">
        <v>1867</v>
      </c>
      <c r="C685" s="240" t="str" cm="1">
        <f t="array" ref="C685">" "&amp;LOWER(_xlfn.REDUCE(H_unit[[#This Row],[Company]]&amp;" "&amp;H_unit[[#This Row],[Unit]],{",",".","(",")","/"},_xlfn.LAMBDA(_xlpm.txt,_xlpm.delim,SUBSTITUTE(_xlpm.txt,_xlpm.delim," "))))&amp;" "</f>
        <v xml:space="preserve"> loimua oy  kärsämäki varastotie 1 </v>
      </c>
      <c r="D685" s="242">
        <v>2005</v>
      </c>
      <c r="E685" s="243">
        <v>2.5</v>
      </c>
      <c r="F685" s="243"/>
      <c r="G685" s="247"/>
      <c r="H685" s="267" t="s">
        <v>1430</v>
      </c>
      <c r="I685" s="248" t="s">
        <v>1141</v>
      </c>
      <c r="J685" s="246" t="str" cm="1">
        <f t="array" ref="J685">_xlfn.XLOOKUP(TRUE,ISNUMBER(SEARCH(" "&amp;Municipality[Municipality]&amp;" ",H_unit[[#This Row],[Info string]])),Municipality[Municipality],"")</f>
        <v>Kärsämäki</v>
      </c>
      <c r="K685" s="246" t="str" cm="1">
        <f t="array" ref="K685">IF(H_unit[[#This Row],[Exact]]&lt;&gt;"","",_xlfn.XLOOKUP(TRUE,ISNUMBER(SEARCH(" "&amp;Municipality[Municipality]&amp;"n ",H_unit[[#This Row],[Info string]])),Municipality[Municipality],""))</f>
        <v/>
      </c>
      <c r="L685" s="246"/>
      <c r="M685" s="244"/>
      <c r="N685" s="246" t="str">
        <f>_xlfn.TEXTJOIN("",TRUE,H_unit[[#This Row],[Exact]],H_unit[[#This Row],[Exact+n]],H_unit[[#This Row],[Copilot]])</f>
        <v>Kärsämäki</v>
      </c>
      <c r="O685" s="246" t="str">
        <f>_xlfn.XLOOKUP(H_unit[[#This Row],[Municipality]],Municipality[Municipality],Municipality[Model],"")</f>
        <v>North</v>
      </c>
      <c r="P685" s="236"/>
    </row>
    <row r="686" spans="1:16">
      <c r="A686" s="238" t="s">
        <v>1719</v>
      </c>
      <c r="B686" s="238" t="s">
        <v>1720</v>
      </c>
      <c r="C686" s="240" t="str" cm="1">
        <f t="array" ref="C686">" "&amp;LOWER(_xlfn.REDUCE(H_unit[[#This Row],[Company]]&amp;" "&amp;H_unit[[#This Row],[Unit]],{",",".","(",")","/"},_xlfn.LAMBDA(_xlpm.txt,_xlpm.delim,SUBSTITUTE(_xlpm.txt,_xlpm.delim," "))))&amp;" "</f>
        <v xml:space="preserve"> köyliön-säkylän sähkö oy kpa-lämpökeskus </v>
      </c>
      <c r="D686" s="242">
        <v>2006</v>
      </c>
      <c r="E686" s="243">
        <v>2.5</v>
      </c>
      <c r="F686" s="243"/>
      <c r="G686" s="247"/>
      <c r="H686" s="267" t="s">
        <v>1423</v>
      </c>
      <c r="I686" s="248" t="s">
        <v>1143</v>
      </c>
      <c r="J686" s="246" t="str" cm="1">
        <f t="array" ref="J686">_xlfn.XLOOKUP(TRUE,ISNUMBER(SEARCH(" "&amp;Municipality[Municipality]&amp;" ",H_unit[[#This Row],[Info string]])),Municipality[Municipality],"")</f>
        <v/>
      </c>
      <c r="K686" s="246" t="str" cm="1">
        <f t="array" ref="K686">IF(H_unit[[#This Row],[Exact]]&lt;&gt;"","",_xlfn.XLOOKUP(TRUE,ISNUMBER(SEARCH(" "&amp;Municipality[Municipality]&amp;"n ",H_unit[[#This Row],[Info string]])),Municipality[Municipality],""))</f>
        <v/>
      </c>
      <c r="L686" s="246" t="s">
        <v>947</v>
      </c>
      <c r="M686" s="244" t="s">
        <v>2922</v>
      </c>
      <c r="N686" s="246" t="str">
        <f>_xlfn.TEXTJOIN("",TRUE,H_unit[[#This Row],[Exact]],H_unit[[#This Row],[Exact+n]],H_unit[[#This Row],[Copilot]])</f>
        <v>Säkylä</v>
      </c>
      <c r="O686" s="246" t="str">
        <f>_xlfn.XLOOKUP(H_unit[[#This Row],[Municipality]],Municipality[Municipality],Municipality[Model],"")</f>
        <v>West</v>
      </c>
      <c r="P686" s="236"/>
    </row>
    <row r="687" spans="1:16">
      <c r="A687" s="238" t="s">
        <v>1988</v>
      </c>
      <c r="B687" s="238" t="s">
        <v>1991</v>
      </c>
      <c r="C687" s="240" t="str" cm="1">
        <f t="array" ref="C687">" "&amp;LOWER(_xlfn.REDUCE(H_unit[[#This Row],[Company]]&amp;" "&amp;H_unit[[#This Row],[Unit]],{",",".","(",")","/"},_xlfn.LAMBDA(_xlpm.txt,_xlpm.delim,SUBSTITUTE(_xlpm.txt,_xlpm.delim," "))))&amp;" "</f>
        <v xml:space="preserve"> nykarleby kraftverk kpö kattilalaitos 2 5 mw </v>
      </c>
      <c r="D687" s="242">
        <v>2007</v>
      </c>
      <c r="E687" s="243">
        <v>2.5</v>
      </c>
      <c r="F687" s="243"/>
      <c r="G687" s="247"/>
      <c r="H687" s="267" t="s">
        <v>1430</v>
      </c>
      <c r="I687" s="248" t="s">
        <v>1141</v>
      </c>
      <c r="J687" s="246" t="str" cm="1">
        <f t="array" ref="J687">_xlfn.XLOOKUP(TRUE,ISNUMBER(SEARCH(" "&amp;Municipality[Municipality]&amp;" ",H_unit[[#This Row],[Info string]])),Municipality[Municipality],"")</f>
        <v/>
      </c>
      <c r="K687" s="246" t="str" cm="1">
        <f t="array" ref="K687">IF(H_unit[[#This Row],[Exact]]&lt;&gt;"","",_xlfn.XLOOKUP(TRUE,ISNUMBER(SEARCH(" "&amp;Municipality[Municipality]&amp;"n ",H_unit[[#This Row],[Info string]])),Municipality[Municipality],""))</f>
        <v/>
      </c>
      <c r="L687" s="246" t="s">
        <v>2697</v>
      </c>
      <c r="M687" s="244" t="s">
        <v>2925</v>
      </c>
      <c r="N687" s="246" t="str">
        <f>_xlfn.TEXTJOIN("",TRUE,H_unit[[#This Row],[Exact]],H_unit[[#This Row],[Exact+n]],H_unit[[#This Row],[Copilot]])</f>
        <v>Uusikaarlepyy</v>
      </c>
      <c r="O687" s="246" t="str">
        <f>_xlfn.XLOOKUP(H_unit[[#This Row],[Municipality]],Municipality[Municipality],Municipality[Model],"")</f>
        <v>West</v>
      </c>
      <c r="P687" s="236"/>
    </row>
    <row r="688" spans="1:16">
      <c r="A688" s="238" t="s">
        <v>2014</v>
      </c>
      <c r="B688" s="238" t="s">
        <v>2015</v>
      </c>
      <c r="C688" s="240" t="str" cm="1">
        <f t="array" ref="C688">" "&amp;LOWER(_xlfn.REDUCE(H_unit[[#This Row],[Company]]&amp;" "&amp;H_unit[[#This Row],[Unit]],{",",".","(",")","/"},_xlfn.LAMBDA(_xlpm.txt,_xlpm.delim,SUBSTITUTE(_xlpm.txt,_xlpm.delim," "))))&amp;" "</f>
        <v xml:space="preserve"> oulun seudun sähkö  liminka liminka  kuormatie </v>
      </c>
      <c r="D688" s="242">
        <v>2007</v>
      </c>
      <c r="E688" s="243">
        <v>2.5</v>
      </c>
      <c r="F688" s="243"/>
      <c r="G688" s="247"/>
      <c r="H688" s="267" t="s">
        <v>1428</v>
      </c>
      <c r="I688" s="248" t="s">
        <v>1143</v>
      </c>
      <c r="J688" s="246" t="str" cm="1">
        <f t="array" ref="J688">_xlfn.XLOOKUP(TRUE,ISNUMBER(SEARCH(" "&amp;Municipality[Municipality]&amp;" ",H_unit[[#This Row],[Info string]])),Municipality[Municipality],"")</f>
        <v>Liminka</v>
      </c>
      <c r="K688" s="246" t="str" cm="1">
        <f t="array" ref="K688">IF(H_unit[[#This Row],[Exact]]&lt;&gt;"","",_xlfn.XLOOKUP(TRUE,ISNUMBER(SEARCH(" "&amp;Municipality[Municipality]&amp;"n ",H_unit[[#This Row],[Info string]])),Municipality[Municipality],""))</f>
        <v/>
      </c>
      <c r="L688" s="246"/>
      <c r="M688" s="244"/>
      <c r="N688" s="246" t="str">
        <f>_xlfn.TEXTJOIN("",TRUE,H_unit[[#This Row],[Exact]],H_unit[[#This Row],[Exact+n]],H_unit[[#This Row],[Copilot]])</f>
        <v>Liminka</v>
      </c>
      <c r="O688" s="246" t="str">
        <f>_xlfn.XLOOKUP(H_unit[[#This Row],[Municipality]],Municipality[Municipality],Municipality[Model],"")</f>
        <v>North</v>
      </c>
      <c r="P688" s="236"/>
    </row>
    <row r="689" spans="1:16">
      <c r="A689" s="238" t="s">
        <v>2154</v>
      </c>
      <c r="B689" s="238" t="s">
        <v>2156</v>
      </c>
      <c r="C689" s="240" t="str" cm="1">
        <f t="array" ref="C689">" "&amp;LOWER(_xlfn.REDUCE(H_unit[[#This Row],[Company]]&amp;" "&amp;H_unit[[#This Row],[Unit]],{",",".","(",")","/"},_xlfn.LAMBDA(_xlpm.txt,_xlpm.delim,SUBSTITUTE(_xlpm.txt,_xlpm.delim," "))))&amp;" "</f>
        <v xml:space="preserve"> savon voima oyj  rautalampi lk40 pappilan 6 bio </v>
      </c>
      <c r="D689" s="242">
        <v>2008</v>
      </c>
      <c r="E689" s="243">
        <v>2.5</v>
      </c>
      <c r="F689" s="243"/>
      <c r="G689" s="247"/>
      <c r="H689" s="267" t="s">
        <v>1423</v>
      </c>
      <c r="I689" s="248" t="s">
        <v>1143</v>
      </c>
      <c r="J689" s="246" t="str" cm="1">
        <f t="array" ref="J689">_xlfn.XLOOKUP(TRUE,ISNUMBER(SEARCH(" "&amp;Municipality[Municipality]&amp;" ",H_unit[[#This Row],[Info string]])),Municipality[Municipality],"")</f>
        <v>Rautalampi</v>
      </c>
      <c r="K689" s="246" t="str" cm="1">
        <f t="array" ref="K689">IF(H_unit[[#This Row],[Exact]]&lt;&gt;"","",_xlfn.XLOOKUP(TRUE,ISNUMBER(SEARCH(" "&amp;Municipality[Municipality]&amp;"n ",H_unit[[#This Row],[Info string]])),Municipality[Municipality],""))</f>
        <v/>
      </c>
      <c r="L689" s="246"/>
      <c r="M689" s="244"/>
      <c r="N689" s="246" t="str">
        <f>_xlfn.TEXTJOIN("",TRUE,H_unit[[#This Row],[Exact]],H_unit[[#This Row],[Exact+n]],H_unit[[#This Row],[Copilot]])</f>
        <v>Rautalampi</v>
      </c>
      <c r="O689" s="246" t="str">
        <f>_xlfn.XLOOKUP(H_unit[[#This Row],[Municipality]],Municipality[Municipality],Municipality[Model],"")</f>
        <v>East</v>
      </c>
      <c r="P689" s="236"/>
    </row>
    <row r="690" spans="1:16">
      <c r="A690" s="238" t="s">
        <v>2237</v>
      </c>
      <c r="B690" s="238" t="s">
        <v>2238</v>
      </c>
      <c r="C690" s="240" t="str" cm="1">
        <f t="array" ref="C690">" "&amp;LOWER(_xlfn.REDUCE(H_unit[[#This Row],[Company]]&amp;" "&amp;H_unit[[#This Row],[Unit]],{",",".","(",")","/"},_xlfn.LAMBDA(_xlpm.txt,_xlpm.delim,SUBSTITUTE(_xlpm.txt,_xlpm.delim," "))))&amp;" "</f>
        <v xml:space="preserve"> vetelin energia oy kpa 1 </v>
      </c>
      <c r="D690" s="242">
        <v>2012</v>
      </c>
      <c r="E690" s="243">
        <v>2.5</v>
      </c>
      <c r="F690" s="243"/>
      <c r="G690" s="247"/>
      <c r="H690" s="267" t="s">
        <v>1423</v>
      </c>
      <c r="I690" s="248" t="s">
        <v>1143</v>
      </c>
      <c r="J690" s="246" t="str" cm="1">
        <f t="array" ref="J690">_xlfn.XLOOKUP(TRUE,ISNUMBER(SEARCH(" "&amp;Municipality[Municipality]&amp;" ",H_unit[[#This Row],[Info string]])),Municipality[Municipality],"")</f>
        <v/>
      </c>
      <c r="K690" s="246" t="str" cm="1">
        <f t="array" ref="K690">IF(H_unit[[#This Row],[Exact]]&lt;&gt;"","",_xlfn.XLOOKUP(TRUE,ISNUMBER(SEARCH(" "&amp;Municipality[Municipality]&amp;"n ",H_unit[[#This Row],[Info string]])),Municipality[Municipality],""))</f>
        <v>Veteli</v>
      </c>
      <c r="L690" s="246"/>
      <c r="M690" s="244"/>
      <c r="N690" s="246" t="str">
        <f>_xlfn.TEXTJOIN("",TRUE,H_unit[[#This Row],[Exact]],H_unit[[#This Row],[Exact+n]],H_unit[[#This Row],[Copilot]])</f>
        <v>Veteli</v>
      </c>
      <c r="O690" s="246" t="str">
        <f>_xlfn.XLOOKUP(H_unit[[#This Row],[Municipality]],Municipality[Municipality],Municipality[Model],"")</f>
        <v>West</v>
      </c>
      <c r="P690" s="236"/>
    </row>
    <row r="691" spans="1:16">
      <c r="A691" s="238" t="s">
        <v>2025</v>
      </c>
      <c r="B691" s="238" t="s">
        <v>2026</v>
      </c>
      <c r="C691" s="240" t="str" cm="1">
        <f t="array" ref="C691">" "&amp;LOWER(_xlfn.REDUCE(H_unit[[#This Row],[Company]]&amp;" "&amp;H_unit[[#This Row],[Unit]],{",",".","(",")","/"},_xlfn.LAMBDA(_xlpm.txt,_xlpm.delim,SUBSTITUTE(_xlpm.txt,_xlpm.delim," "))))&amp;" "</f>
        <v xml:space="preserve"> oulun seudun sähkö  tyrnävä tyrnävä  ketolantie </v>
      </c>
      <c r="D691" s="242">
        <v>2013</v>
      </c>
      <c r="E691" s="243">
        <v>2.5</v>
      </c>
      <c r="F691" s="243"/>
      <c r="G691" s="247"/>
      <c r="H691" s="267" t="s">
        <v>1428</v>
      </c>
      <c r="I691" s="248" t="s">
        <v>1143</v>
      </c>
      <c r="J691" s="246" t="str" cm="1">
        <f t="array" ref="J691">_xlfn.XLOOKUP(TRUE,ISNUMBER(SEARCH(" "&amp;Municipality[Municipality]&amp;" ",H_unit[[#This Row],[Info string]])),Municipality[Municipality],"")</f>
        <v>Tyrnävä</v>
      </c>
      <c r="K691" s="246" t="str" cm="1">
        <f t="array" ref="K691">IF(H_unit[[#This Row],[Exact]]&lt;&gt;"","",_xlfn.XLOOKUP(TRUE,ISNUMBER(SEARCH(" "&amp;Municipality[Municipality]&amp;"n ",H_unit[[#This Row],[Info string]])),Municipality[Municipality],""))</f>
        <v/>
      </c>
      <c r="L691" s="246"/>
      <c r="M691" s="244"/>
      <c r="N691" s="246" t="str">
        <f>_xlfn.TEXTJOIN("",TRUE,H_unit[[#This Row],[Exact]],H_unit[[#This Row],[Exact+n]],H_unit[[#This Row],[Copilot]])</f>
        <v>Tyrnävä</v>
      </c>
      <c r="O691" s="246" t="str">
        <f>_xlfn.XLOOKUP(H_unit[[#This Row],[Municipality]],Municipality[Municipality],Municipality[Model],"")</f>
        <v>North</v>
      </c>
      <c r="P691" s="236"/>
    </row>
    <row r="692" spans="1:16">
      <c r="A692" s="238" t="s">
        <v>2253</v>
      </c>
      <c r="B692" s="238" t="s">
        <v>2259</v>
      </c>
      <c r="C692" s="240" t="str" cm="1">
        <f t="array" ref="C692">" "&amp;LOWER(_xlfn.REDUCE(H_unit[[#This Row],[Company]]&amp;" "&amp;H_unit[[#This Row],[Unit]],{",",".","(",")","/"},_xlfn.LAMBDA(_xlpm.txt,_xlpm.delim,SUBSTITUTE(_xlpm.txt,_xlpm.delim," "))))&amp;" "</f>
        <v xml:space="preserve"> vsv energia oy pätsi pok </v>
      </c>
      <c r="D692" s="242">
        <v>2016</v>
      </c>
      <c r="E692" s="243">
        <v>2.5</v>
      </c>
      <c r="F692" s="243"/>
      <c r="G692" s="247"/>
      <c r="H692" s="267" t="s">
        <v>1430</v>
      </c>
      <c r="I692" s="248" t="s">
        <v>1141</v>
      </c>
      <c r="J692" s="246" t="str" cm="1">
        <f t="array" ref="J692">_xlfn.XLOOKUP(TRUE,ISNUMBER(SEARCH(" "&amp;Municipality[Municipality]&amp;" ",H_unit[[#This Row],[Info string]])),Municipality[Municipality],"")</f>
        <v/>
      </c>
      <c r="K692" s="246" t="str" cm="1">
        <f t="array" ref="K692">IF(H_unit[[#This Row],[Exact]]&lt;&gt;"","",_xlfn.XLOOKUP(TRUE,ISNUMBER(SEARCH(" "&amp;Municipality[Municipality]&amp;"n ",H_unit[[#This Row],[Info string]])),Municipality[Municipality],""))</f>
        <v/>
      </c>
      <c r="L692" s="246" t="s">
        <v>955</v>
      </c>
      <c r="M692" s="244" t="s">
        <v>2899</v>
      </c>
      <c r="N692" s="246" t="str">
        <f>_xlfn.TEXTJOIN("",TRUE,H_unit[[#This Row],[Exact]],H_unit[[#This Row],[Exact+n]],H_unit[[#This Row],[Copilot]])</f>
        <v>Uusikaupunki</v>
      </c>
      <c r="O692" s="246" t="str">
        <f>_xlfn.XLOOKUP(H_unit[[#This Row],[Municipality]],Municipality[Municipality],Municipality[Model],"")</f>
        <v>South West</v>
      </c>
      <c r="P692" s="236"/>
    </row>
    <row r="693" spans="1:16">
      <c r="A693" s="238" t="s">
        <v>1661</v>
      </c>
      <c r="B693" s="238" t="s">
        <v>1676</v>
      </c>
      <c r="C693" s="240" t="str" cm="1">
        <f t="array" ref="C693">" "&amp;LOWER(_xlfn.REDUCE(H_unit[[#This Row],[Company]]&amp;" "&amp;H_unit[[#This Row],[Unit]],{",",".","(",")","/"},_xlfn.LAMBDA(_xlpm.txt,_xlpm.delim,SUBSTITUTE(_xlpm.txt,_xlpm.delim," "))))&amp;" "</f>
        <v xml:space="preserve"> kss lämpö oy  kouvola valkeala bio lämpökeskus kasu </v>
      </c>
      <c r="D693" s="242">
        <v>2023</v>
      </c>
      <c r="E693" s="243">
        <v>2.5</v>
      </c>
      <c r="F693" s="243"/>
      <c r="G693" s="247"/>
      <c r="H693" s="267" t="s">
        <v>1453</v>
      </c>
      <c r="I693" s="248" t="s">
        <v>1142</v>
      </c>
      <c r="J693" s="246" t="str" cm="1">
        <f t="array" ref="J693">_xlfn.XLOOKUP(TRUE,ISNUMBER(SEARCH(" "&amp;Municipality[Municipality]&amp;" ",H_unit[[#This Row],[Info string]])),Municipality[Municipality],"")</f>
        <v>Kouvola</v>
      </c>
      <c r="K693" s="246" t="str" cm="1">
        <f t="array" ref="K693">IF(H_unit[[#This Row],[Exact]]&lt;&gt;"","",_xlfn.XLOOKUP(TRUE,ISNUMBER(SEARCH(" "&amp;Municipality[Municipality]&amp;"n ",H_unit[[#This Row],[Info string]])),Municipality[Municipality],""))</f>
        <v/>
      </c>
      <c r="L693" s="246"/>
      <c r="M693" s="244"/>
      <c r="N693" s="246" t="str">
        <f>_xlfn.TEXTJOIN("",TRUE,H_unit[[#This Row],[Exact]],H_unit[[#This Row],[Exact+n]],H_unit[[#This Row],[Copilot]])</f>
        <v>Kouvola</v>
      </c>
      <c r="O693" s="246" t="str">
        <f>_xlfn.XLOOKUP(H_unit[[#This Row],[Municipality]],Municipality[Municipality],Municipality[Model],"")</f>
        <v>South East</v>
      </c>
      <c r="P693" s="236"/>
    </row>
    <row r="694" spans="1:16">
      <c r="A694" s="238" t="s">
        <v>1710</v>
      </c>
      <c r="B694" s="238" t="s">
        <v>1715</v>
      </c>
      <c r="C694" s="240" t="str" cm="1">
        <f t="array" ref="C694">" "&amp;LOWER(_xlfn.REDUCE(H_unit[[#This Row],[Company]]&amp;" "&amp;H_unit[[#This Row],[Unit]],{",",".","(",")","/"},_xlfn.LAMBDA(_xlpm.txt,_xlpm.delim,SUBSTITUTE(_xlpm.txt,_xlpm.delim," "))))&amp;" "</f>
        <v xml:space="preserve"> kuusamon energia- ja vesiosuuskunta kylpylän lämpökeskus </v>
      </c>
      <c r="D694" s="242" t="s">
        <v>1448</v>
      </c>
      <c r="E694" s="243">
        <v>2.5</v>
      </c>
      <c r="F694" s="243"/>
      <c r="G694" s="247"/>
      <c r="H694" s="267" t="s">
        <v>1430</v>
      </c>
      <c r="I694" s="248" t="s">
        <v>1141</v>
      </c>
      <c r="J694" s="246" t="str" cm="1">
        <f t="array" ref="J694">_xlfn.XLOOKUP(TRUE,ISNUMBER(SEARCH(" "&amp;Municipality[Municipality]&amp;" ",H_unit[[#This Row],[Info string]])),Municipality[Municipality],"")</f>
        <v/>
      </c>
      <c r="K694" s="246" t="str" cm="1">
        <f t="array" ref="K694">IF(H_unit[[#This Row],[Exact]]&lt;&gt;"","",_xlfn.XLOOKUP(TRUE,ISNUMBER(SEARCH(" "&amp;Municipality[Municipality]&amp;"n ",H_unit[[#This Row],[Info string]])),Municipality[Municipality],""))</f>
        <v>Kuusamo</v>
      </c>
      <c r="L694" s="246"/>
      <c r="M694" s="244"/>
      <c r="N694" s="246" t="str">
        <f>_xlfn.TEXTJOIN("",TRUE,H_unit[[#This Row],[Exact]],H_unit[[#This Row],[Exact+n]],H_unit[[#This Row],[Copilot]])</f>
        <v>Kuusamo</v>
      </c>
      <c r="O694" s="246" t="str">
        <f>_xlfn.XLOOKUP(H_unit[[#This Row],[Municipality]],Municipality[Municipality],Municipality[Model],"")</f>
        <v>North</v>
      </c>
      <c r="P694" s="236"/>
    </row>
    <row r="695" spans="1:16">
      <c r="A695" s="238" t="s">
        <v>1806</v>
      </c>
      <c r="B695" s="238" t="s">
        <v>1808</v>
      </c>
      <c r="C695" s="240" t="str" cm="1">
        <f t="array" ref="C695">" "&amp;LOWER(_xlfn.REDUCE(H_unit[[#This Row],[Company]]&amp;" "&amp;H_unit[[#This Row],[Unit]],{",",".","(",")","/"},_xlfn.LAMBDA(_xlpm.txt,_xlpm.delim,SUBSTITUTE(_xlpm.txt,_xlpm.delim," "))))&amp;" "</f>
        <v xml:space="preserve"> liedon lämpö oy piispala </v>
      </c>
      <c r="D695" s="242" t="s">
        <v>1448</v>
      </c>
      <c r="E695" s="243">
        <v>2.5</v>
      </c>
      <c r="F695" s="243"/>
      <c r="G695" s="247"/>
      <c r="H695" s="267" t="s">
        <v>1430</v>
      </c>
      <c r="I695" s="248" t="s">
        <v>1141</v>
      </c>
      <c r="J695" s="246" t="str" cm="1">
        <f t="array" ref="J695">_xlfn.XLOOKUP(TRUE,ISNUMBER(SEARCH(" "&amp;Municipality[Municipality]&amp;" ",H_unit[[#This Row],[Info string]])),Municipality[Municipality],"")</f>
        <v/>
      </c>
      <c r="K695" s="246" t="str" cm="1">
        <f t="array" ref="K695">IF(H_unit[[#This Row],[Exact]]&lt;&gt;"","",_xlfn.XLOOKUP(TRUE,ISNUMBER(SEARCH(" "&amp;Municipality[Municipality]&amp;"n ",H_unit[[#This Row],[Info string]])),Municipality[Municipality],""))</f>
        <v/>
      </c>
      <c r="L695" s="246" t="s">
        <v>2661</v>
      </c>
      <c r="M695" s="244" t="s">
        <v>2909</v>
      </c>
      <c r="N695" s="246" t="str">
        <f>_xlfn.TEXTJOIN("",TRUE,H_unit[[#This Row],[Exact]],H_unit[[#This Row],[Exact+n]],H_unit[[#This Row],[Copilot]])</f>
        <v>Lieto</v>
      </c>
      <c r="O695" s="246" t="str">
        <f>_xlfn.XLOOKUP(H_unit[[#This Row],[Municipality]],Municipality[Municipality],Municipality[Model],"")</f>
        <v>South West</v>
      </c>
      <c r="P695" s="236"/>
    </row>
    <row r="696" spans="1:16">
      <c r="A696" s="238" t="s">
        <v>1959</v>
      </c>
      <c r="B696" s="238" t="s">
        <v>1960</v>
      </c>
      <c r="C696" s="240" t="str" cm="1">
        <f t="array" ref="C696">" "&amp;LOWER(_xlfn.REDUCE(H_unit[[#This Row],[Company]]&amp;" "&amp;H_unit[[#This Row],[Unit]],{",",".","(",")","/"},_xlfn.LAMBDA(_xlpm.txt,_xlpm.delim,SUBSTITUTE(_xlpm.txt,_xlpm.delim," "))))&amp;" "</f>
        <v xml:space="preserve"> nevel oy  vehmersalmi vehmersalmen pellettilämpökeskus  </v>
      </c>
      <c r="D696" s="242" t="s">
        <v>1448</v>
      </c>
      <c r="E696" s="243">
        <v>2.5</v>
      </c>
      <c r="F696" s="243"/>
      <c r="G696" s="247"/>
      <c r="H696" s="267" t="s">
        <v>1436</v>
      </c>
      <c r="I696" s="248" t="s">
        <v>1143</v>
      </c>
      <c r="J696" s="246" t="str" cm="1">
        <f t="array" ref="J696">_xlfn.XLOOKUP(TRUE,ISNUMBER(SEARCH(" "&amp;Municipality[Municipality]&amp;" ",H_unit[[#This Row],[Info string]])),Municipality[Municipality],"")</f>
        <v>Vehmersalmi</v>
      </c>
      <c r="K696" s="246" t="str" cm="1">
        <f t="array" ref="K696">IF(H_unit[[#This Row],[Exact]]&lt;&gt;"","",_xlfn.XLOOKUP(TRUE,ISNUMBER(SEARCH(" "&amp;Municipality[Municipality]&amp;"n ",H_unit[[#This Row],[Info string]])),Municipality[Municipality],""))</f>
        <v/>
      </c>
      <c r="L696" s="246"/>
      <c r="M696" s="244"/>
      <c r="N696" s="246" t="str">
        <f>_xlfn.TEXTJOIN("",TRUE,H_unit[[#This Row],[Exact]],H_unit[[#This Row],[Exact+n]],H_unit[[#This Row],[Copilot]])</f>
        <v>Vehmersalmi</v>
      </c>
      <c r="O696" s="246" t="str">
        <f>_xlfn.XLOOKUP(H_unit[[#This Row],[Municipality]],Municipality[Municipality],Municipality[Model],"")</f>
        <v>East</v>
      </c>
      <c r="P696" s="236"/>
    </row>
    <row r="697" spans="1:16">
      <c r="A697" s="238" t="s">
        <v>1873</v>
      </c>
      <c r="B697" s="238" t="s">
        <v>1875</v>
      </c>
      <c r="C697" s="240" t="str" cm="1">
        <f t="array" ref="C697">" "&amp;LOWER(_xlfn.REDUCE(H_unit[[#This Row],[Company]]&amp;" "&amp;H_unit[[#This Row],[Unit]],{",",".","(",")","/"},_xlfn.LAMBDA(_xlpm.txt,_xlpm.delim,SUBSTITUTE(_xlpm.txt,_xlpm.delim," "))))&amp;" "</f>
        <v xml:space="preserve"> loimua oy  vilppula vanha paloasema </v>
      </c>
      <c r="D697" s="242">
        <v>1982</v>
      </c>
      <c r="E697" s="243">
        <v>2.4</v>
      </c>
      <c r="F697" s="243"/>
      <c r="G697" s="247"/>
      <c r="H697" s="267" t="s">
        <v>1430</v>
      </c>
      <c r="I697" s="248" t="s">
        <v>1141</v>
      </c>
      <c r="J697" s="246" t="str" cm="1">
        <f t="array" ref="J697">_xlfn.XLOOKUP(TRUE,ISNUMBER(SEARCH(" "&amp;Municipality[Municipality]&amp;" ",H_unit[[#This Row],[Info string]])),Municipality[Municipality],"")</f>
        <v>Vilppula</v>
      </c>
      <c r="K697" s="246" t="str" cm="1">
        <f t="array" ref="K697">IF(H_unit[[#This Row],[Exact]]&lt;&gt;"","",_xlfn.XLOOKUP(TRUE,ISNUMBER(SEARCH(" "&amp;Municipality[Municipality]&amp;"n ",H_unit[[#This Row],[Info string]])),Municipality[Municipality],""))</f>
        <v/>
      </c>
      <c r="L697" s="246"/>
      <c r="M697" s="244"/>
      <c r="N697" s="246" t="str">
        <f>_xlfn.TEXTJOIN("",TRUE,H_unit[[#This Row],[Exact]],H_unit[[#This Row],[Exact+n]],H_unit[[#This Row],[Copilot]])</f>
        <v>Vilppula</v>
      </c>
      <c r="O697" s="246" t="str">
        <f>_xlfn.XLOOKUP(H_unit[[#This Row],[Municipality]],Municipality[Municipality],Municipality[Model],"")</f>
        <v>Center</v>
      </c>
      <c r="P697" s="236"/>
    </row>
    <row r="698" spans="1:16">
      <c r="A698" s="238" t="s">
        <v>1661</v>
      </c>
      <c r="B698" s="238" t="s">
        <v>1674</v>
      </c>
      <c r="C698" s="240" t="str" cm="1">
        <f t="array" ref="C698">" "&amp;LOWER(_xlfn.REDUCE(H_unit[[#This Row],[Company]]&amp;" "&amp;H_unit[[#This Row],[Unit]],{",",".","(",")","/"},_xlfn.LAMBDA(_xlpm.txt,_xlpm.delim,SUBSTITUTE(_xlpm.txt,_xlpm.delim," "))))&amp;" "</f>
        <v xml:space="preserve"> kss lämpö oy  kouvola hurjanhaka ja jaakonkara </v>
      </c>
      <c r="D698" s="242">
        <v>1985</v>
      </c>
      <c r="E698" s="243">
        <v>2.4</v>
      </c>
      <c r="F698" s="243"/>
      <c r="G698" s="247"/>
      <c r="H698" s="267" t="s">
        <v>1453</v>
      </c>
      <c r="I698" s="248" t="s">
        <v>1142</v>
      </c>
      <c r="J698" s="246" t="str" cm="1">
        <f t="array" ref="J698">_xlfn.XLOOKUP(TRUE,ISNUMBER(SEARCH(" "&amp;Municipality[Municipality]&amp;" ",H_unit[[#This Row],[Info string]])),Municipality[Municipality],"")</f>
        <v>Kouvola</v>
      </c>
      <c r="K698" s="246" t="str" cm="1">
        <f t="array" ref="K698">IF(H_unit[[#This Row],[Exact]]&lt;&gt;"","",_xlfn.XLOOKUP(TRUE,ISNUMBER(SEARCH(" "&amp;Municipality[Municipality]&amp;"n ",H_unit[[#This Row],[Info string]])),Municipality[Municipality],""))</f>
        <v/>
      </c>
      <c r="L698" s="246"/>
      <c r="M698" s="244"/>
      <c r="N698" s="246" t="str">
        <f>_xlfn.TEXTJOIN("",TRUE,H_unit[[#This Row],[Exact]],H_unit[[#This Row],[Exact+n]],H_unit[[#This Row],[Copilot]])</f>
        <v>Kouvola</v>
      </c>
      <c r="O698" s="246" t="str">
        <f>_xlfn.XLOOKUP(H_unit[[#This Row],[Municipality]],Municipality[Municipality],Municipality[Model],"")</f>
        <v>South East</v>
      </c>
      <c r="P698" s="236"/>
    </row>
    <row r="699" spans="1:16">
      <c r="A699" s="238" t="s">
        <v>2260</v>
      </c>
      <c r="B699" s="238" t="s">
        <v>2265</v>
      </c>
      <c r="C699" s="240" t="str" cm="1">
        <f t="array" ref="C699">" "&amp;LOWER(_xlfn.REDUCE(H_unit[[#This Row],[Company]]&amp;" "&amp;H_unit[[#This Row],[Unit]],{",",".","(",")","/"},_xlfn.LAMBDA(_xlpm.txt,_xlpm.delim,SUBSTITUTE(_xlpm.txt,_xlpm.delim," "))))&amp;" "</f>
        <v xml:space="preserve"> äänekosken energia oy hirvaskangas </v>
      </c>
      <c r="D699" s="242">
        <v>2007</v>
      </c>
      <c r="E699" s="243">
        <v>2.4</v>
      </c>
      <c r="F699" s="243"/>
      <c r="G699" s="247"/>
      <c r="H699" s="267" t="s">
        <v>1423</v>
      </c>
      <c r="I699" s="248" t="s">
        <v>1143</v>
      </c>
      <c r="J699" s="246" t="str" cm="1">
        <f t="array" ref="J699">_xlfn.XLOOKUP(TRUE,ISNUMBER(SEARCH(" "&amp;Municipality[Municipality]&amp;" ",H_unit[[#This Row],[Info string]])),Municipality[Municipality],"")</f>
        <v/>
      </c>
      <c r="K699" s="246" t="str" cm="1">
        <f t="array" ref="K699">IF(H_unit[[#This Row],[Exact]]&lt;&gt;"","",_xlfn.XLOOKUP(TRUE,ISNUMBER(SEARCH(" "&amp;Municipality[Municipality]&amp;"n ",H_unit[[#This Row],[Info string]])),Municipality[Municipality],""))</f>
        <v/>
      </c>
      <c r="L699" s="246" t="s">
        <v>2856</v>
      </c>
      <c r="M699" s="244" t="s">
        <v>2919</v>
      </c>
      <c r="N699" s="246" t="str">
        <f>_xlfn.TEXTJOIN("",TRUE,H_unit[[#This Row],[Exact]],H_unit[[#This Row],[Exact+n]],H_unit[[#This Row],[Copilot]])</f>
        <v>Äänekoski</v>
      </c>
      <c r="O699" s="246" t="str">
        <f>_xlfn.XLOOKUP(H_unit[[#This Row],[Municipality]],Municipality[Municipality],Municipality[Model],"")</f>
        <v>Center</v>
      </c>
      <c r="P699" s="236"/>
    </row>
    <row r="700" spans="1:16">
      <c r="A700" s="238" t="s">
        <v>2260</v>
      </c>
      <c r="B700" s="238" t="s">
        <v>2266</v>
      </c>
      <c r="C700" s="240" t="str" cm="1">
        <f t="array" ref="C700">" "&amp;LOWER(_xlfn.REDUCE(H_unit[[#This Row],[Company]]&amp;" "&amp;H_unit[[#This Row],[Unit]],{",",".","(",")","/"},_xlfn.LAMBDA(_xlpm.txt,_xlpm.delim,SUBSTITUTE(_xlpm.txt,_xlpm.delim," "))))&amp;" "</f>
        <v xml:space="preserve"> äänekosken energia oy sumiainen </v>
      </c>
      <c r="D700" s="242">
        <v>2007</v>
      </c>
      <c r="E700" s="243">
        <v>2.4</v>
      </c>
      <c r="F700" s="243"/>
      <c r="G700" s="247"/>
      <c r="H700" s="267" t="s">
        <v>1423</v>
      </c>
      <c r="I700" s="248" t="s">
        <v>1143</v>
      </c>
      <c r="J700" s="246" t="str" cm="1">
        <f t="array" ref="J700">_xlfn.XLOOKUP(TRUE,ISNUMBER(SEARCH(" "&amp;Municipality[Municipality]&amp;" ",H_unit[[#This Row],[Info string]])),Municipality[Municipality],"")</f>
        <v>Sumiainen</v>
      </c>
      <c r="K700" s="246" t="str" cm="1">
        <f t="array" ref="K700">IF(H_unit[[#This Row],[Exact]]&lt;&gt;"","",_xlfn.XLOOKUP(TRUE,ISNUMBER(SEARCH(" "&amp;Municipality[Municipality]&amp;"n ",H_unit[[#This Row],[Info string]])),Municipality[Municipality],""))</f>
        <v/>
      </c>
      <c r="L700" s="246"/>
      <c r="M700" s="244"/>
      <c r="N700" s="246" t="str">
        <f>_xlfn.TEXTJOIN("",TRUE,H_unit[[#This Row],[Exact]],H_unit[[#This Row],[Exact+n]],H_unit[[#This Row],[Copilot]])</f>
        <v>Sumiainen</v>
      </c>
      <c r="O700" s="246" t="str">
        <f>_xlfn.XLOOKUP(H_unit[[#This Row],[Municipality]],Municipality[Municipality],Municipality[Model],"")</f>
        <v>Center</v>
      </c>
      <c r="P700" s="236"/>
    </row>
    <row r="701" spans="1:16">
      <c r="A701" s="238" t="s">
        <v>2061</v>
      </c>
      <c r="B701" s="238" t="s">
        <v>2069</v>
      </c>
      <c r="C701" s="240" t="str" cm="1">
        <f t="array" ref="C701">" "&amp;LOWER(_xlfn.REDUCE(H_unit[[#This Row],[Company]]&amp;" "&amp;H_unit[[#This Row],[Unit]],{",",".","(",")","/"},_xlfn.LAMBDA(_xlpm.txt,_xlpm.delim,SUBSTITUTE(_xlpm.txt,_xlpm.delim," "))))&amp;" "</f>
        <v xml:space="preserve"> raahen energia oy lk-v2 </v>
      </c>
      <c r="D701" s="242">
        <v>1982</v>
      </c>
      <c r="E701" s="243">
        <v>2.2000000000000002</v>
      </c>
      <c r="F701" s="243"/>
      <c r="G701" s="247"/>
      <c r="H701" s="267" t="s">
        <v>1423</v>
      </c>
      <c r="I701" s="248" t="s">
        <v>1143</v>
      </c>
      <c r="J701" s="246" t="str" cm="1">
        <f t="array" ref="J701">_xlfn.XLOOKUP(TRUE,ISNUMBER(SEARCH(" "&amp;Municipality[Municipality]&amp;" ",H_unit[[#This Row],[Info string]])),Municipality[Municipality],"")</f>
        <v/>
      </c>
      <c r="K701" s="246" t="str" cm="1">
        <f t="array" ref="K701">IF(H_unit[[#This Row],[Exact]]&lt;&gt;"","",_xlfn.XLOOKUP(TRUE,ISNUMBER(SEARCH(" "&amp;Municipality[Municipality]&amp;"n ",H_unit[[#This Row],[Info string]])),Municipality[Municipality],""))</f>
        <v>Raahe</v>
      </c>
      <c r="L701" s="246"/>
      <c r="M701" s="244"/>
      <c r="N701" s="246" t="str">
        <f>_xlfn.TEXTJOIN("",TRUE,H_unit[[#This Row],[Exact]],H_unit[[#This Row],[Exact+n]],H_unit[[#This Row],[Copilot]])</f>
        <v>Raahe</v>
      </c>
      <c r="O701" s="246" t="str">
        <f>_xlfn.XLOOKUP(H_unit[[#This Row],[Municipality]],Municipality[Municipality],Municipality[Model],"")</f>
        <v>North</v>
      </c>
      <c r="P701" s="236"/>
    </row>
    <row r="702" spans="1:16">
      <c r="A702" s="238" t="s">
        <v>2025</v>
      </c>
      <c r="B702" s="238" t="s">
        <v>2026</v>
      </c>
      <c r="C702" s="240" t="str" cm="1">
        <f t="array" ref="C702">" "&amp;LOWER(_xlfn.REDUCE(H_unit[[#This Row],[Company]]&amp;" "&amp;H_unit[[#This Row],[Unit]],{",",".","(",")","/"},_xlfn.LAMBDA(_xlpm.txt,_xlpm.delim,SUBSTITUTE(_xlpm.txt,_xlpm.delim," "))))&amp;" "</f>
        <v xml:space="preserve"> oulun seudun sähkö  tyrnävä tyrnävä  ketolantie </v>
      </c>
      <c r="D702" s="242">
        <v>1975</v>
      </c>
      <c r="E702" s="243">
        <v>2</v>
      </c>
      <c r="F702" s="243"/>
      <c r="G702" s="247"/>
      <c r="H702" s="267" t="s">
        <v>1430</v>
      </c>
      <c r="I702" s="248" t="s">
        <v>1141</v>
      </c>
      <c r="J702" s="246" t="str" cm="1">
        <f t="array" ref="J702">_xlfn.XLOOKUP(TRUE,ISNUMBER(SEARCH(" "&amp;Municipality[Municipality]&amp;" ",H_unit[[#This Row],[Info string]])),Municipality[Municipality],"")</f>
        <v>Tyrnävä</v>
      </c>
      <c r="K702" s="246" t="str" cm="1">
        <f t="array" ref="K702">IF(H_unit[[#This Row],[Exact]]&lt;&gt;"","",_xlfn.XLOOKUP(TRUE,ISNUMBER(SEARCH(" "&amp;Municipality[Municipality]&amp;"n ",H_unit[[#This Row],[Info string]])),Municipality[Municipality],""))</f>
        <v/>
      </c>
      <c r="L702" s="246"/>
      <c r="M702" s="244"/>
      <c r="N702" s="246" t="str">
        <f>_xlfn.TEXTJOIN("",TRUE,H_unit[[#This Row],[Exact]],H_unit[[#This Row],[Exact+n]],H_unit[[#This Row],[Copilot]])</f>
        <v>Tyrnävä</v>
      </c>
      <c r="O702" s="246" t="str">
        <f>_xlfn.XLOOKUP(H_unit[[#This Row],[Municipality]],Municipality[Municipality],Municipality[Model],"")</f>
        <v>North</v>
      </c>
      <c r="P702" s="236"/>
    </row>
    <row r="703" spans="1:16">
      <c r="A703" s="238" t="s">
        <v>2186</v>
      </c>
      <c r="B703" s="238" t="s">
        <v>1516</v>
      </c>
      <c r="C703" s="240" t="str" cm="1">
        <f t="array" ref="C703">" "&amp;LOWER(_xlfn.REDUCE(H_unit[[#This Row],[Company]]&amp;" "&amp;H_unit[[#This Row],[Unit]],{",",".","(",")","/"},_xlfn.LAMBDA(_xlpm.txt,_xlpm.delim,SUBSTITUTE(_xlpm.txt,_xlpm.delim," "))))&amp;" "</f>
        <v xml:space="preserve"> toholammin energia oy kpa-laitos </v>
      </c>
      <c r="D703" s="242">
        <v>1980</v>
      </c>
      <c r="E703" s="243">
        <v>2</v>
      </c>
      <c r="F703" s="243"/>
      <c r="G703" s="247"/>
      <c r="H703" s="267" t="s">
        <v>1428</v>
      </c>
      <c r="I703" s="248" t="s">
        <v>1143</v>
      </c>
      <c r="J703" s="246" t="str" cm="1">
        <f t="array" ref="J703">_xlfn.XLOOKUP(TRUE,ISNUMBER(SEARCH(" "&amp;Municipality[Municipality]&amp;" ",H_unit[[#This Row],[Info string]])),Municipality[Municipality],"")</f>
        <v/>
      </c>
      <c r="K703" s="246" t="str" cm="1">
        <f t="array" ref="K703">IF(H_unit[[#This Row],[Exact]]&lt;&gt;"","",_xlfn.XLOOKUP(TRUE,ISNUMBER(SEARCH(" "&amp;Municipality[Municipality]&amp;"n ",H_unit[[#This Row],[Info string]])),Municipality[Municipality],""))</f>
        <v/>
      </c>
      <c r="L703" s="246" t="s">
        <v>1077</v>
      </c>
      <c r="M703" s="244" t="s">
        <v>2921</v>
      </c>
      <c r="N703" s="246" t="str">
        <f>_xlfn.TEXTJOIN("",TRUE,H_unit[[#This Row],[Exact]],H_unit[[#This Row],[Exact+n]],H_unit[[#This Row],[Copilot]])</f>
        <v>Toholampi</v>
      </c>
      <c r="O703" s="246" t="str">
        <f>_xlfn.XLOOKUP(H_unit[[#This Row],[Municipality]],Municipality[Municipality],Municipality[Model],"")</f>
        <v>West</v>
      </c>
      <c r="P703" s="236"/>
    </row>
    <row r="704" spans="1:16">
      <c r="A704" s="238" t="s">
        <v>1974</v>
      </c>
      <c r="B704" s="238" t="s">
        <v>1977</v>
      </c>
      <c r="C704" s="240" t="str" cm="1">
        <f t="array" ref="C704">" "&amp;LOWER(_xlfn.REDUCE(H_unit[[#This Row],[Company]]&amp;" "&amp;H_unit[[#This Row],[Unit]],{",",".","(",")","/"},_xlfn.LAMBDA(_xlpm.txt,_xlpm.delim,SUBSTITUTE(_xlpm.txt,_xlpm.delim," "))))&amp;" "</f>
        <v xml:space="preserve"> nurmeksen lämpö oy valtimo </v>
      </c>
      <c r="D704" s="242">
        <v>1983</v>
      </c>
      <c r="E704" s="243">
        <v>2</v>
      </c>
      <c r="F704" s="243"/>
      <c r="G704" s="247"/>
      <c r="H704" s="267" t="s">
        <v>1423</v>
      </c>
      <c r="I704" s="248" t="s">
        <v>1143</v>
      </c>
      <c r="J704" s="246" t="str" cm="1">
        <f t="array" ref="J704">_xlfn.XLOOKUP(TRUE,ISNUMBER(SEARCH(" "&amp;Municipality[Municipality]&amp;" ",H_unit[[#This Row],[Info string]])),Municipality[Municipality],"")</f>
        <v>Valtimo</v>
      </c>
      <c r="K704" s="246" t="str" cm="1">
        <f t="array" ref="K704">IF(H_unit[[#This Row],[Exact]]&lt;&gt;"","",_xlfn.XLOOKUP(TRUE,ISNUMBER(SEARCH(" "&amp;Municipality[Municipality]&amp;"n ",H_unit[[#This Row],[Info string]])),Municipality[Municipality],""))</f>
        <v/>
      </c>
      <c r="L704" s="246"/>
      <c r="M704" s="244"/>
      <c r="N704" s="246" t="str">
        <f>_xlfn.TEXTJOIN("",TRUE,H_unit[[#This Row],[Exact]],H_unit[[#This Row],[Exact+n]],H_unit[[#This Row],[Copilot]])</f>
        <v>Valtimo</v>
      </c>
      <c r="O704" s="246" t="str">
        <f>_xlfn.XLOOKUP(H_unit[[#This Row],[Municipality]],Municipality[Municipality],Municipality[Model],"")</f>
        <v>East</v>
      </c>
      <c r="P704" s="236"/>
    </row>
    <row r="705" spans="1:16">
      <c r="A705" s="238" t="s">
        <v>2388</v>
      </c>
      <c r="B705" s="238" t="s">
        <v>2389</v>
      </c>
      <c r="C705" s="240" t="str" cm="1">
        <f t="array" ref="C705">" "&amp;LOWER(_xlfn.REDUCE(H_unit[[#This Row],[Company]]&amp;" "&amp;H_unit[[#This Row],[Unit]],{",",".","(",")","/"},_xlfn.LAMBDA(_xlpm.txt,_xlpm.delim,SUBSTITUTE(_xlpm.txt,_xlpm.delim," "))))&amp;" "</f>
        <v xml:space="preserve"> ssab europe oy  hämeenlinna sinkki 2 lto </v>
      </c>
      <c r="D705" s="242">
        <v>1985</v>
      </c>
      <c r="E705" s="243">
        <v>2</v>
      </c>
      <c r="F705" s="243"/>
      <c r="G705" s="247"/>
      <c r="H705" s="267" t="s">
        <v>2273</v>
      </c>
      <c r="I705" s="248" t="s">
        <v>1443</v>
      </c>
      <c r="J705" s="246" t="str" cm="1">
        <f t="array" ref="J705">_xlfn.XLOOKUP(TRUE,ISNUMBER(SEARCH(" "&amp;Municipality[Municipality]&amp;" ",H_unit[[#This Row],[Info string]])),Municipality[Municipality],"")</f>
        <v>Hämeenlinna</v>
      </c>
      <c r="K705" s="246" t="str" cm="1">
        <f t="array" ref="K705">IF(H_unit[[#This Row],[Exact]]&lt;&gt;"","",_xlfn.XLOOKUP(TRUE,ISNUMBER(SEARCH(" "&amp;Municipality[Municipality]&amp;"n ",H_unit[[#This Row],[Info string]])),Municipality[Municipality],""))</f>
        <v/>
      </c>
      <c r="L705" s="246"/>
      <c r="M705" s="244"/>
      <c r="N705" s="246" t="str">
        <f>_xlfn.TEXTJOIN("",TRUE,H_unit[[#This Row],[Exact]],H_unit[[#This Row],[Exact+n]],H_unit[[#This Row],[Copilot]])</f>
        <v>Hämeenlinna</v>
      </c>
      <c r="O705" s="246" t="str">
        <f>_xlfn.XLOOKUP(H_unit[[#This Row],[Municipality]],Municipality[Municipality],Municipality[Model],"")</f>
        <v>South West</v>
      </c>
      <c r="P705" s="236"/>
    </row>
    <row r="706" spans="1:16">
      <c r="A706" s="238" t="s">
        <v>2332</v>
      </c>
      <c r="B706" s="238" t="s">
        <v>2333</v>
      </c>
      <c r="C706" s="240" t="str" cm="1">
        <f t="array" ref="C706">" "&amp;LOWER(_xlfn.REDUCE(H_unit[[#This Row],[Company]]&amp;" "&amp;H_unit[[#This Row],[Unit]],{",",".","(",")","/"},_xlfn.LAMBDA(_xlpm.txt,_xlpm.delim,SUBSTITUTE(_xlpm.txt,_xlpm.delim," "))))&amp;" "</f>
        <v xml:space="preserve"> late-rakenteet oy  turku late-rakenteet </v>
      </c>
      <c r="D706" s="242">
        <v>1986</v>
      </c>
      <c r="E706" s="243">
        <v>2</v>
      </c>
      <c r="F706" s="243"/>
      <c r="G706" s="247"/>
      <c r="H706" s="267" t="s">
        <v>1439</v>
      </c>
      <c r="I706" s="248" t="s">
        <v>1143</v>
      </c>
      <c r="J706" s="246" t="str" cm="1">
        <f t="array" ref="J706">_xlfn.XLOOKUP(TRUE,ISNUMBER(SEARCH(" "&amp;Municipality[Municipality]&amp;" ",H_unit[[#This Row],[Info string]])),Municipality[Municipality],"")</f>
        <v>Turku</v>
      </c>
      <c r="K706" s="246" t="str" cm="1">
        <f t="array" ref="K706">IF(H_unit[[#This Row],[Exact]]&lt;&gt;"","",_xlfn.XLOOKUP(TRUE,ISNUMBER(SEARCH(" "&amp;Municipality[Municipality]&amp;"n ",H_unit[[#This Row],[Info string]])),Municipality[Municipality],""))</f>
        <v/>
      </c>
      <c r="L706" s="246"/>
      <c r="M706" s="244"/>
      <c r="N706" s="246" t="str">
        <f>_xlfn.TEXTJOIN("",TRUE,H_unit[[#This Row],[Exact]],H_unit[[#This Row],[Exact+n]],H_unit[[#This Row],[Copilot]])</f>
        <v>Turku</v>
      </c>
      <c r="O706" s="246" t="str">
        <f>_xlfn.XLOOKUP(H_unit[[#This Row],[Municipality]],Municipality[Municipality],Municipality[Model],"")</f>
        <v>South West</v>
      </c>
      <c r="P706" s="236"/>
    </row>
    <row r="707" spans="1:16">
      <c r="A707" s="238" t="s">
        <v>2229</v>
      </c>
      <c r="B707" s="238" t="s">
        <v>2233</v>
      </c>
      <c r="C707" s="240" t="str" cm="1">
        <f t="array" ref="C707">" "&amp;LOWER(_xlfn.REDUCE(H_unit[[#This Row],[Company]]&amp;" "&amp;H_unit[[#This Row],[Unit]],{",",".","(",")","/"},_xlfn.LAMBDA(_xlpm.txt,_xlpm.delim,SUBSTITUTE(_xlpm.txt,_xlpm.delim," "))))&amp;" "</f>
        <v xml:space="preserve"> vatajankoski oy kuntosairaala </v>
      </c>
      <c r="D707" s="242">
        <v>1991</v>
      </c>
      <c r="E707" s="243">
        <v>2</v>
      </c>
      <c r="F707" s="243"/>
      <c r="G707" s="247"/>
      <c r="H707" s="267" t="s">
        <v>1430</v>
      </c>
      <c r="I707" s="248" t="s">
        <v>1141</v>
      </c>
      <c r="J707" s="246" t="str" cm="1">
        <f t="array" ref="J707">_xlfn.XLOOKUP(TRUE,ISNUMBER(SEARCH(" "&amp;Municipality[Municipality]&amp;" ",H_unit[[#This Row],[Info string]])),Municipality[Municipality],"")</f>
        <v/>
      </c>
      <c r="K707" s="246" t="str" cm="1">
        <f t="array" ref="K707">IF(H_unit[[#This Row],[Exact]]&lt;&gt;"","",_xlfn.XLOOKUP(TRUE,ISNUMBER(SEARCH(" "&amp;Municipality[Municipality]&amp;"n ",H_unit[[#This Row],[Info string]])),Municipality[Municipality],""))</f>
        <v/>
      </c>
      <c r="L707" s="246" t="s">
        <v>466</v>
      </c>
      <c r="M707" s="244" t="s">
        <v>2907</v>
      </c>
      <c r="N707" s="246" t="str">
        <f>_xlfn.TEXTJOIN("",TRUE,H_unit[[#This Row],[Exact]],H_unit[[#This Row],[Exact+n]],H_unit[[#This Row],[Copilot]])</f>
        <v>Kankaanpää</v>
      </c>
      <c r="O707" s="246" t="str">
        <f>_xlfn.XLOOKUP(H_unit[[#This Row],[Municipality]],Municipality[Municipality],Municipality[Model],"")</f>
        <v>West</v>
      </c>
      <c r="P707" s="236"/>
    </row>
    <row r="708" spans="1:16">
      <c r="A708" s="238" t="s">
        <v>2146</v>
      </c>
      <c r="B708" s="238" t="s">
        <v>2149</v>
      </c>
      <c r="C708" s="240" t="str" cm="1">
        <f t="array" ref="C708">" "&amp;LOWER(_xlfn.REDUCE(H_unit[[#This Row],[Company]]&amp;" "&amp;H_unit[[#This Row],[Unit]],{",",".","(",")","/"},_xlfn.LAMBDA(_xlpm.txt,_xlpm.delim,SUBSTITUTE(_xlpm.txt,_xlpm.delim," "))))&amp;" "</f>
        <v xml:space="preserve"> savon voima oyj  pieksämäki lk5  kontiopuisto </v>
      </c>
      <c r="D708" s="242">
        <v>1992</v>
      </c>
      <c r="E708" s="243">
        <v>2</v>
      </c>
      <c r="F708" s="243"/>
      <c r="G708" s="247"/>
      <c r="H708" s="267" t="s">
        <v>1430</v>
      </c>
      <c r="I708" s="248" t="s">
        <v>1141</v>
      </c>
      <c r="J708" s="246" t="str" cm="1">
        <f t="array" ref="J708">_xlfn.XLOOKUP(TRUE,ISNUMBER(SEARCH(" "&amp;Municipality[Municipality]&amp;" ",H_unit[[#This Row],[Info string]])),Municipality[Municipality],"")</f>
        <v>Pieksämäki</v>
      </c>
      <c r="K708" s="246" t="str" cm="1">
        <f t="array" ref="K708">IF(H_unit[[#This Row],[Exact]]&lt;&gt;"","",_xlfn.XLOOKUP(TRUE,ISNUMBER(SEARCH(" "&amp;Municipality[Municipality]&amp;"n ",H_unit[[#This Row],[Info string]])),Municipality[Municipality],""))</f>
        <v/>
      </c>
      <c r="L708" s="246"/>
      <c r="M708" s="244"/>
      <c r="N708" s="246" t="str">
        <f>_xlfn.TEXTJOIN("",TRUE,H_unit[[#This Row],[Exact]],H_unit[[#This Row],[Exact+n]],H_unit[[#This Row],[Copilot]])</f>
        <v>Pieksämäki</v>
      </c>
      <c r="O708" s="246" t="str">
        <f>_xlfn.XLOOKUP(H_unit[[#This Row],[Municipality]],Municipality[Municipality],Municipality[Model],"")</f>
        <v>East</v>
      </c>
      <c r="P708" s="236"/>
    </row>
    <row r="709" spans="1:16">
      <c r="A709" s="238" t="s">
        <v>1525</v>
      </c>
      <c r="B709" s="238" t="s">
        <v>1526</v>
      </c>
      <c r="C709" s="240" t="str" cm="1">
        <f t="array" ref="C709">" "&amp;LOWER(_xlfn.REDUCE(H_unit[[#This Row],[Company]]&amp;" "&amp;H_unit[[#This Row],[Unit]],{",",".","(",")","/"},_xlfn.LAMBDA(_xlpm.txt,_xlpm.delim,SUBSTITUTE(_xlpm.txt,_xlpm.delim," "))))&amp;" "</f>
        <v xml:space="preserve"> hyvinkään lämpövoima oy sahanmäki </v>
      </c>
      <c r="D709" s="242">
        <v>1994</v>
      </c>
      <c r="E709" s="243">
        <v>2</v>
      </c>
      <c r="F709" s="243"/>
      <c r="G709" s="247"/>
      <c r="H709" s="267" t="s">
        <v>1529</v>
      </c>
      <c r="I709" s="248" t="s">
        <v>1142</v>
      </c>
      <c r="J709" s="246" t="str" cm="1">
        <f t="array" ref="J709">_xlfn.XLOOKUP(TRUE,ISNUMBER(SEARCH(" "&amp;Municipality[Municipality]&amp;" ",H_unit[[#This Row],[Info string]])),Municipality[Municipality],"")</f>
        <v/>
      </c>
      <c r="K709" s="246" t="str" cm="1">
        <f t="array" ref="K709">IF(H_unit[[#This Row],[Exact]]&lt;&gt;"","",_xlfn.XLOOKUP(TRUE,ISNUMBER(SEARCH(" "&amp;Municipality[Municipality]&amp;"n ",H_unit[[#This Row],[Info string]])),Municipality[Municipality],""))</f>
        <v>Hyvinkää</v>
      </c>
      <c r="L709" s="246"/>
      <c r="M709" s="244"/>
      <c r="N709" s="246" t="str">
        <f>_xlfn.TEXTJOIN("",TRUE,H_unit[[#This Row],[Exact]],H_unit[[#This Row],[Exact+n]],H_unit[[#This Row],[Copilot]])</f>
        <v>Hyvinkää</v>
      </c>
      <c r="O709" s="246" t="str">
        <f>_xlfn.XLOOKUP(H_unit[[#This Row],[Municipality]],Municipality[Municipality],Municipality[Model],"")</f>
        <v>Uusimaa</v>
      </c>
      <c r="P709" s="236"/>
    </row>
    <row r="710" spans="1:16">
      <c r="A710" s="238" t="s">
        <v>1997</v>
      </c>
      <c r="B710" s="238" t="s">
        <v>2000</v>
      </c>
      <c r="C710" s="240" t="str" cm="1">
        <f t="array" ref="C710">" "&amp;LOWER(_xlfn.REDUCE(H_unit[[#This Row],[Company]]&amp;" "&amp;H_unit[[#This Row],[Unit]],{",",".","(",")","/"},_xlfn.LAMBDA(_xlpm.txt,_xlpm.delim,SUBSTITUTE(_xlpm.txt,_xlpm.delim," "))))&amp;" "</f>
        <v xml:space="preserve"> orimattilan lämpö oy käkelä </v>
      </c>
      <c r="D710" s="242">
        <v>1995</v>
      </c>
      <c r="E710" s="243">
        <v>2</v>
      </c>
      <c r="F710" s="243"/>
      <c r="G710" s="247"/>
      <c r="H710" s="267" t="s">
        <v>1453</v>
      </c>
      <c r="I710" s="248" t="s">
        <v>1142</v>
      </c>
      <c r="J710" s="246" t="str" cm="1">
        <f t="array" ref="J710">_xlfn.XLOOKUP(TRUE,ISNUMBER(SEARCH(" "&amp;Municipality[Municipality]&amp;" ",H_unit[[#This Row],[Info string]])),Municipality[Municipality],"")</f>
        <v/>
      </c>
      <c r="K710" s="246" t="str" cm="1">
        <f t="array" ref="K710">IF(H_unit[[#This Row],[Exact]]&lt;&gt;"","",_xlfn.XLOOKUP(TRUE,ISNUMBER(SEARCH(" "&amp;Municipality[Municipality]&amp;"n ",H_unit[[#This Row],[Info string]])),Municipality[Municipality],""))</f>
        <v>Orimattila</v>
      </c>
      <c r="L710" s="246"/>
      <c r="M710" s="244"/>
      <c r="N710" s="246" t="str">
        <f>_xlfn.TEXTJOIN("",TRUE,H_unit[[#This Row],[Exact]],H_unit[[#This Row],[Exact+n]],H_unit[[#This Row],[Copilot]])</f>
        <v>Orimattila</v>
      </c>
      <c r="O710" s="246" t="str">
        <f>_xlfn.XLOOKUP(H_unit[[#This Row],[Municipality]],Municipality[Municipality],Municipality[Model],"")</f>
        <v>Uusimaa</v>
      </c>
      <c r="P710" s="236"/>
    </row>
    <row r="711" spans="1:16">
      <c r="A711" s="238" t="s">
        <v>2165</v>
      </c>
      <c r="B711" s="238" t="s">
        <v>2166</v>
      </c>
      <c r="C711" s="240" t="str" cm="1">
        <f t="array" ref="C711">" "&amp;LOWER(_xlfn.REDUCE(H_unit[[#This Row],[Company]]&amp;" "&amp;H_unit[[#This Row],[Unit]],{",",".","(",")","/"},_xlfn.LAMBDA(_xlpm.txt,_xlpm.delim,SUBSTITUTE(_xlpm.txt,_xlpm.delim," "))))&amp;" "</f>
        <v xml:space="preserve"> seinäjoen energia oy peräseinäjoki koulutie </v>
      </c>
      <c r="D711" s="242">
        <v>1996</v>
      </c>
      <c r="E711" s="243">
        <v>2</v>
      </c>
      <c r="F711" s="243"/>
      <c r="G711" s="247"/>
      <c r="H711" s="267" t="s">
        <v>1423</v>
      </c>
      <c r="I711" s="248" t="s">
        <v>1143</v>
      </c>
      <c r="J711" s="246" t="str" cm="1">
        <f t="array" ref="J711">_xlfn.XLOOKUP(TRUE,ISNUMBER(SEARCH(" "&amp;Municipality[Municipality]&amp;" ",H_unit[[#This Row],[Info string]])),Municipality[Municipality],"")</f>
        <v>Peräseinäjoki</v>
      </c>
      <c r="K711" s="246" t="str" cm="1">
        <f t="array" ref="K711">IF(H_unit[[#This Row],[Exact]]&lt;&gt;"","",_xlfn.XLOOKUP(TRUE,ISNUMBER(SEARCH(" "&amp;Municipality[Municipality]&amp;"n ",H_unit[[#This Row],[Info string]])),Municipality[Municipality],""))</f>
        <v/>
      </c>
      <c r="L711" s="246"/>
      <c r="M711" s="244"/>
      <c r="N711" s="246" t="str">
        <f>_xlfn.TEXTJOIN("",TRUE,H_unit[[#This Row],[Exact]],H_unit[[#This Row],[Exact+n]],H_unit[[#This Row],[Copilot]])</f>
        <v>Peräseinäjoki</v>
      </c>
      <c r="O711" s="246" t="str">
        <f>_xlfn.XLOOKUP(H_unit[[#This Row],[Municipality]],Municipality[Municipality],Municipality[Model],"")</f>
        <v>West</v>
      </c>
      <c r="P711" s="236"/>
    </row>
    <row r="712" spans="1:16">
      <c r="A712" s="238" t="s">
        <v>1978</v>
      </c>
      <c r="B712" s="238" t="s">
        <v>1980</v>
      </c>
      <c r="C712" s="240" t="str" cm="1">
        <f t="array" ref="C712">" "&amp;LOWER(_xlfn.REDUCE(H_unit[[#This Row],[Company]]&amp;" "&amp;H_unit[[#This Row],[Unit]],{",",".","(",")","/"},_xlfn.LAMBDA(_xlpm.txt,_xlpm.delim,SUBSTITUTE(_xlpm.txt,_xlpm.delim," "))))&amp;" "</f>
        <v xml:space="preserve"> nurmijärven sähkö oy kirkonkylä kpö-kattila </v>
      </c>
      <c r="D712" s="242">
        <v>1997</v>
      </c>
      <c r="E712" s="243">
        <v>2</v>
      </c>
      <c r="F712" s="243"/>
      <c r="G712" s="247"/>
      <c r="H712" s="267" t="s">
        <v>1430</v>
      </c>
      <c r="I712" s="248" t="s">
        <v>1141</v>
      </c>
      <c r="J712" s="246" t="str" cm="1">
        <f t="array" ref="J712">_xlfn.XLOOKUP(TRUE,ISNUMBER(SEARCH(" "&amp;Municipality[Municipality]&amp;" ",H_unit[[#This Row],[Info string]])),Municipality[Municipality],"")</f>
        <v/>
      </c>
      <c r="K712" s="246" t="str" cm="1">
        <f t="array" ref="K712">IF(H_unit[[#This Row],[Exact]]&lt;&gt;"","",_xlfn.XLOOKUP(TRUE,ISNUMBER(SEARCH(" "&amp;Municipality[Municipality]&amp;"n ",H_unit[[#This Row],[Info string]])),Municipality[Municipality],""))</f>
        <v/>
      </c>
      <c r="L712" s="246" t="s">
        <v>2695</v>
      </c>
      <c r="M712" s="244" t="s">
        <v>2905</v>
      </c>
      <c r="N712" s="246" t="str">
        <f>_xlfn.TEXTJOIN("",TRUE,H_unit[[#This Row],[Exact]],H_unit[[#This Row],[Exact+n]],H_unit[[#This Row],[Copilot]])</f>
        <v>Nurmijärvi</v>
      </c>
      <c r="O712" s="246" t="str">
        <f>_xlfn.XLOOKUP(H_unit[[#This Row],[Municipality]],Municipality[Municipality],Municipality[Model],"")</f>
        <v>Uusimaa</v>
      </c>
      <c r="P712" s="236"/>
    </row>
    <row r="713" spans="1:16">
      <c r="A713" s="238" t="s">
        <v>1697</v>
      </c>
      <c r="B713" s="238" t="s">
        <v>1707</v>
      </c>
      <c r="C713" s="240" t="str" cm="1">
        <f t="array" ref="C713">" "&amp;LOWER(_xlfn.REDUCE(H_unit[[#This Row],[Company]]&amp;" "&amp;H_unit[[#This Row],[Unit]],{",",".","(",")","/"},_xlfn.LAMBDA(_xlpm.txt,_xlpm.delim,SUBSTITUTE(_xlpm.txt,_xlpm.delim," "))))&amp;" "</f>
        <v xml:space="preserve"> kurikan energia oy jakk  jalasjärvi </v>
      </c>
      <c r="D713" s="242">
        <v>1998</v>
      </c>
      <c r="E713" s="243">
        <v>2</v>
      </c>
      <c r="F713" s="243"/>
      <c r="G713" s="247"/>
      <c r="H713" s="267" t="s">
        <v>1430</v>
      </c>
      <c r="I713" s="248" t="s">
        <v>1141</v>
      </c>
      <c r="J713" s="246" t="str" cm="1">
        <f t="array" ref="J713">_xlfn.XLOOKUP(TRUE,ISNUMBER(SEARCH(" "&amp;Municipality[Municipality]&amp;" ",H_unit[[#This Row],[Info string]])),Municipality[Municipality],"")</f>
        <v>Jalasjärvi</v>
      </c>
      <c r="K713" s="246" t="str" cm="1">
        <f t="array" ref="K713">IF(H_unit[[#This Row],[Exact]]&lt;&gt;"","",_xlfn.XLOOKUP(TRUE,ISNUMBER(SEARCH(" "&amp;Municipality[Municipality]&amp;"n ",H_unit[[#This Row],[Info string]])),Municipality[Municipality],""))</f>
        <v/>
      </c>
      <c r="L713" s="246"/>
      <c r="M713" s="244"/>
      <c r="N713" s="246" t="str">
        <f>_xlfn.TEXTJOIN("",TRUE,H_unit[[#This Row],[Exact]],H_unit[[#This Row],[Exact+n]],H_unit[[#This Row],[Copilot]])</f>
        <v>Jalasjärvi</v>
      </c>
      <c r="O713" s="246" t="str">
        <f>_xlfn.XLOOKUP(H_unit[[#This Row],[Municipality]],Municipality[Municipality],Municipality[Model],"")</f>
        <v>West</v>
      </c>
      <c r="P713" s="236"/>
    </row>
    <row r="714" spans="1:16">
      <c r="A714" s="238" t="s">
        <v>1562</v>
      </c>
      <c r="B714" s="238" t="s">
        <v>1569</v>
      </c>
      <c r="C714" s="240" t="str" cm="1">
        <f t="array" ref="C714">" "&amp;LOWER(_xlfn.REDUCE(H_unit[[#This Row],[Company]]&amp;" "&amp;H_unit[[#This Row],[Unit]],{",",".","(",")","/"},_xlfn.LAMBDA(_xlpm.txt,_xlpm.delim,SUBSTITUTE(_xlpm.txt,_xlpm.delim," "))))&amp;" "</f>
        <v xml:space="preserve"> kalajoen lämpö oy himangan pok </v>
      </c>
      <c r="D714" s="242">
        <v>2000</v>
      </c>
      <c r="E714" s="243">
        <v>2</v>
      </c>
      <c r="F714" s="243"/>
      <c r="G714" s="247"/>
      <c r="H714" s="267" t="s">
        <v>1430</v>
      </c>
      <c r="I714" s="248" t="s">
        <v>1141</v>
      </c>
      <c r="J714" s="246" t="str" cm="1">
        <f t="array" ref="J714">_xlfn.XLOOKUP(TRUE,ISNUMBER(SEARCH(" "&amp;Municipality[Municipality]&amp;" ",H_unit[[#This Row],[Info string]])),Municipality[Municipality],"")</f>
        <v/>
      </c>
      <c r="K714" s="246" t="str" cm="1">
        <f t="array" ref="K714">IF(H_unit[[#This Row],[Exact]]&lt;&gt;"","",_xlfn.XLOOKUP(TRUE,ISNUMBER(SEARCH(" "&amp;Municipality[Municipality]&amp;"n ",H_unit[[#This Row],[Info string]])),Municipality[Municipality],""))</f>
        <v/>
      </c>
      <c r="L714" s="246" t="s">
        <v>2562</v>
      </c>
      <c r="M714" s="244" t="s">
        <v>2915</v>
      </c>
      <c r="N714" s="246" t="str">
        <f>_xlfn.TEXTJOIN("",TRUE,H_unit[[#This Row],[Exact]],H_unit[[#This Row],[Exact+n]],H_unit[[#This Row],[Copilot]])</f>
        <v>Kalajoki</v>
      </c>
      <c r="O714" s="246" t="str">
        <f>_xlfn.XLOOKUP(H_unit[[#This Row],[Municipality]],Municipality[Municipality],Municipality[Model],"")</f>
        <v>North</v>
      </c>
      <c r="P714" s="236"/>
    </row>
    <row r="715" spans="1:16">
      <c r="A715" s="238" t="s">
        <v>1912</v>
      </c>
      <c r="B715" s="238" t="s">
        <v>1913</v>
      </c>
      <c r="C715" s="240" t="str" cm="1">
        <f t="array" ref="C715">" "&amp;LOWER(_xlfn.REDUCE(H_unit[[#This Row],[Company]]&amp;" "&amp;H_unit[[#This Row],[Unit]],{",",".","(",")","/"},_xlfn.LAMBDA(_xlpm.txt,_xlpm.delim,SUBSTITUTE(_xlpm.txt,_xlpm.delim," "))))&amp;" "</f>
        <v xml:space="preserve"> nevel oy  joensuu  hammaslahti  reijola  hammaslahti paavontie </v>
      </c>
      <c r="D715" s="242">
        <v>2001</v>
      </c>
      <c r="E715" s="243">
        <v>2</v>
      </c>
      <c r="F715" s="243"/>
      <c r="G715" s="247"/>
      <c r="H715" s="267" t="s">
        <v>1428</v>
      </c>
      <c r="I715" s="248" t="s">
        <v>1143</v>
      </c>
      <c r="J715" s="246" t="str" cm="1">
        <f t="array" ref="J715">_xlfn.XLOOKUP(TRUE,ISNUMBER(SEARCH(" "&amp;Municipality[Municipality]&amp;" ",H_unit[[#This Row],[Info string]])),Municipality[Municipality],"")</f>
        <v>Joensuu</v>
      </c>
      <c r="K715" s="246" t="str" cm="1">
        <f t="array" ref="K715">IF(H_unit[[#This Row],[Exact]]&lt;&gt;"","",_xlfn.XLOOKUP(TRUE,ISNUMBER(SEARCH(" "&amp;Municipality[Municipality]&amp;"n ",H_unit[[#This Row],[Info string]])),Municipality[Municipality],""))</f>
        <v/>
      </c>
      <c r="L715" s="246"/>
      <c r="M715" s="244"/>
      <c r="N715" s="246" t="str">
        <f>_xlfn.TEXTJOIN("",TRUE,H_unit[[#This Row],[Exact]],H_unit[[#This Row],[Exact+n]],H_unit[[#This Row],[Copilot]])</f>
        <v>Joensuu</v>
      </c>
      <c r="O715" s="246" t="str">
        <f>_xlfn.XLOOKUP(H_unit[[#This Row],[Municipality]],Municipality[Municipality],Municipality[Model],"")</f>
        <v>East</v>
      </c>
      <c r="P715" s="236"/>
    </row>
    <row r="716" spans="1:16">
      <c r="A716" s="238" t="s">
        <v>2247</v>
      </c>
      <c r="B716" s="238" t="s">
        <v>2248</v>
      </c>
      <c r="C716" s="240" t="str" cm="1">
        <f t="array" ref="C716">" "&amp;LOWER(_xlfn.REDUCE(H_unit[[#This Row],[Company]]&amp;" "&amp;H_unit[[#This Row],[Unit]],{",",".","(",")","/"},_xlfn.LAMBDA(_xlpm.txt,_xlpm.delim,SUBSTITUTE(_xlpm.txt,_xlpm.delim," "))))&amp;" "</f>
        <v xml:space="preserve"> vimpelin lämpö oy kpa-kattila </v>
      </c>
      <c r="D716" s="242">
        <v>2001</v>
      </c>
      <c r="E716" s="243">
        <v>2</v>
      </c>
      <c r="F716" s="243"/>
      <c r="G716" s="247"/>
      <c r="H716" s="267" t="s">
        <v>1428</v>
      </c>
      <c r="I716" s="248" t="s">
        <v>1143</v>
      </c>
      <c r="J716" s="246" t="str" cm="1">
        <f t="array" ref="J716">_xlfn.XLOOKUP(TRUE,ISNUMBER(SEARCH(" "&amp;Municipality[Municipality]&amp;" ",H_unit[[#This Row],[Info string]])),Municipality[Municipality],"")</f>
        <v/>
      </c>
      <c r="K716" s="246" t="str" cm="1">
        <f t="array" ref="K716">IF(H_unit[[#This Row],[Exact]]&lt;&gt;"","",_xlfn.XLOOKUP(TRUE,ISNUMBER(SEARCH(" "&amp;Municipality[Municipality]&amp;"n ",H_unit[[#This Row],[Info string]])),Municipality[Municipality],""))</f>
        <v>Vimpeli</v>
      </c>
      <c r="L716" s="246"/>
      <c r="M716" s="244"/>
      <c r="N716" s="246" t="str">
        <f>_xlfn.TEXTJOIN("",TRUE,H_unit[[#This Row],[Exact]],H_unit[[#This Row],[Exact+n]],H_unit[[#This Row],[Copilot]])</f>
        <v>Vimpeli</v>
      </c>
      <c r="O716" s="246" t="str">
        <f>_xlfn.XLOOKUP(H_unit[[#This Row],[Municipality]],Municipality[Municipality],Municipality[Model],"")</f>
        <v>West</v>
      </c>
      <c r="P716" s="236"/>
    </row>
    <row r="717" spans="1:16">
      <c r="A717" s="238" t="s">
        <v>1824</v>
      </c>
      <c r="B717" s="238" t="s">
        <v>1829</v>
      </c>
      <c r="C717" s="240" t="str" cm="1">
        <f t="array" ref="C717">" "&amp;LOWER(_xlfn.REDUCE(H_unit[[#This Row],[Company]]&amp;" "&amp;H_unit[[#This Row],[Unit]],{",",".","(",")","/"},_xlfn.LAMBDA(_xlpm.txt,_xlpm.delim,SUBSTITUTE(_xlpm.txt,_xlpm.delim," "))))&amp;" "</f>
        <v xml:space="preserve"> loimaan kaukolämpö oy varaston varavoima </v>
      </c>
      <c r="D717" s="242">
        <v>2002</v>
      </c>
      <c r="E717" s="243">
        <v>2</v>
      </c>
      <c r="F717" s="243"/>
      <c r="G717" s="247"/>
      <c r="H717" s="267" t="s">
        <v>1430</v>
      </c>
      <c r="I717" s="248" t="s">
        <v>1141</v>
      </c>
      <c r="J717" s="246" t="str" cm="1">
        <f t="array" ref="J717">_xlfn.XLOOKUP(TRUE,ISNUMBER(SEARCH(" "&amp;Municipality[Municipality]&amp;" ",H_unit[[#This Row],[Info string]])),Municipality[Municipality],"")</f>
        <v/>
      </c>
      <c r="K717" s="246" t="str" cm="1">
        <f t="array" ref="K717">IF(H_unit[[#This Row],[Exact]]&lt;&gt;"","",_xlfn.XLOOKUP(TRUE,ISNUMBER(SEARCH(" "&amp;Municipality[Municipality]&amp;"n ",H_unit[[#This Row],[Info string]])),Municipality[Municipality],""))</f>
        <v>Loimaa</v>
      </c>
      <c r="L717" s="246"/>
      <c r="M717" s="244"/>
      <c r="N717" s="246" t="str">
        <f>_xlfn.TEXTJOIN("",TRUE,H_unit[[#This Row],[Exact]],H_unit[[#This Row],[Exact+n]],H_unit[[#This Row],[Copilot]])</f>
        <v>Loimaa</v>
      </c>
      <c r="O717" s="246" t="str">
        <f>_xlfn.XLOOKUP(H_unit[[#This Row],[Municipality]],Municipality[Municipality],Municipality[Model],"")</f>
        <v>South West</v>
      </c>
      <c r="P717" s="236"/>
    </row>
    <row r="718" spans="1:16">
      <c r="A718" s="238" t="s">
        <v>2215</v>
      </c>
      <c r="B718" s="238" t="s">
        <v>2219</v>
      </c>
      <c r="C718" s="240" t="str" cm="1">
        <f t="array" ref="C718">" "&amp;LOWER(_xlfn.REDUCE(H_unit[[#This Row],[Company]]&amp;" "&amp;H_unit[[#This Row],[Unit]],{",",".","(",")","/"},_xlfn.LAMBDA(_xlpm.txt,_xlpm.delim,SUBSTITUTE(_xlpm.txt,_xlpm.delim," "))))&amp;" "</f>
        <v xml:space="preserve"> vantaan energia keski-uusimaa oy  tuusula lahela </v>
      </c>
      <c r="D718" s="242">
        <v>2006</v>
      </c>
      <c r="E718" s="243">
        <v>2</v>
      </c>
      <c r="F718" s="243"/>
      <c r="G718" s="247"/>
      <c r="H718" s="267" t="s">
        <v>1453</v>
      </c>
      <c r="I718" s="248" t="s">
        <v>1142</v>
      </c>
      <c r="J718" s="246" t="str" cm="1">
        <f t="array" ref="J718">_xlfn.XLOOKUP(TRUE,ISNUMBER(SEARCH(" "&amp;Municipality[Municipality]&amp;" ",H_unit[[#This Row],[Info string]])),Municipality[Municipality],"")</f>
        <v>Tuusula</v>
      </c>
      <c r="K718" s="246" t="str" cm="1">
        <f t="array" ref="K718">IF(H_unit[[#This Row],[Exact]]&lt;&gt;"","",_xlfn.XLOOKUP(TRUE,ISNUMBER(SEARCH(" "&amp;Municipality[Municipality]&amp;"n ",H_unit[[#This Row],[Info string]])),Municipality[Municipality],""))</f>
        <v/>
      </c>
      <c r="L718" s="246"/>
      <c r="M718" s="244"/>
      <c r="N718" s="246" t="str">
        <f>_xlfn.TEXTJOIN("",TRUE,H_unit[[#This Row],[Exact]],H_unit[[#This Row],[Exact+n]],H_unit[[#This Row],[Copilot]])</f>
        <v>Tuusula</v>
      </c>
      <c r="O718" s="246" t="str">
        <f>_xlfn.XLOOKUP(H_unit[[#This Row],[Municipality]],Municipality[Municipality],Municipality[Model],"")</f>
        <v>Uusimaa</v>
      </c>
      <c r="P718" s="236"/>
    </row>
    <row r="719" spans="1:16">
      <c r="A719" s="238" t="s">
        <v>2316</v>
      </c>
      <c r="B719" s="238" t="s">
        <v>2317</v>
      </c>
      <c r="C719" s="240" t="str" cm="1">
        <f t="array" ref="C719">" "&amp;LOWER(_xlfn.REDUCE(H_unit[[#This Row],[Company]]&amp;" "&amp;H_unit[[#This Row],[Unit]],{",",".","(",")","/"},_xlfn.LAMBDA(_xlpm.txt,_xlpm.delim,SUBSTITUTE(_xlpm.txt,_xlpm.delim," "))))&amp;" "</f>
        <v xml:space="preserve"> lantmännen cerealia oy  hyvinkää kpa-kattilalaitos </v>
      </c>
      <c r="D719" s="242">
        <v>2006</v>
      </c>
      <c r="E719" s="243">
        <v>2</v>
      </c>
      <c r="F719" s="243"/>
      <c r="G719" s="247"/>
      <c r="H719" s="267" t="s">
        <v>1958</v>
      </c>
      <c r="I719" s="248" t="s">
        <v>1143</v>
      </c>
      <c r="J719" s="246" t="str" cm="1">
        <f t="array" ref="J719">_xlfn.XLOOKUP(TRUE,ISNUMBER(SEARCH(" "&amp;Municipality[Municipality]&amp;" ",H_unit[[#This Row],[Info string]])),Municipality[Municipality],"")</f>
        <v>Hyvinkää</v>
      </c>
      <c r="K719" s="246" t="str" cm="1">
        <f t="array" ref="K719">IF(H_unit[[#This Row],[Exact]]&lt;&gt;"","",_xlfn.XLOOKUP(TRUE,ISNUMBER(SEARCH(" "&amp;Municipality[Municipality]&amp;"n ",H_unit[[#This Row],[Info string]])),Municipality[Municipality],""))</f>
        <v/>
      </c>
      <c r="L719" s="246"/>
      <c r="M719" s="244"/>
      <c r="N719" s="246" t="str">
        <f>_xlfn.TEXTJOIN("",TRUE,H_unit[[#This Row],[Exact]],H_unit[[#This Row],[Exact+n]],H_unit[[#This Row],[Copilot]])</f>
        <v>Hyvinkää</v>
      </c>
      <c r="O719" s="246" t="str">
        <f>_xlfn.XLOOKUP(H_unit[[#This Row],[Municipality]],Municipality[Municipality],Municipality[Model],"")</f>
        <v>Uusimaa</v>
      </c>
      <c r="P719" s="236"/>
    </row>
    <row r="720" spans="1:16">
      <c r="A720" s="238" t="s">
        <v>1496</v>
      </c>
      <c r="B720" s="238" t="s">
        <v>1497</v>
      </c>
      <c r="C720" s="240" t="str" cm="1">
        <f t="array" ref="C720">" "&amp;LOWER(_xlfn.REDUCE(H_unit[[#This Row],[Company]]&amp;" "&amp;H_unit[[#This Row],[Unit]],{",",".","(",")","/"},_xlfn.LAMBDA(_xlpm.txt,_xlpm.delim,SUBSTITUTE(_xlpm.txt,_xlpm.delim," "))))&amp;" "</f>
        <v xml:space="preserve"> aurora lämpö oy  savukoski savukoski </v>
      </c>
      <c r="D720" s="242">
        <v>2007</v>
      </c>
      <c r="E720" s="243">
        <v>2</v>
      </c>
      <c r="F720" s="243"/>
      <c r="G720" s="247"/>
      <c r="H720" s="267" t="s">
        <v>1423</v>
      </c>
      <c r="I720" s="248" t="s">
        <v>1143</v>
      </c>
      <c r="J720" s="246" t="str" cm="1">
        <f t="array" ref="J720">_xlfn.XLOOKUP(TRUE,ISNUMBER(SEARCH(" "&amp;Municipality[Municipality]&amp;" ",H_unit[[#This Row],[Info string]])),Municipality[Municipality],"")</f>
        <v>Savukoski</v>
      </c>
      <c r="K720" s="246" t="str" cm="1">
        <f t="array" ref="K720">IF(H_unit[[#This Row],[Exact]]&lt;&gt;"","",_xlfn.XLOOKUP(TRUE,ISNUMBER(SEARCH(" "&amp;Municipality[Municipality]&amp;"n ",H_unit[[#This Row],[Info string]])),Municipality[Municipality],""))</f>
        <v/>
      </c>
      <c r="L720" s="246"/>
      <c r="M720" s="244"/>
      <c r="N720" s="246" t="str">
        <f>_xlfn.TEXTJOIN("",TRUE,H_unit[[#This Row],[Exact]],H_unit[[#This Row],[Exact+n]],H_unit[[#This Row],[Copilot]])</f>
        <v>Savukoski</v>
      </c>
      <c r="O720" s="246" t="str">
        <f>_xlfn.XLOOKUP(H_unit[[#This Row],[Municipality]],Municipality[Municipality],Municipality[Model],"")</f>
        <v>North</v>
      </c>
      <c r="P720" s="236"/>
    </row>
    <row r="721" spans="1:16">
      <c r="A721" s="238" t="s">
        <v>1879</v>
      </c>
      <c r="B721" s="238" t="s">
        <v>1885</v>
      </c>
      <c r="C721" s="240" t="str" cm="1">
        <f t="array" ref="C721">" "&amp;LOWER(_xlfn.REDUCE(H_unit[[#This Row],[Company]]&amp;" "&amp;H_unit[[#This Row],[Unit]],{",",".","(",")","/"},_xlfn.LAMBDA(_xlpm.txt,_xlpm.delim,SUBSTITUTE(_xlpm.txt,_xlpm.delim," "))))&amp;" "</f>
        <v xml:space="preserve"> loviisan lämpö oy  loviisa  pornainen  pukkila  pyhtää pyhtää siltakylä lämpölaitos </v>
      </c>
      <c r="D721" s="242">
        <v>2007</v>
      </c>
      <c r="E721" s="243">
        <v>2</v>
      </c>
      <c r="F721" s="243"/>
      <c r="G721" s="247"/>
      <c r="H721" s="267" t="s">
        <v>1423</v>
      </c>
      <c r="I721" s="248" t="s">
        <v>1143</v>
      </c>
      <c r="J721" s="246" t="str" cm="1">
        <f t="array" ref="J721">_xlfn.XLOOKUP(TRUE,ISNUMBER(SEARCH(" "&amp;Municipality[Municipality]&amp;" ",H_unit[[#This Row],[Info string]])),Municipality[Municipality],"")</f>
        <v>Pornainen</v>
      </c>
      <c r="K721" s="246" t="str" cm="1">
        <f t="array" ref="K721">IF(H_unit[[#This Row],[Exact]]&lt;&gt;"","",_xlfn.XLOOKUP(TRUE,ISNUMBER(SEARCH(" "&amp;Municipality[Municipality]&amp;"n ",H_unit[[#This Row],[Info string]])),Municipality[Municipality],""))</f>
        <v/>
      </c>
      <c r="L721" s="246"/>
      <c r="M721" s="244"/>
      <c r="N721" s="246" t="str">
        <f>_xlfn.TEXTJOIN("",TRUE,H_unit[[#This Row],[Exact]],H_unit[[#This Row],[Exact+n]],H_unit[[#This Row],[Copilot]])</f>
        <v>Pornainen</v>
      </c>
      <c r="O721" s="246" t="str">
        <f>_xlfn.XLOOKUP(H_unit[[#This Row],[Municipality]],Municipality[Municipality],Municipality[Model],"")</f>
        <v>Uusimaa</v>
      </c>
      <c r="P721" s="236"/>
    </row>
    <row r="722" spans="1:16">
      <c r="A722" s="238" t="s">
        <v>2294</v>
      </c>
      <c r="B722" s="238" t="s">
        <v>2294</v>
      </c>
      <c r="C722" s="240" t="str" cm="1">
        <f t="array" ref="C722">" "&amp;LOWER(_xlfn.REDUCE(H_unit[[#This Row],[Company]]&amp;" "&amp;H_unit[[#This Row],[Unit]],{",",".","(",")","/"},_xlfn.LAMBDA(_xlpm.txt,_xlpm.delim,SUBSTITUTE(_xlpm.txt,_xlpm.delim," "))))&amp;" "</f>
        <v xml:space="preserve"> jr-lämpö oy  maaninka jr-lämpö oy  maaninka </v>
      </c>
      <c r="D722" s="242">
        <v>2007</v>
      </c>
      <c r="E722" s="243">
        <v>2</v>
      </c>
      <c r="F722" s="243"/>
      <c r="G722" s="247"/>
      <c r="H722" s="267" t="s">
        <v>1423</v>
      </c>
      <c r="I722" s="248" t="s">
        <v>1143</v>
      </c>
      <c r="J722" s="246" t="str" cm="1">
        <f t="array" ref="J722">_xlfn.XLOOKUP(TRUE,ISNUMBER(SEARCH(" "&amp;Municipality[Municipality]&amp;" ",H_unit[[#This Row],[Info string]])),Municipality[Municipality],"")</f>
        <v>Maaninka</v>
      </c>
      <c r="K722" s="246" t="str" cm="1">
        <f t="array" ref="K722">IF(H_unit[[#This Row],[Exact]]&lt;&gt;"","",_xlfn.XLOOKUP(TRUE,ISNUMBER(SEARCH(" "&amp;Municipality[Municipality]&amp;"n ",H_unit[[#This Row],[Info string]])),Municipality[Municipality],""))</f>
        <v/>
      </c>
      <c r="L722" s="246"/>
      <c r="M722" s="244"/>
      <c r="N722" s="246" t="str">
        <f>_xlfn.TEXTJOIN("",TRUE,H_unit[[#This Row],[Exact]],H_unit[[#This Row],[Exact+n]],H_unit[[#This Row],[Copilot]])</f>
        <v>Maaninka</v>
      </c>
      <c r="O722" s="246" t="str">
        <f>_xlfn.XLOOKUP(H_unit[[#This Row],[Municipality]],Municipality[Municipality],Municipality[Model],"")</f>
        <v>East</v>
      </c>
      <c r="P722" s="236"/>
    </row>
    <row r="723" spans="1:16">
      <c r="A723" s="238" t="s">
        <v>1978</v>
      </c>
      <c r="B723" s="238" t="s">
        <v>1985</v>
      </c>
      <c r="C723" s="240" t="str" cm="1">
        <f t="array" ref="C723">" "&amp;LOWER(_xlfn.REDUCE(H_unit[[#This Row],[Company]]&amp;" "&amp;H_unit[[#This Row],[Unit]],{",",".","(",")","/"},_xlfn.LAMBDA(_xlpm.txt,_xlpm.delim,SUBSTITUTE(_xlpm.txt,_xlpm.delim," "))))&amp;" "</f>
        <v xml:space="preserve"> nurmijärven sähkö oy klaukkala pelletti-kattila </v>
      </c>
      <c r="D723" s="242">
        <v>2009</v>
      </c>
      <c r="E723" s="243">
        <v>2</v>
      </c>
      <c r="F723" s="243"/>
      <c r="G723" s="247"/>
      <c r="H723" s="267" t="s">
        <v>1436</v>
      </c>
      <c r="I723" s="248" t="s">
        <v>1143</v>
      </c>
      <c r="J723" s="246" t="str" cm="1">
        <f t="array" ref="J723">_xlfn.XLOOKUP(TRUE,ISNUMBER(SEARCH(" "&amp;Municipality[Municipality]&amp;" ",H_unit[[#This Row],[Info string]])),Municipality[Municipality],"")</f>
        <v/>
      </c>
      <c r="K723" s="246" t="str" cm="1">
        <f t="array" ref="K723">IF(H_unit[[#This Row],[Exact]]&lt;&gt;"","",_xlfn.XLOOKUP(TRUE,ISNUMBER(SEARCH(" "&amp;Municipality[Municipality]&amp;"n ",H_unit[[#This Row],[Info string]])),Municipality[Municipality],""))</f>
        <v/>
      </c>
      <c r="L723" s="246" t="s">
        <v>2695</v>
      </c>
      <c r="M723" s="244" t="s">
        <v>2905</v>
      </c>
      <c r="N723" s="246" t="str">
        <f>_xlfn.TEXTJOIN("",TRUE,H_unit[[#This Row],[Exact]],H_unit[[#This Row],[Exact+n]],H_unit[[#This Row],[Copilot]])</f>
        <v>Nurmijärvi</v>
      </c>
      <c r="O723" s="246" t="str">
        <f>_xlfn.XLOOKUP(H_unit[[#This Row],[Municipality]],Municipality[Municipality],Municipality[Model],"")</f>
        <v>Uusimaa</v>
      </c>
      <c r="P723" s="236"/>
    </row>
    <row r="724" spans="1:16">
      <c r="A724" s="238" t="s">
        <v>1978</v>
      </c>
      <c r="B724" s="238" t="s">
        <v>1985</v>
      </c>
      <c r="C724" s="240" t="str" cm="1">
        <f t="array" ref="C724">" "&amp;LOWER(_xlfn.REDUCE(H_unit[[#This Row],[Company]]&amp;" "&amp;H_unit[[#This Row],[Unit]],{",",".","(",")","/"},_xlfn.LAMBDA(_xlpm.txt,_xlpm.delim,SUBSTITUTE(_xlpm.txt,_xlpm.delim," "))))&amp;" "</f>
        <v xml:space="preserve"> nurmijärven sähkö oy klaukkala pelletti-kattila </v>
      </c>
      <c r="D724" s="242">
        <v>2009</v>
      </c>
      <c r="E724" s="243">
        <v>2</v>
      </c>
      <c r="F724" s="243"/>
      <c r="G724" s="247"/>
      <c r="H724" s="267" t="s">
        <v>1436</v>
      </c>
      <c r="I724" s="248" t="s">
        <v>1143</v>
      </c>
      <c r="J724" s="246" t="str" cm="1">
        <f t="array" ref="J724">_xlfn.XLOOKUP(TRUE,ISNUMBER(SEARCH(" "&amp;Municipality[Municipality]&amp;" ",H_unit[[#This Row],[Info string]])),Municipality[Municipality],"")</f>
        <v/>
      </c>
      <c r="K724" s="246" t="str" cm="1">
        <f t="array" ref="K724">IF(H_unit[[#This Row],[Exact]]&lt;&gt;"","",_xlfn.XLOOKUP(TRUE,ISNUMBER(SEARCH(" "&amp;Municipality[Municipality]&amp;"n ",H_unit[[#This Row],[Info string]])),Municipality[Municipality],""))</f>
        <v/>
      </c>
      <c r="L724" s="246" t="s">
        <v>2695</v>
      </c>
      <c r="M724" s="244" t="s">
        <v>2905</v>
      </c>
      <c r="N724" s="246" t="str">
        <f>_xlfn.TEXTJOIN("",TRUE,H_unit[[#This Row],[Exact]],H_unit[[#This Row],[Exact+n]],H_unit[[#This Row],[Copilot]])</f>
        <v>Nurmijärvi</v>
      </c>
      <c r="O724" s="246" t="str">
        <f>_xlfn.XLOOKUP(H_unit[[#This Row],[Municipality]],Municipality[Municipality],Municipality[Model],"")</f>
        <v>Uusimaa</v>
      </c>
      <c r="P724" s="236"/>
    </row>
    <row r="725" spans="1:16">
      <c r="A725" s="238" t="s">
        <v>1978</v>
      </c>
      <c r="B725" s="238" t="s">
        <v>1983</v>
      </c>
      <c r="C725" s="240" t="str" cm="1">
        <f t="array" ref="C725">" "&amp;LOWER(_xlfn.REDUCE(H_unit[[#This Row],[Company]]&amp;" "&amp;H_unit[[#This Row],[Unit]],{",",".","(",")","/"},_xlfn.LAMBDA(_xlpm.txt,_xlpm.delim,SUBSTITUTE(_xlpm.txt,_xlpm.delim," "))))&amp;" "</f>
        <v xml:space="preserve"> nurmijärven sähkö oy klaukkala kpö-kattila </v>
      </c>
      <c r="D725" s="242">
        <v>2009</v>
      </c>
      <c r="E725" s="243">
        <v>2</v>
      </c>
      <c r="F725" s="243"/>
      <c r="G725" s="247"/>
      <c r="H725" s="267" t="s">
        <v>1430</v>
      </c>
      <c r="I725" s="248" t="s">
        <v>1141</v>
      </c>
      <c r="J725" s="246" t="str" cm="1">
        <f t="array" ref="J725">_xlfn.XLOOKUP(TRUE,ISNUMBER(SEARCH(" "&amp;Municipality[Municipality]&amp;" ",H_unit[[#This Row],[Info string]])),Municipality[Municipality],"")</f>
        <v/>
      </c>
      <c r="K725" s="246" t="str" cm="1">
        <f t="array" ref="K725">IF(H_unit[[#This Row],[Exact]]&lt;&gt;"","",_xlfn.XLOOKUP(TRUE,ISNUMBER(SEARCH(" "&amp;Municipality[Municipality]&amp;"n ",H_unit[[#This Row],[Info string]])),Municipality[Municipality],""))</f>
        <v/>
      </c>
      <c r="L725" s="246" t="s">
        <v>2695</v>
      </c>
      <c r="M725" s="244" t="s">
        <v>2905</v>
      </c>
      <c r="N725" s="246" t="str">
        <f>_xlfn.TEXTJOIN("",TRUE,H_unit[[#This Row],[Exact]],H_unit[[#This Row],[Exact+n]],H_unit[[#This Row],[Copilot]])</f>
        <v>Nurmijärvi</v>
      </c>
      <c r="O725" s="246" t="str">
        <f>_xlfn.XLOOKUP(H_unit[[#This Row],[Municipality]],Municipality[Municipality],Municipality[Model],"")</f>
        <v>Uusimaa</v>
      </c>
      <c r="P725" s="236"/>
    </row>
    <row r="726" spans="1:16">
      <c r="A726" s="238" t="s">
        <v>2136</v>
      </c>
      <c r="B726" s="238" t="s">
        <v>2137</v>
      </c>
      <c r="C726" s="240" t="str" cm="1">
        <f t="array" ref="C726">" "&amp;LOWER(_xlfn.REDUCE(H_unit[[#This Row],[Company]]&amp;" "&amp;H_unit[[#This Row],[Unit]],{",",".","(",")","/"},_xlfn.LAMBDA(_xlpm.txt,_xlpm.delim,SUBSTITUTE(_xlpm.txt,_xlpm.delim," "))))&amp;" "</f>
        <v xml:space="preserve"> savon voima oyj  kuopio lk 86  </v>
      </c>
      <c r="D726" s="242">
        <v>2009</v>
      </c>
      <c r="E726" s="243">
        <v>2</v>
      </c>
      <c r="F726" s="243"/>
      <c r="G726" s="247"/>
      <c r="H726" s="267" t="s">
        <v>1423</v>
      </c>
      <c r="I726" s="248" t="s">
        <v>1143</v>
      </c>
      <c r="J726" s="246" t="str" cm="1">
        <f t="array" ref="J726">_xlfn.XLOOKUP(TRUE,ISNUMBER(SEARCH(" "&amp;Municipality[Municipality]&amp;" ",H_unit[[#This Row],[Info string]])),Municipality[Municipality],"")</f>
        <v>Kuopio</v>
      </c>
      <c r="K726" s="246" t="str" cm="1">
        <f t="array" ref="K726">IF(H_unit[[#This Row],[Exact]]&lt;&gt;"","",_xlfn.XLOOKUP(TRUE,ISNUMBER(SEARCH(" "&amp;Municipality[Municipality]&amp;"n ",H_unit[[#This Row],[Info string]])),Municipality[Municipality],""))</f>
        <v/>
      </c>
      <c r="L726" s="246"/>
      <c r="M726" s="244"/>
      <c r="N726" s="246" t="str">
        <f>_xlfn.TEXTJOIN("",TRUE,H_unit[[#This Row],[Exact]],H_unit[[#This Row],[Exact+n]],H_unit[[#This Row],[Copilot]])</f>
        <v>Kuopio</v>
      </c>
      <c r="O726" s="246" t="str">
        <f>_xlfn.XLOOKUP(H_unit[[#This Row],[Municipality]],Municipality[Municipality],Municipality[Model],"")</f>
        <v>East</v>
      </c>
      <c r="P726" s="236"/>
    </row>
    <row r="727" spans="1:16">
      <c r="A727" s="238" t="s">
        <v>1697</v>
      </c>
      <c r="B727" s="238" t="s">
        <v>1702</v>
      </c>
      <c r="C727" s="240" t="str" cm="1">
        <f t="array" ref="C727">" "&amp;LOWER(_xlfn.REDUCE(H_unit[[#This Row],[Company]]&amp;" "&amp;H_unit[[#This Row],[Unit]],{",",".","(",")","/"},_xlfn.LAMBDA(_xlpm.txt,_xlpm.delim,SUBSTITUTE(_xlpm.txt,_xlpm.delim," "))))&amp;" "</f>
        <v xml:space="preserve"> kurikan energia oy trahteerintie  ilmajoki </v>
      </c>
      <c r="D727" s="242">
        <v>2011</v>
      </c>
      <c r="E727" s="243">
        <v>2</v>
      </c>
      <c r="F727" s="243"/>
      <c r="G727" s="247"/>
      <c r="H727" s="267" t="s">
        <v>1423</v>
      </c>
      <c r="I727" s="248" t="s">
        <v>1143</v>
      </c>
      <c r="J727" s="246" t="str" cm="1">
        <f t="array" ref="J727">_xlfn.XLOOKUP(TRUE,ISNUMBER(SEARCH(" "&amp;Municipality[Municipality]&amp;" ",H_unit[[#This Row],[Info string]])),Municipality[Municipality],"")</f>
        <v>Ilmajoki</v>
      </c>
      <c r="K727" s="246" t="str" cm="1">
        <f t="array" ref="K727">IF(H_unit[[#This Row],[Exact]]&lt;&gt;"","",_xlfn.XLOOKUP(TRUE,ISNUMBER(SEARCH(" "&amp;Municipality[Municipality]&amp;"n ",H_unit[[#This Row],[Info string]])),Municipality[Municipality],""))</f>
        <v/>
      </c>
      <c r="L727" s="246"/>
      <c r="M727" s="244"/>
      <c r="N727" s="246" t="str">
        <f>_xlfn.TEXTJOIN("",TRUE,H_unit[[#This Row],[Exact]],H_unit[[#This Row],[Exact+n]],H_unit[[#This Row],[Copilot]])</f>
        <v>Ilmajoki</v>
      </c>
      <c r="O727" s="246" t="str">
        <f>_xlfn.XLOOKUP(H_unit[[#This Row],[Municipality]],Municipality[Municipality],Municipality[Model],"")</f>
        <v>West</v>
      </c>
      <c r="P727" s="236"/>
    </row>
    <row r="728" spans="1:16">
      <c r="A728" s="238" t="s">
        <v>2428</v>
      </c>
      <c r="B728" s="238" t="s">
        <v>2429</v>
      </c>
      <c r="C728" s="240" t="str" cm="1">
        <f t="array" ref="C728">" "&amp;LOWER(_xlfn.REDUCE(H_unit[[#This Row],[Company]]&amp;" "&amp;H_unit[[#This Row],[Unit]],{",",".","(",")","/"},_xlfn.LAMBDA(_xlpm.txt,_xlpm.delim,SUBSTITUTE(_xlpm.txt,_xlpm.delim," "))))&amp;" "</f>
        <v xml:space="preserve"> vöyrin energiaosuuskunta vähänkyrön lämpökeskus </v>
      </c>
      <c r="D728" s="242">
        <v>2011</v>
      </c>
      <c r="E728" s="243">
        <v>2</v>
      </c>
      <c r="F728" s="243"/>
      <c r="G728" s="247"/>
      <c r="H728" s="267" t="s">
        <v>1423</v>
      </c>
      <c r="I728" s="248" t="s">
        <v>1143</v>
      </c>
      <c r="J728" s="246" t="str" cm="1">
        <f t="array" ref="J728">_xlfn.XLOOKUP(TRUE,ISNUMBER(SEARCH(" "&amp;Municipality[Municipality]&amp;" ",H_unit[[#This Row],[Info string]])),Municipality[Municipality],"")</f>
        <v/>
      </c>
      <c r="K728" s="246" t="str" cm="1">
        <f t="array" ref="K728">IF(H_unit[[#This Row],[Exact]]&lt;&gt;"","",_xlfn.XLOOKUP(TRUE,ISNUMBER(SEARCH(" "&amp;Municipality[Municipality]&amp;"n ",H_unit[[#This Row],[Info string]])),Municipality[Municipality],""))</f>
        <v>Vöyri</v>
      </c>
      <c r="L728" s="246"/>
      <c r="M728" s="244"/>
      <c r="N728" s="246" t="str">
        <f>_xlfn.TEXTJOIN("",TRUE,H_unit[[#This Row],[Exact]],H_unit[[#This Row],[Exact+n]],H_unit[[#This Row],[Copilot]])</f>
        <v>Vöyri</v>
      </c>
      <c r="O728" s="246" t="str">
        <f>_xlfn.XLOOKUP(H_unit[[#This Row],[Municipality]],Municipality[Municipality],Municipality[Model],"")</f>
        <v>West</v>
      </c>
      <c r="P728" s="236"/>
    </row>
    <row r="729" spans="1:16">
      <c r="A729" s="238" t="s">
        <v>2070</v>
      </c>
      <c r="B729" s="238" t="s">
        <v>2075</v>
      </c>
      <c r="C729" s="240" t="str" cm="1">
        <f t="array" ref="C729">" "&amp;LOWER(_xlfn.REDUCE(H_unit[[#This Row],[Company]]&amp;" "&amp;H_unit[[#This Row],[Unit]],{",",".","(",")","/"},_xlfn.LAMBDA(_xlpm.txt,_xlpm.delim,SUBSTITUTE(_xlpm.txt,_xlpm.delim," "))))&amp;" "</f>
        <v xml:space="preserve"> raseborgs energi ab pojo biovärmecentral </v>
      </c>
      <c r="D729" s="242">
        <v>2012</v>
      </c>
      <c r="E729" s="243">
        <v>2</v>
      </c>
      <c r="F729" s="243"/>
      <c r="G729" s="247"/>
      <c r="H729" s="267" t="s">
        <v>1423</v>
      </c>
      <c r="I729" s="248" t="s">
        <v>1143</v>
      </c>
      <c r="J729" s="246" t="str" cm="1">
        <f t="array" ref="J729">_xlfn.XLOOKUP(TRUE,ISNUMBER(SEARCH(" "&amp;Municipality[Municipality]&amp;" ",H_unit[[#This Row],[Info string]])),Municipality[Municipality],"")</f>
        <v/>
      </c>
      <c r="K729" s="246" t="str" cm="1">
        <f t="array" ref="K729">IF(H_unit[[#This Row],[Exact]]&lt;&gt;"","",_xlfn.XLOOKUP(TRUE,ISNUMBER(SEARCH(" "&amp;Municipality[Municipality]&amp;"n ",H_unit[[#This Row],[Info string]])),Municipality[Municipality],""))</f>
        <v/>
      </c>
      <c r="L729" s="246" t="s">
        <v>2502</v>
      </c>
      <c r="M729" s="244" t="s">
        <v>2928</v>
      </c>
      <c r="N729" s="246" t="str">
        <f>_xlfn.TEXTJOIN("",TRUE,H_unit[[#This Row],[Exact]],H_unit[[#This Row],[Exact+n]],H_unit[[#This Row],[Copilot]])</f>
        <v>Tammisaari</v>
      </c>
      <c r="O729" s="246" t="str">
        <f>_xlfn.XLOOKUP(H_unit[[#This Row],[Municipality]],Municipality[Municipality],Municipality[Model],"")</f>
        <v>Uusimaa</v>
      </c>
      <c r="P729" s="236"/>
    </row>
    <row r="730" spans="1:16">
      <c r="A730" s="238" t="s">
        <v>1624</v>
      </c>
      <c r="B730" s="238" t="s">
        <v>1630</v>
      </c>
      <c r="C730" s="240" t="str" cm="1">
        <f t="array" ref="C730">" "&amp;LOWER(_xlfn.REDUCE(H_unit[[#This Row],[Company]]&amp;" "&amp;H_unit[[#This Row],[Unit]],{",",".","(",")","/"},_xlfn.LAMBDA(_xlpm.txt,_xlpm.delim,SUBSTITUTE(_xlpm.txt,_xlpm.delim," "))))&amp;" "</f>
        <v xml:space="preserve"> keuruun lämpövoima oy haapamäki  hakelämpölaitos </v>
      </c>
      <c r="D730" s="242">
        <v>2013</v>
      </c>
      <c r="E730" s="243">
        <v>2</v>
      </c>
      <c r="F730" s="243"/>
      <c r="G730" s="247"/>
      <c r="H730" s="267" t="s">
        <v>1423</v>
      </c>
      <c r="I730" s="248" t="s">
        <v>1143</v>
      </c>
      <c r="J730" s="246" t="str" cm="1">
        <f t="array" ref="J730">_xlfn.XLOOKUP(TRUE,ISNUMBER(SEARCH(" "&amp;Municipality[Municipality]&amp;" ",H_unit[[#This Row],[Info string]])),Municipality[Municipality],"")</f>
        <v/>
      </c>
      <c r="K730" s="246" t="str" cm="1">
        <f t="array" ref="K730">IF(H_unit[[#This Row],[Exact]]&lt;&gt;"","",_xlfn.XLOOKUP(TRUE,ISNUMBER(SEARCH(" "&amp;Municipality[Municipality]&amp;"n ",H_unit[[#This Row],[Info string]])),Municipality[Municipality],""))</f>
        <v>Keuruu</v>
      </c>
      <c r="L730" s="246"/>
      <c r="M730" s="244"/>
      <c r="N730" s="246" t="str">
        <f>_xlfn.TEXTJOIN("",TRUE,H_unit[[#This Row],[Exact]],H_unit[[#This Row],[Exact+n]],H_unit[[#This Row],[Copilot]])</f>
        <v>Keuruu</v>
      </c>
      <c r="O730" s="246" t="str">
        <f>_xlfn.XLOOKUP(H_unit[[#This Row],[Municipality]],Municipality[Municipality],Municipality[Model],"")</f>
        <v>Center</v>
      </c>
      <c r="P730" s="236"/>
    </row>
    <row r="731" spans="1:16">
      <c r="A731" s="238" t="s">
        <v>1642</v>
      </c>
      <c r="B731" s="238" t="s">
        <v>1647</v>
      </c>
      <c r="C731" s="240" t="str" cm="1">
        <f t="array" ref="C731">" "&amp;LOWER(_xlfn.REDUCE(H_unit[[#This Row],[Company]]&amp;" "&amp;H_unit[[#This Row],[Unit]],{",",".","(",")","/"},_xlfn.LAMBDA(_xlpm.txt,_xlpm.delim,SUBSTITUTE(_xlpm.txt,_xlpm.delim," "))))&amp;" "</f>
        <v xml:space="preserve"> kokemäen lämpö oy perunakatu 1  pok2 </v>
      </c>
      <c r="D731" s="242">
        <v>2015</v>
      </c>
      <c r="E731" s="243">
        <v>2</v>
      </c>
      <c r="F731" s="243"/>
      <c r="G731" s="247"/>
      <c r="H731" s="267" t="s">
        <v>1430</v>
      </c>
      <c r="I731" s="248" t="s">
        <v>1141</v>
      </c>
      <c r="J731" s="246" t="str" cm="1">
        <f t="array" ref="J731">_xlfn.XLOOKUP(TRUE,ISNUMBER(SEARCH(" "&amp;Municipality[Municipality]&amp;" ",H_unit[[#This Row],[Info string]])),Municipality[Municipality],"")</f>
        <v/>
      </c>
      <c r="K731" s="246" t="str" cm="1">
        <f t="array" ref="K731">IF(H_unit[[#This Row],[Exact]]&lt;&gt;"","",_xlfn.XLOOKUP(TRUE,ISNUMBER(SEARCH(" "&amp;Municipality[Municipality]&amp;"n ",H_unit[[#This Row],[Info string]])),Municipality[Municipality],""))</f>
        <v/>
      </c>
      <c r="L731" s="246" t="s">
        <v>2619</v>
      </c>
      <c r="M731" s="244" t="s">
        <v>2920</v>
      </c>
      <c r="N731" s="246" t="str">
        <f>_xlfn.TEXTJOIN("",TRUE,H_unit[[#This Row],[Exact]],H_unit[[#This Row],[Exact+n]],H_unit[[#This Row],[Copilot]])</f>
        <v>Kokemäki</v>
      </c>
      <c r="O731" s="246" t="str">
        <f>_xlfn.XLOOKUP(H_unit[[#This Row],[Municipality]],Municipality[Municipality],Municipality[Model],"")</f>
        <v>West</v>
      </c>
      <c r="P731" s="236"/>
    </row>
    <row r="732" spans="1:16">
      <c r="A732" s="238" t="s">
        <v>1697</v>
      </c>
      <c r="B732" s="238" t="s">
        <v>1706</v>
      </c>
      <c r="C732" s="240" t="str" cm="1">
        <f t="array" ref="C732">" "&amp;LOWER(_xlfn.REDUCE(H_unit[[#This Row],[Company]]&amp;" "&amp;H_unit[[#This Row],[Unit]],{",",".","(",")","/"},_xlfn.LAMBDA(_xlpm.txt,_xlpm.delim,SUBSTITUTE(_xlpm.txt,_xlpm.delim," "))))&amp;" "</f>
        <v xml:space="preserve"> kurikan energia oy ilmailutie  pojanluoma </v>
      </c>
      <c r="D732" s="242">
        <v>2015</v>
      </c>
      <c r="E732" s="243">
        <v>2</v>
      </c>
      <c r="F732" s="243"/>
      <c r="G732" s="247"/>
      <c r="H732" s="267" t="s">
        <v>1423</v>
      </c>
      <c r="I732" s="248" t="s">
        <v>1143</v>
      </c>
      <c r="J732" s="246" t="str" cm="1">
        <f t="array" ref="J732">_xlfn.XLOOKUP(TRUE,ISNUMBER(SEARCH(" "&amp;Municipality[Municipality]&amp;" ",H_unit[[#This Row],[Info string]])),Municipality[Municipality],"")</f>
        <v/>
      </c>
      <c r="K732" s="246" t="str" cm="1">
        <f t="array" ref="K732">IF(H_unit[[#This Row],[Exact]]&lt;&gt;"","",_xlfn.XLOOKUP(TRUE,ISNUMBER(SEARCH(" "&amp;Municipality[Municipality]&amp;"n ",H_unit[[#This Row],[Info string]])),Municipality[Municipality],""))</f>
        <v/>
      </c>
      <c r="L732" s="246"/>
      <c r="M732" s="244"/>
      <c r="N732" s="246" t="str">
        <f>_xlfn.TEXTJOIN("",TRUE,H_unit[[#This Row],[Exact]],H_unit[[#This Row],[Exact+n]],H_unit[[#This Row],[Copilot]])</f>
        <v/>
      </c>
      <c r="O732" s="246" t="str">
        <f>_xlfn.XLOOKUP(H_unit[[#This Row],[Municipality]],Municipality[Municipality],Municipality[Model],"")</f>
        <v/>
      </c>
      <c r="P732" s="236"/>
    </row>
    <row r="733" spans="1:16">
      <c r="A733" s="238" t="s">
        <v>1764</v>
      </c>
      <c r="B733" s="238" t="s">
        <v>1765</v>
      </c>
      <c r="C733" s="240" t="str" cm="1">
        <f t="array" ref="C733">" "&amp;LOWER(_xlfn.REDUCE(H_unit[[#This Row],[Company]]&amp;" "&amp;H_unit[[#This Row],[Unit]],{",",".","(",")","/"},_xlfn.LAMBDA(_xlpm.txt,_xlpm.delim,SUBSTITUTE(_xlpm.txt,_xlpm.delim," "))))&amp;" "</f>
        <v xml:space="preserve"> lempeä lämpö oy  mäntyharju pentinpelto </v>
      </c>
      <c r="D733" s="242">
        <v>2016</v>
      </c>
      <c r="E733" s="243">
        <v>2</v>
      </c>
      <c r="F733" s="243"/>
      <c r="G733" s="247"/>
      <c r="H733" s="267" t="s">
        <v>1430</v>
      </c>
      <c r="I733" s="248" t="s">
        <v>1141</v>
      </c>
      <c r="J733" s="246" t="str" cm="1">
        <f t="array" ref="J733">_xlfn.XLOOKUP(TRUE,ISNUMBER(SEARCH(" "&amp;Municipality[Municipality]&amp;" ",H_unit[[#This Row],[Info string]])),Municipality[Municipality],"")</f>
        <v>Mäntyharju</v>
      </c>
      <c r="K733" s="246" t="str" cm="1">
        <f t="array" ref="K733">IF(H_unit[[#This Row],[Exact]]&lt;&gt;"","",_xlfn.XLOOKUP(TRUE,ISNUMBER(SEARCH(" "&amp;Municipality[Municipality]&amp;"n ",H_unit[[#This Row],[Info string]])),Municipality[Municipality],""))</f>
        <v/>
      </c>
      <c r="L733" s="246"/>
      <c r="M733" s="244"/>
      <c r="N733" s="246" t="str">
        <f>_xlfn.TEXTJOIN("",TRUE,H_unit[[#This Row],[Exact]],H_unit[[#This Row],[Exact+n]],H_unit[[#This Row],[Copilot]])</f>
        <v>Mäntyharju</v>
      </c>
      <c r="O733" s="246" t="str">
        <f>_xlfn.XLOOKUP(H_unit[[#This Row],[Municipality]],Municipality[Municipality],Municipality[Model],"")</f>
        <v>East</v>
      </c>
      <c r="P733" s="236"/>
    </row>
    <row r="734" spans="1:16">
      <c r="A734" s="238" t="s">
        <v>2404</v>
      </c>
      <c r="B734" s="238" t="s">
        <v>2405</v>
      </c>
      <c r="C734" s="240" t="str" cm="1">
        <f t="array" ref="C734">" "&amp;LOWER(_xlfn.REDUCE(H_unit[[#This Row],[Company]]&amp;" "&amp;H_unit[[#This Row],[Unit]],{",",".","(",")","/"},_xlfn.LAMBDA(_xlpm.txt,_xlpm.delim,SUBSTITUTE(_xlpm.txt,_xlpm.delim," "))))&amp;" "</f>
        <v xml:space="preserve"> suomen viljava oy  kouvola viljava bio-lämpökeskus </v>
      </c>
      <c r="D734" s="242">
        <v>2016</v>
      </c>
      <c r="E734" s="243">
        <v>2</v>
      </c>
      <c r="F734" s="243"/>
      <c r="G734" s="247"/>
      <c r="H734" s="267" t="s">
        <v>1958</v>
      </c>
      <c r="I734" s="248" t="s">
        <v>1443</v>
      </c>
      <c r="J734" s="246" t="str" cm="1">
        <f t="array" ref="J734">_xlfn.XLOOKUP(TRUE,ISNUMBER(SEARCH(" "&amp;Municipality[Municipality]&amp;" ",H_unit[[#This Row],[Info string]])),Municipality[Municipality],"")</f>
        <v>Kouvola</v>
      </c>
      <c r="K734" s="246" t="str" cm="1">
        <f t="array" ref="K734">IF(H_unit[[#This Row],[Exact]]&lt;&gt;"","",_xlfn.XLOOKUP(TRUE,ISNUMBER(SEARCH(" "&amp;Municipality[Municipality]&amp;"n ",H_unit[[#This Row],[Info string]])),Municipality[Municipality],""))</f>
        <v/>
      </c>
      <c r="L734" s="246"/>
      <c r="M734" s="244"/>
      <c r="N734" s="246" t="str">
        <f>_xlfn.TEXTJOIN("",TRUE,H_unit[[#This Row],[Exact]],H_unit[[#This Row],[Exact+n]],H_unit[[#This Row],[Copilot]])</f>
        <v>Kouvola</v>
      </c>
      <c r="O734" s="246" t="str">
        <f>_xlfn.XLOOKUP(H_unit[[#This Row],[Municipality]],Municipality[Municipality],Municipality[Model],"")</f>
        <v>South East</v>
      </c>
      <c r="P734" s="236"/>
    </row>
    <row r="735" spans="1:16">
      <c r="A735" s="238" t="s">
        <v>1773</v>
      </c>
      <c r="B735" s="238" t="s">
        <v>1775</v>
      </c>
      <c r="C735" s="240" t="str" cm="1">
        <f t="array" ref="C735">" "&amp;LOWER(_xlfn.REDUCE(H_unit[[#This Row],[Company]]&amp;" "&amp;H_unit[[#This Row],[Unit]],{",",".","(",")","/"},_xlfn.LAMBDA(_xlpm.txt,_xlpm.delim,SUBSTITUTE(_xlpm.txt,_xlpm.delim," "))))&amp;" "</f>
        <v xml:space="preserve"> lempeä lämpö oy  rantasalmi kuivaamontien lämpölaitos </v>
      </c>
      <c r="D735" s="242">
        <v>2020</v>
      </c>
      <c r="E735" s="243">
        <v>2</v>
      </c>
      <c r="F735" s="243"/>
      <c r="G735" s="247"/>
      <c r="H735" s="267" t="s">
        <v>1436</v>
      </c>
      <c r="I735" s="248" t="s">
        <v>1143</v>
      </c>
      <c r="J735" s="246" t="str" cm="1">
        <f t="array" ref="J735">_xlfn.XLOOKUP(TRUE,ISNUMBER(SEARCH(" "&amp;Municipality[Municipality]&amp;" ",H_unit[[#This Row],[Info string]])),Municipality[Municipality],"")</f>
        <v>Rantasalmi</v>
      </c>
      <c r="K735" s="246" t="str" cm="1">
        <f t="array" ref="K735">IF(H_unit[[#This Row],[Exact]]&lt;&gt;"","",_xlfn.XLOOKUP(TRUE,ISNUMBER(SEARCH(" "&amp;Municipality[Municipality]&amp;"n ",H_unit[[#This Row],[Info string]])),Municipality[Municipality],""))</f>
        <v/>
      </c>
      <c r="L735" s="246"/>
      <c r="M735" s="244"/>
      <c r="N735" s="246" t="str">
        <f>_xlfn.TEXTJOIN("",TRUE,H_unit[[#This Row],[Exact]],H_unit[[#This Row],[Exact+n]],H_unit[[#This Row],[Copilot]])</f>
        <v>Rantasalmi</v>
      </c>
      <c r="O735" s="246" t="str">
        <f>_xlfn.XLOOKUP(H_unit[[#This Row],[Municipality]],Municipality[Municipality],Municipality[Model],"")</f>
        <v>East</v>
      </c>
      <c r="P735" s="236"/>
    </row>
    <row r="736" spans="1:16">
      <c r="A736" s="238" t="s">
        <v>1543</v>
      </c>
      <c r="B736" s="238" t="s">
        <v>1551</v>
      </c>
      <c r="C736" s="240" t="str" cm="1">
        <f t="array" ref="C736">" "&amp;LOWER(_xlfn.REDUCE(H_unit[[#This Row],[Company]]&amp;" "&amp;H_unit[[#This Row],[Unit]],{",",".","(",")","/"},_xlfn.LAMBDA(_xlpm.txt,_xlpm.delim,SUBSTITUTE(_xlpm.txt,_xlpm.delim," "))))&amp;" "</f>
        <v xml:space="preserve"> inergia lämpö oy leiritie </v>
      </c>
      <c r="D736" s="242">
        <v>2022</v>
      </c>
      <c r="E736" s="243">
        <v>2</v>
      </c>
      <c r="F736" s="243"/>
      <c r="G736" s="247"/>
      <c r="H736" s="267" t="s">
        <v>1430</v>
      </c>
      <c r="I736" s="248" t="s">
        <v>1141</v>
      </c>
      <c r="J736" s="246" t="str" cm="1">
        <f t="array" ref="J736">_xlfn.XLOOKUP(TRUE,ISNUMBER(SEARCH(" "&amp;Municipality[Municipality]&amp;" ",H_unit[[#This Row],[Info string]])),Municipality[Municipality],"")</f>
        <v/>
      </c>
      <c r="K736" s="246" t="str" cm="1">
        <f t="array" ref="K736">IF(H_unit[[#This Row],[Exact]]&lt;&gt;"","",_xlfn.XLOOKUP(TRUE,ISNUMBER(SEARCH(" "&amp;Municipality[Municipality]&amp;"n ",H_unit[[#This Row],[Info string]])),Municipality[Municipality],""))</f>
        <v/>
      </c>
      <c r="L736" s="246" t="s">
        <v>1546</v>
      </c>
      <c r="M736" s="244" t="s">
        <v>2913</v>
      </c>
      <c r="N736" s="246" t="str">
        <f>_xlfn.TEXTJOIN("",TRUE,H_unit[[#This Row],[Exact]],H_unit[[#This Row],[Exact+n]],H_unit[[#This Row],[Copilot]])</f>
        <v>Inari</v>
      </c>
      <c r="O736" s="246" t="str">
        <f>_xlfn.XLOOKUP(H_unit[[#This Row],[Municipality]],Municipality[Municipality],Municipality[Model],"")</f>
        <v>North</v>
      </c>
      <c r="P736" s="236"/>
    </row>
    <row r="737" spans="1:16">
      <c r="A737" s="238" t="s">
        <v>1661</v>
      </c>
      <c r="B737" s="238" t="s">
        <v>1677</v>
      </c>
      <c r="C737" s="240" t="str" cm="1">
        <f t="array" ref="C737">" "&amp;LOWER(_xlfn.REDUCE(H_unit[[#This Row],[Company]]&amp;" "&amp;H_unit[[#This Row],[Unit]],{",",".","(",")","/"},_xlfn.LAMBDA(_xlpm.txt,_xlpm.delim,SUBSTITUTE(_xlpm.txt,_xlpm.delim," "))))&amp;" "</f>
        <v xml:space="preserve"> kss lämpö oy  kouvola valkeala bio lämpökeskus hake </v>
      </c>
      <c r="D737" s="242">
        <v>2023</v>
      </c>
      <c r="E737" s="243">
        <v>2</v>
      </c>
      <c r="F737" s="243"/>
      <c r="G737" s="247"/>
      <c r="H737" s="267" t="s">
        <v>1423</v>
      </c>
      <c r="I737" s="248" t="s">
        <v>1143</v>
      </c>
      <c r="J737" s="246" t="str" cm="1">
        <f t="array" ref="J737">_xlfn.XLOOKUP(TRUE,ISNUMBER(SEARCH(" "&amp;Municipality[Municipality]&amp;" ",H_unit[[#This Row],[Info string]])),Municipality[Municipality],"")</f>
        <v>Kouvola</v>
      </c>
      <c r="K737" s="246" t="str" cm="1">
        <f t="array" ref="K737">IF(H_unit[[#This Row],[Exact]]&lt;&gt;"","",_xlfn.XLOOKUP(TRUE,ISNUMBER(SEARCH(" "&amp;Municipality[Municipality]&amp;"n ",H_unit[[#This Row],[Info string]])),Municipality[Municipality],""))</f>
        <v/>
      </c>
      <c r="L737" s="246"/>
      <c r="M737" s="244"/>
      <c r="N737" s="246" t="str">
        <f>_xlfn.TEXTJOIN("",TRUE,H_unit[[#This Row],[Exact]],H_unit[[#This Row],[Exact+n]],H_unit[[#This Row],[Copilot]])</f>
        <v>Kouvola</v>
      </c>
      <c r="O737" s="246" t="str">
        <f>_xlfn.XLOOKUP(H_unit[[#This Row],[Municipality]],Municipality[Municipality],Municipality[Model],"")</f>
        <v>South East</v>
      </c>
      <c r="P737" s="236"/>
    </row>
    <row r="738" spans="1:16">
      <c r="A738" s="238" t="s">
        <v>1498</v>
      </c>
      <c r="B738" s="238" t="s">
        <v>1505</v>
      </c>
      <c r="C738" s="240" t="str" cm="1">
        <f t="array" ref="C738">" "&amp;LOWER(_xlfn.REDUCE(H_unit[[#This Row],[Company]]&amp;" "&amp;H_unit[[#This Row],[Unit]],{",",".","(",")","/"},_xlfn.LAMBDA(_xlpm.txt,_xlpm.delim,SUBSTITUTE(_xlpm.txt,_xlpm.delim," "))))&amp;" "</f>
        <v xml:space="preserve"> etelä-savon energia oy kyyhkylä </v>
      </c>
      <c r="D738" s="242" t="s">
        <v>1448</v>
      </c>
      <c r="E738" s="243">
        <v>2</v>
      </c>
      <c r="F738" s="243"/>
      <c r="G738" s="247"/>
      <c r="H738" s="267" t="s">
        <v>1430</v>
      </c>
      <c r="I738" s="248" t="s">
        <v>1141</v>
      </c>
      <c r="J738" s="246" t="str" cm="1">
        <f t="array" ref="J738">_xlfn.XLOOKUP(TRUE,ISNUMBER(SEARCH(" "&amp;Municipality[Municipality]&amp;" ",H_unit[[#This Row],[Info string]])),Municipality[Municipality],"")</f>
        <v/>
      </c>
      <c r="K738" s="246" t="str" cm="1">
        <f t="array" ref="K738">IF(H_unit[[#This Row],[Exact]]&lt;&gt;"","",_xlfn.XLOOKUP(TRUE,ISNUMBER(SEARCH(" "&amp;Municipality[Municipality]&amp;"n ",H_unit[[#This Row],[Info string]])),Municipality[Municipality],""))</f>
        <v/>
      </c>
      <c r="L738" s="246" t="s">
        <v>2761</v>
      </c>
      <c r="M738" s="244" t="s">
        <v>2893</v>
      </c>
      <c r="N738" s="246" t="str">
        <f>_xlfn.TEXTJOIN("",TRUE,H_unit[[#This Row],[Exact]],H_unit[[#This Row],[Exact+n]],H_unit[[#This Row],[Copilot]])</f>
        <v>Mikkeli</v>
      </c>
      <c r="O738" s="246" t="str">
        <f>_xlfn.XLOOKUP(H_unit[[#This Row],[Municipality]],Municipality[Municipality],Municipality[Model],"")</f>
        <v>East</v>
      </c>
      <c r="P738" s="236"/>
    </row>
    <row r="739" spans="1:16">
      <c r="A739" s="238" t="s">
        <v>1839</v>
      </c>
      <c r="B739" s="238" t="s">
        <v>1851</v>
      </c>
      <c r="C739" s="240" t="str" cm="1">
        <f t="array" ref="C739">" "&amp;LOWER(_xlfn.REDUCE(H_unit[[#This Row],[Company]]&amp;" "&amp;H_unit[[#This Row],[Unit]],{",",".","(",")","/"},_xlfn.LAMBDA(_xlpm.txt,_xlpm.delim,SUBSTITUTE(_xlpm.txt,_xlpm.delim," "))))&amp;" "</f>
        <v xml:space="preserve"> loimua oy  hämeenlinna hauho kpa-kattila </v>
      </c>
      <c r="D739" s="242" t="s">
        <v>1448</v>
      </c>
      <c r="E739" s="243">
        <v>2</v>
      </c>
      <c r="F739" s="243"/>
      <c r="G739" s="247"/>
      <c r="H739" s="267" t="s">
        <v>1423</v>
      </c>
      <c r="I739" s="248" t="s">
        <v>1143</v>
      </c>
      <c r="J739" s="246" t="str" cm="1">
        <f t="array" ref="J739">_xlfn.XLOOKUP(TRUE,ISNUMBER(SEARCH(" "&amp;Municipality[Municipality]&amp;" ",H_unit[[#This Row],[Info string]])),Municipality[Municipality],"")</f>
        <v>Hauho</v>
      </c>
      <c r="K739" s="246" t="str" cm="1">
        <f t="array" ref="K739">IF(H_unit[[#This Row],[Exact]]&lt;&gt;"","",_xlfn.XLOOKUP(TRUE,ISNUMBER(SEARCH(" "&amp;Municipality[Municipality]&amp;"n ",H_unit[[#This Row],[Info string]])),Municipality[Municipality],""))</f>
        <v/>
      </c>
      <c r="L739" s="246"/>
      <c r="M739" s="244"/>
      <c r="N739" s="246" t="str">
        <f>_xlfn.TEXTJOIN("",TRUE,H_unit[[#This Row],[Exact]],H_unit[[#This Row],[Exact+n]],H_unit[[#This Row],[Copilot]])</f>
        <v>Hauho</v>
      </c>
      <c r="O739" s="246" t="str">
        <f>_xlfn.XLOOKUP(H_unit[[#This Row],[Municipality]],Municipality[Municipality],Municipality[Model],"")</f>
        <v>South West</v>
      </c>
      <c r="P739" s="236"/>
    </row>
    <row r="740" spans="1:16">
      <c r="A740" s="238" t="s">
        <v>2250</v>
      </c>
      <c r="B740" s="238" t="s">
        <v>1695</v>
      </c>
      <c r="C740" s="240" t="str" cm="1">
        <f t="array" ref="C740">" "&amp;LOWER(_xlfn.REDUCE(H_unit[[#This Row],[Company]]&amp;" "&amp;H_unit[[#This Row],[Unit]],{",",".","(",")","/"},_xlfn.LAMBDA(_xlpm.txt,_xlpm.delim,SUBSTITUTE(_xlpm.txt,_xlpm.delim," "))))&amp;" "</f>
        <v xml:space="preserve"> virtain energia oy sampola </v>
      </c>
      <c r="D740" s="242" t="s">
        <v>1448</v>
      </c>
      <c r="E740" s="243">
        <v>2</v>
      </c>
      <c r="F740" s="243"/>
      <c r="G740" s="247"/>
      <c r="H740" s="267" t="s">
        <v>1430</v>
      </c>
      <c r="I740" s="248" t="s">
        <v>1141</v>
      </c>
      <c r="J740" s="246" t="str" cm="1">
        <f t="array" ref="J740">_xlfn.XLOOKUP(TRUE,ISNUMBER(SEARCH(" "&amp;Municipality[Municipality]&amp;" ",H_unit[[#This Row],[Info string]])),Municipality[Municipality],"")</f>
        <v/>
      </c>
      <c r="K740" s="246" t="str" cm="1">
        <f t="array" ref="K740">IF(H_unit[[#This Row],[Exact]]&lt;&gt;"","",_xlfn.XLOOKUP(TRUE,ISNUMBER(SEARCH(" "&amp;Municipality[Municipality]&amp;"n ",H_unit[[#This Row],[Info string]])),Municipality[Municipality],""))</f>
        <v/>
      </c>
      <c r="L740" s="246" t="s">
        <v>2840</v>
      </c>
      <c r="M740" s="244" t="s">
        <v>2906</v>
      </c>
      <c r="N740" s="246" t="str">
        <f>_xlfn.TEXTJOIN("",TRUE,H_unit[[#This Row],[Exact]],H_unit[[#This Row],[Exact+n]],H_unit[[#This Row],[Copilot]])</f>
        <v>Virrat</v>
      </c>
      <c r="O740" s="246" t="str">
        <f>_xlfn.XLOOKUP(H_unit[[#This Row],[Municipality]],Municipality[Municipality],Municipality[Model],"")</f>
        <v>Center</v>
      </c>
      <c r="P740" s="236"/>
    </row>
    <row r="741" spans="1:16">
      <c r="A741" s="238" t="s">
        <v>2237</v>
      </c>
      <c r="B741" s="238" t="s">
        <v>2240</v>
      </c>
      <c r="C741" s="240" t="str" cm="1">
        <f t="array" ref="C741">" "&amp;LOWER(_xlfn.REDUCE(H_unit[[#This Row],[Company]]&amp;" "&amp;H_unit[[#This Row],[Unit]],{",",".","(",")","/"},_xlfn.LAMBDA(_xlpm.txt,_xlpm.delim,SUBSTITUTE(_xlpm.txt,_xlpm.delim," "))))&amp;" "</f>
        <v xml:space="preserve"> vetelin energia oy por 1 </v>
      </c>
      <c r="D741" s="242">
        <v>1984</v>
      </c>
      <c r="E741" s="243">
        <v>1.8</v>
      </c>
      <c r="F741" s="243"/>
      <c r="G741" s="247"/>
      <c r="H741" s="267" t="s">
        <v>1430</v>
      </c>
      <c r="I741" s="248" t="s">
        <v>1141</v>
      </c>
      <c r="J741" s="246" t="str" cm="1">
        <f t="array" ref="J741">_xlfn.XLOOKUP(TRUE,ISNUMBER(SEARCH(" "&amp;Municipality[Municipality]&amp;" ",H_unit[[#This Row],[Info string]])),Municipality[Municipality],"")</f>
        <v/>
      </c>
      <c r="K741" s="246" t="str" cm="1">
        <f t="array" ref="K741">IF(H_unit[[#This Row],[Exact]]&lt;&gt;"","",_xlfn.XLOOKUP(TRUE,ISNUMBER(SEARCH(" "&amp;Municipality[Municipality]&amp;"n ",H_unit[[#This Row],[Info string]])),Municipality[Municipality],""))</f>
        <v>Veteli</v>
      </c>
      <c r="L741" s="246"/>
      <c r="M741" s="244"/>
      <c r="N741" s="246" t="str">
        <f>_xlfn.TEXTJOIN("",TRUE,H_unit[[#This Row],[Exact]],H_unit[[#This Row],[Exact+n]],H_unit[[#This Row],[Copilot]])</f>
        <v>Veteli</v>
      </c>
      <c r="O741" s="246" t="str">
        <f>_xlfn.XLOOKUP(H_unit[[#This Row],[Municipality]],Municipality[Municipality],Municipality[Model],"")</f>
        <v>West</v>
      </c>
      <c r="P741" s="236"/>
    </row>
    <row r="742" spans="1:16">
      <c r="A742" s="238" t="s">
        <v>2318</v>
      </c>
      <c r="B742" s="238" t="s">
        <v>2322</v>
      </c>
      <c r="C742" s="240" t="str" cm="1">
        <f t="array" ref="C742">" "&amp;LOWER(_xlfn.REDUCE(H_unit[[#This Row],[Company]]&amp;" "&amp;H_unit[[#This Row],[Unit]],{",",".","(",")","/"},_xlfn.LAMBDA(_xlpm.txt,_xlpm.delim,SUBSTITUTE(_xlpm.txt,_xlpm.delim," "))))&amp;" "</f>
        <v xml:space="preserve"> lappeenrannan lämpövoima oy lampikangas  joutseno  </v>
      </c>
      <c r="D742" s="242">
        <v>1984</v>
      </c>
      <c r="E742" s="243">
        <v>1.8</v>
      </c>
      <c r="F742" s="243"/>
      <c r="G742" s="247"/>
      <c r="H742" s="267" t="s">
        <v>1453</v>
      </c>
      <c r="I742" s="248" t="s">
        <v>1142</v>
      </c>
      <c r="J742" s="246" t="str" cm="1">
        <f t="array" ref="J742">_xlfn.XLOOKUP(TRUE,ISNUMBER(SEARCH(" "&amp;Municipality[Municipality]&amp;" ",H_unit[[#This Row],[Info string]])),Municipality[Municipality],"")</f>
        <v>Joutseno</v>
      </c>
      <c r="K742" s="246" t="str" cm="1">
        <f t="array" ref="K742">IF(H_unit[[#This Row],[Exact]]&lt;&gt;"","",_xlfn.XLOOKUP(TRUE,ISNUMBER(SEARCH(" "&amp;Municipality[Municipality]&amp;"n ",H_unit[[#This Row],[Info string]])),Municipality[Municipality],""))</f>
        <v/>
      </c>
      <c r="L742" s="246"/>
      <c r="M742" s="244"/>
      <c r="N742" s="246" t="str">
        <f>_xlfn.TEXTJOIN("",TRUE,H_unit[[#This Row],[Exact]],H_unit[[#This Row],[Exact+n]],H_unit[[#This Row],[Copilot]])</f>
        <v>Joutseno</v>
      </c>
      <c r="O742" s="246" t="str">
        <f>_xlfn.XLOOKUP(H_unit[[#This Row],[Municipality]],Municipality[Municipality],Municipality[Model],"")</f>
        <v>South East</v>
      </c>
      <c r="P742" s="236"/>
    </row>
    <row r="743" spans="1:16">
      <c r="A743" s="238" t="s">
        <v>1697</v>
      </c>
      <c r="B743" s="238" t="s">
        <v>1700</v>
      </c>
      <c r="C743" s="240" t="str" cm="1">
        <f t="array" ref="C743">" "&amp;LOWER(_xlfn.REDUCE(H_unit[[#This Row],[Company]]&amp;" "&amp;H_unit[[#This Row],[Unit]],{",",".","(",")","/"},_xlfn.LAMBDA(_xlpm.txt,_xlpm.delim,SUBSTITUTE(_xlpm.txt,_xlpm.delim," "))))&amp;" "</f>
        <v xml:space="preserve"> kurikan energia oy nikkarintie  kurikka </v>
      </c>
      <c r="D743" s="242">
        <v>1996</v>
      </c>
      <c r="E743" s="243">
        <v>1.8</v>
      </c>
      <c r="F743" s="243"/>
      <c r="G743" s="247"/>
      <c r="H743" s="267" t="s">
        <v>1430</v>
      </c>
      <c r="I743" s="248" t="s">
        <v>1141</v>
      </c>
      <c r="J743" s="246" t="str" cm="1">
        <f t="array" ref="J743">_xlfn.XLOOKUP(TRUE,ISNUMBER(SEARCH(" "&amp;Municipality[Municipality]&amp;" ",H_unit[[#This Row],[Info string]])),Municipality[Municipality],"")</f>
        <v>Kurikka</v>
      </c>
      <c r="K743" s="246" t="str" cm="1">
        <f t="array" ref="K743">IF(H_unit[[#This Row],[Exact]]&lt;&gt;"","",_xlfn.XLOOKUP(TRUE,ISNUMBER(SEARCH(" "&amp;Municipality[Municipality]&amp;"n ",H_unit[[#This Row],[Info string]])),Municipality[Municipality],""))</f>
        <v/>
      </c>
      <c r="L743" s="246"/>
      <c r="M743" s="244"/>
      <c r="N743" s="246" t="str">
        <f>_xlfn.TEXTJOIN("",TRUE,H_unit[[#This Row],[Exact]],H_unit[[#This Row],[Exact+n]],H_unit[[#This Row],[Copilot]])</f>
        <v>Kurikka</v>
      </c>
      <c r="O743" s="246" t="str">
        <f>_xlfn.XLOOKUP(H_unit[[#This Row],[Municipality]],Municipality[Municipality],Municipality[Model],"")</f>
        <v>West</v>
      </c>
      <c r="P743" s="236"/>
    </row>
    <row r="744" spans="1:16">
      <c r="A744" s="238" t="s">
        <v>2005</v>
      </c>
      <c r="B744" s="238" t="s">
        <v>2008</v>
      </c>
      <c r="C744" s="240" t="str" cm="1">
        <f t="array" ref="C744">" "&amp;LOWER(_xlfn.REDUCE(H_unit[[#This Row],[Company]]&amp;" "&amp;H_unit[[#This Row],[Unit]],{",",".","(",")","/"},_xlfn.LAMBDA(_xlpm.txt,_xlpm.delim,SUBSTITUTE(_xlpm.txt,_xlpm.delim," "))))&amp;" "</f>
        <v xml:space="preserve"> otanmäen lämpö oy kumparetie </v>
      </c>
      <c r="D744" s="242">
        <v>2003</v>
      </c>
      <c r="E744" s="243">
        <v>1.8</v>
      </c>
      <c r="F744" s="243"/>
      <c r="G744" s="247"/>
      <c r="H744" s="267" t="s">
        <v>1423</v>
      </c>
      <c r="I744" s="248" t="s">
        <v>1143</v>
      </c>
      <c r="J744" s="246" t="str" cm="1">
        <f t="array" ref="J744">_xlfn.XLOOKUP(TRUE,ISNUMBER(SEARCH(" "&amp;Municipality[Municipality]&amp;" ",H_unit[[#This Row],[Info string]])),Municipality[Municipality],"")</f>
        <v/>
      </c>
      <c r="K744" s="246" t="str" cm="1">
        <f t="array" ref="K744">IF(H_unit[[#This Row],[Exact]]&lt;&gt;"","",_xlfn.XLOOKUP(TRUE,ISNUMBER(SEARCH(" "&amp;Municipality[Municipality]&amp;"n ",H_unit[[#This Row],[Info string]])),Municipality[Municipality],""))</f>
        <v/>
      </c>
      <c r="L744" s="246"/>
      <c r="M744" s="244"/>
      <c r="N744" s="246" t="str">
        <f>_xlfn.TEXTJOIN("",TRUE,H_unit[[#This Row],[Exact]],H_unit[[#This Row],[Exact+n]],H_unit[[#This Row],[Copilot]])</f>
        <v/>
      </c>
      <c r="O744" s="246" t="str">
        <f>_xlfn.XLOOKUP(H_unit[[#This Row],[Municipality]],Municipality[Municipality],Municipality[Model],"")</f>
        <v/>
      </c>
      <c r="P744" s="236"/>
    </row>
    <row r="745" spans="1:16">
      <c r="A745" s="238" t="s">
        <v>2299</v>
      </c>
      <c r="B745" s="238" t="s">
        <v>2008</v>
      </c>
      <c r="C745" s="240" t="str" cm="1">
        <f t="array" ref="C745">" "&amp;LOWER(_xlfn.REDUCE(H_unit[[#This Row],[Company]]&amp;" "&amp;H_unit[[#This Row],[Unit]],{",",".","(",")","/"},_xlfn.LAMBDA(_xlpm.txt,_xlpm.delim,SUBSTITUTE(_xlpm.txt,_xlpm.delim," "))))&amp;" "</f>
        <v xml:space="preserve"> kainuun lämpöhuolto oy kumparetie </v>
      </c>
      <c r="D745" s="242">
        <v>2003</v>
      </c>
      <c r="E745" s="243">
        <v>1.8</v>
      </c>
      <c r="F745" s="243"/>
      <c r="G745" s="247"/>
      <c r="H745" s="267" t="s">
        <v>1423</v>
      </c>
      <c r="I745" s="248" t="s">
        <v>1143</v>
      </c>
      <c r="J745" s="246" t="str" cm="1">
        <f t="array" ref="J745">_xlfn.XLOOKUP(TRUE,ISNUMBER(SEARCH(" "&amp;Municipality[Municipality]&amp;" ",H_unit[[#This Row],[Info string]])),Municipality[Municipality],"")</f>
        <v/>
      </c>
      <c r="K745" s="246" t="str" cm="1">
        <f t="array" ref="K745">IF(H_unit[[#This Row],[Exact]]&lt;&gt;"","",_xlfn.XLOOKUP(TRUE,ISNUMBER(SEARCH(" "&amp;Municipality[Municipality]&amp;"n ",H_unit[[#This Row],[Info string]])),Municipality[Municipality],""))</f>
        <v/>
      </c>
      <c r="L745" s="246"/>
      <c r="M745" s="244"/>
      <c r="N745" s="246" t="str">
        <f>_xlfn.TEXTJOIN("",TRUE,H_unit[[#This Row],[Exact]],H_unit[[#This Row],[Exact+n]],H_unit[[#This Row],[Copilot]])</f>
        <v/>
      </c>
      <c r="O745" s="246" t="str">
        <f>_xlfn.XLOOKUP(H_unit[[#This Row],[Municipality]],Municipality[Municipality],Municipality[Model],"")</f>
        <v/>
      </c>
      <c r="P745" s="236"/>
    </row>
    <row r="746" spans="1:16">
      <c r="A746" s="238" t="s">
        <v>1484</v>
      </c>
      <c r="B746" s="238" t="s">
        <v>1488</v>
      </c>
      <c r="C746" s="240" t="str" cm="1">
        <f t="array" ref="C746">" "&amp;LOWER(_xlfn.REDUCE(H_unit[[#This Row],[Company]]&amp;" "&amp;H_unit[[#This Row],[Unit]],{",",".","(",")","/"},_xlfn.LAMBDA(_xlpm.txt,_xlpm.delim,SUBSTITUTE(_xlpm.txt,_xlpm.delim," "))))&amp;" "</f>
        <v xml:space="preserve"> alavuden lämpö oy aseman lämpökeskus </v>
      </c>
      <c r="D746" s="242">
        <v>2010</v>
      </c>
      <c r="E746" s="243">
        <v>1.8</v>
      </c>
      <c r="F746" s="243"/>
      <c r="G746" s="247"/>
      <c r="H746" s="267" t="s">
        <v>1428</v>
      </c>
      <c r="I746" s="248" t="s">
        <v>1143</v>
      </c>
      <c r="J746" s="246" t="str" cm="1">
        <f t="array" ref="J746">_xlfn.XLOOKUP(TRUE,ISNUMBER(SEARCH(" "&amp;Municipality[Municipality]&amp;" ",H_unit[[#This Row],[Info string]])),Municipality[Municipality],"")</f>
        <v/>
      </c>
      <c r="K746" s="246" t="str" cm="1">
        <f t="array" ref="K746">IF(H_unit[[#This Row],[Exact]]&lt;&gt;"","",_xlfn.XLOOKUP(TRUE,ISNUMBER(SEARCH(" "&amp;Municipality[Municipality]&amp;"n ",H_unit[[#This Row],[Info string]])),Municipality[Municipality],""))</f>
        <v/>
      </c>
      <c r="L746" s="246" t="s">
        <v>2490</v>
      </c>
      <c r="M746" s="244" t="s">
        <v>2911</v>
      </c>
      <c r="N746" s="246" t="str">
        <f>_xlfn.TEXTJOIN("",TRUE,H_unit[[#This Row],[Exact]],H_unit[[#This Row],[Exact+n]],H_unit[[#This Row],[Copilot]])</f>
        <v>Alavus</v>
      </c>
      <c r="O746" s="246" t="str">
        <f>_xlfn.XLOOKUP(H_unit[[#This Row],[Municipality]],Municipality[Municipality],Municipality[Model],"")</f>
        <v>West</v>
      </c>
      <c r="P746" s="236"/>
    </row>
    <row r="747" spans="1:16">
      <c r="A747" s="238" t="s">
        <v>1767</v>
      </c>
      <c r="B747" s="238" t="s">
        <v>1554</v>
      </c>
      <c r="C747" s="240" t="str" cm="1">
        <f t="array" ref="C747">" "&amp;LOWER(_xlfn.REDUCE(H_unit[[#This Row],[Company]]&amp;" "&amp;H_unit[[#This Row],[Unit]],{",",".","(",")","/"},_xlfn.LAMBDA(_xlpm.txt,_xlpm.delim,SUBSTITUTE(_xlpm.txt,_xlpm.delim," "))))&amp;" "</f>
        <v xml:space="preserve"> lempeä lämpö oy  pertunmaa pertunmaantien lämpölaitos </v>
      </c>
      <c r="D747" s="242">
        <v>2020</v>
      </c>
      <c r="E747" s="243">
        <v>1.8</v>
      </c>
      <c r="F747" s="243"/>
      <c r="G747" s="247"/>
      <c r="H747" s="267" t="s">
        <v>1436</v>
      </c>
      <c r="I747" s="248" t="s">
        <v>1143</v>
      </c>
      <c r="J747" s="246" t="str" cm="1">
        <f t="array" ref="J747">_xlfn.XLOOKUP(TRUE,ISNUMBER(SEARCH(" "&amp;Municipality[Municipality]&amp;" ",H_unit[[#This Row],[Info string]])),Municipality[Municipality],"")</f>
        <v>Pertunmaa</v>
      </c>
      <c r="K747" s="246" t="str" cm="1">
        <f t="array" ref="K747">IF(H_unit[[#This Row],[Exact]]&lt;&gt;"","",_xlfn.XLOOKUP(TRUE,ISNUMBER(SEARCH(" "&amp;Municipality[Municipality]&amp;"n ",H_unit[[#This Row],[Info string]])),Municipality[Municipality],""))</f>
        <v/>
      </c>
      <c r="L747" s="246"/>
      <c r="M747" s="244"/>
      <c r="N747" s="246" t="str">
        <f>_xlfn.TEXTJOIN("",TRUE,H_unit[[#This Row],[Exact]],H_unit[[#This Row],[Exact+n]],H_unit[[#This Row],[Copilot]])</f>
        <v>Pertunmaa</v>
      </c>
      <c r="O747" s="246" t="str">
        <f>_xlfn.XLOOKUP(H_unit[[#This Row],[Municipality]],Municipality[Municipality],Municipality[Model],"")</f>
        <v>East</v>
      </c>
      <c r="P747" s="236"/>
    </row>
    <row r="748" spans="1:16">
      <c r="A748" s="238" t="s">
        <v>1912</v>
      </c>
      <c r="B748" s="238" t="s">
        <v>1915</v>
      </c>
      <c r="C748" s="240" t="str" cm="1">
        <f t="array" ref="C748">" "&amp;LOWER(_xlfn.REDUCE(H_unit[[#This Row],[Company]]&amp;" "&amp;H_unit[[#This Row],[Unit]],{",",".","(",")","/"},_xlfn.LAMBDA(_xlpm.txt,_xlpm.delim,SUBSTITUTE(_xlpm.txt,_xlpm.delim," "))))&amp;" "</f>
        <v xml:space="preserve"> nevel oy  joensuu  hammaslahti  reijola  reijola tiedonpolku 3 </v>
      </c>
      <c r="D748" s="242" t="s">
        <v>1448</v>
      </c>
      <c r="E748" s="243">
        <v>1.8</v>
      </c>
      <c r="F748" s="243"/>
      <c r="G748" s="247"/>
      <c r="H748" s="267" t="s">
        <v>1436</v>
      </c>
      <c r="I748" s="248" t="s">
        <v>1143</v>
      </c>
      <c r="J748" s="246" t="str" cm="1">
        <f t="array" ref="J748">_xlfn.XLOOKUP(TRUE,ISNUMBER(SEARCH(" "&amp;Municipality[Municipality]&amp;" ",H_unit[[#This Row],[Info string]])),Municipality[Municipality],"")</f>
        <v>Joensuu</v>
      </c>
      <c r="K748" s="246" t="str" cm="1">
        <f t="array" ref="K748">IF(H_unit[[#This Row],[Exact]]&lt;&gt;"","",_xlfn.XLOOKUP(TRUE,ISNUMBER(SEARCH(" "&amp;Municipality[Municipality]&amp;"n ",H_unit[[#This Row],[Info string]])),Municipality[Municipality],""))</f>
        <v/>
      </c>
      <c r="L748" s="246"/>
      <c r="M748" s="244"/>
      <c r="N748" s="246" t="str">
        <f>_xlfn.TEXTJOIN("",TRUE,H_unit[[#This Row],[Exact]],H_unit[[#This Row],[Exact+n]],H_unit[[#This Row],[Copilot]])</f>
        <v>Joensuu</v>
      </c>
      <c r="O748" s="246" t="str">
        <f>_xlfn.XLOOKUP(H_unit[[#This Row],[Municipality]],Municipality[Municipality],Municipality[Model],"")</f>
        <v>East</v>
      </c>
      <c r="P748" s="236"/>
    </row>
    <row r="749" spans="1:16">
      <c r="A749" s="238" t="s">
        <v>1760</v>
      </c>
      <c r="B749" s="238" t="s">
        <v>1761</v>
      </c>
      <c r="C749" s="240" t="str" cm="1">
        <f t="array" ref="C749">" "&amp;LOWER(_xlfn.REDUCE(H_unit[[#This Row],[Company]]&amp;" "&amp;H_unit[[#This Row],[Unit]],{",",".","(",")","/"},_xlfn.LAMBDA(_xlpm.txt,_xlpm.delim,SUBSTITUTE(_xlpm.txt,_xlpm.delim," "))))&amp;" "</f>
        <v xml:space="preserve"> lempeä lämpö oy  kangasniemi keskusta </v>
      </c>
      <c r="D749" s="242">
        <v>1996</v>
      </c>
      <c r="E749" s="243">
        <v>1.7</v>
      </c>
      <c r="F749" s="243"/>
      <c r="G749" s="247"/>
      <c r="H749" s="267" t="s">
        <v>1430</v>
      </c>
      <c r="I749" s="248" t="s">
        <v>1141</v>
      </c>
      <c r="J749" s="246" t="str" cm="1">
        <f t="array" ref="J749">_xlfn.XLOOKUP(TRUE,ISNUMBER(SEARCH(" "&amp;Municipality[Municipality]&amp;" ",H_unit[[#This Row],[Info string]])),Municipality[Municipality],"")</f>
        <v>Kangasniemi</v>
      </c>
      <c r="K749" s="246" t="str" cm="1">
        <f t="array" ref="K749">IF(H_unit[[#This Row],[Exact]]&lt;&gt;"","",_xlfn.XLOOKUP(TRUE,ISNUMBER(SEARCH(" "&amp;Municipality[Municipality]&amp;"n ",H_unit[[#This Row],[Info string]])),Municipality[Municipality],""))</f>
        <v/>
      </c>
      <c r="L749" s="246"/>
      <c r="M749" s="244"/>
      <c r="N749" s="246" t="str">
        <f>_xlfn.TEXTJOIN("",TRUE,H_unit[[#This Row],[Exact]],H_unit[[#This Row],[Exact+n]],H_unit[[#This Row],[Copilot]])</f>
        <v>Kangasniemi</v>
      </c>
      <c r="O749" s="246" t="str">
        <f>_xlfn.XLOOKUP(H_unit[[#This Row],[Municipality]],Municipality[Municipality],Municipality[Model],"")</f>
        <v>East</v>
      </c>
      <c r="P749" s="236"/>
    </row>
    <row r="750" spans="1:16">
      <c r="A750" s="238" t="s">
        <v>2247</v>
      </c>
      <c r="B750" s="238" t="s">
        <v>2029</v>
      </c>
      <c r="C750" s="240" t="str" cm="1">
        <f t="array" ref="C750">" "&amp;LOWER(_xlfn.REDUCE(H_unit[[#This Row],[Company]]&amp;" "&amp;H_unit[[#This Row],[Unit]],{",",".","(",")","/"},_xlfn.LAMBDA(_xlpm.txt,_xlpm.delim,SUBSTITUTE(_xlpm.txt,_xlpm.delim," "))))&amp;" "</f>
        <v xml:space="preserve"> vimpelin lämpö oy por </v>
      </c>
      <c r="D750" s="242">
        <v>2001</v>
      </c>
      <c r="E750" s="243">
        <v>1.7</v>
      </c>
      <c r="F750" s="243"/>
      <c r="G750" s="247"/>
      <c r="H750" s="267" t="s">
        <v>1418</v>
      </c>
      <c r="I750" s="248" t="s">
        <v>1141</v>
      </c>
      <c r="J750" s="246" t="str" cm="1">
        <f t="array" ref="J750">_xlfn.XLOOKUP(TRUE,ISNUMBER(SEARCH(" "&amp;Municipality[Municipality]&amp;" ",H_unit[[#This Row],[Info string]])),Municipality[Municipality],"")</f>
        <v/>
      </c>
      <c r="K750" s="246" t="str" cm="1">
        <f t="array" ref="K750">IF(H_unit[[#This Row],[Exact]]&lt;&gt;"","",_xlfn.XLOOKUP(TRUE,ISNUMBER(SEARCH(" "&amp;Municipality[Municipality]&amp;"n ",H_unit[[#This Row],[Info string]])),Municipality[Municipality],""))</f>
        <v>Vimpeli</v>
      </c>
      <c r="L750" s="246"/>
      <c r="M750" s="244"/>
      <c r="N750" s="246" t="str">
        <f>_xlfn.TEXTJOIN("",TRUE,H_unit[[#This Row],[Exact]],H_unit[[#This Row],[Exact+n]],H_unit[[#This Row],[Copilot]])</f>
        <v>Vimpeli</v>
      </c>
      <c r="O750" s="246" t="str">
        <f>_xlfn.XLOOKUP(H_unit[[#This Row],[Municipality]],Municipality[Municipality],Municipality[Model],"")</f>
        <v>West</v>
      </c>
      <c r="P750" s="236"/>
    </row>
    <row r="751" spans="1:16">
      <c r="A751" s="238" t="s">
        <v>2195</v>
      </c>
      <c r="B751" s="238" t="s">
        <v>2196</v>
      </c>
      <c r="C751" s="240" t="str" cm="1">
        <f t="array" ref="C751">" "&amp;LOWER(_xlfn.REDUCE(H_unit[[#This Row],[Company]]&amp;" "&amp;H_unit[[#This Row],[Unit]],{",",".","(",")","/"},_xlfn.LAMBDA(_xlpm.txt,_xlpm.delim,SUBSTITUTE(_xlpm.txt,_xlpm.delim," "))))&amp;" "</f>
        <v xml:space="preserve"> ulvilan lämpö oy kullaa koski </v>
      </c>
      <c r="D751" s="242">
        <v>2005</v>
      </c>
      <c r="E751" s="243">
        <v>1.7</v>
      </c>
      <c r="F751" s="243"/>
      <c r="G751" s="247"/>
      <c r="H751" s="267" t="s">
        <v>1436</v>
      </c>
      <c r="I751" s="248" t="s">
        <v>1143</v>
      </c>
      <c r="J751" s="246" t="str" cm="1">
        <f t="array" ref="J751">_xlfn.XLOOKUP(TRUE,ISNUMBER(SEARCH(" "&amp;Municipality[Municipality]&amp;" ",H_unit[[#This Row],[Info string]])),Municipality[Municipality],"")</f>
        <v>Kullaa</v>
      </c>
      <c r="K751" s="246" t="str" cm="1">
        <f t="array" ref="K751">IF(H_unit[[#This Row],[Exact]]&lt;&gt;"","",_xlfn.XLOOKUP(TRUE,ISNUMBER(SEARCH(" "&amp;Municipality[Municipality]&amp;"n ",H_unit[[#This Row],[Info string]])),Municipality[Municipality],""))</f>
        <v/>
      </c>
      <c r="L751" s="246"/>
      <c r="M751" s="244"/>
      <c r="N751" s="246" t="str">
        <f>_xlfn.TEXTJOIN("",TRUE,H_unit[[#This Row],[Exact]],H_unit[[#This Row],[Exact+n]],H_unit[[#This Row],[Copilot]])</f>
        <v>Kullaa</v>
      </c>
      <c r="O751" s="246" t="str">
        <f>_xlfn.XLOOKUP(H_unit[[#This Row],[Municipality]],Municipality[Municipality],Municipality[Model],"")</f>
        <v>West</v>
      </c>
      <c r="P751" s="236"/>
    </row>
    <row r="752" spans="1:16">
      <c r="A752" s="238" t="s">
        <v>1490</v>
      </c>
      <c r="B752" s="238" t="s">
        <v>1491</v>
      </c>
      <c r="C752" s="240" t="str" cm="1">
        <f t="array" ref="C752">" "&amp;LOWER(_xlfn.REDUCE(H_unit[[#This Row],[Company]]&amp;" "&amp;H_unit[[#This Row],[Unit]],{",",".","(",")","/"},_xlfn.LAMBDA(_xlpm.txt,_xlpm.delim,SUBSTITUTE(_xlpm.txt,_xlpm.delim," "))))&amp;" "</f>
        <v xml:space="preserve"> alkkulan aluelämpö oy lämpökeskus 2 </v>
      </c>
      <c r="D752" s="242">
        <v>2008</v>
      </c>
      <c r="E752" s="243">
        <v>1.7</v>
      </c>
      <c r="F752" s="243"/>
      <c r="G752" s="247"/>
      <c r="H752" s="267" t="s">
        <v>1423</v>
      </c>
      <c r="I752" s="248" t="s">
        <v>1143</v>
      </c>
      <c r="J752" s="246" t="str" cm="1">
        <f t="array" ref="J752">_xlfn.XLOOKUP(TRUE,ISNUMBER(SEARCH(" "&amp;Municipality[Municipality]&amp;" ",H_unit[[#This Row],[Info string]])),Municipality[Municipality],"")</f>
        <v/>
      </c>
      <c r="K752" s="246" t="str" cm="1">
        <f t="array" ref="K752">IF(H_unit[[#This Row],[Exact]]&lt;&gt;"","",_xlfn.XLOOKUP(TRUE,ISNUMBER(SEARCH(" "&amp;Municipality[Municipality]&amp;"n ",H_unit[[#This Row],[Info string]])),Municipality[Municipality],""))</f>
        <v/>
      </c>
      <c r="L752" s="246" t="s">
        <v>2858</v>
      </c>
      <c r="M752" s="244" t="s">
        <v>2914</v>
      </c>
      <c r="N752" s="246" t="str">
        <f>_xlfn.TEXTJOIN("",TRUE,H_unit[[#This Row],[Exact]],H_unit[[#This Row],[Exact+n]],H_unit[[#This Row],[Copilot]])</f>
        <v>Ylitornio</v>
      </c>
      <c r="O752" s="246" t="str">
        <f>_xlfn.XLOOKUP(H_unit[[#This Row],[Municipality]],Municipality[Municipality],Municipality[Model],"")</f>
        <v>North</v>
      </c>
      <c r="P752" s="236"/>
    </row>
    <row r="753" spans="1:16">
      <c r="A753" s="238" t="s">
        <v>1678</v>
      </c>
      <c r="B753" s="238" t="s">
        <v>1693</v>
      </c>
      <c r="C753" s="240" t="str" cm="1">
        <f t="array" ref="C753">" "&amp;LOWER(_xlfn.REDUCE(H_unit[[#This Row],[Company]]&amp;" "&amp;H_unit[[#This Row],[Unit]],{",",".","(",")","/"},_xlfn.LAMBDA(_xlpm.txt,_xlpm.delim,SUBSTITUTE(_xlpm.txt,_xlpm.delim," "))))&amp;" "</f>
        <v xml:space="preserve"> kuopion energia oy pitkälahden moottorivoimalaitos </v>
      </c>
      <c r="D753" s="242">
        <v>2014</v>
      </c>
      <c r="E753" s="243">
        <v>1.6</v>
      </c>
      <c r="F753" s="243">
        <v>1.6</v>
      </c>
      <c r="G753" s="247"/>
      <c r="H753" s="267" t="s">
        <v>1529</v>
      </c>
      <c r="I753" s="248" t="s">
        <v>1145</v>
      </c>
      <c r="J753" s="246" t="str" cm="1">
        <f t="array" ref="J753">_xlfn.XLOOKUP(TRUE,ISNUMBER(SEARCH(" "&amp;Municipality[Municipality]&amp;" ",H_unit[[#This Row],[Info string]])),Municipality[Municipality],"")</f>
        <v/>
      </c>
      <c r="K753" s="246" t="str" cm="1">
        <f t="array" ref="K753">IF(H_unit[[#This Row],[Exact]]&lt;&gt;"","",_xlfn.XLOOKUP(TRUE,ISNUMBER(SEARCH(" "&amp;Municipality[Municipality]&amp;"n ",H_unit[[#This Row],[Info string]])),Municipality[Municipality],""))</f>
        <v>Kuopio</v>
      </c>
      <c r="L753" s="246"/>
      <c r="M753" s="244"/>
      <c r="N753" s="246" t="str">
        <f>_xlfn.TEXTJOIN("",TRUE,H_unit[[#This Row],[Exact]],H_unit[[#This Row],[Exact+n]],H_unit[[#This Row],[Copilot]])</f>
        <v>Kuopio</v>
      </c>
      <c r="O753" s="246" t="str">
        <f>_xlfn.XLOOKUP(H_unit[[#This Row],[Municipality]],Municipality[Municipality],Municipality[Model],"")</f>
        <v>East</v>
      </c>
      <c r="P753" s="236"/>
    </row>
    <row r="754" spans="1:16">
      <c r="A754" s="238" t="s">
        <v>1859</v>
      </c>
      <c r="B754" s="238" t="s">
        <v>1864</v>
      </c>
      <c r="C754" s="240" t="str" cm="1">
        <f t="array" ref="C754">" "&amp;LOWER(_xlfn.REDUCE(H_unit[[#This Row],[Company]]&amp;" "&amp;H_unit[[#This Row],[Unit]],{",",".","(",")","/"},_xlfn.LAMBDA(_xlpm.txt,_xlpm.delim,SUBSTITUTE(_xlpm.txt,_xlpm.delim," "))))&amp;" "</f>
        <v xml:space="preserve"> loimua oy  jyväskylän seutu kolu jyväskylä </v>
      </c>
      <c r="D754" s="242">
        <v>2014</v>
      </c>
      <c r="E754" s="243">
        <v>1.6</v>
      </c>
      <c r="F754" s="243"/>
      <c r="G754" s="247"/>
      <c r="H754" s="267" t="s">
        <v>1436</v>
      </c>
      <c r="I754" s="248" t="s">
        <v>1143</v>
      </c>
      <c r="J754" s="246" t="str" cm="1">
        <f t="array" ref="J754">_xlfn.XLOOKUP(TRUE,ISNUMBER(SEARCH(" "&amp;Municipality[Municipality]&amp;" ",H_unit[[#This Row],[Info string]])),Municipality[Municipality],"")</f>
        <v>Jyväskylä</v>
      </c>
      <c r="K754" s="246" t="str" cm="1">
        <f t="array" ref="K754">IF(H_unit[[#This Row],[Exact]]&lt;&gt;"","",_xlfn.XLOOKUP(TRUE,ISNUMBER(SEARCH(" "&amp;Municipality[Municipality]&amp;"n ",H_unit[[#This Row],[Info string]])),Municipality[Municipality],""))</f>
        <v/>
      </c>
      <c r="L754" s="246"/>
      <c r="M754" s="244"/>
      <c r="N754" s="246" t="str">
        <f>_xlfn.TEXTJOIN("",TRUE,H_unit[[#This Row],[Exact]],H_unit[[#This Row],[Exact+n]],H_unit[[#This Row],[Copilot]])</f>
        <v>Jyväskylä</v>
      </c>
      <c r="O754" s="246" t="str">
        <f>_xlfn.XLOOKUP(H_unit[[#This Row],[Municipality]],Municipality[Municipality],Municipality[Model],"")</f>
        <v>Center</v>
      </c>
      <c r="P754" s="236"/>
    </row>
    <row r="755" spans="1:16">
      <c r="A755" s="238" t="s">
        <v>1728</v>
      </c>
      <c r="B755" s="238" t="s">
        <v>1735</v>
      </c>
      <c r="C755" s="240" t="str" cm="1">
        <f t="array" ref="C755">" "&amp;LOWER(_xlfn.REDUCE(H_unit[[#This Row],[Company]]&amp;" "&amp;H_unit[[#This Row],[Unit]],{",",".","(",")","/"},_xlfn.LAMBDA(_xlpm.txt,_xlpm.delim,SUBSTITUTE(_xlpm.txt,_xlpm.delim," "))))&amp;" "</f>
        <v xml:space="preserve"> lahti energia oy  lahti nikula </v>
      </c>
      <c r="D755" s="242">
        <v>1988</v>
      </c>
      <c r="E755" s="243">
        <v>1.5</v>
      </c>
      <c r="F755" s="243"/>
      <c r="G755" s="247"/>
      <c r="H755" s="267" t="s">
        <v>1453</v>
      </c>
      <c r="I755" s="248" t="s">
        <v>1142</v>
      </c>
      <c r="J755" s="246" t="str" cm="1">
        <f t="array" ref="J755">_xlfn.XLOOKUP(TRUE,ISNUMBER(SEARCH(" "&amp;Municipality[Municipality]&amp;" ",H_unit[[#This Row],[Info string]])),Municipality[Municipality],"")</f>
        <v>Lahti</v>
      </c>
      <c r="K755" s="246" t="str" cm="1">
        <f t="array" ref="K755">IF(H_unit[[#This Row],[Exact]]&lt;&gt;"","",_xlfn.XLOOKUP(TRUE,ISNUMBER(SEARCH(" "&amp;Municipality[Municipality]&amp;"n ",H_unit[[#This Row],[Info string]])),Municipality[Municipality],""))</f>
        <v/>
      </c>
      <c r="L755" s="246"/>
      <c r="M755" s="244"/>
      <c r="N755" s="246" t="str">
        <f>_xlfn.TEXTJOIN("",TRUE,H_unit[[#This Row],[Exact]],H_unit[[#This Row],[Exact+n]],H_unit[[#This Row],[Copilot]])</f>
        <v>Lahti</v>
      </c>
      <c r="O755" s="246" t="str">
        <f>_xlfn.XLOOKUP(H_unit[[#This Row],[Municipality]],Municipality[Municipality],Municipality[Model],"")</f>
        <v>South East</v>
      </c>
      <c r="P755" s="236"/>
    </row>
    <row r="756" spans="1:16">
      <c r="A756" s="238" t="s">
        <v>2186</v>
      </c>
      <c r="B756" s="238" t="s">
        <v>2189</v>
      </c>
      <c r="C756" s="240" t="str" cm="1">
        <f t="array" ref="C756">" "&amp;LOWER(_xlfn.REDUCE(H_unit[[#This Row],[Company]]&amp;" "&amp;H_unit[[#This Row],[Unit]],{",",".","(",")","/"},_xlfn.LAMBDA(_xlpm.txt,_xlpm.delim,SUBSTITUTE(_xlpm.txt,_xlpm.delim," "))))&amp;" "</f>
        <v xml:space="preserve"> toholammin energia oy pok 3 </v>
      </c>
      <c r="D756" s="242">
        <v>2002</v>
      </c>
      <c r="E756" s="243">
        <v>1.5</v>
      </c>
      <c r="F756" s="243"/>
      <c r="G756" s="247"/>
      <c r="H756" s="267" t="s">
        <v>1430</v>
      </c>
      <c r="I756" s="248" t="s">
        <v>1141</v>
      </c>
      <c r="J756" s="246" t="str" cm="1">
        <f t="array" ref="J756">_xlfn.XLOOKUP(TRUE,ISNUMBER(SEARCH(" "&amp;Municipality[Municipality]&amp;" ",H_unit[[#This Row],[Info string]])),Municipality[Municipality],"")</f>
        <v/>
      </c>
      <c r="K756" s="246" t="str" cm="1">
        <f t="array" ref="K756">IF(H_unit[[#This Row],[Exact]]&lt;&gt;"","",_xlfn.XLOOKUP(TRUE,ISNUMBER(SEARCH(" "&amp;Municipality[Municipality]&amp;"n ",H_unit[[#This Row],[Info string]])),Municipality[Municipality],""))</f>
        <v/>
      </c>
      <c r="L756" s="246" t="s">
        <v>1077</v>
      </c>
      <c r="M756" s="244" t="s">
        <v>2921</v>
      </c>
      <c r="N756" s="246" t="str">
        <f>_xlfn.TEXTJOIN("",TRUE,H_unit[[#This Row],[Exact]],H_unit[[#This Row],[Exact+n]],H_unit[[#This Row],[Copilot]])</f>
        <v>Toholampi</v>
      </c>
      <c r="O756" s="246" t="str">
        <f>_xlfn.XLOOKUP(H_unit[[#This Row],[Municipality]],Municipality[Municipality],Municipality[Model],"")</f>
        <v>West</v>
      </c>
      <c r="P756" s="236"/>
    </row>
    <row r="757" spans="1:16">
      <c r="A757" s="238" t="s">
        <v>1562</v>
      </c>
      <c r="B757" s="238" t="s">
        <v>1566</v>
      </c>
      <c r="C757" s="240" t="str" cm="1">
        <f t="array" ref="C757">" "&amp;LOWER(_xlfn.REDUCE(H_unit[[#This Row],[Company]]&amp;" "&amp;H_unit[[#This Row],[Unit]],{",",".","(",")","/"},_xlfn.LAMBDA(_xlpm.txt,_xlpm.delim,SUBSTITUTE(_xlpm.txt,_xlpm.delim," "))))&amp;" "</f>
        <v xml:space="preserve"> kalajoen lämpö oy hiekkasärkkien kpa </v>
      </c>
      <c r="D757" s="242">
        <v>2006</v>
      </c>
      <c r="E757" s="243">
        <v>1.5</v>
      </c>
      <c r="F757" s="243"/>
      <c r="G757" s="247"/>
      <c r="H757" s="267" t="s">
        <v>1439</v>
      </c>
      <c r="I757" s="248" t="s">
        <v>1143</v>
      </c>
      <c r="J757" s="246" t="str" cm="1">
        <f t="array" ref="J757">_xlfn.XLOOKUP(TRUE,ISNUMBER(SEARCH(" "&amp;Municipality[Municipality]&amp;" ",H_unit[[#This Row],[Info string]])),Municipality[Municipality],"")</f>
        <v/>
      </c>
      <c r="K757" s="246" t="str" cm="1">
        <f t="array" ref="K757">IF(H_unit[[#This Row],[Exact]]&lt;&gt;"","",_xlfn.XLOOKUP(TRUE,ISNUMBER(SEARCH(" "&amp;Municipality[Municipality]&amp;"n ",H_unit[[#This Row],[Info string]])),Municipality[Municipality],""))</f>
        <v/>
      </c>
      <c r="L757" s="246" t="s">
        <v>2562</v>
      </c>
      <c r="M757" s="244" t="s">
        <v>2915</v>
      </c>
      <c r="N757" s="246" t="str">
        <f>_xlfn.TEXTJOIN("",TRUE,H_unit[[#This Row],[Exact]],H_unit[[#This Row],[Exact+n]],H_unit[[#This Row],[Copilot]])</f>
        <v>Kalajoki</v>
      </c>
      <c r="O757" s="246" t="str">
        <f>_xlfn.XLOOKUP(H_unit[[#This Row],[Municipality]],Municipality[Municipality],Municipality[Model],"")</f>
        <v>North</v>
      </c>
      <c r="P757" s="236"/>
    </row>
    <row r="758" spans="1:16">
      <c r="A758" s="238" t="s">
        <v>2417</v>
      </c>
      <c r="B758" s="238" t="s">
        <v>2419</v>
      </c>
      <c r="C758" s="240" t="str" cm="1">
        <f t="array" ref="C758">" "&amp;LOWER(_xlfn.REDUCE(H_unit[[#This Row],[Company]]&amp;" "&amp;H_unit[[#This Row],[Unit]],{",",".","(",")","/"},_xlfn.LAMBDA(_xlpm.txt,_xlpm.delim,SUBSTITUTE(_xlpm.txt,_xlpm.delim," "))))&amp;" "</f>
        <v xml:space="preserve"> valkkia oy  salo perttelin lämpölaitos </v>
      </c>
      <c r="D758" s="242">
        <v>2007</v>
      </c>
      <c r="E758" s="243">
        <v>1.5</v>
      </c>
      <c r="F758" s="243"/>
      <c r="G758" s="247"/>
      <c r="H758" s="267" t="s">
        <v>1423</v>
      </c>
      <c r="I758" s="248" t="s">
        <v>1143</v>
      </c>
      <c r="J758" s="246" t="str" cm="1">
        <f t="array" ref="J758">_xlfn.XLOOKUP(TRUE,ISNUMBER(SEARCH(" "&amp;Municipality[Municipality]&amp;" ",H_unit[[#This Row],[Info string]])),Municipality[Municipality],"")</f>
        <v>Salo</v>
      </c>
      <c r="K758" s="246" t="str" cm="1">
        <f t="array" ref="K758">IF(H_unit[[#This Row],[Exact]]&lt;&gt;"","",_xlfn.XLOOKUP(TRUE,ISNUMBER(SEARCH(" "&amp;Municipality[Municipality]&amp;"n ",H_unit[[#This Row],[Info string]])),Municipality[Municipality],""))</f>
        <v/>
      </c>
      <c r="L758" s="246"/>
      <c r="M758" s="244"/>
      <c r="N758" s="246" t="str">
        <f>_xlfn.TEXTJOIN("",TRUE,H_unit[[#This Row],[Exact]],H_unit[[#This Row],[Exact+n]],H_unit[[#This Row],[Copilot]])</f>
        <v>Salo</v>
      </c>
      <c r="O758" s="246" t="str">
        <f>_xlfn.XLOOKUP(H_unit[[#This Row],[Municipality]],Municipality[Municipality],Municipality[Model],"")</f>
        <v>South West</v>
      </c>
      <c r="P758" s="236"/>
    </row>
    <row r="759" spans="1:16">
      <c r="A759" s="238" t="s">
        <v>2237</v>
      </c>
      <c r="B759" s="238" t="s">
        <v>2239</v>
      </c>
      <c r="C759" s="240" t="str" cm="1">
        <f t="array" ref="C759">" "&amp;LOWER(_xlfn.REDUCE(H_unit[[#This Row],[Company]]&amp;" "&amp;H_unit[[#This Row],[Unit]],{",",".","(",")","/"},_xlfn.LAMBDA(_xlpm.txt,_xlpm.delim,SUBSTITUTE(_xlpm.txt,_xlpm.delim," "))))&amp;" "</f>
        <v xml:space="preserve"> vetelin energia oy kpa 2 </v>
      </c>
      <c r="D759" s="242">
        <v>2008</v>
      </c>
      <c r="E759" s="243">
        <v>1.5</v>
      </c>
      <c r="F759" s="243"/>
      <c r="G759" s="247"/>
      <c r="H759" s="267" t="s">
        <v>1423</v>
      </c>
      <c r="I759" s="248" t="s">
        <v>1143</v>
      </c>
      <c r="J759" s="246" t="str" cm="1">
        <f t="array" ref="J759">_xlfn.XLOOKUP(TRUE,ISNUMBER(SEARCH(" "&amp;Municipality[Municipality]&amp;" ",H_unit[[#This Row],[Info string]])),Municipality[Municipality],"")</f>
        <v/>
      </c>
      <c r="K759" s="246" t="str" cm="1">
        <f t="array" ref="K759">IF(H_unit[[#This Row],[Exact]]&lt;&gt;"","",_xlfn.XLOOKUP(TRUE,ISNUMBER(SEARCH(" "&amp;Municipality[Municipality]&amp;"n ",H_unit[[#This Row],[Info string]])),Municipality[Municipality],""))</f>
        <v>Veteli</v>
      </c>
      <c r="L759" s="246"/>
      <c r="M759" s="244"/>
      <c r="N759" s="246" t="str">
        <f>_xlfn.TEXTJOIN("",TRUE,H_unit[[#This Row],[Exact]],H_unit[[#This Row],[Exact+n]],H_unit[[#This Row],[Copilot]])</f>
        <v>Veteli</v>
      </c>
      <c r="O759" s="246" t="str">
        <f>_xlfn.XLOOKUP(H_unit[[#This Row],[Municipality]],Municipality[Municipality],Municipality[Model],"")</f>
        <v>West</v>
      </c>
      <c r="P759" s="236"/>
    </row>
    <row r="760" spans="1:16">
      <c r="A760" s="238" t="s">
        <v>2247</v>
      </c>
      <c r="B760" s="238" t="s">
        <v>2249</v>
      </c>
      <c r="C760" s="240" t="str" cm="1">
        <f t="array" ref="C760">" "&amp;LOWER(_xlfn.REDUCE(H_unit[[#This Row],[Company]]&amp;" "&amp;H_unit[[#This Row],[Unit]],{",",".","(",")","/"},_xlfn.LAMBDA(_xlpm.txt,_xlpm.delim,SUBSTITUTE(_xlpm.txt,_xlpm.delim," "))))&amp;" "</f>
        <v xml:space="preserve"> vimpelin lämpö oy kpa-kontti </v>
      </c>
      <c r="D760" s="242">
        <v>2009</v>
      </c>
      <c r="E760" s="243">
        <v>1.5</v>
      </c>
      <c r="F760" s="243"/>
      <c r="G760" s="247"/>
      <c r="H760" s="267" t="s">
        <v>1418</v>
      </c>
      <c r="I760" s="248" t="s">
        <v>1141</v>
      </c>
      <c r="J760" s="246" t="str" cm="1">
        <f t="array" ref="J760">_xlfn.XLOOKUP(TRUE,ISNUMBER(SEARCH(" "&amp;Municipality[Municipality]&amp;" ",H_unit[[#This Row],[Info string]])),Municipality[Municipality],"")</f>
        <v/>
      </c>
      <c r="K760" s="246" t="str" cm="1">
        <f t="array" ref="K760">IF(H_unit[[#This Row],[Exact]]&lt;&gt;"","",_xlfn.XLOOKUP(TRUE,ISNUMBER(SEARCH(" "&amp;Municipality[Municipality]&amp;"n ",H_unit[[#This Row],[Info string]])),Municipality[Municipality],""))</f>
        <v>Vimpeli</v>
      </c>
      <c r="L760" s="246"/>
      <c r="M760" s="244"/>
      <c r="N760" s="246" t="str">
        <f>_xlfn.TEXTJOIN("",TRUE,H_unit[[#This Row],[Exact]],H_unit[[#This Row],[Exact+n]],H_unit[[#This Row],[Copilot]])</f>
        <v>Vimpeli</v>
      </c>
      <c r="O760" s="246" t="str">
        <f>_xlfn.XLOOKUP(H_unit[[#This Row],[Municipality]],Municipality[Municipality],Municipality[Model],"")</f>
        <v>West</v>
      </c>
      <c r="P760" s="236"/>
    </row>
    <row r="761" spans="1:16">
      <c r="A761" s="238" t="s">
        <v>1522</v>
      </c>
      <c r="B761" s="238" t="s">
        <v>1523</v>
      </c>
      <c r="C761" s="240" t="str" cm="1">
        <f t="array" ref="C761">" "&amp;LOWER(_xlfn.REDUCE(H_unit[[#This Row],[Company]]&amp;" "&amp;H_unit[[#This Row],[Unit]],{",",".","(",")","/"},_xlfn.LAMBDA(_xlpm.txt,_xlpm.delim,SUBSTITUTE(_xlpm.txt,_xlpm.delim," "))))&amp;" "</f>
        <v xml:space="preserve"> herrfors oy ab  ylivieska raudaskylä </v>
      </c>
      <c r="D761" s="242">
        <v>2011</v>
      </c>
      <c r="E761" s="243">
        <v>1.5</v>
      </c>
      <c r="F761" s="243"/>
      <c r="G761" s="247"/>
      <c r="H761" s="267" t="s">
        <v>1423</v>
      </c>
      <c r="I761" s="248" t="s">
        <v>1143</v>
      </c>
      <c r="J761" s="246" t="str" cm="1">
        <f t="array" ref="J761">_xlfn.XLOOKUP(TRUE,ISNUMBER(SEARCH(" "&amp;Municipality[Municipality]&amp;" ",H_unit[[#This Row],[Info string]])),Municipality[Municipality],"")</f>
        <v>Ylivieska</v>
      </c>
      <c r="K761" s="246" t="str" cm="1">
        <f t="array" ref="K761">IF(H_unit[[#This Row],[Exact]]&lt;&gt;"","",_xlfn.XLOOKUP(TRUE,ISNUMBER(SEARCH(" "&amp;Municipality[Municipality]&amp;"n ",H_unit[[#This Row],[Info string]])),Municipality[Municipality],""))</f>
        <v/>
      </c>
      <c r="L761" s="246"/>
      <c r="M761" s="244"/>
      <c r="N761" s="246" t="str">
        <f>_xlfn.TEXTJOIN("",TRUE,H_unit[[#This Row],[Exact]],H_unit[[#This Row],[Exact+n]],H_unit[[#This Row],[Copilot]])</f>
        <v>Ylivieska</v>
      </c>
      <c r="O761" s="246" t="str">
        <f>_xlfn.XLOOKUP(H_unit[[#This Row],[Municipality]],Municipality[Municipality],Municipality[Model],"")</f>
        <v>North</v>
      </c>
      <c r="P761" s="236"/>
    </row>
    <row r="762" spans="1:16">
      <c r="A762" s="238" t="s">
        <v>1879</v>
      </c>
      <c r="B762" s="238" t="s">
        <v>1888</v>
      </c>
      <c r="C762" s="240" t="str" cm="1">
        <f t="array" ref="C762">" "&amp;LOWER(_xlfn.REDUCE(H_unit[[#This Row],[Company]]&amp;" "&amp;H_unit[[#This Row],[Unit]],{",",".","(",")","/"},_xlfn.LAMBDA(_xlpm.txt,_xlpm.delim,SUBSTITUTE(_xlpm.txt,_xlpm.delim," "))))&amp;" "</f>
        <v xml:space="preserve"> loviisan lämpö oy  loviisa  pornainen  pukkila  pyhtää pukkilan lämpölaitos </v>
      </c>
      <c r="D762" s="242">
        <v>2012</v>
      </c>
      <c r="E762" s="243">
        <v>1.5</v>
      </c>
      <c r="F762" s="243"/>
      <c r="G762" s="247"/>
      <c r="H762" s="267" t="s">
        <v>1423</v>
      </c>
      <c r="I762" s="248" t="s">
        <v>1143</v>
      </c>
      <c r="J762" s="246" t="str" cm="1">
        <f t="array" ref="J762">_xlfn.XLOOKUP(TRUE,ISNUMBER(SEARCH(" "&amp;Municipality[Municipality]&amp;" ",H_unit[[#This Row],[Info string]])),Municipality[Municipality],"")</f>
        <v>Pornainen</v>
      </c>
      <c r="K762" s="246" t="str" cm="1">
        <f t="array" ref="K762">IF(H_unit[[#This Row],[Exact]]&lt;&gt;"","",_xlfn.XLOOKUP(TRUE,ISNUMBER(SEARCH(" "&amp;Municipality[Municipality]&amp;"n ",H_unit[[#This Row],[Info string]])),Municipality[Municipality],""))</f>
        <v/>
      </c>
      <c r="L762" s="246"/>
      <c r="M762" s="244"/>
      <c r="N762" s="246" t="str">
        <f>_xlfn.TEXTJOIN("",TRUE,H_unit[[#This Row],[Exact]],H_unit[[#This Row],[Exact+n]],H_unit[[#This Row],[Copilot]])</f>
        <v>Pornainen</v>
      </c>
      <c r="O762" s="246" t="str">
        <f>_xlfn.XLOOKUP(H_unit[[#This Row],[Municipality]],Municipality[Municipality],Municipality[Model],"")</f>
        <v>Uusimaa</v>
      </c>
      <c r="P762" s="236"/>
    </row>
    <row r="763" spans="1:16">
      <c r="A763" s="238" t="s">
        <v>2014</v>
      </c>
      <c r="B763" s="238" t="s">
        <v>2015</v>
      </c>
      <c r="C763" s="240" t="str" cm="1">
        <f t="array" ref="C763">" "&amp;LOWER(_xlfn.REDUCE(H_unit[[#This Row],[Company]]&amp;" "&amp;H_unit[[#This Row],[Unit]],{",",".","(",")","/"},_xlfn.LAMBDA(_xlpm.txt,_xlpm.delim,SUBSTITUTE(_xlpm.txt,_xlpm.delim," "))))&amp;" "</f>
        <v xml:space="preserve"> oulun seudun sähkö  liminka liminka  kuormatie </v>
      </c>
      <c r="D763" s="242">
        <v>2014</v>
      </c>
      <c r="E763" s="243">
        <v>1.5</v>
      </c>
      <c r="F763" s="243"/>
      <c r="G763" s="247"/>
      <c r="H763" s="267" t="s">
        <v>1436</v>
      </c>
      <c r="I763" s="248" t="s">
        <v>1143</v>
      </c>
      <c r="J763" s="246" t="str" cm="1">
        <f t="array" ref="J763">_xlfn.XLOOKUP(TRUE,ISNUMBER(SEARCH(" "&amp;Municipality[Municipality]&amp;" ",H_unit[[#This Row],[Info string]])),Municipality[Municipality],"")</f>
        <v>Liminka</v>
      </c>
      <c r="K763" s="246" t="str" cm="1">
        <f t="array" ref="K763">IF(H_unit[[#This Row],[Exact]]&lt;&gt;"","",_xlfn.XLOOKUP(TRUE,ISNUMBER(SEARCH(" "&amp;Municipality[Municipality]&amp;"n ",H_unit[[#This Row],[Info string]])),Municipality[Municipality],""))</f>
        <v/>
      </c>
      <c r="L763" s="246"/>
      <c r="M763" s="244"/>
      <c r="N763" s="246" t="str">
        <f>_xlfn.TEXTJOIN("",TRUE,H_unit[[#This Row],[Exact]],H_unit[[#This Row],[Exact+n]],H_unit[[#This Row],[Copilot]])</f>
        <v>Liminka</v>
      </c>
      <c r="O763" s="246" t="str">
        <f>_xlfn.XLOOKUP(H_unit[[#This Row],[Municipality]],Municipality[Municipality],Municipality[Model],"")</f>
        <v>North</v>
      </c>
      <c r="P763" s="236"/>
    </row>
    <row r="764" spans="1:16">
      <c r="A764" s="238" t="s">
        <v>2044</v>
      </c>
      <c r="B764" s="238" t="s">
        <v>2051</v>
      </c>
      <c r="C764" s="240" t="str" cm="1">
        <f t="array" ref="C764">" "&amp;LOWER(_xlfn.REDUCE(H_unit[[#This Row],[Company]]&amp;" "&amp;H_unit[[#This Row],[Unit]],{",",".","(",")","/"},_xlfn.LAMBDA(_xlpm.txt,_xlpm.delim,SUBSTITUTE(_xlpm.txt,_xlpm.delim," "))))&amp;" "</f>
        <v xml:space="preserve"> pori energia oy  pori noormarkku </v>
      </c>
      <c r="D764" s="242">
        <v>2014</v>
      </c>
      <c r="E764" s="243">
        <v>1.5</v>
      </c>
      <c r="F764" s="243"/>
      <c r="G764" s="247"/>
      <c r="H764" s="267" t="s">
        <v>1423</v>
      </c>
      <c r="I764" s="248" t="s">
        <v>1143</v>
      </c>
      <c r="J764" s="246" t="str" cm="1">
        <f t="array" ref="J764">_xlfn.XLOOKUP(TRUE,ISNUMBER(SEARCH(" "&amp;Municipality[Municipality]&amp;" ",H_unit[[#This Row],[Info string]])),Municipality[Municipality],"")</f>
        <v>Pori</v>
      </c>
      <c r="K764" s="246" t="str" cm="1">
        <f t="array" ref="K764">IF(H_unit[[#This Row],[Exact]]&lt;&gt;"","",_xlfn.XLOOKUP(TRUE,ISNUMBER(SEARCH(" "&amp;Municipality[Municipality]&amp;"n ",H_unit[[#This Row],[Info string]])),Municipality[Municipality],""))</f>
        <v/>
      </c>
      <c r="L764" s="246"/>
      <c r="M764" s="244"/>
      <c r="N764" s="246" t="str">
        <f>_xlfn.TEXTJOIN("",TRUE,H_unit[[#This Row],[Exact]],H_unit[[#This Row],[Exact+n]],H_unit[[#This Row],[Copilot]])</f>
        <v>Pori</v>
      </c>
      <c r="O764" s="246" t="str">
        <f>_xlfn.XLOOKUP(H_unit[[#This Row],[Municipality]],Municipality[Municipality],Municipality[Model],"")</f>
        <v>West</v>
      </c>
      <c r="P764" s="236"/>
    </row>
    <row r="765" spans="1:16">
      <c r="A765" s="238" t="s">
        <v>2253</v>
      </c>
      <c r="B765" s="238" t="s">
        <v>2257</v>
      </c>
      <c r="C765" s="240" t="str" cm="1">
        <f t="array" ref="C765">" "&amp;LOWER(_xlfn.REDUCE(H_unit[[#This Row],[Company]]&amp;" "&amp;H_unit[[#This Row],[Unit]],{",",".","(",")","/"},_xlfn.LAMBDA(_xlpm.txt,_xlpm.delim,SUBSTITUTE(_xlpm.txt,_xlpm.delim," "))))&amp;" "</f>
        <v xml:space="preserve"> vsv energia oy pätsi </v>
      </c>
      <c r="D765" s="242">
        <v>2014</v>
      </c>
      <c r="E765" s="243">
        <v>1.5</v>
      </c>
      <c r="F765" s="243"/>
      <c r="G765" s="247"/>
      <c r="H765" s="267" t="s">
        <v>1436</v>
      </c>
      <c r="I765" s="248" t="s">
        <v>1143</v>
      </c>
      <c r="J765" s="246" t="str" cm="1">
        <f t="array" ref="J765">_xlfn.XLOOKUP(TRUE,ISNUMBER(SEARCH(" "&amp;Municipality[Municipality]&amp;" ",H_unit[[#This Row],[Info string]])),Municipality[Municipality],"")</f>
        <v/>
      </c>
      <c r="K765" s="246" t="str" cm="1">
        <f t="array" ref="K765">IF(H_unit[[#This Row],[Exact]]&lt;&gt;"","",_xlfn.XLOOKUP(TRUE,ISNUMBER(SEARCH(" "&amp;Municipality[Municipality]&amp;"n ",H_unit[[#This Row],[Info string]])),Municipality[Municipality],""))</f>
        <v/>
      </c>
      <c r="L765" s="246" t="s">
        <v>955</v>
      </c>
      <c r="M765" s="244" t="s">
        <v>2899</v>
      </c>
      <c r="N765" s="246" t="str">
        <f>_xlfn.TEXTJOIN("",TRUE,H_unit[[#This Row],[Exact]],H_unit[[#This Row],[Exact+n]],H_unit[[#This Row],[Copilot]])</f>
        <v>Uusikaupunki</v>
      </c>
      <c r="O765" s="246" t="str">
        <f>_xlfn.XLOOKUP(H_unit[[#This Row],[Municipality]],Municipality[Municipality],Municipality[Model],"")</f>
        <v>South West</v>
      </c>
      <c r="P765" s="236"/>
    </row>
    <row r="766" spans="1:16">
      <c r="A766" s="238" t="s">
        <v>1530</v>
      </c>
      <c r="B766" s="238" t="s">
        <v>1540</v>
      </c>
      <c r="C766" s="240" t="str" cm="1">
        <f t="array" ref="C766">" "&amp;LOWER(_xlfn.REDUCE(H_unit[[#This Row],[Company]]&amp;" "&amp;H_unit[[#This Row],[Unit]],{",",".","(",")","/"},_xlfn.LAMBDA(_xlpm.txt,_xlpm.delim,SUBSTITUTE(_xlpm.txt,_xlpm.delim," "))))&amp;" "</f>
        <v xml:space="preserve"> imatran lämpö oy immola bio </v>
      </c>
      <c r="D766" s="242">
        <v>2015</v>
      </c>
      <c r="E766" s="243">
        <v>1.5</v>
      </c>
      <c r="F766" s="243"/>
      <c r="G766" s="247"/>
      <c r="H766" s="267" t="s">
        <v>1423</v>
      </c>
      <c r="I766" s="248" t="s">
        <v>1143</v>
      </c>
      <c r="J766" s="246" t="str" cm="1">
        <f t="array" ref="J766">_xlfn.XLOOKUP(TRUE,ISNUMBER(SEARCH(" "&amp;Municipality[Municipality]&amp;" ",H_unit[[#This Row],[Info string]])),Municipality[Municipality],"")</f>
        <v/>
      </c>
      <c r="K766" s="246" t="str" cm="1">
        <f t="array" ref="K766">IF(H_unit[[#This Row],[Exact]]&lt;&gt;"","",_xlfn.XLOOKUP(TRUE,ISNUMBER(SEARCH(" "&amp;Municipality[Municipality]&amp;"n ",H_unit[[#This Row],[Info string]])),Municipality[Municipality],""))</f>
        <v>Imatra</v>
      </c>
      <c r="L766" s="246"/>
      <c r="M766" s="244"/>
      <c r="N766" s="246" t="str">
        <f>_xlfn.TEXTJOIN("",TRUE,H_unit[[#This Row],[Exact]],H_unit[[#This Row],[Exact+n]],H_unit[[#This Row],[Copilot]])</f>
        <v>Imatra</v>
      </c>
      <c r="O766" s="246" t="str">
        <f>_xlfn.XLOOKUP(H_unit[[#This Row],[Municipality]],Municipality[Municipality],Municipality[Model],"")</f>
        <v>South East</v>
      </c>
      <c r="P766" s="236"/>
    </row>
    <row r="767" spans="1:16">
      <c r="A767" s="238" t="s">
        <v>1579</v>
      </c>
      <c r="B767" s="238" t="s">
        <v>1580</v>
      </c>
      <c r="C767" s="240" t="str" cm="1">
        <f t="array" ref="C767">" "&amp;LOWER(_xlfn.REDUCE(H_unit[[#This Row],[Company]]&amp;" "&amp;H_unit[[#This Row],[Unit]],{",",".","(",")","/"},_xlfn.LAMBDA(_xlpm.txt,_xlpm.delim,SUBSTITUTE(_xlpm.txt,_xlpm.delim," "))))&amp;" "</f>
        <v xml:space="preserve"> karvian lämpö oy laajennus </v>
      </c>
      <c r="D767" s="242">
        <v>2017</v>
      </c>
      <c r="E767" s="243">
        <v>1.5</v>
      </c>
      <c r="F767" s="243"/>
      <c r="G767" s="247"/>
      <c r="H767" s="267" t="s">
        <v>1423</v>
      </c>
      <c r="I767" s="248" t="s">
        <v>1143</v>
      </c>
      <c r="J767" s="246" t="str" cm="1">
        <f t="array" ref="J767">_xlfn.XLOOKUP(TRUE,ISNUMBER(SEARCH(" "&amp;Municipality[Municipality]&amp;" ",H_unit[[#This Row],[Info string]])),Municipality[Municipality],"")</f>
        <v/>
      </c>
      <c r="K767" s="246" t="str" cm="1">
        <f t="array" ref="K767">IF(H_unit[[#This Row],[Exact]]&lt;&gt;"","",_xlfn.XLOOKUP(TRUE,ISNUMBER(SEARCH(" "&amp;Municipality[Municipality]&amp;"n ",H_unit[[#This Row],[Info string]])),Municipality[Municipality],""))</f>
        <v>Karvia</v>
      </c>
      <c r="L767" s="246"/>
      <c r="M767" s="244"/>
      <c r="N767" s="246" t="str">
        <f>_xlfn.TEXTJOIN("",TRUE,H_unit[[#This Row],[Exact]],H_unit[[#This Row],[Exact+n]],H_unit[[#This Row],[Copilot]])</f>
        <v>Karvia</v>
      </c>
      <c r="O767" s="246" t="str">
        <f>_xlfn.XLOOKUP(H_unit[[#This Row],[Municipality]],Municipality[Municipality],Municipality[Model],"")</f>
        <v>West</v>
      </c>
      <c r="P767" s="236"/>
    </row>
    <row r="768" spans="1:16">
      <c r="A768" s="238" t="s">
        <v>1484</v>
      </c>
      <c r="B768" s="238" t="s">
        <v>1487</v>
      </c>
      <c r="C768" s="240" t="str" cm="1">
        <f t="array" ref="C768">" "&amp;LOWER(_xlfn.REDUCE(H_unit[[#This Row],[Company]]&amp;" "&amp;H_unit[[#This Row],[Unit]],{",",".","(",")","/"},_xlfn.LAMBDA(_xlpm.txt,_xlpm.delim,SUBSTITUTE(_xlpm.txt,_xlpm.delim," "))))&amp;" "</f>
        <v xml:space="preserve"> alavuden lämpö oy yläasteen lämpökeskus </v>
      </c>
      <c r="D768" s="242" t="s">
        <v>1448</v>
      </c>
      <c r="E768" s="243">
        <v>1.5</v>
      </c>
      <c r="F768" s="243"/>
      <c r="G768" s="247"/>
      <c r="H768" s="267" t="s">
        <v>1430</v>
      </c>
      <c r="I768" s="248" t="s">
        <v>1141</v>
      </c>
      <c r="J768" s="246" t="str" cm="1">
        <f t="array" ref="J768">_xlfn.XLOOKUP(TRUE,ISNUMBER(SEARCH(" "&amp;Municipality[Municipality]&amp;" ",H_unit[[#This Row],[Info string]])),Municipality[Municipality],"")</f>
        <v/>
      </c>
      <c r="K768" s="246" t="str" cm="1">
        <f t="array" ref="K768">IF(H_unit[[#This Row],[Exact]]&lt;&gt;"","",_xlfn.XLOOKUP(TRUE,ISNUMBER(SEARCH(" "&amp;Municipality[Municipality]&amp;"n ",H_unit[[#This Row],[Info string]])),Municipality[Municipality],""))</f>
        <v/>
      </c>
      <c r="L768" s="246" t="s">
        <v>2490</v>
      </c>
      <c r="M768" s="244" t="s">
        <v>2911</v>
      </c>
      <c r="N768" s="246" t="str">
        <f>_xlfn.TEXTJOIN("",TRUE,H_unit[[#This Row],[Exact]],H_unit[[#This Row],[Exact+n]],H_unit[[#This Row],[Copilot]])</f>
        <v>Alavus</v>
      </c>
      <c r="O768" s="246" t="str">
        <f>_xlfn.XLOOKUP(H_unit[[#This Row],[Municipality]],Municipality[Municipality],Municipality[Model],"")</f>
        <v>West</v>
      </c>
      <c r="P768" s="236"/>
    </row>
    <row r="769" spans="1:16">
      <c r="A769" s="238" t="s">
        <v>1806</v>
      </c>
      <c r="B769" s="238" t="s">
        <v>1810</v>
      </c>
      <c r="C769" s="240" t="str" cm="1">
        <f t="array" ref="C769">" "&amp;LOWER(_xlfn.REDUCE(H_unit[[#This Row],[Company]]&amp;" "&amp;H_unit[[#This Row],[Unit]],{",",".","(",")","/"},_xlfn.LAMBDA(_xlpm.txt,_xlpm.delim,SUBSTITUTE(_xlpm.txt,_xlpm.delim," "))))&amp;" "</f>
        <v xml:space="preserve"> liedon lämpö oy ilmarinen </v>
      </c>
      <c r="D769" s="242" t="s">
        <v>1448</v>
      </c>
      <c r="E769" s="243">
        <v>1.5</v>
      </c>
      <c r="F769" s="243"/>
      <c r="G769" s="247"/>
      <c r="H769" s="267" t="s">
        <v>1430</v>
      </c>
      <c r="I769" s="248" t="s">
        <v>1141</v>
      </c>
      <c r="J769" s="246" t="str" cm="1">
        <f t="array" ref="J769">_xlfn.XLOOKUP(TRUE,ISNUMBER(SEARCH(" "&amp;Municipality[Municipality]&amp;" ",H_unit[[#This Row],[Info string]])),Municipality[Municipality],"")</f>
        <v/>
      </c>
      <c r="K769" s="246" t="str" cm="1">
        <f t="array" ref="K769">IF(H_unit[[#This Row],[Exact]]&lt;&gt;"","",_xlfn.XLOOKUP(TRUE,ISNUMBER(SEARCH(" "&amp;Municipality[Municipality]&amp;"n ",H_unit[[#This Row],[Info string]])),Municipality[Municipality],""))</f>
        <v/>
      </c>
      <c r="L769" s="246" t="s">
        <v>2661</v>
      </c>
      <c r="M769" s="244" t="s">
        <v>2909</v>
      </c>
      <c r="N769" s="246" t="str">
        <f>_xlfn.TEXTJOIN("",TRUE,H_unit[[#This Row],[Exact]],H_unit[[#This Row],[Exact+n]],H_unit[[#This Row],[Copilot]])</f>
        <v>Lieto</v>
      </c>
      <c r="O769" s="246" t="str">
        <f>_xlfn.XLOOKUP(H_unit[[#This Row],[Municipality]],Municipality[Municipality],Municipality[Model],"")</f>
        <v>South West</v>
      </c>
      <c r="P769" s="236"/>
    </row>
    <row r="770" spans="1:16">
      <c r="A770" s="238" t="s">
        <v>1806</v>
      </c>
      <c r="B770" s="238" t="s">
        <v>1811</v>
      </c>
      <c r="C770" s="240" t="str" cm="1">
        <f t="array" ref="C770">" "&amp;LOWER(_xlfn.REDUCE(H_unit[[#This Row],[Company]]&amp;" "&amp;H_unit[[#This Row],[Unit]],{",",".","(",")","/"},_xlfn.LAMBDA(_xlpm.txt,_xlpm.delim,SUBSTITUTE(_xlpm.txt,_xlpm.delim," "))))&amp;" "</f>
        <v xml:space="preserve"> liedon lämpö oy nuolemo </v>
      </c>
      <c r="D770" s="242" t="s">
        <v>1448</v>
      </c>
      <c r="E770" s="243">
        <v>1.5</v>
      </c>
      <c r="F770" s="243"/>
      <c r="G770" s="247"/>
      <c r="H770" s="267" t="s">
        <v>1430</v>
      </c>
      <c r="I770" s="248" t="s">
        <v>1141</v>
      </c>
      <c r="J770" s="246" t="str" cm="1">
        <f t="array" ref="J770">_xlfn.XLOOKUP(TRUE,ISNUMBER(SEARCH(" "&amp;Municipality[Municipality]&amp;" ",H_unit[[#This Row],[Info string]])),Municipality[Municipality],"")</f>
        <v/>
      </c>
      <c r="K770" s="246" t="str" cm="1">
        <f t="array" ref="K770">IF(H_unit[[#This Row],[Exact]]&lt;&gt;"","",_xlfn.XLOOKUP(TRUE,ISNUMBER(SEARCH(" "&amp;Municipality[Municipality]&amp;"n ",H_unit[[#This Row],[Info string]])),Municipality[Municipality],""))</f>
        <v/>
      </c>
      <c r="L770" s="246" t="s">
        <v>2661</v>
      </c>
      <c r="M770" s="244" t="s">
        <v>2909</v>
      </c>
      <c r="N770" s="246" t="str">
        <f>_xlfn.TEXTJOIN("",TRUE,H_unit[[#This Row],[Exact]],H_unit[[#This Row],[Exact+n]],H_unit[[#This Row],[Copilot]])</f>
        <v>Lieto</v>
      </c>
      <c r="O770" s="246" t="str">
        <f>_xlfn.XLOOKUP(H_unit[[#This Row],[Municipality]],Municipality[Municipality],Municipality[Model],"")</f>
        <v>South West</v>
      </c>
      <c r="P770" s="236"/>
    </row>
    <row r="771" spans="1:16">
      <c r="A771" s="238" t="s">
        <v>1866</v>
      </c>
      <c r="B771" s="238" t="s">
        <v>1867</v>
      </c>
      <c r="C771" s="240" t="str" cm="1">
        <f t="array" ref="C771">" "&amp;LOWER(_xlfn.REDUCE(H_unit[[#This Row],[Company]]&amp;" "&amp;H_unit[[#This Row],[Unit]],{",",".","(",")","/"},_xlfn.LAMBDA(_xlpm.txt,_xlpm.delim,SUBSTITUTE(_xlpm.txt,_xlpm.delim," "))))&amp;" "</f>
        <v xml:space="preserve"> loimua oy  kärsämäki varastotie 1 </v>
      </c>
      <c r="D771" s="242">
        <v>1976</v>
      </c>
      <c r="E771" s="243">
        <v>1.4</v>
      </c>
      <c r="F771" s="243"/>
      <c r="G771" s="247"/>
      <c r="H771" s="267" t="s">
        <v>1430</v>
      </c>
      <c r="I771" s="248" t="s">
        <v>1141</v>
      </c>
      <c r="J771" s="246" t="str" cm="1">
        <f t="array" ref="J771">_xlfn.XLOOKUP(TRUE,ISNUMBER(SEARCH(" "&amp;Municipality[Municipality]&amp;" ",H_unit[[#This Row],[Info string]])),Municipality[Municipality],"")</f>
        <v>Kärsämäki</v>
      </c>
      <c r="K771" s="246" t="str" cm="1">
        <f t="array" ref="K771">IF(H_unit[[#This Row],[Exact]]&lt;&gt;"","",_xlfn.XLOOKUP(TRUE,ISNUMBER(SEARCH(" "&amp;Municipality[Municipality]&amp;"n ",H_unit[[#This Row],[Info string]])),Municipality[Municipality],""))</f>
        <v/>
      </c>
      <c r="L771" s="246"/>
      <c r="M771" s="244"/>
      <c r="N771" s="246" t="str">
        <f>_xlfn.TEXTJOIN("",TRUE,H_unit[[#This Row],[Exact]],H_unit[[#This Row],[Exact+n]],H_unit[[#This Row],[Copilot]])</f>
        <v>Kärsämäki</v>
      </c>
      <c r="O771" s="246" t="str">
        <f>_xlfn.XLOOKUP(H_unit[[#This Row],[Municipality]],Municipality[Municipality],Municipality[Model],"")</f>
        <v>North</v>
      </c>
      <c r="P771" s="236"/>
    </row>
    <row r="772" spans="1:16">
      <c r="A772" s="238" t="s">
        <v>2168</v>
      </c>
      <c r="B772" s="238" t="s">
        <v>2169</v>
      </c>
      <c r="C772" s="240" t="str" cm="1">
        <f t="array" ref="C772">" "&amp;LOWER(_xlfn.REDUCE(H_unit[[#This Row],[Company]]&amp;" "&amp;H_unit[[#This Row],[Unit]],{",",".","(",")","/"},_xlfn.LAMBDA(_xlpm.txt,_xlpm.delim,SUBSTITUTE(_xlpm.txt,_xlpm.delim," "))))&amp;" "</f>
        <v xml:space="preserve"> someron lämpö oy terveyskeskus </v>
      </c>
      <c r="D772" s="242">
        <v>1987</v>
      </c>
      <c r="E772" s="243">
        <v>1.4</v>
      </c>
      <c r="F772" s="243"/>
      <c r="G772" s="247"/>
      <c r="H772" s="267" t="s">
        <v>1430</v>
      </c>
      <c r="I772" s="248" t="s">
        <v>1141</v>
      </c>
      <c r="J772" s="246" t="str" cm="1">
        <f t="array" ref="J772">_xlfn.XLOOKUP(TRUE,ISNUMBER(SEARCH(" "&amp;Municipality[Municipality]&amp;" ",H_unit[[#This Row],[Info string]])),Municipality[Municipality],"")</f>
        <v/>
      </c>
      <c r="K772" s="246" t="str" cm="1">
        <f t="array" ref="K772">IF(H_unit[[#This Row],[Exact]]&lt;&gt;"","",_xlfn.XLOOKUP(TRUE,ISNUMBER(SEARCH(" "&amp;Municipality[Municipality]&amp;"n ",H_unit[[#This Row],[Info string]])),Municipality[Municipality],""))</f>
        <v>Somero</v>
      </c>
      <c r="L772" s="246"/>
      <c r="M772" s="244"/>
      <c r="N772" s="246" t="str">
        <f>_xlfn.TEXTJOIN("",TRUE,H_unit[[#This Row],[Exact]],H_unit[[#This Row],[Exact+n]],H_unit[[#This Row],[Copilot]])</f>
        <v>Somero</v>
      </c>
      <c r="O772" s="246" t="str">
        <f>_xlfn.XLOOKUP(H_unit[[#This Row],[Municipality]],Municipality[Municipality],Municipality[Model],"")</f>
        <v>South West</v>
      </c>
      <c r="P772" s="236"/>
    </row>
    <row r="773" spans="1:16">
      <c r="A773" s="238" t="s">
        <v>1624</v>
      </c>
      <c r="B773" s="238" t="s">
        <v>1627</v>
      </c>
      <c r="C773" s="240" t="str" cm="1">
        <f t="array" ref="C773">" "&amp;LOWER(_xlfn.REDUCE(H_unit[[#This Row],[Company]]&amp;" "&amp;H_unit[[#This Row],[Unit]],{",",".","(",")","/"},_xlfn.LAMBDA(_xlpm.txt,_xlpm.delim,SUBSTITUTE(_xlpm.txt,_xlpm.delim," "))))&amp;" "</f>
        <v xml:space="preserve"> keuruun lämpövoima oy keurusselkä </v>
      </c>
      <c r="D773" s="242">
        <v>2006</v>
      </c>
      <c r="E773" s="243">
        <v>1.4</v>
      </c>
      <c r="F773" s="243"/>
      <c r="G773" s="247"/>
      <c r="H773" s="267" t="s">
        <v>1436</v>
      </c>
      <c r="I773" s="248" t="s">
        <v>1143</v>
      </c>
      <c r="J773" s="246" t="str" cm="1">
        <f t="array" ref="J773">_xlfn.XLOOKUP(TRUE,ISNUMBER(SEARCH(" "&amp;Municipality[Municipality]&amp;" ",H_unit[[#This Row],[Info string]])),Municipality[Municipality],"")</f>
        <v/>
      </c>
      <c r="K773" s="246" t="str" cm="1">
        <f t="array" ref="K773">IF(H_unit[[#This Row],[Exact]]&lt;&gt;"","",_xlfn.XLOOKUP(TRUE,ISNUMBER(SEARCH(" "&amp;Municipality[Municipality]&amp;"n ",H_unit[[#This Row],[Info string]])),Municipality[Municipality],""))</f>
        <v>Keuruu</v>
      </c>
      <c r="L773" s="246"/>
      <c r="M773" s="244"/>
      <c r="N773" s="246" t="str">
        <f>_xlfn.TEXTJOIN("",TRUE,H_unit[[#This Row],[Exact]],H_unit[[#This Row],[Exact+n]],H_unit[[#This Row],[Copilot]])</f>
        <v>Keuruu</v>
      </c>
      <c r="O773" s="246" t="str">
        <f>_xlfn.XLOOKUP(H_unit[[#This Row],[Municipality]],Municipality[Municipality],Municipality[Model],"")</f>
        <v>Center</v>
      </c>
      <c r="P773" s="236"/>
    </row>
    <row r="774" spans="1:16">
      <c r="A774" s="238" t="s">
        <v>1469</v>
      </c>
      <c r="B774" s="238" t="s">
        <v>1471</v>
      </c>
      <c r="C774" s="240" t="str" cm="1">
        <f t="array" ref="C774">" "&amp;LOWER(_xlfn.REDUCE(H_unit[[#This Row],[Company]]&amp;" "&amp;H_unit[[#This Row],[Unit]],{",",".","(",")","/"},_xlfn.LAMBDA(_xlpm.txt,_xlpm.delim,SUBSTITUTE(_xlpm.txt,_xlpm.delim," "))))&amp;" "</f>
        <v xml:space="preserve"> adven oy  seinäjoki  ylistaro  halkosaari  lk190 halkosaari </v>
      </c>
      <c r="D774" s="242">
        <v>2007</v>
      </c>
      <c r="E774" s="243">
        <v>1.4</v>
      </c>
      <c r="F774" s="243"/>
      <c r="G774" s="247"/>
      <c r="H774" s="267" t="s">
        <v>1423</v>
      </c>
      <c r="I774" s="248" t="s">
        <v>1143</v>
      </c>
      <c r="J774" s="246" t="str" cm="1">
        <f t="array" ref="J774">_xlfn.XLOOKUP(TRUE,ISNUMBER(SEARCH(" "&amp;Municipality[Municipality]&amp;" ",H_unit[[#This Row],[Info string]])),Municipality[Municipality],"")</f>
        <v>Seinäjoki</v>
      </c>
      <c r="K774" s="246" t="str" cm="1">
        <f t="array" ref="K774">IF(H_unit[[#This Row],[Exact]]&lt;&gt;"","",_xlfn.XLOOKUP(TRUE,ISNUMBER(SEARCH(" "&amp;Municipality[Municipality]&amp;"n ",H_unit[[#This Row],[Info string]])),Municipality[Municipality],""))</f>
        <v/>
      </c>
      <c r="L774" s="246"/>
      <c r="M774" s="244"/>
      <c r="N774" s="246" t="str">
        <f>_xlfn.TEXTJOIN("",TRUE,H_unit[[#This Row],[Exact]],H_unit[[#This Row],[Exact+n]],H_unit[[#This Row],[Copilot]])</f>
        <v>Seinäjoki</v>
      </c>
      <c r="O774" s="246" t="str">
        <f>_xlfn.XLOOKUP(H_unit[[#This Row],[Municipality]],Municipality[Municipality],Municipality[Model],"")</f>
        <v>West</v>
      </c>
      <c r="P774" s="236"/>
    </row>
    <row r="775" spans="1:16">
      <c r="A775" s="238" t="s">
        <v>1963</v>
      </c>
      <c r="B775" s="238" t="s">
        <v>1965</v>
      </c>
      <c r="C775" s="240" t="str" cm="1">
        <f t="array" ref="C775">" "&amp;LOWER(_xlfn.REDUCE(H_unit[[#This Row],[Company]]&amp;" "&amp;H_unit[[#This Row],[Unit]],{",",".","(",")","/"},_xlfn.LAMBDA(_xlpm.txt,_xlpm.delim,SUBSTITUTE(_xlpm.txt,_xlpm.delim," "))))&amp;" "</f>
        <v xml:space="preserve"> nivos vesi ja lämpö oy  mäntsälä ruusutarhat b </v>
      </c>
      <c r="D775" s="242">
        <v>2008</v>
      </c>
      <c r="E775" s="243">
        <v>1.4</v>
      </c>
      <c r="F775" s="243"/>
      <c r="G775" s="247"/>
      <c r="H775" s="267" t="s">
        <v>1453</v>
      </c>
      <c r="I775" s="248" t="s">
        <v>1142</v>
      </c>
      <c r="J775" s="246" t="str" cm="1">
        <f t="array" ref="J775">_xlfn.XLOOKUP(TRUE,ISNUMBER(SEARCH(" "&amp;Municipality[Municipality]&amp;" ",H_unit[[#This Row],[Info string]])),Municipality[Municipality],"")</f>
        <v>Mäntsälä</v>
      </c>
      <c r="K775" s="246" t="str" cm="1">
        <f t="array" ref="K775">IF(H_unit[[#This Row],[Exact]]&lt;&gt;"","",_xlfn.XLOOKUP(TRUE,ISNUMBER(SEARCH(" "&amp;Municipality[Municipality]&amp;"n ",H_unit[[#This Row],[Info string]])),Municipality[Municipality],""))</f>
        <v/>
      </c>
      <c r="L775" s="246"/>
      <c r="M775" s="244"/>
      <c r="N775" s="246" t="str">
        <f>_xlfn.TEXTJOIN("",TRUE,H_unit[[#This Row],[Exact]],H_unit[[#This Row],[Exact+n]],H_unit[[#This Row],[Copilot]])</f>
        <v>Mäntsälä</v>
      </c>
      <c r="O775" s="246" t="str">
        <f>_xlfn.XLOOKUP(H_unit[[#This Row],[Municipality]],Municipality[Municipality],Municipality[Model],"")</f>
        <v>Uusimaa</v>
      </c>
      <c r="P775" s="236"/>
    </row>
    <row r="776" spans="1:16">
      <c r="A776" s="238" t="s">
        <v>1710</v>
      </c>
      <c r="B776" s="238" t="s">
        <v>1714</v>
      </c>
      <c r="C776" s="240" t="str" cm="1">
        <f t="array" ref="C776">" "&amp;LOWER(_xlfn.REDUCE(H_unit[[#This Row],[Company]]&amp;" "&amp;H_unit[[#This Row],[Unit]],{",",".","(",")","/"},_xlfn.LAMBDA(_xlpm.txt,_xlpm.delim,SUBSTITUTE(_xlpm.txt,_xlpm.delim," "))))&amp;" "</f>
        <v xml:space="preserve"> kuusamon energia- ja vesiosuuskunta torangin lämpökeskus </v>
      </c>
      <c r="D776" s="242" t="s">
        <v>1448</v>
      </c>
      <c r="E776" s="243">
        <v>1.4</v>
      </c>
      <c r="F776" s="243"/>
      <c r="G776" s="247"/>
      <c r="H776" s="267" t="s">
        <v>1430</v>
      </c>
      <c r="I776" s="248" t="s">
        <v>1141</v>
      </c>
      <c r="J776" s="246" t="str" cm="1">
        <f t="array" ref="J776">_xlfn.XLOOKUP(TRUE,ISNUMBER(SEARCH(" "&amp;Municipality[Municipality]&amp;" ",H_unit[[#This Row],[Info string]])),Municipality[Municipality],"")</f>
        <v/>
      </c>
      <c r="K776" s="246" t="str" cm="1">
        <f t="array" ref="K776">IF(H_unit[[#This Row],[Exact]]&lt;&gt;"","",_xlfn.XLOOKUP(TRUE,ISNUMBER(SEARCH(" "&amp;Municipality[Municipality]&amp;"n ",H_unit[[#This Row],[Info string]])),Municipality[Municipality],""))</f>
        <v>Kuusamo</v>
      </c>
      <c r="L776" s="246"/>
      <c r="M776" s="244"/>
      <c r="N776" s="246" t="str">
        <f>_xlfn.TEXTJOIN("",TRUE,H_unit[[#This Row],[Exact]],H_unit[[#This Row],[Exact+n]],H_unit[[#This Row],[Copilot]])</f>
        <v>Kuusamo</v>
      </c>
      <c r="O776" s="246" t="str">
        <f>_xlfn.XLOOKUP(H_unit[[#This Row],[Municipality]],Municipality[Municipality],Municipality[Model],"")</f>
        <v>North</v>
      </c>
      <c r="P776" s="236"/>
    </row>
    <row r="777" spans="1:16">
      <c r="A777" s="238" t="s">
        <v>1954</v>
      </c>
      <c r="B777" s="238" t="s">
        <v>1955</v>
      </c>
      <c r="C777" s="240" t="str" cm="1">
        <f t="array" ref="C777">" "&amp;LOWER(_xlfn.REDUCE(H_unit[[#This Row],[Company]]&amp;" "&amp;H_unit[[#This Row],[Unit]],{",",".","(",")","/"},_xlfn.LAMBDA(_xlpm.txt,_xlpm.delim,SUBSTITUTE(_xlpm.txt,_xlpm.delim," "))))&amp;" "</f>
        <v xml:space="preserve"> nevel oy  utajärvi koulu </v>
      </c>
      <c r="D777" s="242">
        <v>1985</v>
      </c>
      <c r="E777" s="243">
        <v>1.3</v>
      </c>
      <c r="F777" s="243"/>
      <c r="G777" s="247"/>
      <c r="H777" s="267" t="s">
        <v>1430</v>
      </c>
      <c r="I777" s="248" t="s">
        <v>1141</v>
      </c>
      <c r="J777" s="246" t="str" cm="1">
        <f t="array" ref="J777">_xlfn.XLOOKUP(TRUE,ISNUMBER(SEARCH(" "&amp;Municipality[Municipality]&amp;" ",H_unit[[#This Row],[Info string]])),Municipality[Municipality],"")</f>
        <v>Utajärvi</v>
      </c>
      <c r="K777" s="246" t="str" cm="1">
        <f t="array" ref="K777">IF(H_unit[[#This Row],[Exact]]&lt;&gt;"","",_xlfn.XLOOKUP(TRUE,ISNUMBER(SEARCH(" "&amp;Municipality[Municipality]&amp;"n ",H_unit[[#This Row],[Info string]])),Municipality[Municipality],""))</f>
        <v/>
      </c>
      <c r="L777" s="246"/>
      <c r="M777" s="244"/>
      <c r="N777" s="246" t="str">
        <f>_xlfn.TEXTJOIN("",TRUE,H_unit[[#This Row],[Exact]],H_unit[[#This Row],[Exact+n]],H_unit[[#This Row],[Copilot]])</f>
        <v>Utajärvi</v>
      </c>
      <c r="O777" s="246" t="str">
        <f>_xlfn.XLOOKUP(H_unit[[#This Row],[Municipality]],Municipality[Municipality],Municipality[Model],"")</f>
        <v>North</v>
      </c>
      <c r="P777" s="236"/>
    </row>
    <row r="778" spans="1:16">
      <c r="A778" s="238" t="s">
        <v>1455</v>
      </c>
      <c r="B778" s="238" t="s">
        <v>1459</v>
      </c>
      <c r="C778" s="240" t="str" cm="1">
        <f t="array" ref="C778">" "&amp;LOWER(_xlfn.REDUCE(H_unit[[#This Row],[Company]]&amp;" "&amp;H_unit[[#This Row],[Unit]],{",",".","(",")","/"},_xlfn.LAMBDA(_xlpm.txt,_xlpm.delim,SUBSTITUTE(_xlpm.txt,_xlpm.delim," "))))&amp;" "</f>
        <v xml:space="preserve"> adven oy  nummela lk44 </v>
      </c>
      <c r="D778" s="242">
        <v>1989</v>
      </c>
      <c r="E778" s="243">
        <v>1.3</v>
      </c>
      <c r="F778" s="243"/>
      <c r="G778" s="247"/>
      <c r="H778" s="267" t="s">
        <v>1430</v>
      </c>
      <c r="I778" s="248" t="s">
        <v>1141</v>
      </c>
      <c r="J778" s="246" t="str" cm="1">
        <f t="array" ref="J778">_xlfn.XLOOKUP(TRUE,ISNUMBER(SEARCH(" "&amp;Municipality[Municipality]&amp;" ",H_unit[[#This Row],[Info string]])),Municipality[Municipality],"")</f>
        <v/>
      </c>
      <c r="K778" s="246" t="str" cm="1">
        <f t="array" ref="K778">IF(H_unit[[#This Row],[Exact]]&lt;&gt;"","",_xlfn.XLOOKUP(TRUE,ISNUMBER(SEARCH(" "&amp;Municipality[Municipality]&amp;"n ",H_unit[[#This Row],[Info string]])),Municipality[Municipality],""))</f>
        <v/>
      </c>
      <c r="L778" s="246" t="s">
        <v>2832</v>
      </c>
      <c r="M778" s="244" t="s">
        <v>2890</v>
      </c>
      <c r="N778" s="246" t="str">
        <f>_xlfn.TEXTJOIN("",TRUE,H_unit[[#This Row],[Exact]],H_unit[[#This Row],[Exact+n]],H_unit[[#This Row],[Copilot]])</f>
        <v>Vihti</v>
      </c>
      <c r="O778" s="246" t="str">
        <f>_xlfn.XLOOKUP(H_unit[[#This Row],[Municipality]],Municipality[Municipality],Municipality[Model],"")</f>
        <v>Uusimaa</v>
      </c>
      <c r="P778" s="236"/>
    </row>
    <row r="779" spans="1:16">
      <c r="A779" s="238" t="s">
        <v>2025</v>
      </c>
      <c r="B779" s="238" t="s">
        <v>2026</v>
      </c>
      <c r="C779" s="240" t="str" cm="1">
        <f t="array" ref="C779">" "&amp;LOWER(_xlfn.REDUCE(H_unit[[#This Row],[Company]]&amp;" "&amp;H_unit[[#This Row],[Unit]],{",",".","(",")","/"},_xlfn.LAMBDA(_xlpm.txt,_xlpm.delim,SUBSTITUTE(_xlpm.txt,_xlpm.delim," "))))&amp;" "</f>
        <v xml:space="preserve"> oulun seudun sähkö  tyrnävä tyrnävä  ketolantie </v>
      </c>
      <c r="D779" s="242">
        <v>1995</v>
      </c>
      <c r="E779" s="243">
        <v>1.3</v>
      </c>
      <c r="F779" s="243"/>
      <c r="G779" s="247"/>
      <c r="H779" s="267" t="s">
        <v>1423</v>
      </c>
      <c r="I779" s="248" t="s">
        <v>1143</v>
      </c>
      <c r="J779" s="246" t="str" cm="1">
        <f t="array" ref="J779">_xlfn.XLOOKUP(TRUE,ISNUMBER(SEARCH(" "&amp;Municipality[Municipality]&amp;" ",H_unit[[#This Row],[Info string]])),Municipality[Municipality],"")</f>
        <v>Tyrnävä</v>
      </c>
      <c r="K779" s="246" t="str" cm="1">
        <f t="array" ref="K779">IF(H_unit[[#This Row],[Exact]]&lt;&gt;"","",_xlfn.XLOOKUP(TRUE,ISNUMBER(SEARCH(" "&amp;Municipality[Municipality]&amp;"n ",H_unit[[#This Row],[Info string]])),Municipality[Municipality],""))</f>
        <v/>
      </c>
      <c r="L779" s="246"/>
      <c r="M779" s="244"/>
      <c r="N779" s="246" t="str">
        <f>_xlfn.TEXTJOIN("",TRUE,H_unit[[#This Row],[Exact]],H_unit[[#This Row],[Exact+n]],H_unit[[#This Row],[Copilot]])</f>
        <v>Tyrnävä</v>
      </c>
      <c r="O779" s="246" t="str">
        <f>_xlfn.XLOOKUP(H_unit[[#This Row],[Municipality]],Municipality[Municipality],Municipality[Model],"")</f>
        <v>North</v>
      </c>
      <c r="P779" s="236"/>
    </row>
    <row r="780" spans="1:16">
      <c r="A780" s="238" t="s">
        <v>1879</v>
      </c>
      <c r="B780" s="238" t="s">
        <v>1889</v>
      </c>
      <c r="C780" s="240" t="str" cm="1">
        <f t="array" ref="C780">" "&amp;LOWER(_xlfn.REDUCE(H_unit[[#This Row],[Company]]&amp;" "&amp;H_unit[[#This Row],[Unit]],{",",".","(",")","/"},_xlfn.LAMBDA(_xlpm.txt,_xlpm.delim,SUBSTITUTE(_xlpm.txt,_xlpm.delim," "))))&amp;" "</f>
        <v xml:space="preserve"> loviisan lämpö oy  loviisa  pornainen  pukkila  pyhtää pornaisten kpa  </v>
      </c>
      <c r="D780" s="242">
        <v>2000</v>
      </c>
      <c r="E780" s="243">
        <v>1.3</v>
      </c>
      <c r="F780" s="243"/>
      <c r="G780" s="247"/>
      <c r="H780" s="267" t="s">
        <v>1423</v>
      </c>
      <c r="I780" s="248" t="s">
        <v>1143</v>
      </c>
      <c r="J780" s="246" t="str" cm="1">
        <f t="array" ref="J780">_xlfn.XLOOKUP(TRUE,ISNUMBER(SEARCH(" "&amp;Municipality[Municipality]&amp;" ",H_unit[[#This Row],[Info string]])),Municipality[Municipality],"")</f>
        <v>Pornainen</v>
      </c>
      <c r="K780" s="246" t="str" cm="1">
        <f t="array" ref="K780">IF(H_unit[[#This Row],[Exact]]&lt;&gt;"","",_xlfn.XLOOKUP(TRUE,ISNUMBER(SEARCH(" "&amp;Municipality[Municipality]&amp;"n ",H_unit[[#This Row],[Info string]])),Municipality[Municipality],""))</f>
        <v/>
      </c>
      <c r="L780" s="246"/>
      <c r="M780" s="244"/>
      <c r="N780" s="246" t="str">
        <f>_xlfn.TEXTJOIN("",TRUE,H_unit[[#This Row],[Exact]],H_unit[[#This Row],[Exact+n]],H_unit[[#This Row],[Copilot]])</f>
        <v>Pornainen</v>
      </c>
      <c r="O780" s="246" t="str">
        <f>_xlfn.XLOOKUP(H_unit[[#This Row],[Municipality]],Municipality[Municipality],Municipality[Model],"")</f>
        <v>Uusimaa</v>
      </c>
      <c r="P780" s="236"/>
    </row>
    <row r="781" spans="1:16">
      <c r="A781" s="238" t="s">
        <v>1461</v>
      </c>
      <c r="B781" s="238" t="s">
        <v>1463</v>
      </c>
      <c r="C781" s="240" t="str" cm="1">
        <f t="array" ref="C781">" "&amp;LOWER(_xlfn.REDUCE(H_unit[[#This Row],[Company]]&amp;" "&amp;H_unit[[#This Row],[Unit]],{",",".","(",")","/"},_xlfn.LAMBDA(_xlpm.txt,_xlpm.delim,SUBSTITUTE(_xlpm.txt,_xlpm.delim," "))))&amp;" "</f>
        <v xml:space="preserve"> adven oy  parikkala lk321 saari </v>
      </c>
      <c r="D781" s="242" t="s">
        <v>1448</v>
      </c>
      <c r="E781" s="243">
        <v>1.3</v>
      </c>
      <c r="F781" s="243"/>
      <c r="G781" s="247"/>
      <c r="H781" s="267" t="s">
        <v>1423</v>
      </c>
      <c r="I781" s="248" t="s">
        <v>1143</v>
      </c>
      <c r="J781" s="246" t="str" cm="1">
        <f t="array" ref="J781">_xlfn.XLOOKUP(TRUE,ISNUMBER(SEARCH(" "&amp;Municipality[Municipality]&amp;" ",H_unit[[#This Row],[Info string]])),Municipality[Municipality],"")</f>
        <v>Parikkala</v>
      </c>
      <c r="K781" s="246" t="str" cm="1">
        <f t="array" ref="K781">IF(H_unit[[#This Row],[Exact]]&lt;&gt;"","",_xlfn.XLOOKUP(TRUE,ISNUMBER(SEARCH(" "&amp;Municipality[Municipality]&amp;"n ",H_unit[[#This Row],[Info string]])),Municipality[Municipality],""))</f>
        <v/>
      </c>
      <c r="L781" s="246"/>
      <c r="M781" s="244"/>
      <c r="N781" s="246" t="str">
        <f>_xlfn.TEXTJOIN("",TRUE,H_unit[[#This Row],[Exact]],H_unit[[#This Row],[Exact+n]],H_unit[[#This Row],[Copilot]])</f>
        <v>Parikkala</v>
      </c>
      <c r="O781" s="246" t="str">
        <f>_xlfn.XLOOKUP(H_unit[[#This Row],[Municipality]],Municipality[Municipality],Municipality[Model],"")</f>
        <v>South East</v>
      </c>
      <c r="P781" s="236"/>
    </row>
    <row r="782" spans="1:16">
      <c r="A782" s="238" t="s">
        <v>1764</v>
      </c>
      <c r="B782" s="238" t="s">
        <v>1765</v>
      </c>
      <c r="C782" s="240" t="str" cm="1">
        <f t="array" ref="C782">" "&amp;LOWER(_xlfn.REDUCE(H_unit[[#This Row],[Company]]&amp;" "&amp;H_unit[[#This Row],[Unit]],{",",".","(",")","/"},_xlfn.LAMBDA(_xlpm.txt,_xlpm.delim,SUBSTITUTE(_xlpm.txt,_xlpm.delim," "))))&amp;" "</f>
        <v xml:space="preserve"> lempeä lämpö oy  mäntyharju pentinpelto </v>
      </c>
      <c r="D782" s="242">
        <v>1975</v>
      </c>
      <c r="E782" s="243">
        <v>1.2</v>
      </c>
      <c r="F782" s="243"/>
      <c r="G782" s="247"/>
      <c r="H782" s="267" t="s">
        <v>1430</v>
      </c>
      <c r="I782" s="248" t="s">
        <v>1141</v>
      </c>
      <c r="J782" s="246" t="str" cm="1">
        <f t="array" ref="J782">_xlfn.XLOOKUP(TRUE,ISNUMBER(SEARCH(" "&amp;Municipality[Municipality]&amp;" ",H_unit[[#This Row],[Info string]])),Municipality[Municipality],"")</f>
        <v>Mäntyharju</v>
      </c>
      <c r="K782" s="246" t="str" cm="1">
        <f t="array" ref="K782">IF(H_unit[[#This Row],[Exact]]&lt;&gt;"","",_xlfn.XLOOKUP(TRUE,ISNUMBER(SEARCH(" "&amp;Municipality[Municipality]&amp;"n ",H_unit[[#This Row],[Info string]])),Municipality[Municipality],""))</f>
        <v/>
      </c>
      <c r="L782" s="246"/>
      <c r="M782" s="244"/>
      <c r="N782" s="246" t="str">
        <f>_xlfn.TEXTJOIN("",TRUE,H_unit[[#This Row],[Exact]],H_unit[[#This Row],[Exact+n]],H_unit[[#This Row],[Copilot]])</f>
        <v>Mäntyharju</v>
      </c>
      <c r="O782" s="246" t="str">
        <f>_xlfn.XLOOKUP(H_unit[[#This Row],[Municipality]],Municipality[Municipality],Municipality[Model],"")</f>
        <v>East</v>
      </c>
      <c r="P782" s="236"/>
    </row>
    <row r="783" spans="1:16">
      <c r="A783" s="238" t="s">
        <v>2229</v>
      </c>
      <c r="B783" s="238" t="s">
        <v>2231</v>
      </c>
      <c r="C783" s="240" t="str" cm="1">
        <f t="array" ref="C783">" "&amp;LOWER(_xlfn.REDUCE(H_unit[[#This Row],[Company]]&amp;" "&amp;H_unit[[#This Row],[Unit]],{",",".","(",")","/"},_xlfn.LAMBDA(_xlpm.txt,_xlpm.delim,SUBSTITUTE(_xlpm.txt,_xlpm.delim," "))))&amp;" "</f>
        <v xml:space="preserve"> vatajankoski oy tapala </v>
      </c>
      <c r="D783" s="242">
        <v>1977</v>
      </c>
      <c r="E783" s="243">
        <v>1.2</v>
      </c>
      <c r="F783" s="243"/>
      <c r="G783" s="247"/>
      <c r="H783" s="267" t="s">
        <v>1430</v>
      </c>
      <c r="I783" s="248" t="s">
        <v>1141</v>
      </c>
      <c r="J783" s="246" t="str" cm="1">
        <f t="array" ref="J783">_xlfn.XLOOKUP(TRUE,ISNUMBER(SEARCH(" "&amp;Municipality[Municipality]&amp;" ",H_unit[[#This Row],[Info string]])),Municipality[Municipality],"")</f>
        <v/>
      </c>
      <c r="K783" s="246" t="str" cm="1">
        <f t="array" ref="K783">IF(H_unit[[#This Row],[Exact]]&lt;&gt;"","",_xlfn.XLOOKUP(TRUE,ISNUMBER(SEARCH(" "&amp;Municipality[Municipality]&amp;"n ",H_unit[[#This Row],[Info string]])),Municipality[Municipality],""))</f>
        <v/>
      </c>
      <c r="L783" s="246" t="s">
        <v>466</v>
      </c>
      <c r="M783" s="244" t="s">
        <v>2907</v>
      </c>
      <c r="N783" s="246" t="str">
        <f>_xlfn.TEXTJOIN("",TRUE,H_unit[[#This Row],[Exact]],H_unit[[#This Row],[Exact+n]],H_unit[[#This Row],[Copilot]])</f>
        <v>Kankaanpää</v>
      </c>
      <c r="O783" s="246" t="str">
        <f>_xlfn.XLOOKUP(H_unit[[#This Row],[Municipality]],Municipality[Municipality],Municipality[Model],"")</f>
        <v>West</v>
      </c>
      <c r="P783" s="236"/>
    </row>
    <row r="784" spans="1:16">
      <c r="A784" s="238" t="s">
        <v>1760</v>
      </c>
      <c r="B784" s="238" t="s">
        <v>1762</v>
      </c>
      <c r="C784" s="240" t="str" cm="1">
        <f t="array" ref="C784">" "&amp;LOWER(_xlfn.REDUCE(H_unit[[#This Row],[Company]]&amp;" "&amp;H_unit[[#This Row],[Unit]],{",",".","(",")","/"},_xlfn.LAMBDA(_xlpm.txt,_xlpm.delim,SUBSTITUTE(_xlpm.txt,_xlpm.delim," "))))&amp;" "</f>
        <v xml:space="preserve"> lempeä lämpö oy  kangasniemi vanhainkoti </v>
      </c>
      <c r="D784" s="242">
        <v>2003</v>
      </c>
      <c r="E784" s="243">
        <v>1.2</v>
      </c>
      <c r="F784" s="243"/>
      <c r="G784" s="247"/>
      <c r="H784" s="267" t="s">
        <v>1423</v>
      </c>
      <c r="I784" s="248" t="s">
        <v>1143</v>
      </c>
      <c r="J784" s="246" t="str" cm="1">
        <f t="array" ref="J784">_xlfn.XLOOKUP(TRUE,ISNUMBER(SEARCH(" "&amp;Municipality[Municipality]&amp;" ",H_unit[[#This Row],[Info string]])),Municipality[Municipality],"")</f>
        <v>Kangasniemi</v>
      </c>
      <c r="K784" s="246" t="str" cm="1">
        <f t="array" ref="K784">IF(H_unit[[#This Row],[Exact]]&lt;&gt;"","",_xlfn.XLOOKUP(TRUE,ISNUMBER(SEARCH(" "&amp;Municipality[Municipality]&amp;"n ",H_unit[[#This Row],[Info string]])),Municipality[Municipality],""))</f>
        <v/>
      </c>
      <c r="L784" s="246"/>
      <c r="M784" s="244"/>
      <c r="N784" s="246" t="str">
        <f>_xlfn.TEXTJOIN("",TRUE,H_unit[[#This Row],[Exact]],H_unit[[#This Row],[Exact+n]],H_unit[[#This Row],[Copilot]])</f>
        <v>Kangasniemi</v>
      </c>
      <c r="O784" s="246" t="str">
        <f>_xlfn.XLOOKUP(H_unit[[#This Row],[Municipality]],Municipality[Municipality],Municipality[Model],"")</f>
        <v>East</v>
      </c>
      <c r="P784" s="236"/>
    </row>
    <row r="785" spans="1:16">
      <c r="A785" s="238" t="s">
        <v>1511</v>
      </c>
      <c r="B785" s="238" t="s">
        <v>1515</v>
      </c>
      <c r="C785" s="240" t="str" cm="1">
        <f t="array" ref="C785">" "&amp;LOWER(_xlfn.REDUCE(H_unit[[#This Row],[Company]]&amp;" "&amp;H_unit[[#This Row],[Unit]],{",",".","(",")","/"},_xlfn.LAMBDA(_xlpm.txt,_xlpm.delim,SUBSTITUTE(_xlpm.txt,_xlpm.delim," "))))&amp;" "</f>
        <v xml:space="preserve"> haminan kaukolämpö oy paavonpolun lämpökeskus </v>
      </c>
      <c r="D785" s="242">
        <v>2015</v>
      </c>
      <c r="E785" s="243">
        <v>1.1000000000000001</v>
      </c>
      <c r="F785" s="243"/>
      <c r="G785" s="247"/>
      <c r="H785" s="267" t="s">
        <v>1453</v>
      </c>
      <c r="I785" s="248" t="s">
        <v>1142</v>
      </c>
      <c r="J785" s="246" t="str" cm="1">
        <f t="array" ref="J785">_xlfn.XLOOKUP(TRUE,ISNUMBER(SEARCH(" "&amp;Municipality[Municipality]&amp;" ",H_unit[[#This Row],[Info string]])),Municipality[Municipality],"")</f>
        <v/>
      </c>
      <c r="K785" s="246" t="str" cm="1">
        <f t="array" ref="K785">IF(H_unit[[#This Row],[Exact]]&lt;&gt;"","",_xlfn.XLOOKUP(TRUE,ISNUMBER(SEARCH(" "&amp;Municipality[Municipality]&amp;"n ",H_unit[[#This Row],[Info string]])),Municipality[Municipality],""))</f>
        <v>Hamina</v>
      </c>
      <c r="L785" s="246"/>
      <c r="M785" s="244"/>
      <c r="N785" s="246" t="str">
        <f>_xlfn.TEXTJOIN("",TRUE,H_unit[[#This Row],[Exact]],H_unit[[#This Row],[Exact+n]],H_unit[[#This Row],[Copilot]])</f>
        <v>Hamina</v>
      </c>
      <c r="O785" s="246" t="str">
        <f>_xlfn.XLOOKUP(H_unit[[#This Row],[Municipality]],Municipality[Municipality],Municipality[Model],"")</f>
        <v>South East</v>
      </c>
      <c r="P785" s="236"/>
    </row>
    <row r="786" spans="1:16">
      <c r="A786" s="238" t="s">
        <v>1894</v>
      </c>
      <c r="B786" s="238" t="s">
        <v>1895</v>
      </c>
      <c r="C786" s="240" t="str" cm="1">
        <f t="array" ref="C786">" "&amp;LOWER(_xlfn.REDUCE(H_unit[[#This Row],[Company]]&amp;" "&amp;H_unit[[#This Row],[Unit]],{",",".","(",")","/"},_xlfn.LAMBDA(_xlpm.txt,_xlpm.delim,SUBSTITUTE(_xlpm.txt,_xlpm.delim," "))))&amp;" "</f>
        <v xml:space="preserve"> mäntän kaukolämpö ja vesihuolto oy mustalahti </v>
      </c>
      <c r="D786" s="242">
        <v>1971</v>
      </c>
      <c r="E786" s="243">
        <v>1</v>
      </c>
      <c r="F786" s="243"/>
      <c r="G786" s="247"/>
      <c r="H786" s="267" t="s">
        <v>1436</v>
      </c>
      <c r="I786" s="248" t="s">
        <v>1143</v>
      </c>
      <c r="J786" s="246" t="str" cm="1">
        <f t="array" ref="J786">_xlfn.XLOOKUP(TRUE,ISNUMBER(SEARCH(" "&amp;Municipality[Municipality]&amp;" ",H_unit[[#This Row],[Info string]])),Municipality[Municipality],"")</f>
        <v/>
      </c>
      <c r="K786" s="246" t="str" cm="1">
        <f t="array" ref="K786">IF(H_unit[[#This Row],[Exact]]&lt;&gt;"","",_xlfn.XLOOKUP(TRUE,ISNUMBER(SEARCH(" "&amp;Municipality[Municipality]&amp;"n ",H_unit[[#This Row],[Info string]])),Municipality[Municipality],""))</f>
        <v/>
      </c>
      <c r="L786" s="246"/>
      <c r="M786" s="244"/>
      <c r="N786" s="246" t="str">
        <f>_xlfn.TEXTJOIN("",TRUE,H_unit[[#This Row],[Exact]],H_unit[[#This Row],[Exact+n]],H_unit[[#This Row],[Copilot]])</f>
        <v/>
      </c>
      <c r="O786" s="246" t="str">
        <f>_xlfn.XLOOKUP(H_unit[[#This Row],[Municipality]],Municipality[Municipality],Municipality[Model],"")</f>
        <v/>
      </c>
      <c r="P786" s="236"/>
    </row>
    <row r="787" spans="1:16">
      <c r="A787" s="238" t="s">
        <v>2186</v>
      </c>
      <c r="B787" s="238" t="s">
        <v>2187</v>
      </c>
      <c r="C787" s="240" t="str" cm="1">
        <f t="array" ref="C787">" "&amp;LOWER(_xlfn.REDUCE(H_unit[[#This Row],[Company]]&amp;" "&amp;H_unit[[#This Row],[Unit]],{",",".","(",")","/"},_xlfn.LAMBDA(_xlpm.txt,_xlpm.delim,SUBSTITUTE(_xlpm.txt,_xlpm.delim," "))))&amp;" "</f>
        <v xml:space="preserve"> toholammin energia oy pok 1 </v>
      </c>
      <c r="D787" s="242">
        <v>1980</v>
      </c>
      <c r="E787" s="243">
        <v>1</v>
      </c>
      <c r="F787" s="243"/>
      <c r="G787" s="247"/>
      <c r="H787" s="267" t="s">
        <v>1430</v>
      </c>
      <c r="I787" s="248" t="s">
        <v>1141</v>
      </c>
      <c r="J787" s="246" t="str" cm="1">
        <f t="array" ref="J787">_xlfn.XLOOKUP(TRUE,ISNUMBER(SEARCH(" "&amp;Municipality[Municipality]&amp;" ",H_unit[[#This Row],[Info string]])),Municipality[Municipality],"")</f>
        <v/>
      </c>
      <c r="K787" s="246" t="str" cm="1">
        <f t="array" ref="K787">IF(H_unit[[#This Row],[Exact]]&lt;&gt;"","",_xlfn.XLOOKUP(TRUE,ISNUMBER(SEARCH(" "&amp;Municipality[Municipality]&amp;"n ",H_unit[[#This Row],[Info string]])),Municipality[Municipality],""))</f>
        <v/>
      </c>
      <c r="L787" s="246" t="s">
        <v>1077</v>
      </c>
      <c r="M787" s="244" t="s">
        <v>2921</v>
      </c>
      <c r="N787" s="246" t="str">
        <f>_xlfn.TEXTJOIN("",TRUE,H_unit[[#This Row],[Exact]],H_unit[[#This Row],[Exact+n]],H_unit[[#This Row],[Copilot]])</f>
        <v>Toholampi</v>
      </c>
      <c r="O787" s="246" t="str">
        <f>_xlfn.XLOOKUP(H_unit[[#This Row],[Municipality]],Municipality[Municipality],Municipality[Model],"")</f>
        <v>West</v>
      </c>
      <c r="P787" s="236"/>
    </row>
    <row r="788" spans="1:16">
      <c r="A788" s="238" t="s">
        <v>2094</v>
      </c>
      <c r="B788" s="238" t="s">
        <v>2098</v>
      </c>
      <c r="C788" s="240" t="str" cm="1">
        <f t="array" ref="C788">" "&amp;LOWER(_xlfn.REDUCE(H_unit[[#This Row],[Company]]&amp;" "&amp;H_unit[[#This Row],[Unit]],{",",".","(",")","/"},_xlfn.LAMBDA(_xlpm.txt,_xlpm.delim,SUBSTITUTE(_xlpm.txt,_xlpm.delim," "))))&amp;" "</f>
        <v xml:space="preserve"> saarijärven kaukolämpö oy kunniavuori  pok  </v>
      </c>
      <c r="D788" s="242">
        <v>1981</v>
      </c>
      <c r="E788" s="243">
        <v>1</v>
      </c>
      <c r="F788" s="243"/>
      <c r="G788" s="247"/>
      <c r="H788" s="267" t="s">
        <v>1418</v>
      </c>
      <c r="I788" s="248" t="s">
        <v>1141</v>
      </c>
      <c r="J788" s="246" t="str" cm="1">
        <f t="array" ref="J788">_xlfn.XLOOKUP(TRUE,ISNUMBER(SEARCH(" "&amp;Municipality[Municipality]&amp;" ",H_unit[[#This Row],[Info string]])),Municipality[Municipality],"")</f>
        <v/>
      </c>
      <c r="K788" s="246" t="str" cm="1">
        <f t="array" ref="K788">IF(H_unit[[#This Row],[Exact]]&lt;&gt;"","",_xlfn.XLOOKUP(TRUE,ISNUMBER(SEARCH(" "&amp;Municipality[Municipality]&amp;"n ",H_unit[[#This Row],[Info string]])),Municipality[Municipality],""))</f>
        <v/>
      </c>
      <c r="L788" s="246" t="s">
        <v>1680</v>
      </c>
      <c r="M788" s="244" t="s">
        <v>2912</v>
      </c>
      <c r="N788" s="246" t="str">
        <f>_xlfn.TEXTJOIN("",TRUE,H_unit[[#This Row],[Exact]],H_unit[[#This Row],[Exact+n]],H_unit[[#This Row],[Copilot]])</f>
        <v>Saarijärvi</v>
      </c>
      <c r="O788" s="246" t="str">
        <f>_xlfn.XLOOKUP(H_unit[[#This Row],[Municipality]],Municipality[Municipality],Municipality[Model],"")</f>
        <v>Center</v>
      </c>
      <c r="P788" s="236"/>
    </row>
    <row r="789" spans="1:16">
      <c r="A789" s="238" t="s">
        <v>2205</v>
      </c>
      <c r="B789" s="238" t="s">
        <v>2207</v>
      </c>
      <c r="C789" s="240" t="str" cm="1">
        <f t="array" ref="C789">" "&amp;LOWER(_xlfn.REDUCE(H_unit[[#This Row],[Company]]&amp;" "&amp;H_unit[[#This Row],[Unit]],{",",".","(",")","/"},_xlfn.LAMBDA(_xlpm.txt,_xlpm.delim,SUBSTITUTE(_xlpm.txt,_xlpm.delim," "))))&amp;" "</f>
        <v xml:space="preserve"> valkeakosken energia oy klk 3 </v>
      </c>
      <c r="D789" s="242">
        <v>1991</v>
      </c>
      <c r="E789" s="243">
        <v>1</v>
      </c>
      <c r="F789" s="243"/>
      <c r="G789" s="247"/>
      <c r="H789" s="267" t="s">
        <v>1430</v>
      </c>
      <c r="I789" s="248" t="s">
        <v>1141</v>
      </c>
      <c r="J789" s="246" t="str" cm="1">
        <f t="array" ref="J789">_xlfn.XLOOKUP(TRUE,ISNUMBER(SEARCH(" "&amp;Municipality[Municipality]&amp;" ",H_unit[[#This Row],[Info string]])),Municipality[Municipality],"")</f>
        <v/>
      </c>
      <c r="K789" s="246" t="str" cm="1">
        <f t="array" ref="K789">IF(H_unit[[#This Row],[Exact]]&lt;&gt;"","",_xlfn.XLOOKUP(TRUE,ISNUMBER(SEARCH(" "&amp;Municipality[Municipality]&amp;"n ",H_unit[[#This Row],[Info string]])),Municipality[Municipality],""))</f>
        <v/>
      </c>
      <c r="L789" s="246" t="s">
        <v>2821</v>
      </c>
      <c r="M789" s="244" t="s">
        <v>2904</v>
      </c>
      <c r="N789" s="246" t="str">
        <f>_xlfn.TEXTJOIN("",TRUE,H_unit[[#This Row],[Exact]],H_unit[[#This Row],[Exact+n]],H_unit[[#This Row],[Copilot]])</f>
        <v>Valkeakoski</v>
      </c>
      <c r="O789" s="246" t="str">
        <f>_xlfn.XLOOKUP(H_unit[[#This Row],[Municipality]],Municipality[Municipality],Municipality[Model],"")</f>
        <v>Center</v>
      </c>
      <c r="P789" s="236"/>
    </row>
    <row r="790" spans="1:16">
      <c r="A790" s="238" t="s">
        <v>1978</v>
      </c>
      <c r="B790" s="238" t="s">
        <v>1983</v>
      </c>
      <c r="C790" s="240" t="str" cm="1">
        <f t="array" ref="C790">" "&amp;LOWER(_xlfn.REDUCE(H_unit[[#This Row],[Company]]&amp;" "&amp;H_unit[[#This Row],[Unit]],{",",".","(",")","/"},_xlfn.LAMBDA(_xlpm.txt,_xlpm.delim,SUBSTITUTE(_xlpm.txt,_xlpm.delim," "))))&amp;" "</f>
        <v xml:space="preserve"> nurmijärven sähkö oy klaukkala kpö-kattila </v>
      </c>
      <c r="D790" s="242">
        <v>2002</v>
      </c>
      <c r="E790" s="243">
        <v>1</v>
      </c>
      <c r="F790" s="243"/>
      <c r="G790" s="247"/>
      <c r="H790" s="267" t="s">
        <v>1430</v>
      </c>
      <c r="I790" s="248" t="s">
        <v>1141</v>
      </c>
      <c r="J790" s="246" t="str" cm="1">
        <f t="array" ref="J790">_xlfn.XLOOKUP(TRUE,ISNUMBER(SEARCH(" "&amp;Municipality[Municipality]&amp;" ",H_unit[[#This Row],[Info string]])),Municipality[Municipality],"")</f>
        <v/>
      </c>
      <c r="K790" s="246" t="str" cm="1">
        <f t="array" ref="K790">IF(H_unit[[#This Row],[Exact]]&lt;&gt;"","",_xlfn.XLOOKUP(TRUE,ISNUMBER(SEARCH(" "&amp;Municipality[Municipality]&amp;"n ",H_unit[[#This Row],[Info string]])),Municipality[Municipality],""))</f>
        <v/>
      </c>
      <c r="L790" s="246" t="s">
        <v>2695</v>
      </c>
      <c r="M790" s="244" t="s">
        <v>2905</v>
      </c>
      <c r="N790" s="246" t="str">
        <f>_xlfn.TEXTJOIN("",TRUE,H_unit[[#This Row],[Exact]],H_unit[[#This Row],[Exact+n]],H_unit[[#This Row],[Copilot]])</f>
        <v>Nurmijärvi</v>
      </c>
      <c r="O790" s="246" t="str">
        <f>_xlfn.XLOOKUP(H_unit[[#This Row],[Municipality]],Municipality[Municipality],Municipality[Model],"")</f>
        <v>Uusimaa</v>
      </c>
      <c r="P790" s="236"/>
    </row>
    <row r="791" spans="1:16">
      <c r="A791" s="238" t="s">
        <v>2280</v>
      </c>
      <c r="B791" s="238" t="s">
        <v>2281</v>
      </c>
      <c r="C791" s="240" t="str" cm="1">
        <f t="array" ref="C791">" "&amp;LOWER(_xlfn.REDUCE(H_unit[[#This Row],[Company]]&amp;" "&amp;H_unit[[#This Row],[Unit]],{",",".","(",")","/"},_xlfn.LAMBDA(_xlpm.txt,_xlpm.delim,SUBSTITUTE(_xlpm.txt,_xlpm.delim," "))))&amp;" "</f>
        <v xml:space="preserve"> hake rissanen  kuopio riistaveden lämpölaitos </v>
      </c>
      <c r="D791" s="242">
        <v>2002</v>
      </c>
      <c r="E791" s="243">
        <v>1</v>
      </c>
      <c r="F791" s="243"/>
      <c r="G791" s="247"/>
      <c r="H791" s="267" t="s">
        <v>1430</v>
      </c>
      <c r="I791" s="248" t="s">
        <v>1141</v>
      </c>
      <c r="J791" s="246" t="str" cm="1">
        <f t="array" ref="J791">_xlfn.XLOOKUP(TRUE,ISNUMBER(SEARCH(" "&amp;Municipality[Municipality]&amp;" ",H_unit[[#This Row],[Info string]])),Municipality[Municipality],"")</f>
        <v>Kuopio</v>
      </c>
      <c r="K791" s="246" t="str" cm="1">
        <f t="array" ref="K791">IF(H_unit[[#This Row],[Exact]]&lt;&gt;"","",_xlfn.XLOOKUP(TRUE,ISNUMBER(SEARCH(" "&amp;Municipality[Municipality]&amp;"n ",H_unit[[#This Row],[Info string]])),Municipality[Municipality],""))</f>
        <v/>
      </c>
      <c r="L791" s="246"/>
      <c r="M791" s="244"/>
      <c r="N791" s="246" t="str">
        <f>_xlfn.TEXTJOIN("",TRUE,H_unit[[#This Row],[Exact]],H_unit[[#This Row],[Exact+n]],H_unit[[#This Row],[Copilot]])</f>
        <v>Kuopio</v>
      </c>
      <c r="O791" s="246" t="str">
        <f>_xlfn.XLOOKUP(H_unit[[#This Row],[Municipality]],Municipality[Municipality],Municipality[Model],"")</f>
        <v>East</v>
      </c>
      <c r="P791" s="236"/>
    </row>
    <row r="792" spans="1:16">
      <c r="A792" s="238" t="s">
        <v>2288</v>
      </c>
      <c r="B792" s="238" t="s">
        <v>2293</v>
      </c>
      <c r="C792" s="240" t="str" cm="1">
        <f t="array" ref="C792">" "&amp;LOWER(_xlfn.REDUCE(H_unit[[#This Row],[Company]]&amp;" "&amp;H_unit[[#This Row],[Unit]],{",",".","(",")","/"},_xlfn.LAMBDA(_xlpm.txt,_xlpm.delim,SUBSTITUTE(_xlpm.txt,_xlpm.delim," "))))&amp;" "</f>
        <v xml:space="preserve"> itä-savon lähienergia oy kerimäki </v>
      </c>
      <c r="D792" s="242">
        <v>2003</v>
      </c>
      <c r="E792" s="243">
        <v>1</v>
      </c>
      <c r="F792" s="243"/>
      <c r="G792" s="247"/>
      <c r="H792" s="267" t="s">
        <v>1423</v>
      </c>
      <c r="I792" s="248" t="s">
        <v>1143</v>
      </c>
      <c r="J792" s="246" t="str" cm="1">
        <f t="array" ref="J792">_xlfn.XLOOKUP(TRUE,ISNUMBER(SEARCH(" "&amp;Municipality[Municipality]&amp;" ",H_unit[[#This Row],[Info string]])),Municipality[Municipality],"")</f>
        <v>Kerimäki</v>
      </c>
      <c r="K792" s="246" t="str" cm="1">
        <f t="array" ref="K792">IF(H_unit[[#This Row],[Exact]]&lt;&gt;"","",_xlfn.XLOOKUP(TRUE,ISNUMBER(SEARCH(" "&amp;Municipality[Municipality]&amp;"n ",H_unit[[#This Row],[Info string]])),Municipality[Municipality],""))</f>
        <v/>
      </c>
      <c r="L792" s="246"/>
      <c r="M792" s="244"/>
      <c r="N792" s="246" t="str">
        <f>_xlfn.TEXTJOIN("",TRUE,H_unit[[#This Row],[Exact]],H_unit[[#This Row],[Exact+n]],H_unit[[#This Row],[Copilot]])</f>
        <v>Kerimäki</v>
      </c>
      <c r="O792" s="246" t="str">
        <f>_xlfn.XLOOKUP(H_unit[[#This Row],[Municipality]],Municipality[Municipality],Municipality[Model],"")</f>
        <v>East</v>
      </c>
      <c r="P792" s="236"/>
    </row>
    <row r="793" spans="1:16">
      <c r="A793" s="238" t="s">
        <v>2179</v>
      </c>
      <c r="B793" s="238" t="s">
        <v>2181</v>
      </c>
      <c r="C793" s="240" t="str" cm="1">
        <f t="array" ref="C793">" "&amp;LOWER(_xlfn.REDUCE(H_unit[[#This Row],[Company]]&amp;" "&amp;H_unit[[#This Row],[Unit]],{",",".","(",")","/"},_xlfn.LAMBDA(_xlpm.txt,_xlpm.delim,SUBSTITUTE(_xlpm.txt,_xlpm.delim," "))))&amp;" "</f>
        <v xml:space="preserve"> teuvan kaukolämpö oy kpa 6 </v>
      </c>
      <c r="D793" s="242">
        <v>2004</v>
      </c>
      <c r="E793" s="243">
        <v>1</v>
      </c>
      <c r="F793" s="243"/>
      <c r="G793" s="247"/>
      <c r="H793" s="267" t="s">
        <v>1428</v>
      </c>
      <c r="I793" s="248" t="s">
        <v>1143</v>
      </c>
      <c r="J793" s="246" t="str" cm="1">
        <f t="array" ref="J793">_xlfn.XLOOKUP(TRUE,ISNUMBER(SEARCH(" "&amp;Municipality[Municipality]&amp;" ",H_unit[[#This Row],[Info string]])),Municipality[Municipality],"")</f>
        <v/>
      </c>
      <c r="K793" s="246" t="str" cm="1">
        <f t="array" ref="K793">IF(H_unit[[#This Row],[Exact]]&lt;&gt;"","",_xlfn.XLOOKUP(TRUE,ISNUMBER(SEARCH(" "&amp;Municipality[Municipality]&amp;"n ",H_unit[[#This Row],[Info string]])),Municipality[Municipality],""))</f>
        <v>Teuva</v>
      </c>
      <c r="L793" s="246"/>
      <c r="M793" s="244"/>
      <c r="N793" s="246" t="str">
        <f>_xlfn.TEXTJOIN("",TRUE,H_unit[[#This Row],[Exact]],H_unit[[#This Row],[Exact+n]],H_unit[[#This Row],[Copilot]])</f>
        <v>Teuva</v>
      </c>
      <c r="O793" s="246" t="str">
        <f>_xlfn.XLOOKUP(H_unit[[#This Row],[Municipality]],Municipality[Municipality],Municipality[Model],"")</f>
        <v>West</v>
      </c>
      <c r="P793" s="236"/>
    </row>
    <row r="794" spans="1:16">
      <c r="A794" s="238" t="s">
        <v>1694</v>
      </c>
      <c r="B794" s="238" t="s">
        <v>1696</v>
      </c>
      <c r="C794" s="240" t="str" cm="1">
        <f t="array" ref="C794">" "&amp;LOWER(_xlfn.REDUCE(H_unit[[#This Row],[Company]]&amp;" "&amp;H_unit[[#This Row],[Unit]],{",",".","(",")","/"},_xlfn.LAMBDA(_xlpm.txt,_xlpm.delim,SUBSTITUTE(_xlpm.txt,_xlpm.delim," "))))&amp;" "</f>
        <v xml:space="preserve"> kuortaneen energiaosuuskunta kortesmäki </v>
      </c>
      <c r="D794" s="242">
        <v>2005</v>
      </c>
      <c r="E794" s="243">
        <v>1</v>
      </c>
      <c r="F794" s="243"/>
      <c r="G794" s="247"/>
      <c r="H794" s="267" t="s">
        <v>1423</v>
      </c>
      <c r="I794" s="248" t="s">
        <v>1143</v>
      </c>
      <c r="J794" s="246" t="str" cm="1">
        <f t="array" ref="J794">_xlfn.XLOOKUP(TRUE,ISNUMBER(SEARCH(" "&amp;Municipality[Municipality]&amp;" ",H_unit[[#This Row],[Info string]])),Municipality[Municipality],"")</f>
        <v/>
      </c>
      <c r="K794" s="246" t="str" cm="1">
        <f t="array" ref="K794">IF(H_unit[[#This Row],[Exact]]&lt;&gt;"","",_xlfn.XLOOKUP(TRUE,ISNUMBER(SEARCH(" "&amp;Municipality[Municipality]&amp;"n ",H_unit[[#This Row],[Info string]])),Municipality[Municipality],""))</f>
        <v/>
      </c>
      <c r="L794" s="246"/>
      <c r="M794" s="244"/>
      <c r="N794" s="246" t="str">
        <f>_xlfn.TEXTJOIN("",TRUE,H_unit[[#This Row],[Exact]],H_unit[[#This Row],[Exact+n]],H_unit[[#This Row],[Copilot]])</f>
        <v/>
      </c>
      <c r="O794" s="246" t="str">
        <f>_xlfn.XLOOKUP(H_unit[[#This Row],[Municipality]],Municipality[Municipality],Municipality[Model],"")</f>
        <v/>
      </c>
      <c r="P794" s="236"/>
    </row>
    <row r="795" spans="1:16">
      <c r="A795" s="238" t="s">
        <v>1897</v>
      </c>
      <c r="B795" s="238" t="s">
        <v>1903</v>
      </c>
      <c r="C795" s="240" t="str" cm="1">
        <f t="array" ref="C795">" "&amp;LOWER(_xlfn.REDUCE(H_unit[[#This Row],[Company]]&amp;" "&amp;H_unit[[#This Row],[Unit]],{",",".","(",")","/"},_xlfn.LAMBDA(_xlpm.txt,_xlpm.delim,SUBSTITUTE(_xlpm.txt,_xlpm.delim," "))))&amp;" "</f>
        <v xml:space="preserve"> neve oy  rovaniemi hilleritien </v>
      </c>
      <c r="D795" s="242">
        <v>2005</v>
      </c>
      <c r="E795" s="243">
        <v>1</v>
      </c>
      <c r="F795" s="243"/>
      <c r="G795" s="247"/>
      <c r="H795" s="267" t="s">
        <v>1529</v>
      </c>
      <c r="I795" s="248" t="s">
        <v>1142</v>
      </c>
      <c r="J795" s="246" t="str" cm="1">
        <f t="array" ref="J795">_xlfn.XLOOKUP(TRUE,ISNUMBER(SEARCH(" "&amp;Municipality[Municipality]&amp;" ",H_unit[[#This Row],[Info string]])),Municipality[Municipality],"")</f>
        <v>Rovaniemi</v>
      </c>
      <c r="K795" s="246" t="str" cm="1">
        <f t="array" ref="K795">IF(H_unit[[#This Row],[Exact]]&lt;&gt;"","",_xlfn.XLOOKUP(TRUE,ISNUMBER(SEARCH(" "&amp;Municipality[Municipality]&amp;"n ",H_unit[[#This Row],[Info string]])),Municipality[Municipality],""))</f>
        <v/>
      </c>
      <c r="L795" s="246"/>
      <c r="M795" s="244"/>
      <c r="N795" s="246" t="str">
        <f>_xlfn.TEXTJOIN("",TRUE,H_unit[[#This Row],[Exact]],H_unit[[#This Row],[Exact+n]],H_unit[[#This Row],[Copilot]])</f>
        <v>Rovaniemi</v>
      </c>
      <c r="O795" s="246" t="str">
        <f>_xlfn.XLOOKUP(H_unit[[#This Row],[Municipality]],Municipality[Municipality],Municipality[Model],"")</f>
        <v>North</v>
      </c>
      <c r="P795" s="236"/>
    </row>
    <row r="796" spans="1:16">
      <c r="A796" s="238" t="s">
        <v>2077</v>
      </c>
      <c r="B796" s="238" t="s">
        <v>2084</v>
      </c>
      <c r="C796" s="240" t="str" cm="1">
        <f t="array" ref="C796">" "&amp;LOWER(_xlfn.REDUCE(H_unit[[#This Row],[Company]]&amp;" "&amp;H_unit[[#This Row],[Unit]],{",",".","(",")","/"},_xlfn.LAMBDA(_xlpm.txt,_xlpm.delim,SUBSTITUTE(_xlpm.txt,_xlpm.delim," "))))&amp;" "</f>
        <v xml:space="preserve"> rauman energia oy uotila </v>
      </c>
      <c r="D796" s="242">
        <v>2005</v>
      </c>
      <c r="E796" s="243">
        <v>1</v>
      </c>
      <c r="F796" s="243"/>
      <c r="G796" s="247"/>
      <c r="H796" s="267" t="s">
        <v>1430</v>
      </c>
      <c r="I796" s="248" t="s">
        <v>1141</v>
      </c>
      <c r="J796" s="246" t="str" cm="1">
        <f t="array" ref="J796">_xlfn.XLOOKUP(TRUE,ISNUMBER(SEARCH(" "&amp;Municipality[Municipality]&amp;" ",H_unit[[#This Row],[Info string]])),Municipality[Municipality],"")</f>
        <v>Rauman</v>
      </c>
      <c r="K796" s="246" t="str" cm="1">
        <f t="array" ref="K796">IF(H_unit[[#This Row],[Exact]]&lt;&gt;"","",_xlfn.XLOOKUP(TRUE,ISNUMBER(SEARCH(" "&amp;Municipality[Municipality]&amp;"n ",H_unit[[#This Row],[Info string]])),Municipality[Municipality],""))</f>
        <v/>
      </c>
      <c r="L796" s="246"/>
      <c r="M796" s="244"/>
      <c r="N796" s="246" t="str">
        <f>_xlfn.TEXTJOIN("",TRUE,H_unit[[#This Row],[Exact]],H_unit[[#This Row],[Exact+n]],H_unit[[#This Row],[Copilot]])</f>
        <v>Rauman</v>
      </c>
      <c r="O796" s="246" t="str">
        <f>_xlfn.XLOOKUP(H_unit[[#This Row],[Municipality]],Municipality[Municipality],Municipality[Model],"")</f>
        <v>West</v>
      </c>
      <c r="P796" s="236"/>
    </row>
    <row r="797" spans="1:16">
      <c r="A797" s="238" t="s">
        <v>2241</v>
      </c>
      <c r="B797" s="238" t="s">
        <v>2242</v>
      </c>
      <c r="C797" s="240" t="str" cm="1">
        <f t="array" ref="C797">" "&amp;LOWER(_xlfn.REDUCE(H_unit[[#This Row],[Company]]&amp;" "&amp;H_unit[[#This Row],[Unit]],{",",".","(",")","/"},_xlfn.LAMBDA(_xlpm.txt,_xlpm.delim,SUBSTITUTE(_xlpm.txt,_xlpm.delim," "))))&amp;" "</f>
        <v xml:space="preserve"> vierumäen infra oy huoltokeskus </v>
      </c>
      <c r="D797" s="242">
        <v>2005</v>
      </c>
      <c r="E797" s="243">
        <v>1</v>
      </c>
      <c r="F797" s="243"/>
      <c r="G797" s="247"/>
      <c r="H797" s="267" t="s">
        <v>1423</v>
      </c>
      <c r="I797" s="248" t="s">
        <v>1143</v>
      </c>
      <c r="J797" s="246" t="str" cm="1">
        <f t="array" ref="J797">_xlfn.XLOOKUP(TRUE,ISNUMBER(SEARCH(" "&amp;Municipality[Municipality]&amp;" ",H_unit[[#This Row],[Info string]])),Municipality[Municipality],"")</f>
        <v/>
      </c>
      <c r="K797" s="246" t="str" cm="1">
        <f t="array" ref="K797">IF(H_unit[[#This Row],[Exact]]&lt;&gt;"","",_xlfn.XLOOKUP(TRUE,ISNUMBER(SEARCH(" "&amp;Municipality[Municipality]&amp;"n ",H_unit[[#This Row],[Info string]])),Municipality[Municipality],""))</f>
        <v/>
      </c>
      <c r="L797" s="246"/>
      <c r="M797" s="244"/>
      <c r="N797" s="246" t="str">
        <f>_xlfn.TEXTJOIN("",TRUE,H_unit[[#This Row],[Exact]],H_unit[[#This Row],[Exact+n]],H_unit[[#This Row],[Copilot]])</f>
        <v/>
      </c>
      <c r="O797" s="246" t="str">
        <f>_xlfn.XLOOKUP(H_unit[[#This Row],[Municipality]],Municipality[Municipality],Municipality[Model],"")</f>
        <v/>
      </c>
      <c r="P797" s="236"/>
    </row>
    <row r="798" spans="1:16">
      <c r="A798" s="238" t="s">
        <v>2288</v>
      </c>
      <c r="B798" s="238" t="s">
        <v>2292</v>
      </c>
      <c r="C798" s="240" t="str" cm="1">
        <f t="array" ref="C798">" "&amp;LOWER(_xlfn.REDUCE(H_unit[[#This Row],[Company]]&amp;" "&amp;H_unit[[#This Row],[Unit]],{",",".","(",")","/"},_xlfn.LAMBDA(_xlpm.txt,_xlpm.delim,SUBSTITUTE(_xlpm.txt,_xlpm.delim," "))))&amp;" "</f>
        <v xml:space="preserve"> itä-savon lähienergia oy metla </v>
      </c>
      <c r="D798" s="242">
        <v>2005</v>
      </c>
      <c r="E798" s="243">
        <v>1</v>
      </c>
      <c r="F798" s="243"/>
      <c r="G798" s="247"/>
      <c r="H798" s="267" t="s">
        <v>1423</v>
      </c>
      <c r="I798" s="248" t="s">
        <v>1143</v>
      </c>
      <c r="J798" s="246" t="str" cm="1">
        <f t="array" ref="J798">_xlfn.XLOOKUP(TRUE,ISNUMBER(SEARCH(" "&amp;Municipality[Municipality]&amp;" ",H_unit[[#This Row],[Info string]])),Municipality[Municipality],"")</f>
        <v/>
      </c>
      <c r="K798" s="246" t="str" cm="1">
        <f t="array" ref="K798">IF(H_unit[[#This Row],[Exact]]&lt;&gt;"","",_xlfn.XLOOKUP(TRUE,ISNUMBER(SEARCH(" "&amp;Municipality[Municipality]&amp;"n ",H_unit[[#This Row],[Info string]])),Municipality[Municipality],""))</f>
        <v/>
      </c>
      <c r="L798" s="246"/>
      <c r="M798" s="244"/>
      <c r="N798" s="246" t="str">
        <f>_xlfn.TEXTJOIN("",TRUE,H_unit[[#This Row],[Exact]],H_unit[[#This Row],[Exact+n]],H_unit[[#This Row],[Copilot]])</f>
        <v/>
      </c>
      <c r="O798" s="246" t="str">
        <f>_xlfn.XLOOKUP(H_unit[[#This Row],[Municipality]],Municipality[Municipality],Municipality[Model],"")</f>
        <v/>
      </c>
      <c r="P798" s="236"/>
    </row>
    <row r="799" spans="1:16">
      <c r="A799" s="238" t="s">
        <v>1879</v>
      </c>
      <c r="B799" s="238" t="s">
        <v>1887</v>
      </c>
      <c r="C799" s="240" t="str" cm="1">
        <f t="array" ref="C799">" "&amp;LOWER(_xlfn.REDUCE(H_unit[[#This Row],[Company]]&amp;" "&amp;H_unit[[#This Row],[Unit]],{",",".","(",")","/"},_xlfn.LAMBDA(_xlpm.txt,_xlpm.delim,SUBSTITUTE(_xlpm.txt,_xlpm.delim," "))))&amp;" "</f>
        <v xml:space="preserve"> loviisan lämpö oy  loviisa  pornainen  pukkila  pyhtää lappohjan lämpölaitos </v>
      </c>
      <c r="D799" s="242">
        <v>2008</v>
      </c>
      <c r="E799" s="243">
        <v>1</v>
      </c>
      <c r="F799" s="243"/>
      <c r="G799" s="247"/>
      <c r="H799" s="267" t="s">
        <v>1423</v>
      </c>
      <c r="I799" s="248" t="s">
        <v>1143</v>
      </c>
      <c r="J799" s="246" t="str" cm="1">
        <f t="array" ref="J799">_xlfn.XLOOKUP(TRUE,ISNUMBER(SEARCH(" "&amp;Municipality[Municipality]&amp;" ",H_unit[[#This Row],[Info string]])),Municipality[Municipality],"")</f>
        <v>Pornainen</v>
      </c>
      <c r="K799" s="246" t="str" cm="1">
        <f t="array" ref="K799">IF(H_unit[[#This Row],[Exact]]&lt;&gt;"","",_xlfn.XLOOKUP(TRUE,ISNUMBER(SEARCH(" "&amp;Municipality[Municipality]&amp;"n ",H_unit[[#This Row],[Info string]])),Municipality[Municipality],""))</f>
        <v/>
      </c>
      <c r="L799" s="246"/>
      <c r="M799" s="244"/>
      <c r="N799" s="246" t="str">
        <f>_xlfn.TEXTJOIN("",TRUE,H_unit[[#This Row],[Exact]],H_unit[[#This Row],[Exact+n]],H_unit[[#This Row],[Copilot]])</f>
        <v>Pornainen</v>
      </c>
      <c r="O799" s="246" t="str">
        <f>_xlfn.XLOOKUP(H_unit[[#This Row],[Municipality]],Municipality[Municipality],Municipality[Model],"")</f>
        <v>Uusimaa</v>
      </c>
      <c r="P799" s="236"/>
    </row>
    <row r="800" spans="1:16">
      <c r="A800" s="238" t="s">
        <v>1897</v>
      </c>
      <c r="B800" s="238" t="s">
        <v>1901</v>
      </c>
      <c r="C800" s="240" t="str" cm="1">
        <f t="array" ref="C800">" "&amp;LOWER(_xlfn.REDUCE(H_unit[[#This Row],[Company]]&amp;" "&amp;H_unit[[#This Row],[Unit]],{",",".","(",")","/"},_xlfn.LAMBDA(_xlpm.txt,_xlpm.delim,SUBSTITUTE(_xlpm.txt,_xlpm.delim," "))))&amp;" "</f>
        <v xml:space="preserve"> neve oy  rovaniemi sky-hotelli </v>
      </c>
      <c r="D800" s="242">
        <v>2010</v>
      </c>
      <c r="E800" s="243">
        <v>1</v>
      </c>
      <c r="F800" s="243"/>
      <c r="G800" s="247"/>
      <c r="H800" s="267" t="s">
        <v>1436</v>
      </c>
      <c r="I800" s="248" t="s">
        <v>1143</v>
      </c>
      <c r="J800" s="246" t="str" cm="1">
        <f t="array" ref="J800">_xlfn.XLOOKUP(TRUE,ISNUMBER(SEARCH(" "&amp;Municipality[Municipality]&amp;" ",H_unit[[#This Row],[Info string]])),Municipality[Municipality],"")</f>
        <v>Rovaniemi</v>
      </c>
      <c r="K800" s="246" t="str" cm="1">
        <f t="array" ref="K800">IF(H_unit[[#This Row],[Exact]]&lt;&gt;"","",_xlfn.XLOOKUP(TRUE,ISNUMBER(SEARCH(" "&amp;Municipality[Municipality]&amp;"n ",H_unit[[#This Row],[Info string]])),Municipality[Municipality],""))</f>
        <v/>
      </c>
      <c r="L800" s="246"/>
      <c r="M800" s="244"/>
      <c r="N800" s="246" t="str">
        <f>_xlfn.TEXTJOIN("",TRUE,H_unit[[#This Row],[Exact]],H_unit[[#This Row],[Exact+n]],H_unit[[#This Row],[Copilot]])</f>
        <v>Rovaniemi</v>
      </c>
      <c r="O800" s="246" t="str">
        <f>_xlfn.XLOOKUP(H_unit[[#This Row],[Municipality]],Municipality[Municipality],Municipality[Model],"")</f>
        <v>North</v>
      </c>
      <c r="P800" s="236"/>
    </row>
    <row r="801" spans="1:16">
      <c r="A801" s="238" t="s">
        <v>2014</v>
      </c>
      <c r="B801" s="238" t="s">
        <v>2017</v>
      </c>
      <c r="C801" s="240" t="str" cm="1">
        <f t="array" ref="C801">" "&amp;LOWER(_xlfn.REDUCE(H_unit[[#This Row],[Company]]&amp;" "&amp;H_unit[[#This Row],[Unit]],{",",".","(",")","/"},_xlfn.LAMBDA(_xlpm.txt,_xlpm.delim,SUBSTITUTE(_xlpm.txt,_xlpm.delim," "))))&amp;" "</f>
        <v xml:space="preserve"> oulun seudun sähkö  liminka liminka  ankkurilahti </v>
      </c>
      <c r="D801" s="242">
        <v>2011</v>
      </c>
      <c r="E801" s="243">
        <v>1</v>
      </c>
      <c r="F801" s="243"/>
      <c r="G801" s="247"/>
      <c r="H801" s="267" t="s">
        <v>1436</v>
      </c>
      <c r="I801" s="248" t="s">
        <v>1143</v>
      </c>
      <c r="J801" s="246" t="str" cm="1">
        <f t="array" ref="J801">_xlfn.XLOOKUP(TRUE,ISNUMBER(SEARCH(" "&amp;Municipality[Municipality]&amp;" ",H_unit[[#This Row],[Info string]])),Municipality[Municipality],"")</f>
        <v>Liminka</v>
      </c>
      <c r="K801" s="246" t="str" cm="1">
        <f t="array" ref="K801">IF(H_unit[[#This Row],[Exact]]&lt;&gt;"","",_xlfn.XLOOKUP(TRUE,ISNUMBER(SEARCH(" "&amp;Municipality[Municipality]&amp;"n ",H_unit[[#This Row],[Info string]])),Municipality[Municipality],""))</f>
        <v/>
      </c>
      <c r="L801" s="246"/>
      <c r="M801" s="244"/>
      <c r="N801" s="246" t="str">
        <f>_xlfn.TEXTJOIN("",TRUE,H_unit[[#This Row],[Exact]],H_unit[[#This Row],[Exact+n]],H_unit[[#This Row],[Copilot]])</f>
        <v>Liminka</v>
      </c>
      <c r="O801" s="246" t="str">
        <f>_xlfn.XLOOKUP(H_unit[[#This Row],[Municipality]],Municipality[Municipality],Municipality[Model],"")</f>
        <v>North</v>
      </c>
      <c r="P801" s="236"/>
    </row>
    <row r="802" spans="1:16">
      <c r="A802" s="238" t="s">
        <v>2020</v>
      </c>
      <c r="B802" s="238" t="s">
        <v>2021</v>
      </c>
      <c r="C802" s="240" t="str" cm="1">
        <f t="array" ref="C802">" "&amp;LOWER(_xlfn.REDUCE(H_unit[[#This Row],[Company]]&amp;" "&amp;H_unit[[#This Row],[Unit]],{",",".","(",")","/"},_xlfn.LAMBDA(_xlpm.txt,_xlpm.delim,SUBSTITUTE(_xlpm.txt,_xlpm.delim," "))))&amp;" "</f>
        <v xml:space="preserve"> oulun seudun sähkö  lumijoki lumijoki  poutalantie </v>
      </c>
      <c r="D802" s="242">
        <v>2011</v>
      </c>
      <c r="E802" s="243">
        <v>1</v>
      </c>
      <c r="F802" s="243"/>
      <c r="G802" s="247"/>
      <c r="H802" s="267" t="s">
        <v>1436</v>
      </c>
      <c r="I802" s="248" t="s">
        <v>1143</v>
      </c>
      <c r="J802" s="246" t="str" cm="1">
        <f t="array" ref="J802">_xlfn.XLOOKUP(TRUE,ISNUMBER(SEARCH(" "&amp;Municipality[Municipality]&amp;" ",H_unit[[#This Row],[Info string]])),Municipality[Municipality],"")</f>
        <v>Lumijoki</v>
      </c>
      <c r="K802" s="246" t="str" cm="1">
        <f t="array" ref="K802">IF(H_unit[[#This Row],[Exact]]&lt;&gt;"","",_xlfn.XLOOKUP(TRUE,ISNUMBER(SEARCH(" "&amp;Municipality[Municipality]&amp;"n ",H_unit[[#This Row],[Info string]])),Municipality[Municipality],""))</f>
        <v/>
      </c>
      <c r="L802" s="246"/>
      <c r="M802" s="244"/>
      <c r="N802" s="246" t="str">
        <f>_xlfn.TEXTJOIN("",TRUE,H_unit[[#This Row],[Exact]],H_unit[[#This Row],[Exact+n]],H_unit[[#This Row],[Copilot]])</f>
        <v>Lumijoki</v>
      </c>
      <c r="O802" s="246" t="str">
        <f>_xlfn.XLOOKUP(H_unit[[#This Row],[Municipality]],Municipality[Municipality],Municipality[Model],"")</f>
        <v>North</v>
      </c>
      <c r="P802" s="236"/>
    </row>
    <row r="803" spans="1:16">
      <c r="A803" s="238" t="s">
        <v>1879</v>
      </c>
      <c r="B803" s="238" t="s">
        <v>1886</v>
      </c>
      <c r="C803" s="240" t="str" cm="1">
        <f t="array" ref="C803">" "&amp;LOWER(_xlfn.REDUCE(H_unit[[#This Row],[Company]]&amp;" "&amp;H_unit[[#This Row],[Unit]],{",",".","(",")","/"},_xlfn.LAMBDA(_xlpm.txt,_xlpm.delim,SUBSTITUTE(_xlpm.txt,_xlpm.delim," "))))&amp;" "</f>
        <v xml:space="preserve"> loviisan lämpö oy  loviisa  pornainen  pukkila  pyhtää pyhtää kk lämpölaitos </v>
      </c>
      <c r="D803" s="242">
        <v>2014</v>
      </c>
      <c r="E803" s="243">
        <v>1</v>
      </c>
      <c r="F803" s="243"/>
      <c r="G803" s="247"/>
      <c r="H803" s="267" t="s">
        <v>1423</v>
      </c>
      <c r="I803" s="248" t="s">
        <v>1143</v>
      </c>
      <c r="J803" s="246" t="str" cm="1">
        <f t="array" ref="J803">_xlfn.XLOOKUP(TRUE,ISNUMBER(SEARCH(" "&amp;Municipality[Municipality]&amp;" ",H_unit[[#This Row],[Info string]])),Municipality[Municipality],"")</f>
        <v>Pornainen</v>
      </c>
      <c r="K803" s="246" t="str" cm="1">
        <f t="array" ref="K803">IF(H_unit[[#This Row],[Exact]]&lt;&gt;"","",_xlfn.XLOOKUP(TRUE,ISNUMBER(SEARCH(" "&amp;Municipality[Municipality]&amp;"n ",H_unit[[#This Row],[Info string]])),Municipality[Municipality],""))</f>
        <v/>
      </c>
      <c r="L803" s="246"/>
      <c r="M803" s="244"/>
      <c r="N803" s="246" t="str">
        <f>_xlfn.TEXTJOIN("",TRUE,H_unit[[#This Row],[Exact]],H_unit[[#This Row],[Exact+n]],H_unit[[#This Row],[Copilot]])</f>
        <v>Pornainen</v>
      </c>
      <c r="O803" s="246" t="str">
        <f>_xlfn.XLOOKUP(H_unit[[#This Row],[Municipality]],Municipality[Municipality],Municipality[Model],"")</f>
        <v>Uusimaa</v>
      </c>
      <c r="P803" s="236"/>
    </row>
    <row r="804" spans="1:16">
      <c r="A804" s="238" t="s">
        <v>1587</v>
      </c>
      <c r="B804" s="238" t="s">
        <v>1595</v>
      </c>
      <c r="C804" s="240" t="str" cm="1">
        <f t="array" ref="C804">" "&amp;LOWER(_xlfn.REDUCE(H_unit[[#This Row],[Company]]&amp;" "&amp;H_unit[[#This Row],[Unit]],{",",".","(",")","/"},_xlfn.LAMBDA(_xlpm.txt,_xlpm.delim,SUBSTITUTE(_xlpm.txt,_xlpm.delim," "))))&amp;" "</f>
        <v xml:space="preserve"> kauhavan kaukolämpö oy kauhava lto lämpöpumppu </v>
      </c>
      <c r="D804" s="242">
        <v>2015</v>
      </c>
      <c r="E804" s="243">
        <v>1</v>
      </c>
      <c r="F804" s="243"/>
      <c r="G804" s="247"/>
      <c r="H804" s="267" t="s">
        <v>1417</v>
      </c>
      <c r="I804" s="248" t="s">
        <v>1144</v>
      </c>
      <c r="J804" s="246" t="str" cm="1">
        <f t="array" ref="J804">_xlfn.XLOOKUP(TRUE,ISNUMBER(SEARCH(" "&amp;Municipality[Municipality]&amp;" ",H_unit[[#This Row],[Info string]])),Municipality[Municipality],"")</f>
        <v>Kauhava</v>
      </c>
      <c r="K804" s="246" t="str" cm="1">
        <f t="array" ref="K804">IF(H_unit[[#This Row],[Exact]]&lt;&gt;"","",_xlfn.XLOOKUP(TRUE,ISNUMBER(SEARCH(" "&amp;Municipality[Municipality]&amp;"n ",H_unit[[#This Row],[Info string]])),Municipality[Municipality],""))</f>
        <v/>
      </c>
      <c r="L804" s="246"/>
      <c r="M804" s="244"/>
      <c r="N804" s="246" t="str">
        <f>_xlfn.TEXTJOIN("",TRUE,H_unit[[#This Row],[Exact]],H_unit[[#This Row],[Exact+n]],H_unit[[#This Row],[Copilot]])</f>
        <v>Kauhava</v>
      </c>
      <c r="O804" s="246" t="str">
        <f>_xlfn.XLOOKUP(H_unit[[#This Row],[Municipality]],Municipality[Municipality],Municipality[Model],"")</f>
        <v>West</v>
      </c>
      <c r="P804" s="236"/>
    </row>
    <row r="805" spans="1:16">
      <c r="A805" s="238" t="s">
        <v>1866</v>
      </c>
      <c r="B805" s="238" t="s">
        <v>1867</v>
      </c>
      <c r="C805" s="240" t="str" cm="1">
        <f t="array" ref="C805">" "&amp;LOWER(_xlfn.REDUCE(H_unit[[#This Row],[Company]]&amp;" "&amp;H_unit[[#This Row],[Unit]],{",",".","(",")","/"},_xlfn.LAMBDA(_xlpm.txt,_xlpm.delim,SUBSTITUTE(_xlpm.txt,_xlpm.delim," "))))&amp;" "</f>
        <v xml:space="preserve"> loimua oy  kärsämäki varastotie 1 </v>
      </c>
      <c r="D805" s="242">
        <v>2015</v>
      </c>
      <c r="E805" s="243">
        <v>1</v>
      </c>
      <c r="F805" s="243"/>
      <c r="G805" s="247"/>
      <c r="H805" s="267" t="s">
        <v>1436</v>
      </c>
      <c r="I805" s="248" t="s">
        <v>1143</v>
      </c>
      <c r="J805" s="246" t="str" cm="1">
        <f t="array" ref="J805">_xlfn.XLOOKUP(TRUE,ISNUMBER(SEARCH(" "&amp;Municipality[Municipality]&amp;" ",H_unit[[#This Row],[Info string]])),Municipality[Municipality],"")</f>
        <v>Kärsämäki</v>
      </c>
      <c r="K805" s="246" t="str" cm="1">
        <f t="array" ref="K805">IF(H_unit[[#This Row],[Exact]]&lt;&gt;"","",_xlfn.XLOOKUP(TRUE,ISNUMBER(SEARCH(" "&amp;Municipality[Municipality]&amp;"n ",H_unit[[#This Row],[Info string]])),Municipality[Municipality],""))</f>
        <v/>
      </c>
      <c r="L805" s="246"/>
      <c r="M805" s="244"/>
      <c r="N805" s="246" t="str">
        <f>_xlfn.TEXTJOIN("",TRUE,H_unit[[#This Row],[Exact]],H_unit[[#This Row],[Exact+n]],H_unit[[#This Row],[Copilot]])</f>
        <v>Kärsämäki</v>
      </c>
      <c r="O805" s="246" t="str">
        <f>_xlfn.XLOOKUP(H_unit[[#This Row],[Municipality]],Municipality[Municipality],Municipality[Model],"")</f>
        <v>North</v>
      </c>
      <c r="P805" s="236"/>
    </row>
    <row r="806" spans="1:16">
      <c r="A806" s="238" t="s">
        <v>2014</v>
      </c>
      <c r="B806" s="238" t="s">
        <v>2018</v>
      </c>
      <c r="C806" s="240" t="str" cm="1">
        <f t="array" ref="C806">" "&amp;LOWER(_xlfn.REDUCE(H_unit[[#This Row],[Company]]&amp;" "&amp;H_unit[[#This Row],[Unit]],{",",".","(",")","/"},_xlfn.LAMBDA(_xlpm.txt,_xlpm.delim,SUBSTITUTE(_xlpm.txt,_xlpm.delim," "))))&amp;" "</f>
        <v xml:space="preserve"> oulun seudun sähkö  liminka liminka  tuiskulanranta </v>
      </c>
      <c r="D806" s="242">
        <v>2015</v>
      </c>
      <c r="E806" s="243">
        <v>1</v>
      </c>
      <c r="F806" s="243"/>
      <c r="G806" s="247"/>
      <c r="H806" s="267" t="s">
        <v>1436</v>
      </c>
      <c r="I806" s="248" t="s">
        <v>1143</v>
      </c>
      <c r="J806" s="246" t="str" cm="1">
        <f t="array" ref="J806">_xlfn.XLOOKUP(TRUE,ISNUMBER(SEARCH(" "&amp;Municipality[Municipality]&amp;" ",H_unit[[#This Row],[Info string]])),Municipality[Municipality],"")</f>
        <v>Liminka</v>
      </c>
      <c r="K806" s="246" t="str" cm="1">
        <f t="array" ref="K806">IF(H_unit[[#This Row],[Exact]]&lt;&gt;"","",_xlfn.XLOOKUP(TRUE,ISNUMBER(SEARCH(" "&amp;Municipality[Municipality]&amp;"n ",H_unit[[#This Row],[Info string]])),Municipality[Municipality],""))</f>
        <v/>
      </c>
      <c r="L806" s="246"/>
      <c r="M806" s="244"/>
      <c r="N806" s="246" t="str">
        <f>_xlfn.TEXTJOIN("",TRUE,H_unit[[#This Row],[Exact]],H_unit[[#This Row],[Exact+n]],H_unit[[#This Row],[Copilot]])</f>
        <v>Liminka</v>
      </c>
      <c r="O806" s="246" t="str">
        <f>_xlfn.XLOOKUP(H_unit[[#This Row],[Municipality]],Municipality[Municipality],Municipality[Model],"")</f>
        <v>North</v>
      </c>
      <c r="P806" s="236"/>
    </row>
    <row r="807" spans="1:16">
      <c r="A807" s="238" t="s">
        <v>2308</v>
      </c>
      <c r="B807" s="238" t="s">
        <v>2308</v>
      </c>
      <c r="C807" s="240" t="str" cm="1">
        <f t="array" ref="C807">" "&amp;LOWER(_xlfn.REDUCE(H_unit[[#This Row],[Company]]&amp;" "&amp;H_unit[[#This Row],[Unit]],{",",".","(",")","/"},_xlfn.LAMBDA(_xlpm.txt,_xlpm.delim,SUBSTITUTE(_xlpm.txt,_xlpm.delim," "))))&amp;" "</f>
        <v xml:space="preserve"> kouvolan saha oy kouvolan saha oy </v>
      </c>
      <c r="D807" s="242">
        <v>2018</v>
      </c>
      <c r="E807" s="243">
        <v>1</v>
      </c>
      <c r="F807" s="243"/>
      <c r="G807" s="247"/>
      <c r="H807" s="267" t="s">
        <v>1439</v>
      </c>
      <c r="I807" s="248" t="s">
        <v>1143</v>
      </c>
      <c r="J807" s="246" t="str" cm="1">
        <f t="array" ref="J807">_xlfn.XLOOKUP(TRUE,ISNUMBER(SEARCH(" "&amp;Municipality[Municipality]&amp;" ",H_unit[[#This Row],[Info string]])),Municipality[Municipality],"")</f>
        <v/>
      </c>
      <c r="K807" s="246" t="str" cm="1">
        <f t="array" ref="K807">IF(H_unit[[#This Row],[Exact]]&lt;&gt;"","",_xlfn.XLOOKUP(TRUE,ISNUMBER(SEARCH(" "&amp;Municipality[Municipality]&amp;"n ",H_unit[[#This Row],[Info string]])),Municipality[Municipality],""))</f>
        <v>Kouvola</v>
      </c>
      <c r="L807" s="246"/>
      <c r="M807" s="244"/>
      <c r="N807" s="246" t="str">
        <f>_xlfn.TEXTJOIN("",TRUE,H_unit[[#This Row],[Exact]],H_unit[[#This Row],[Exact+n]],H_unit[[#This Row],[Copilot]])</f>
        <v>Kouvola</v>
      </c>
      <c r="O807" s="246" t="str">
        <f>_xlfn.XLOOKUP(H_unit[[#This Row],[Municipality]],Municipality[Municipality],Municipality[Model],"")</f>
        <v>South East</v>
      </c>
      <c r="P807" s="236"/>
    </row>
    <row r="808" spans="1:16">
      <c r="A808" s="238" t="s">
        <v>1769</v>
      </c>
      <c r="B808" s="238" t="s">
        <v>1771</v>
      </c>
      <c r="C808" s="240" t="str" cm="1">
        <f t="array" ref="C808">" "&amp;LOWER(_xlfn.REDUCE(H_unit[[#This Row],[Company]]&amp;" "&amp;H_unit[[#This Row],[Unit]],{",",".","(",")","/"},_xlfn.LAMBDA(_xlpm.txt,_xlpm.delim,SUBSTITUTE(_xlpm.txt,_xlpm.delim," "))))&amp;" "</f>
        <v xml:space="preserve"> lempeä lämpö oy  puumala puumalan hybridilämpölaitos </v>
      </c>
      <c r="D808" s="242">
        <v>2020</v>
      </c>
      <c r="E808" s="243">
        <v>1</v>
      </c>
      <c r="F808" s="243"/>
      <c r="G808" s="247"/>
      <c r="H808" s="267" t="s">
        <v>1772</v>
      </c>
      <c r="I808" s="248" t="s">
        <v>1146</v>
      </c>
      <c r="J808" s="246" t="str" cm="1">
        <f t="array" ref="J808">_xlfn.XLOOKUP(TRUE,ISNUMBER(SEARCH(" "&amp;Municipality[Municipality]&amp;" ",H_unit[[#This Row],[Info string]])),Municipality[Municipality],"")</f>
        <v>Puumala</v>
      </c>
      <c r="K808" s="246" t="str" cm="1">
        <f t="array" ref="K808">IF(H_unit[[#This Row],[Exact]]&lt;&gt;"","",_xlfn.XLOOKUP(TRUE,ISNUMBER(SEARCH(" "&amp;Municipality[Municipality]&amp;"n ",H_unit[[#This Row],[Info string]])),Municipality[Municipality],""))</f>
        <v/>
      </c>
      <c r="L808" s="246"/>
      <c r="M808" s="244"/>
      <c r="N808" s="246" t="str">
        <f>_xlfn.TEXTJOIN("",TRUE,H_unit[[#This Row],[Exact]],H_unit[[#This Row],[Exact+n]],H_unit[[#This Row],[Copilot]])</f>
        <v>Puumala</v>
      </c>
      <c r="O808" s="246" t="str">
        <f>_xlfn.XLOOKUP(H_unit[[#This Row],[Municipality]],Municipality[Municipality],Municipality[Model],"")</f>
        <v>East</v>
      </c>
      <c r="P808" s="236"/>
    </row>
    <row r="809" spans="1:16">
      <c r="A809" s="238" t="s">
        <v>2094</v>
      </c>
      <c r="B809" s="238" t="s">
        <v>2095</v>
      </c>
      <c r="C809" s="240" t="str" cm="1">
        <f t="array" ref="C809">" "&amp;LOWER(_xlfn.REDUCE(H_unit[[#This Row],[Company]]&amp;" "&amp;H_unit[[#This Row],[Unit]],{",",".","(",")","/"},_xlfn.LAMBDA(_xlpm.txt,_xlpm.delim,SUBSTITUTE(_xlpm.txt,_xlpm.delim," "))))&amp;" "</f>
        <v xml:space="preserve"> saarijärven kaukolämpö oy kpa3-tarvaala </v>
      </c>
      <c r="D809" s="242">
        <v>2020</v>
      </c>
      <c r="E809" s="243">
        <v>1</v>
      </c>
      <c r="F809" s="243"/>
      <c r="G809" s="247"/>
      <c r="H809" s="267" t="s">
        <v>1423</v>
      </c>
      <c r="I809" s="248" t="s">
        <v>1143</v>
      </c>
      <c r="J809" s="246" t="str" cm="1">
        <f t="array" ref="J809">_xlfn.XLOOKUP(TRUE,ISNUMBER(SEARCH(" "&amp;Municipality[Municipality]&amp;" ",H_unit[[#This Row],[Info string]])),Municipality[Municipality],"")</f>
        <v/>
      </c>
      <c r="K809" s="246" t="str" cm="1">
        <f t="array" ref="K809">IF(H_unit[[#This Row],[Exact]]&lt;&gt;"","",_xlfn.XLOOKUP(TRUE,ISNUMBER(SEARCH(" "&amp;Municipality[Municipality]&amp;"n ",H_unit[[#This Row],[Info string]])),Municipality[Municipality],""))</f>
        <v/>
      </c>
      <c r="L809" s="246" t="s">
        <v>1680</v>
      </c>
      <c r="M809" s="244" t="s">
        <v>2912</v>
      </c>
      <c r="N809" s="246" t="str">
        <f>_xlfn.TEXTJOIN("",TRUE,H_unit[[#This Row],[Exact]],H_unit[[#This Row],[Exact+n]],H_unit[[#This Row],[Copilot]])</f>
        <v>Saarijärvi</v>
      </c>
      <c r="O809" s="246" t="str">
        <f>_xlfn.XLOOKUP(H_unit[[#This Row],[Municipality]],Municipality[Municipality],Municipality[Model],"")</f>
        <v>Center</v>
      </c>
      <c r="P809" s="236"/>
    </row>
    <row r="810" spans="1:16">
      <c r="A810" s="238" t="s">
        <v>1678</v>
      </c>
      <c r="B810" s="238" t="s">
        <v>1688</v>
      </c>
      <c r="C810" s="240" t="str" cm="1">
        <f t="array" ref="C810">" "&amp;LOWER(_xlfn.REDUCE(H_unit[[#This Row],[Company]]&amp;" "&amp;H_unit[[#This Row],[Unit]],{",",".","(",")","/"},_xlfn.LAMBDA(_xlpm.txt,_xlpm.delim,SUBSTITUTE(_xlpm.txt,_xlpm.delim," "))))&amp;" "</f>
        <v xml:space="preserve"> kuopion energia oy lumit chc </v>
      </c>
      <c r="D810" s="242">
        <v>2022</v>
      </c>
      <c r="E810" s="243">
        <v>1</v>
      </c>
      <c r="F810" s="243"/>
      <c r="G810" s="247"/>
      <c r="H810" s="267" t="s">
        <v>1417</v>
      </c>
      <c r="I810" s="248" t="s">
        <v>1144</v>
      </c>
      <c r="J810" s="246" t="str" cm="1">
        <f t="array" ref="J810">_xlfn.XLOOKUP(TRUE,ISNUMBER(SEARCH(" "&amp;Municipality[Municipality]&amp;" ",H_unit[[#This Row],[Info string]])),Municipality[Municipality],"")</f>
        <v/>
      </c>
      <c r="K810" s="246" t="str" cm="1">
        <f t="array" ref="K810">IF(H_unit[[#This Row],[Exact]]&lt;&gt;"","",_xlfn.XLOOKUP(TRUE,ISNUMBER(SEARCH(" "&amp;Municipality[Municipality]&amp;"n ",H_unit[[#This Row],[Info string]])),Municipality[Municipality],""))</f>
        <v>Kuopio</v>
      </c>
      <c r="L810" s="246"/>
      <c r="M810" s="244"/>
      <c r="N810" s="246" t="str">
        <f>_xlfn.TEXTJOIN("",TRUE,H_unit[[#This Row],[Exact]],H_unit[[#This Row],[Exact+n]],H_unit[[#This Row],[Copilot]])</f>
        <v>Kuopio</v>
      </c>
      <c r="O810" s="246" t="str">
        <f>_xlfn.XLOOKUP(H_unit[[#This Row],[Municipality]],Municipality[Municipality],Municipality[Model],"")</f>
        <v>East</v>
      </c>
      <c r="P810" s="236"/>
    </row>
    <row r="811" spans="1:16">
      <c r="A811" s="238" t="s">
        <v>2241</v>
      </c>
      <c r="B811" s="238" t="s">
        <v>2244</v>
      </c>
      <c r="C811" s="240" t="str" cm="1">
        <f t="array" ref="C811">" "&amp;LOWER(_xlfn.REDUCE(H_unit[[#This Row],[Company]]&amp;" "&amp;H_unit[[#This Row],[Unit]],{",",".","(",")","/"},_xlfn.LAMBDA(_xlpm.txt,_xlpm.delim,SUBSTITUTE(_xlpm.txt,_xlpm.delim," "))))&amp;" "</f>
        <v xml:space="preserve"> vierumäen infra oy lämpöpumppulaitos </v>
      </c>
      <c r="D811" s="242">
        <v>2005</v>
      </c>
      <c r="E811" s="243">
        <v>0.9</v>
      </c>
      <c r="F811" s="243"/>
      <c r="G811" s="247"/>
      <c r="H811" s="267" t="s">
        <v>1417</v>
      </c>
      <c r="I811" s="248" t="s">
        <v>1144</v>
      </c>
      <c r="J811" s="246" t="str" cm="1">
        <f t="array" ref="J811">_xlfn.XLOOKUP(TRUE,ISNUMBER(SEARCH(" "&amp;Municipality[Municipality]&amp;" ",H_unit[[#This Row],[Info string]])),Municipality[Municipality],"")</f>
        <v/>
      </c>
      <c r="K811" s="246" t="str" cm="1">
        <f t="array" ref="K811">IF(H_unit[[#This Row],[Exact]]&lt;&gt;"","",_xlfn.XLOOKUP(TRUE,ISNUMBER(SEARCH(" "&amp;Municipality[Municipality]&amp;"n ",H_unit[[#This Row],[Info string]])),Municipality[Municipality],""))</f>
        <v/>
      </c>
      <c r="L811" s="246"/>
      <c r="M811" s="244"/>
      <c r="N811" s="246" t="str">
        <f>_xlfn.TEXTJOIN("",TRUE,H_unit[[#This Row],[Exact]],H_unit[[#This Row],[Exact+n]],H_unit[[#This Row],[Copilot]])</f>
        <v/>
      </c>
      <c r="O811" s="246" t="str">
        <f>_xlfn.XLOOKUP(H_unit[[#This Row],[Municipality]],Municipality[Municipality],Municipality[Model],"")</f>
        <v/>
      </c>
      <c r="P811" s="236"/>
    </row>
    <row r="812" spans="1:16">
      <c r="A812" s="238" t="s">
        <v>1800</v>
      </c>
      <c r="B812" s="238" t="s">
        <v>1803</v>
      </c>
      <c r="C812" s="240" t="str" cm="1">
        <f t="array" ref="C812">" "&amp;LOWER(_xlfn.REDUCE(H_unit[[#This Row],[Company]]&amp;" "&amp;H_unit[[#This Row],[Unit]],{",",".","(",")","/"},_xlfn.LAMBDA(_xlpm.txt,_xlpm.delim,SUBSTITUTE(_xlpm.txt,_xlpm.delim," "))))&amp;" "</f>
        <v xml:space="preserve"> leppäkosken lämpö oy  parkano kiivelän lämpökeskus </v>
      </c>
      <c r="D812" s="242">
        <v>2019</v>
      </c>
      <c r="E812" s="243">
        <v>0.9</v>
      </c>
      <c r="F812" s="243"/>
      <c r="G812" s="247"/>
      <c r="H812" s="267" t="s">
        <v>1430</v>
      </c>
      <c r="I812" s="248" t="s">
        <v>1141</v>
      </c>
      <c r="J812" s="246" t="str" cm="1">
        <f t="array" ref="J812">_xlfn.XLOOKUP(TRUE,ISNUMBER(SEARCH(" "&amp;Municipality[Municipality]&amp;" ",H_unit[[#This Row],[Info string]])),Municipality[Municipality],"")</f>
        <v>Parkano</v>
      </c>
      <c r="K812" s="246" t="str" cm="1">
        <f t="array" ref="K812">IF(H_unit[[#This Row],[Exact]]&lt;&gt;"","",_xlfn.XLOOKUP(TRUE,ISNUMBER(SEARCH(" "&amp;Municipality[Municipality]&amp;"n ",H_unit[[#This Row],[Info string]])),Municipality[Municipality],""))</f>
        <v/>
      </c>
      <c r="L812" s="246"/>
      <c r="M812" s="244"/>
      <c r="N812" s="246" t="str">
        <f>_xlfn.TEXTJOIN("",TRUE,H_unit[[#This Row],[Exact]],H_unit[[#This Row],[Exact+n]],H_unit[[#This Row],[Copilot]])</f>
        <v>Parkano</v>
      </c>
      <c r="O812" s="246" t="str">
        <f>_xlfn.XLOOKUP(H_unit[[#This Row],[Municipality]],Municipality[Municipality],Municipality[Model],"")</f>
        <v>Center</v>
      </c>
      <c r="P812" s="236"/>
    </row>
    <row r="813" spans="1:16">
      <c r="A813" s="238" t="s">
        <v>1782</v>
      </c>
      <c r="B813" s="238" t="s">
        <v>1786</v>
      </c>
      <c r="C813" s="240" t="str" cm="1">
        <f t="array" ref="C813">" "&amp;LOWER(_xlfn.REDUCE(H_unit[[#This Row],[Company]]&amp;" "&amp;H_unit[[#This Row],[Unit]],{",",".","(",")","/"},_xlfn.LAMBDA(_xlpm.txt,_xlpm.delim,SUBSTITUTE(_xlpm.txt,_xlpm.delim," "))))&amp;" "</f>
        <v xml:space="preserve"> lempäälän lämpö oy tenkasen mylly </v>
      </c>
      <c r="D813" s="242">
        <v>2021</v>
      </c>
      <c r="E813" s="243">
        <v>0.9</v>
      </c>
      <c r="F813" s="243"/>
      <c r="G813" s="247"/>
      <c r="H813" s="267" t="s">
        <v>1417</v>
      </c>
      <c r="I813" s="248" t="s">
        <v>1144</v>
      </c>
      <c r="J813" s="246" t="str" cm="1">
        <f t="array" ref="J813">_xlfn.XLOOKUP(TRUE,ISNUMBER(SEARCH(" "&amp;Municipality[Municipality]&amp;" ",H_unit[[#This Row],[Info string]])),Municipality[Municipality],"")</f>
        <v/>
      </c>
      <c r="K813" s="246" t="str" cm="1">
        <f t="array" ref="K813">IF(H_unit[[#This Row],[Exact]]&lt;&gt;"","",_xlfn.XLOOKUP(TRUE,ISNUMBER(SEARCH(" "&amp;Municipality[Municipality]&amp;"n ",H_unit[[#This Row],[Info string]])),Municipality[Municipality],""))</f>
        <v>Lempäälä</v>
      </c>
      <c r="L813" s="246"/>
      <c r="M813" s="244"/>
      <c r="N813" s="246" t="str">
        <f>_xlfn.TEXTJOIN("",TRUE,H_unit[[#This Row],[Exact]],H_unit[[#This Row],[Exact+n]],H_unit[[#This Row],[Copilot]])</f>
        <v>Lempäälä</v>
      </c>
      <c r="O813" s="246" t="str">
        <f>_xlfn.XLOOKUP(H_unit[[#This Row],[Municipality]],Municipality[Municipality],Municipality[Model],"")</f>
        <v>Center</v>
      </c>
      <c r="P813" s="236"/>
    </row>
    <row r="814" spans="1:16">
      <c r="A814" s="238" t="s">
        <v>2241</v>
      </c>
      <c r="B814" s="238" t="s">
        <v>2243</v>
      </c>
      <c r="C814" s="240" t="str" cm="1">
        <f t="array" ref="C814">" "&amp;LOWER(_xlfn.REDUCE(H_unit[[#This Row],[Company]]&amp;" "&amp;H_unit[[#This Row],[Unit]],{",",".","(",")","/"},_xlfn.LAMBDA(_xlpm.txt,_xlpm.delim,SUBSTITUTE(_xlpm.txt,_xlpm.delim," "))))&amp;" "</f>
        <v xml:space="preserve"> vierumäen infra oy jäähalli </v>
      </c>
      <c r="D814" s="242">
        <v>2021</v>
      </c>
      <c r="E814" s="243">
        <v>0.9</v>
      </c>
      <c r="F814" s="243"/>
      <c r="G814" s="247"/>
      <c r="H814" s="267" t="s">
        <v>1417</v>
      </c>
      <c r="I814" s="248" t="s">
        <v>1144</v>
      </c>
      <c r="J814" s="246" t="str" cm="1">
        <f t="array" ref="J814">_xlfn.XLOOKUP(TRUE,ISNUMBER(SEARCH(" "&amp;Municipality[Municipality]&amp;" ",H_unit[[#This Row],[Info string]])),Municipality[Municipality],"")</f>
        <v/>
      </c>
      <c r="K814" s="246" t="str" cm="1">
        <f t="array" ref="K814">IF(H_unit[[#This Row],[Exact]]&lt;&gt;"","",_xlfn.XLOOKUP(TRUE,ISNUMBER(SEARCH(" "&amp;Municipality[Municipality]&amp;"n ",H_unit[[#This Row],[Info string]])),Municipality[Municipality],""))</f>
        <v/>
      </c>
      <c r="L814" s="246"/>
      <c r="M814" s="244"/>
      <c r="N814" s="246" t="str">
        <f>_xlfn.TEXTJOIN("",TRUE,H_unit[[#This Row],[Exact]],H_unit[[#This Row],[Exact+n]],H_unit[[#This Row],[Copilot]])</f>
        <v/>
      </c>
      <c r="O814" s="246" t="str">
        <f>_xlfn.XLOOKUP(H_unit[[#This Row],[Municipality]],Municipality[Municipality],Municipality[Model],"")</f>
        <v/>
      </c>
      <c r="P814" s="236"/>
    </row>
    <row r="815" spans="1:16">
      <c r="A815" s="238" t="s">
        <v>1587</v>
      </c>
      <c r="B815" s="238" t="s">
        <v>1596</v>
      </c>
      <c r="C815" s="240" t="str" cm="1">
        <f t="array" ref="C815">" "&amp;LOWER(_xlfn.REDUCE(H_unit[[#This Row],[Company]]&amp;" "&amp;H_unit[[#This Row],[Unit]],{",",".","(",")","/"},_xlfn.LAMBDA(_xlpm.txt,_xlpm.delim,SUBSTITUTE(_xlpm.txt,_xlpm.delim," "))))&amp;" "</f>
        <v xml:space="preserve"> kauhavan kaukolämpö oy kauhava kylmäverkko </v>
      </c>
      <c r="D815" s="242">
        <v>2022</v>
      </c>
      <c r="E815" s="243">
        <v>0.9</v>
      </c>
      <c r="F815" s="243"/>
      <c r="G815" s="247"/>
      <c r="H815" s="267" t="s">
        <v>1417</v>
      </c>
      <c r="I815" s="248" t="s">
        <v>1144</v>
      </c>
      <c r="J815" s="246" t="str" cm="1">
        <f t="array" ref="J815">_xlfn.XLOOKUP(TRUE,ISNUMBER(SEARCH(" "&amp;Municipality[Municipality]&amp;" ",H_unit[[#This Row],[Info string]])),Municipality[Municipality],"")</f>
        <v>Kauhava</v>
      </c>
      <c r="K815" s="246" t="str" cm="1">
        <f t="array" ref="K815">IF(H_unit[[#This Row],[Exact]]&lt;&gt;"","",_xlfn.XLOOKUP(TRUE,ISNUMBER(SEARCH(" "&amp;Municipality[Municipality]&amp;"n ",H_unit[[#This Row],[Info string]])),Municipality[Municipality],""))</f>
        <v/>
      </c>
      <c r="L815" s="246"/>
      <c r="M815" s="244"/>
      <c r="N815" s="246" t="str">
        <f>_xlfn.TEXTJOIN("",TRUE,H_unit[[#This Row],[Exact]],H_unit[[#This Row],[Exact+n]],H_unit[[#This Row],[Copilot]])</f>
        <v>Kauhava</v>
      </c>
      <c r="O815" s="246" t="str">
        <f>_xlfn.XLOOKUP(H_unit[[#This Row],[Municipality]],Municipality[Municipality],Municipality[Model],"")</f>
        <v>West</v>
      </c>
      <c r="P815" s="236"/>
    </row>
    <row r="816" spans="1:16">
      <c r="A816" s="238" t="s">
        <v>1678</v>
      </c>
      <c r="B816" s="238" t="s">
        <v>1689</v>
      </c>
      <c r="C816" s="240" t="str" cm="1">
        <f t="array" ref="C816">" "&amp;LOWER(_xlfn.REDUCE(H_unit[[#This Row],[Company]]&amp;" "&amp;H_unit[[#This Row],[Unit]],{",",".","(",")","/"},_xlfn.LAMBDA(_xlpm.txt,_xlpm.delim,SUBSTITUTE(_xlpm.txt,_xlpm.delim," "))))&amp;" "</f>
        <v xml:space="preserve"> kuopion energia oy lääninhallitus chc </v>
      </c>
      <c r="D816" s="242">
        <v>2022</v>
      </c>
      <c r="E816" s="243">
        <v>0.9</v>
      </c>
      <c r="F816" s="243"/>
      <c r="G816" s="247"/>
      <c r="H816" s="267" t="s">
        <v>1417</v>
      </c>
      <c r="I816" s="248" t="s">
        <v>1144</v>
      </c>
      <c r="J816" s="246" t="str" cm="1">
        <f t="array" ref="J816">_xlfn.XLOOKUP(TRUE,ISNUMBER(SEARCH(" "&amp;Municipality[Municipality]&amp;" ",H_unit[[#This Row],[Info string]])),Municipality[Municipality],"")</f>
        <v/>
      </c>
      <c r="K816" s="246" t="str" cm="1">
        <f t="array" ref="K816">IF(H_unit[[#This Row],[Exact]]&lt;&gt;"","",_xlfn.XLOOKUP(TRUE,ISNUMBER(SEARCH(" "&amp;Municipality[Municipality]&amp;"n ",H_unit[[#This Row],[Info string]])),Municipality[Municipality],""))</f>
        <v>Kuopio</v>
      </c>
      <c r="L816" s="246"/>
      <c r="M816" s="244"/>
      <c r="N816" s="246" t="str">
        <f>_xlfn.TEXTJOIN("",TRUE,H_unit[[#This Row],[Exact]],H_unit[[#This Row],[Exact+n]],H_unit[[#This Row],[Copilot]])</f>
        <v>Kuopio</v>
      </c>
      <c r="O816" s="246" t="str">
        <f>_xlfn.XLOOKUP(H_unit[[#This Row],[Municipality]],Municipality[Municipality],Municipality[Model],"")</f>
        <v>East</v>
      </c>
      <c r="P816" s="236"/>
    </row>
    <row r="817" spans="1:16">
      <c r="A817" s="238" t="s">
        <v>1661</v>
      </c>
      <c r="B817" s="238" t="s">
        <v>1675</v>
      </c>
      <c r="C817" s="240" t="str" cm="1">
        <f t="array" ref="C817">" "&amp;LOWER(_xlfn.REDUCE(H_unit[[#This Row],[Company]]&amp;" "&amp;H_unit[[#This Row],[Unit]],{",",".","(",")","/"},_xlfn.LAMBDA(_xlpm.txt,_xlpm.delim,SUBSTITUTE(_xlpm.txt,_xlpm.delim," "))))&amp;" "</f>
        <v xml:space="preserve"> kss lämpö oy  kouvola valkealan lämpökeskus </v>
      </c>
      <c r="D817" s="242" t="s">
        <v>1448</v>
      </c>
      <c r="E817" s="243">
        <v>0.9</v>
      </c>
      <c r="F817" s="243"/>
      <c r="G817" s="247"/>
      <c r="H817" s="267" t="s">
        <v>1453</v>
      </c>
      <c r="I817" s="248" t="s">
        <v>1142</v>
      </c>
      <c r="J817" s="246" t="str" cm="1">
        <f t="array" ref="J817">_xlfn.XLOOKUP(TRUE,ISNUMBER(SEARCH(" "&amp;Municipality[Municipality]&amp;" ",H_unit[[#This Row],[Info string]])),Municipality[Municipality],"")</f>
        <v>Kouvola</v>
      </c>
      <c r="K817" s="246" t="str" cm="1">
        <f t="array" ref="K817">IF(H_unit[[#This Row],[Exact]]&lt;&gt;"","",_xlfn.XLOOKUP(TRUE,ISNUMBER(SEARCH(" "&amp;Municipality[Municipality]&amp;"n ",H_unit[[#This Row],[Info string]])),Municipality[Municipality],""))</f>
        <v/>
      </c>
      <c r="L817" s="246"/>
      <c r="M817" s="244"/>
      <c r="N817" s="246" t="str">
        <f>_xlfn.TEXTJOIN("",TRUE,H_unit[[#This Row],[Exact]],H_unit[[#This Row],[Exact+n]],H_unit[[#This Row],[Copilot]])</f>
        <v>Kouvola</v>
      </c>
      <c r="O817" s="246" t="str">
        <f>_xlfn.XLOOKUP(H_unit[[#This Row],[Municipality]],Municipality[Municipality],Municipality[Model],"")</f>
        <v>South East</v>
      </c>
      <c r="P817" s="236"/>
    </row>
    <row r="818" spans="1:16">
      <c r="A818" s="238" t="s">
        <v>1782</v>
      </c>
      <c r="B818" s="238" t="s">
        <v>1783</v>
      </c>
      <c r="C818" s="240" t="str" cm="1">
        <f t="array" ref="C818">" "&amp;LOWER(_xlfn.REDUCE(H_unit[[#This Row],[Company]]&amp;" "&amp;H_unit[[#This Row],[Unit]],{",",".","(",")","/"},_xlfn.LAMBDA(_xlpm.txt,_xlpm.delim,SUBSTITUTE(_xlpm.txt,_xlpm.delim," "))))&amp;" "</f>
        <v xml:space="preserve"> lempäälän lämpö oy moisio </v>
      </c>
      <c r="D818" s="242">
        <v>1986</v>
      </c>
      <c r="E818" s="243">
        <v>0.8</v>
      </c>
      <c r="F818" s="243"/>
      <c r="G818" s="247"/>
      <c r="H818" s="267" t="s">
        <v>1453</v>
      </c>
      <c r="I818" s="248" t="s">
        <v>1142</v>
      </c>
      <c r="J818" s="246" t="str" cm="1">
        <f t="array" ref="J818">_xlfn.XLOOKUP(TRUE,ISNUMBER(SEARCH(" "&amp;Municipality[Municipality]&amp;" ",H_unit[[#This Row],[Info string]])),Municipality[Municipality],"")</f>
        <v/>
      </c>
      <c r="K818" s="246" t="str" cm="1">
        <f t="array" ref="K818">IF(H_unit[[#This Row],[Exact]]&lt;&gt;"","",_xlfn.XLOOKUP(TRUE,ISNUMBER(SEARCH(" "&amp;Municipality[Municipality]&amp;"n ",H_unit[[#This Row],[Info string]])),Municipality[Municipality],""))</f>
        <v>Lempäälä</v>
      </c>
      <c r="L818" s="246"/>
      <c r="M818" s="244"/>
      <c r="N818" s="246" t="str">
        <f>_xlfn.TEXTJOIN("",TRUE,H_unit[[#This Row],[Exact]],H_unit[[#This Row],[Exact+n]],H_unit[[#This Row],[Copilot]])</f>
        <v>Lempäälä</v>
      </c>
      <c r="O818" s="246" t="str">
        <f>_xlfn.XLOOKUP(H_unit[[#This Row],[Municipality]],Municipality[Municipality],Municipality[Model],"")</f>
        <v>Center</v>
      </c>
      <c r="P818" s="236"/>
    </row>
    <row r="819" spans="1:16">
      <c r="A819" s="238" t="s">
        <v>2267</v>
      </c>
      <c r="B819" s="238" t="s">
        <v>2268</v>
      </c>
      <c r="C819" s="240" t="str" cm="1">
        <f t="array" ref="C819">" "&amp;LOWER(_xlfn.REDUCE(H_unit[[#This Row],[Company]]&amp;" "&amp;H_unit[[#This Row],[Unit]],{",",".","(",")","/"},_xlfn.LAMBDA(_xlpm.txt,_xlpm.delim,SUBSTITUTE(_xlpm.txt,_xlpm.delim," "))))&amp;" "</f>
        <v xml:space="preserve"> akk-energia oy  ikaalinen akk lk </v>
      </c>
      <c r="D819" s="242">
        <v>2009</v>
      </c>
      <c r="E819" s="243">
        <v>0.8</v>
      </c>
      <c r="F819" s="243"/>
      <c r="G819" s="247"/>
      <c r="H819" s="267" t="s">
        <v>1423</v>
      </c>
      <c r="I819" s="248" t="s">
        <v>1143</v>
      </c>
      <c r="J819" s="246" t="str" cm="1">
        <f t="array" ref="J819">_xlfn.XLOOKUP(TRUE,ISNUMBER(SEARCH(" "&amp;Municipality[Municipality]&amp;" ",H_unit[[#This Row],[Info string]])),Municipality[Municipality],"")</f>
        <v>Ikaalinen</v>
      </c>
      <c r="K819" s="246" t="str" cm="1">
        <f t="array" ref="K819">IF(H_unit[[#This Row],[Exact]]&lt;&gt;"","",_xlfn.XLOOKUP(TRUE,ISNUMBER(SEARCH(" "&amp;Municipality[Municipality]&amp;"n ",H_unit[[#This Row],[Info string]])),Municipality[Municipality],""))</f>
        <v/>
      </c>
      <c r="L819" s="246"/>
      <c r="M819" s="244"/>
      <c r="N819" s="246" t="str">
        <f>_xlfn.TEXTJOIN("",TRUE,H_unit[[#This Row],[Exact]],H_unit[[#This Row],[Exact+n]],H_unit[[#This Row],[Copilot]])</f>
        <v>Ikaalinen</v>
      </c>
      <c r="O819" s="246" t="str">
        <f>_xlfn.XLOOKUP(H_unit[[#This Row],[Municipality]],Municipality[Municipality],Municipality[Model],"")</f>
        <v>Center</v>
      </c>
      <c r="P819" s="236"/>
    </row>
    <row r="820" spans="1:16">
      <c r="A820" s="238" t="s">
        <v>1894</v>
      </c>
      <c r="B820" s="238" t="s">
        <v>1896</v>
      </c>
      <c r="C820" s="240" t="str" cm="1">
        <f t="array" ref="C820">" "&amp;LOWER(_xlfn.REDUCE(H_unit[[#This Row],[Company]]&amp;" "&amp;H_unit[[#This Row],[Unit]],{",",".","(",")","/"},_xlfn.LAMBDA(_xlpm.txt,_xlpm.delim,SUBSTITUTE(_xlpm.txt,_xlpm.delim," "))))&amp;" "</f>
        <v xml:space="preserve"> mäntän kaukolämpö ja vesihuolto oy kolho </v>
      </c>
      <c r="D820" s="242">
        <v>2014</v>
      </c>
      <c r="E820" s="243">
        <v>0.8</v>
      </c>
      <c r="F820" s="243"/>
      <c r="G820" s="247"/>
      <c r="H820" s="267" t="s">
        <v>1436</v>
      </c>
      <c r="I820" s="248" t="s">
        <v>1143</v>
      </c>
      <c r="J820" s="246" t="str" cm="1">
        <f t="array" ref="J820">_xlfn.XLOOKUP(TRUE,ISNUMBER(SEARCH(" "&amp;Municipality[Municipality]&amp;" ",H_unit[[#This Row],[Info string]])),Municipality[Municipality],"")</f>
        <v/>
      </c>
      <c r="K820" s="246" t="str" cm="1">
        <f t="array" ref="K820">IF(H_unit[[#This Row],[Exact]]&lt;&gt;"","",_xlfn.XLOOKUP(TRUE,ISNUMBER(SEARCH(" "&amp;Municipality[Municipality]&amp;"n ",H_unit[[#This Row],[Info string]])),Municipality[Municipality],""))</f>
        <v/>
      </c>
      <c r="L820" s="246"/>
      <c r="M820" s="244"/>
      <c r="N820" s="246" t="str">
        <f>_xlfn.TEXTJOIN("",TRUE,H_unit[[#This Row],[Exact]],H_unit[[#This Row],[Exact+n]],H_unit[[#This Row],[Copilot]])</f>
        <v/>
      </c>
      <c r="O820" s="246" t="str">
        <f>_xlfn.XLOOKUP(H_unit[[#This Row],[Municipality]],Municipality[Municipality],Municipality[Model],"")</f>
        <v/>
      </c>
      <c r="P820" s="236"/>
    </row>
    <row r="821" spans="1:16">
      <c r="A821" s="238" t="s">
        <v>2205</v>
      </c>
      <c r="B821" s="238" t="s">
        <v>2209</v>
      </c>
      <c r="C821" s="240" t="str" cm="1">
        <f t="array" ref="C821">" "&amp;LOWER(_xlfn.REDUCE(H_unit[[#This Row],[Company]]&amp;" "&amp;H_unit[[#This Row],[Unit]],{",",".","(",")","/"},_xlfn.LAMBDA(_xlpm.txt,_xlpm.delim,SUBSTITUTE(_xlpm.txt,_xlpm.delim," "))))&amp;" "</f>
        <v xml:space="preserve"> valkeakosken energia oy klk 5 </v>
      </c>
      <c r="D821" s="242">
        <v>2017</v>
      </c>
      <c r="E821" s="243">
        <v>0.8</v>
      </c>
      <c r="F821" s="243"/>
      <c r="G821" s="247"/>
      <c r="H821" s="267" t="s">
        <v>1436</v>
      </c>
      <c r="I821" s="248" t="s">
        <v>1143</v>
      </c>
      <c r="J821" s="246" t="str" cm="1">
        <f t="array" ref="J821">_xlfn.XLOOKUP(TRUE,ISNUMBER(SEARCH(" "&amp;Municipality[Municipality]&amp;" ",H_unit[[#This Row],[Info string]])),Municipality[Municipality],"")</f>
        <v/>
      </c>
      <c r="K821" s="246" t="str" cm="1">
        <f t="array" ref="K821">IF(H_unit[[#This Row],[Exact]]&lt;&gt;"","",_xlfn.XLOOKUP(TRUE,ISNUMBER(SEARCH(" "&amp;Municipality[Municipality]&amp;"n ",H_unit[[#This Row],[Info string]])),Municipality[Municipality],""))</f>
        <v/>
      </c>
      <c r="L821" s="246" t="s">
        <v>2821</v>
      </c>
      <c r="M821" s="244" t="s">
        <v>2904</v>
      </c>
      <c r="N821" s="246" t="str">
        <f>_xlfn.TEXTJOIN("",TRUE,H_unit[[#This Row],[Exact]],H_unit[[#This Row],[Exact+n]],H_unit[[#This Row],[Copilot]])</f>
        <v>Valkeakoski</v>
      </c>
      <c r="O821" s="246" t="str">
        <f>_xlfn.XLOOKUP(H_unit[[#This Row],[Municipality]],Municipality[Municipality],Municipality[Model],"")</f>
        <v>Center</v>
      </c>
      <c r="P821" s="236"/>
    </row>
    <row r="822" spans="1:16">
      <c r="A822" s="238" t="s">
        <v>1963</v>
      </c>
      <c r="B822" s="238" t="s">
        <v>1971</v>
      </c>
      <c r="C822" s="240" t="str" cm="1">
        <f t="array" ref="C822">" "&amp;LOWER(_xlfn.REDUCE(H_unit[[#This Row],[Company]]&amp;" "&amp;H_unit[[#This Row],[Unit]],{",",".","(",")","/"},_xlfn.LAMBDA(_xlpm.txt,_xlpm.delim,SUBSTITUTE(_xlpm.txt,_xlpm.delim," "))))&amp;" "</f>
        <v xml:space="preserve"> nivos vesi ja lämpö oy  mäntsälä hyökännummi </v>
      </c>
      <c r="D822" s="242">
        <v>2018</v>
      </c>
      <c r="E822" s="243">
        <v>0.8</v>
      </c>
      <c r="F822" s="243"/>
      <c r="G822" s="247"/>
      <c r="H822" s="267" t="s">
        <v>1436</v>
      </c>
      <c r="I822" s="248" t="s">
        <v>1143</v>
      </c>
      <c r="J822" s="246" t="str" cm="1">
        <f t="array" ref="J822">_xlfn.XLOOKUP(TRUE,ISNUMBER(SEARCH(" "&amp;Municipality[Municipality]&amp;" ",H_unit[[#This Row],[Info string]])),Municipality[Municipality],"")</f>
        <v>Mäntsälä</v>
      </c>
      <c r="K822" s="246" t="str" cm="1">
        <f t="array" ref="K822">IF(H_unit[[#This Row],[Exact]]&lt;&gt;"","",_xlfn.XLOOKUP(TRUE,ISNUMBER(SEARCH(" "&amp;Municipality[Municipality]&amp;"n ",H_unit[[#This Row],[Info string]])),Municipality[Municipality],""))</f>
        <v/>
      </c>
      <c r="L822" s="246"/>
      <c r="M822" s="244"/>
      <c r="N822" s="246" t="str">
        <f>_xlfn.TEXTJOIN("",TRUE,H_unit[[#This Row],[Exact]],H_unit[[#This Row],[Exact+n]],H_unit[[#This Row],[Copilot]])</f>
        <v>Mäntsälä</v>
      </c>
      <c r="O822" s="246" t="str">
        <f>_xlfn.XLOOKUP(H_unit[[#This Row],[Municipality]],Municipality[Municipality],Municipality[Model],"")</f>
        <v>Uusimaa</v>
      </c>
      <c r="P822" s="236"/>
    </row>
    <row r="823" spans="1:16">
      <c r="A823" s="238" t="s">
        <v>1530</v>
      </c>
      <c r="B823" s="238" t="s">
        <v>1542</v>
      </c>
      <c r="C823" s="240" t="str" cm="1">
        <f t="array" ref="C823">" "&amp;LOWER(_xlfn.REDUCE(H_unit[[#This Row],[Company]]&amp;" "&amp;H_unit[[#This Row],[Unit]],{",",".","(",")","/"},_xlfn.LAMBDA(_xlpm.txt,_xlpm.delim,SUBSTITUTE(_xlpm.txt,_xlpm.delim," "))))&amp;" "</f>
        <v xml:space="preserve"> imatran lämpö oy imatrankosken lämpöpumppu </v>
      </c>
      <c r="D823" s="242">
        <v>2023</v>
      </c>
      <c r="E823" s="243">
        <v>0.8</v>
      </c>
      <c r="F823" s="243"/>
      <c r="G823" s="247"/>
      <c r="H823" s="267" t="s">
        <v>1417</v>
      </c>
      <c r="I823" s="248" t="s">
        <v>1144</v>
      </c>
      <c r="J823" s="246" t="str" cm="1">
        <f t="array" ref="J823">_xlfn.XLOOKUP(TRUE,ISNUMBER(SEARCH(" "&amp;Municipality[Municipality]&amp;" ",H_unit[[#This Row],[Info string]])),Municipality[Municipality],"")</f>
        <v/>
      </c>
      <c r="K823" s="246" t="str" cm="1">
        <f t="array" ref="K823">IF(H_unit[[#This Row],[Exact]]&lt;&gt;"","",_xlfn.XLOOKUP(TRUE,ISNUMBER(SEARCH(" "&amp;Municipality[Municipality]&amp;"n ",H_unit[[#This Row],[Info string]])),Municipality[Municipality],""))</f>
        <v>Imatra</v>
      </c>
      <c r="L823" s="246"/>
      <c r="M823" s="244"/>
      <c r="N823" s="246" t="str">
        <f>_xlfn.TEXTJOIN("",TRUE,H_unit[[#This Row],[Exact]],H_unit[[#This Row],[Exact+n]],H_unit[[#This Row],[Copilot]])</f>
        <v>Imatra</v>
      </c>
      <c r="O823" s="246" t="str">
        <f>_xlfn.XLOOKUP(H_unit[[#This Row],[Municipality]],Municipality[Municipality],Municipality[Model],"")</f>
        <v>South East</v>
      </c>
      <c r="P823" s="236"/>
    </row>
    <row r="824" spans="1:16">
      <c r="A824" s="238" t="s">
        <v>2229</v>
      </c>
      <c r="B824" s="238" t="s">
        <v>2236</v>
      </c>
      <c r="C824" s="240" t="str" cm="1">
        <f t="array" ref="C824">" "&amp;LOWER(_xlfn.REDUCE(H_unit[[#This Row],[Company]]&amp;" "&amp;H_unit[[#This Row],[Unit]],{",",".","(",")","/"},_xlfn.LAMBDA(_xlpm.txt,_xlpm.delim,SUBSTITUTE(_xlpm.txt,_xlpm.delim," "))))&amp;" "</f>
        <v xml:space="preserve"> vatajankoski oy liikuntakeskuksen chc-laitos </v>
      </c>
      <c r="D824" s="242">
        <v>2023</v>
      </c>
      <c r="E824" s="243">
        <v>0.8</v>
      </c>
      <c r="F824" s="243"/>
      <c r="G824" s="247"/>
      <c r="H824" s="267" t="s">
        <v>1417</v>
      </c>
      <c r="I824" s="248" t="s">
        <v>1144</v>
      </c>
      <c r="J824" s="246" t="str" cm="1">
        <f t="array" ref="J824">_xlfn.XLOOKUP(TRUE,ISNUMBER(SEARCH(" "&amp;Municipality[Municipality]&amp;" ",H_unit[[#This Row],[Info string]])),Municipality[Municipality],"")</f>
        <v/>
      </c>
      <c r="K824" s="246" t="str" cm="1">
        <f t="array" ref="K824">IF(H_unit[[#This Row],[Exact]]&lt;&gt;"","",_xlfn.XLOOKUP(TRUE,ISNUMBER(SEARCH(" "&amp;Municipality[Municipality]&amp;"n ",H_unit[[#This Row],[Info string]])),Municipality[Municipality],""))</f>
        <v/>
      </c>
      <c r="L824" s="246" t="s">
        <v>466</v>
      </c>
      <c r="M824" s="244" t="s">
        <v>2907</v>
      </c>
      <c r="N824" s="246" t="str">
        <f>_xlfn.TEXTJOIN("",TRUE,H_unit[[#This Row],[Exact]],H_unit[[#This Row],[Exact+n]],H_unit[[#This Row],[Copilot]])</f>
        <v>Kankaanpää</v>
      </c>
      <c r="O824" s="246" t="str">
        <f>_xlfn.XLOOKUP(H_unit[[#This Row],[Municipality]],Municipality[Municipality],Municipality[Model],"")</f>
        <v>West</v>
      </c>
      <c r="P824" s="236"/>
    </row>
    <row r="825" spans="1:16">
      <c r="A825" s="238" t="s">
        <v>1710</v>
      </c>
      <c r="B825" s="238" t="s">
        <v>1716</v>
      </c>
      <c r="C825" s="240" t="str" cm="1">
        <f t="array" ref="C825">" "&amp;LOWER(_xlfn.REDUCE(H_unit[[#This Row],[Company]]&amp;" "&amp;H_unit[[#This Row],[Unit]],{",",".","(",")","/"},_xlfn.LAMBDA(_xlpm.txt,_xlpm.delim,SUBSTITUTE(_xlpm.txt,_xlpm.delim," "))))&amp;" "</f>
        <v xml:space="preserve"> kuusamon energia- ja vesiosuuskunta louhi </v>
      </c>
      <c r="D825" s="242" t="s">
        <v>1448</v>
      </c>
      <c r="E825" s="243">
        <v>0.8</v>
      </c>
      <c r="F825" s="243"/>
      <c r="G825" s="247"/>
      <c r="H825" s="267" t="s">
        <v>1430</v>
      </c>
      <c r="I825" s="248" t="s">
        <v>1141</v>
      </c>
      <c r="J825" s="246" t="str" cm="1">
        <f t="array" ref="J825">_xlfn.XLOOKUP(TRUE,ISNUMBER(SEARCH(" "&amp;Municipality[Municipality]&amp;" ",H_unit[[#This Row],[Info string]])),Municipality[Municipality],"")</f>
        <v/>
      </c>
      <c r="K825" s="246" t="str" cm="1">
        <f t="array" ref="K825">IF(H_unit[[#This Row],[Exact]]&lt;&gt;"","",_xlfn.XLOOKUP(TRUE,ISNUMBER(SEARCH(" "&amp;Municipality[Municipality]&amp;"n ",H_unit[[#This Row],[Info string]])),Municipality[Municipality],""))</f>
        <v>Kuusamo</v>
      </c>
      <c r="L825" s="246"/>
      <c r="M825" s="244"/>
      <c r="N825" s="246" t="str">
        <f>_xlfn.TEXTJOIN("",TRUE,H_unit[[#This Row],[Exact]],H_unit[[#This Row],[Exact+n]],H_unit[[#This Row],[Copilot]])</f>
        <v>Kuusamo</v>
      </c>
      <c r="O825" s="246" t="str">
        <f>_xlfn.XLOOKUP(H_unit[[#This Row],[Municipality]],Municipality[Municipality],Municipality[Model],"")</f>
        <v>North</v>
      </c>
      <c r="P825" s="236"/>
    </row>
    <row r="826" spans="1:16">
      <c r="A826" s="238" t="s">
        <v>1498</v>
      </c>
      <c r="B826" s="238" t="s">
        <v>1502</v>
      </c>
      <c r="C826" s="240" t="str" cm="1">
        <f t="array" ref="C826">" "&amp;LOWER(_xlfn.REDUCE(H_unit[[#This Row],[Company]]&amp;" "&amp;H_unit[[#This Row],[Unit]],{",",".","(",")","/"},_xlfn.LAMBDA(_xlpm.txt,_xlpm.delim,SUBSTITUTE(_xlpm.txt,_xlpm.delim," "))))&amp;" "</f>
        <v xml:space="preserve"> etelä-savon energia oy otava </v>
      </c>
      <c r="D826" s="242">
        <v>1994</v>
      </c>
      <c r="E826" s="243">
        <v>0.7</v>
      </c>
      <c r="F826" s="243"/>
      <c r="G826" s="247"/>
      <c r="H826" s="267" t="s">
        <v>1430</v>
      </c>
      <c r="I826" s="248" t="s">
        <v>1141</v>
      </c>
      <c r="J826" s="246" t="str" cm="1">
        <f t="array" ref="J826">_xlfn.XLOOKUP(TRUE,ISNUMBER(SEARCH(" "&amp;Municipality[Municipality]&amp;" ",H_unit[[#This Row],[Info string]])),Municipality[Municipality],"")</f>
        <v/>
      </c>
      <c r="K826" s="246" t="str" cm="1">
        <f t="array" ref="K826">IF(H_unit[[#This Row],[Exact]]&lt;&gt;"","",_xlfn.XLOOKUP(TRUE,ISNUMBER(SEARCH(" "&amp;Municipality[Municipality]&amp;"n ",H_unit[[#This Row],[Info string]])),Municipality[Municipality],""))</f>
        <v/>
      </c>
      <c r="L826" s="246" t="s">
        <v>2761</v>
      </c>
      <c r="M826" s="244" t="s">
        <v>2893</v>
      </c>
      <c r="N826" s="246" t="str">
        <f>_xlfn.TEXTJOIN("",TRUE,H_unit[[#This Row],[Exact]],H_unit[[#This Row],[Exact+n]],H_unit[[#This Row],[Copilot]])</f>
        <v>Mikkeli</v>
      </c>
      <c r="O826" s="246" t="str">
        <f>_xlfn.XLOOKUP(H_unit[[#This Row],[Municipality]],Municipality[Municipality],Municipality[Model],"")</f>
        <v>East</v>
      </c>
      <c r="P826" s="236"/>
    </row>
    <row r="827" spans="1:16">
      <c r="A827" s="238" t="s">
        <v>2094</v>
      </c>
      <c r="B827" s="238" t="s">
        <v>2100</v>
      </c>
      <c r="C827" s="240" t="str" cm="1">
        <f t="array" ref="C827">" "&amp;LOWER(_xlfn.REDUCE(H_unit[[#This Row],[Company]]&amp;" "&amp;H_unit[[#This Row],[Unit]],{",",".","(",")","/"},_xlfn.LAMBDA(_xlpm.txt,_xlpm.delim,SUBSTITUTE(_xlpm.txt,_xlpm.delim," "))))&amp;" "</f>
        <v xml:space="preserve"> saarijärven kaukolämpö oy absorptiolämpöpumppu </v>
      </c>
      <c r="D827" s="242">
        <v>1994</v>
      </c>
      <c r="E827" s="243">
        <v>0.7</v>
      </c>
      <c r="F827" s="243"/>
      <c r="G827" s="247"/>
      <c r="H827" s="267" t="s">
        <v>1417</v>
      </c>
      <c r="I827" s="248" t="s">
        <v>1443</v>
      </c>
      <c r="J827" s="246" t="str" cm="1">
        <f t="array" ref="J827">_xlfn.XLOOKUP(TRUE,ISNUMBER(SEARCH(" "&amp;Municipality[Municipality]&amp;" ",H_unit[[#This Row],[Info string]])),Municipality[Municipality],"")</f>
        <v/>
      </c>
      <c r="K827" s="246" t="str" cm="1">
        <f t="array" ref="K827">IF(H_unit[[#This Row],[Exact]]&lt;&gt;"","",_xlfn.XLOOKUP(TRUE,ISNUMBER(SEARCH(" "&amp;Municipality[Municipality]&amp;"n ",H_unit[[#This Row],[Info string]])),Municipality[Municipality],""))</f>
        <v/>
      </c>
      <c r="L827" s="246" t="s">
        <v>1680</v>
      </c>
      <c r="M827" s="244" t="s">
        <v>2912</v>
      </c>
      <c r="N827" s="246" t="str">
        <f>_xlfn.TEXTJOIN("",TRUE,H_unit[[#This Row],[Exact]],H_unit[[#This Row],[Exact+n]],H_unit[[#This Row],[Copilot]])</f>
        <v>Saarijärvi</v>
      </c>
      <c r="O827" s="246" t="str">
        <f>_xlfn.XLOOKUP(H_unit[[#This Row],[Municipality]],Municipality[Municipality],Municipality[Model],"")</f>
        <v>Center</v>
      </c>
      <c r="P827" s="236"/>
    </row>
    <row r="828" spans="1:16">
      <c r="A828" s="238" t="s">
        <v>2280</v>
      </c>
      <c r="B828" s="238" t="s">
        <v>2281</v>
      </c>
      <c r="C828" s="240" t="str" cm="1">
        <f t="array" ref="C828">" "&amp;LOWER(_xlfn.REDUCE(H_unit[[#This Row],[Company]]&amp;" "&amp;H_unit[[#This Row],[Unit]],{",",".","(",")","/"},_xlfn.LAMBDA(_xlpm.txt,_xlpm.delim,SUBSTITUTE(_xlpm.txt,_xlpm.delim," "))))&amp;" "</f>
        <v xml:space="preserve"> hake rissanen  kuopio riistaveden lämpölaitos </v>
      </c>
      <c r="D828" s="242">
        <v>2002</v>
      </c>
      <c r="E828" s="243">
        <v>0.7</v>
      </c>
      <c r="F828" s="243"/>
      <c r="G828" s="247"/>
      <c r="H828" s="267" t="s">
        <v>1423</v>
      </c>
      <c r="I828" s="248" t="s">
        <v>1143</v>
      </c>
      <c r="J828" s="246" t="str" cm="1">
        <f t="array" ref="J828">_xlfn.XLOOKUP(TRUE,ISNUMBER(SEARCH(" "&amp;Municipality[Municipality]&amp;" ",H_unit[[#This Row],[Info string]])),Municipality[Municipality],"")</f>
        <v>Kuopio</v>
      </c>
      <c r="K828" s="246" t="str" cm="1">
        <f t="array" ref="K828">IF(H_unit[[#This Row],[Exact]]&lt;&gt;"","",_xlfn.XLOOKUP(TRUE,ISNUMBER(SEARCH(" "&amp;Municipality[Municipality]&amp;"n ",H_unit[[#This Row],[Info string]])),Municipality[Municipality],""))</f>
        <v/>
      </c>
      <c r="L828" s="246"/>
      <c r="M828" s="244"/>
      <c r="N828" s="246" t="str">
        <f>_xlfn.TEXTJOIN("",TRUE,H_unit[[#This Row],[Exact]],H_unit[[#This Row],[Exact+n]],H_unit[[#This Row],[Copilot]])</f>
        <v>Kuopio</v>
      </c>
      <c r="O828" s="246" t="str">
        <f>_xlfn.XLOOKUP(H_unit[[#This Row],[Municipality]],Municipality[Municipality],Municipality[Model],"")</f>
        <v>East</v>
      </c>
      <c r="P828" s="236"/>
    </row>
    <row r="829" spans="1:16">
      <c r="A829" s="238" t="s">
        <v>1624</v>
      </c>
      <c r="B829" s="238" t="s">
        <v>1628</v>
      </c>
      <c r="C829" s="240" t="str" cm="1">
        <f t="array" ref="C829">" "&amp;LOWER(_xlfn.REDUCE(H_unit[[#This Row],[Company]]&amp;" "&amp;H_unit[[#This Row],[Unit]],{",",".","(",")","/"},_xlfn.LAMBDA(_xlpm.txt,_xlpm.delim,SUBSTITUTE(_xlpm.txt,_xlpm.delim," "))))&amp;" "</f>
        <v xml:space="preserve"> keuruun lämpövoima oy punojantie </v>
      </c>
      <c r="D829" s="242">
        <v>2008</v>
      </c>
      <c r="E829" s="243">
        <v>0.7</v>
      </c>
      <c r="F829" s="243"/>
      <c r="G829" s="247"/>
      <c r="H829" s="267" t="s">
        <v>1436</v>
      </c>
      <c r="I829" s="248" t="s">
        <v>1143</v>
      </c>
      <c r="J829" s="246" t="str" cm="1">
        <f t="array" ref="J829">_xlfn.XLOOKUP(TRUE,ISNUMBER(SEARCH(" "&amp;Municipality[Municipality]&amp;" ",H_unit[[#This Row],[Info string]])),Municipality[Municipality],"")</f>
        <v/>
      </c>
      <c r="K829" s="246" t="str" cm="1">
        <f t="array" ref="K829">IF(H_unit[[#This Row],[Exact]]&lt;&gt;"","",_xlfn.XLOOKUP(TRUE,ISNUMBER(SEARCH(" "&amp;Municipality[Municipality]&amp;"n ",H_unit[[#This Row],[Info string]])),Municipality[Municipality],""))</f>
        <v>Keuruu</v>
      </c>
      <c r="L829" s="246"/>
      <c r="M829" s="244"/>
      <c r="N829" s="246" t="str">
        <f>_xlfn.TEXTJOIN("",TRUE,H_unit[[#This Row],[Exact]],H_unit[[#This Row],[Exact+n]],H_unit[[#This Row],[Copilot]])</f>
        <v>Keuruu</v>
      </c>
      <c r="O829" s="246" t="str">
        <f>_xlfn.XLOOKUP(H_unit[[#This Row],[Municipality]],Municipality[Municipality],Municipality[Model],"")</f>
        <v>Center</v>
      </c>
      <c r="P829" s="236"/>
    </row>
    <row r="830" spans="1:16">
      <c r="A830" s="238" t="s">
        <v>1814</v>
      </c>
      <c r="B830" s="238" t="s">
        <v>1820</v>
      </c>
      <c r="C830" s="240" t="str" cm="1">
        <f t="array" ref="C830">" "&amp;LOWER(_xlfn.REDUCE(H_unit[[#This Row],[Company]]&amp;" "&amp;H_unit[[#This Row],[Unit]],{",",".","(",")","/"},_xlfn.LAMBDA(_xlpm.txt,_xlpm.delim,SUBSTITUTE(_xlpm.txt,_xlpm.delim," "))))&amp;" "</f>
        <v xml:space="preserve"> lohjan energiahuolto oy loher nummen hakelämpölaitos </v>
      </c>
      <c r="D830" s="242">
        <v>2010</v>
      </c>
      <c r="E830" s="243">
        <v>0.7</v>
      </c>
      <c r="F830" s="243"/>
      <c r="G830" s="247"/>
      <c r="H830" s="267" t="s">
        <v>1423</v>
      </c>
      <c r="I830" s="248" t="s">
        <v>1143</v>
      </c>
      <c r="J830" s="246" t="str" cm="1">
        <f t="array" ref="J830">_xlfn.XLOOKUP(TRUE,ISNUMBER(SEARCH(" "&amp;Municipality[Municipality]&amp;" ",H_unit[[#This Row],[Info string]])),Municipality[Municipality],"")</f>
        <v/>
      </c>
      <c r="K830" s="246" t="str" cm="1">
        <f t="array" ref="K830">IF(H_unit[[#This Row],[Exact]]&lt;&gt;"","",_xlfn.XLOOKUP(TRUE,ISNUMBER(SEARCH(" "&amp;Municipality[Municipality]&amp;"n ",H_unit[[#This Row],[Info string]])),Municipality[Municipality],""))</f>
        <v>Lohja</v>
      </c>
      <c r="L830" s="246"/>
      <c r="M830" s="244"/>
      <c r="N830" s="246" t="str">
        <f>_xlfn.TEXTJOIN("",TRUE,H_unit[[#This Row],[Exact]],H_unit[[#This Row],[Exact+n]],H_unit[[#This Row],[Copilot]])</f>
        <v>Lohja</v>
      </c>
      <c r="O830" s="246" t="str">
        <f>_xlfn.XLOOKUP(H_unit[[#This Row],[Municipality]],Municipality[Municipality],Municipality[Model],"")</f>
        <v>Uusimaa</v>
      </c>
      <c r="P830" s="236"/>
    </row>
    <row r="831" spans="1:16">
      <c r="A831" s="238" t="s">
        <v>2288</v>
      </c>
      <c r="B831" s="238" t="s">
        <v>2289</v>
      </c>
      <c r="C831" s="240" t="str" cm="1">
        <f t="array" ref="C831">" "&amp;LOWER(_xlfn.REDUCE(H_unit[[#This Row],[Company]]&amp;" "&amp;H_unit[[#This Row],[Unit]],{",",".","(",")","/"},_xlfn.LAMBDA(_xlpm.txt,_xlpm.delim,SUBSTITUTE(_xlpm.txt,_xlpm.delim," "))))&amp;" "</f>
        <v xml:space="preserve"> itä-savon lähienergia oy savonranta </v>
      </c>
      <c r="D831" s="242">
        <v>2010</v>
      </c>
      <c r="E831" s="243">
        <v>0.7</v>
      </c>
      <c r="F831" s="243"/>
      <c r="G831" s="247"/>
      <c r="H831" s="267" t="s">
        <v>1423</v>
      </c>
      <c r="I831" s="248" t="s">
        <v>1143</v>
      </c>
      <c r="J831" s="246" t="str" cm="1">
        <f t="array" ref="J831">_xlfn.XLOOKUP(TRUE,ISNUMBER(SEARCH(" "&amp;Municipality[Municipality]&amp;" ",H_unit[[#This Row],[Info string]])),Municipality[Municipality],"")</f>
        <v>Savonranta</v>
      </c>
      <c r="K831" s="246" t="str" cm="1">
        <f t="array" ref="K831">IF(H_unit[[#This Row],[Exact]]&lt;&gt;"","",_xlfn.XLOOKUP(TRUE,ISNUMBER(SEARCH(" "&amp;Municipality[Municipality]&amp;"n ",H_unit[[#This Row],[Info string]])),Municipality[Municipality],""))</f>
        <v/>
      </c>
      <c r="L831" s="246"/>
      <c r="M831" s="244"/>
      <c r="N831" s="246" t="str">
        <f>_xlfn.TEXTJOIN("",TRUE,H_unit[[#This Row],[Exact]],H_unit[[#This Row],[Exact+n]],H_unit[[#This Row],[Copilot]])</f>
        <v>Savonranta</v>
      </c>
      <c r="O831" s="246" t="str">
        <f>_xlfn.XLOOKUP(H_unit[[#This Row],[Municipality]],Municipality[Municipality],Municipality[Model],"")</f>
        <v>East</v>
      </c>
      <c r="P831" s="236"/>
    </row>
    <row r="832" spans="1:16">
      <c r="A832" s="238" t="s">
        <v>1814</v>
      </c>
      <c r="B832" s="238" t="s">
        <v>1819</v>
      </c>
      <c r="C832" s="240" t="str" cm="1">
        <f t="array" ref="C832">" "&amp;LOWER(_xlfn.REDUCE(H_unit[[#This Row],[Company]]&amp;" "&amp;H_unit[[#This Row],[Unit]],{",",".","(",")","/"},_xlfn.LAMBDA(_xlpm.txt,_xlpm.delim,SUBSTITUTE(_xlpm.txt,_xlpm.delim," "))))&amp;" "</f>
        <v xml:space="preserve"> lohjan energiahuolto oy loher pusulan hakelämpölaitos </v>
      </c>
      <c r="D832" s="242">
        <v>2012</v>
      </c>
      <c r="E832" s="243">
        <v>0.7</v>
      </c>
      <c r="F832" s="243"/>
      <c r="G832" s="247"/>
      <c r="H832" s="267" t="s">
        <v>1423</v>
      </c>
      <c r="I832" s="248" t="s">
        <v>1143</v>
      </c>
      <c r="J832" s="246" t="str" cm="1">
        <f t="array" ref="J832">_xlfn.XLOOKUP(TRUE,ISNUMBER(SEARCH(" "&amp;Municipality[Municipality]&amp;" ",H_unit[[#This Row],[Info string]])),Municipality[Municipality],"")</f>
        <v/>
      </c>
      <c r="K832" s="246" t="str" cm="1">
        <f t="array" ref="K832">IF(H_unit[[#This Row],[Exact]]&lt;&gt;"","",_xlfn.XLOOKUP(TRUE,ISNUMBER(SEARCH(" "&amp;Municipality[Municipality]&amp;"n ",H_unit[[#This Row],[Info string]])),Municipality[Municipality],""))</f>
        <v>Lohja</v>
      </c>
      <c r="L832" s="246"/>
      <c r="M832" s="244"/>
      <c r="N832" s="246" t="str">
        <f>_xlfn.TEXTJOIN("",TRUE,H_unit[[#This Row],[Exact]],H_unit[[#This Row],[Exact+n]],H_unit[[#This Row],[Copilot]])</f>
        <v>Lohja</v>
      </c>
      <c r="O832" s="246" t="str">
        <f>_xlfn.XLOOKUP(H_unit[[#This Row],[Municipality]],Municipality[Municipality],Municipality[Model],"")</f>
        <v>Uusimaa</v>
      </c>
      <c r="P832" s="236"/>
    </row>
    <row r="833" spans="1:16">
      <c r="A833" s="238" t="s">
        <v>1963</v>
      </c>
      <c r="B833" s="238" t="s">
        <v>1970</v>
      </c>
      <c r="C833" s="240" t="str" cm="1">
        <f t="array" ref="C833">" "&amp;LOWER(_xlfn.REDUCE(H_unit[[#This Row],[Company]]&amp;" "&amp;H_unit[[#This Row],[Unit]],{",",".","(",")","/"},_xlfn.LAMBDA(_xlpm.txt,_xlpm.delim,SUBSTITUTE(_xlpm.txt,_xlpm.delim," "))))&amp;" "</f>
        <v xml:space="preserve"> nivos vesi ja lämpö oy  mäntsälä saari pellettilaitos </v>
      </c>
      <c r="D833" s="242">
        <v>2014</v>
      </c>
      <c r="E833" s="243">
        <v>0.7</v>
      </c>
      <c r="F833" s="243"/>
      <c r="G833" s="247"/>
      <c r="H833" s="267" t="s">
        <v>1436</v>
      </c>
      <c r="I833" s="248" t="s">
        <v>1143</v>
      </c>
      <c r="J833" s="246" t="str" cm="1">
        <f t="array" ref="J833">_xlfn.XLOOKUP(TRUE,ISNUMBER(SEARCH(" "&amp;Municipality[Municipality]&amp;" ",H_unit[[#This Row],[Info string]])),Municipality[Municipality],"")</f>
        <v>Mäntsälä</v>
      </c>
      <c r="K833" s="246" t="str" cm="1">
        <f t="array" ref="K833">IF(H_unit[[#This Row],[Exact]]&lt;&gt;"","",_xlfn.XLOOKUP(TRUE,ISNUMBER(SEARCH(" "&amp;Municipality[Municipality]&amp;"n ",H_unit[[#This Row],[Info string]])),Municipality[Municipality],""))</f>
        <v/>
      </c>
      <c r="L833" s="246"/>
      <c r="M833" s="244"/>
      <c r="N833" s="246" t="str">
        <f>_xlfn.TEXTJOIN("",TRUE,H_unit[[#This Row],[Exact]],H_unit[[#This Row],[Exact+n]],H_unit[[#This Row],[Copilot]])</f>
        <v>Mäntsälä</v>
      </c>
      <c r="O833" s="246" t="str">
        <f>_xlfn.XLOOKUP(H_unit[[#This Row],[Municipality]],Municipality[Municipality],Municipality[Model],"")</f>
        <v>Uusimaa</v>
      </c>
      <c r="P833" s="236"/>
    </row>
    <row r="834" spans="1:16">
      <c r="A834" s="238" t="s">
        <v>1963</v>
      </c>
      <c r="B834" s="238" t="s">
        <v>1964</v>
      </c>
      <c r="C834" s="240" t="str" cm="1">
        <f t="array" ref="C834">" "&amp;LOWER(_xlfn.REDUCE(H_unit[[#This Row],[Company]]&amp;" "&amp;H_unit[[#This Row],[Unit]],{",",".","(",")","/"},_xlfn.LAMBDA(_xlpm.txt,_xlpm.delim,SUBSTITUTE(_xlpm.txt,_xlpm.delim," "))))&amp;" "</f>
        <v xml:space="preserve"> nivos vesi ja lämpö oy  mäntsälä ruusutarhat a </v>
      </c>
      <c r="D834" s="242">
        <v>2010</v>
      </c>
      <c r="E834" s="243">
        <v>0.6</v>
      </c>
      <c r="F834" s="243"/>
      <c r="G834" s="247"/>
      <c r="H834" s="267" t="s">
        <v>1453</v>
      </c>
      <c r="I834" s="248" t="s">
        <v>1142</v>
      </c>
      <c r="J834" s="246" t="str" cm="1">
        <f t="array" ref="J834">_xlfn.XLOOKUP(TRUE,ISNUMBER(SEARCH(" "&amp;Municipality[Municipality]&amp;" ",H_unit[[#This Row],[Info string]])),Municipality[Municipality],"")</f>
        <v>Mäntsälä</v>
      </c>
      <c r="K834" s="246" t="str" cm="1">
        <f t="array" ref="K834">IF(H_unit[[#This Row],[Exact]]&lt;&gt;"","",_xlfn.XLOOKUP(TRUE,ISNUMBER(SEARCH(" "&amp;Municipality[Municipality]&amp;"n ",H_unit[[#This Row],[Info string]])),Municipality[Municipality],""))</f>
        <v/>
      </c>
      <c r="L834" s="246"/>
      <c r="M834" s="244"/>
      <c r="N834" s="246" t="str">
        <f>_xlfn.TEXTJOIN("",TRUE,H_unit[[#This Row],[Exact]],H_unit[[#This Row],[Exact+n]],H_unit[[#This Row],[Copilot]])</f>
        <v>Mäntsälä</v>
      </c>
      <c r="O834" s="246" t="str">
        <f>_xlfn.XLOOKUP(H_unit[[#This Row],[Municipality]],Municipality[Municipality],Municipality[Model],"")</f>
        <v>Uusimaa</v>
      </c>
      <c r="P834" s="236"/>
    </row>
    <row r="835" spans="1:16">
      <c r="A835" s="238" t="s">
        <v>1543</v>
      </c>
      <c r="B835" s="238" t="s">
        <v>1547</v>
      </c>
      <c r="C835" s="240" t="str" cm="1">
        <f t="array" ref="C835">" "&amp;LOWER(_xlfn.REDUCE(H_unit[[#This Row],[Company]]&amp;" "&amp;H_unit[[#This Row],[Unit]],{",",".","(",")","/"},_xlfn.LAMBDA(_xlpm.txt,_xlpm.delim,SUBSTITUTE(_xlpm.txt,_xlpm.delim," "))))&amp;" "</f>
        <v xml:space="preserve"> inergia lämpö oy liinahamari </v>
      </c>
      <c r="D835" s="242">
        <v>2017</v>
      </c>
      <c r="E835" s="243">
        <v>0.6</v>
      </c>
      <c r="F835" s="243"/>
      <c r="G835" s="247"/>
      <c r="H835" s="267" t="s">
        <v>1436</v>
      </c>
      <c r="I835" s="248" t="s">
        <v>1143</v>
      </c>
      <c r="J835" s="246" t="str" cm="1">
        <f t="array" ref="J835">_xlfn.XLOOKUP(TRUE,ISNUMBER(SEARCH(" "&amp;Municipality[Municipality]&amp;" ",H_unit[[#This Row],[Info string]])),Municipality[Municipality],"")</f>
        <v/>
      </c>
      <c r="K835" s="246" t="str" cm="1">
        <f t="array" ref="K835">IF(H_unit[[#This Row],[Exact]]&lt;&gt;"","",_xlfn.XLOOKUP(TRUE,ISNUMBER(SEARCH(" "&amp;Municipality[Municipality]&amp;"n ",H_unit[[#This Row],[Info string]])),Municipality[Municipality],""))</f>
        <v/>
      </c>
      <c r="L835" s="246" t="s">
        <v>1546</v>
      </c>
      <c r="M835" s="244" t="s">
        <v>2913</v>
      </c>
      <c r="N835" s="246" t="str">
        <f>_xlfn.TEXTJOIN("",TRUE,H_unit[[#This Row],[Exact]],H_unit[[#This Row],[Exact+n]],H_unit[[#This Row],[Copilot]])</f>
        <v>Inari</v>
      </c>
      <c r="O835" s="246" t="str">
        <f>_xlfn.XLOOKUP(H_unit[[#This Row],[Municipality]],Municipality[Municipality],Municipality[Model],"")</f>
        <v>North</v>
      </c>
      <c r="P835" s="236"/>
    </row>
    <row r="836" spans="1:16">
      <c r="A836" s="238" t="s">
        <v>1678</v>
      </c>
      <c r="B836" s="238" t="s">
        <v>1687</v>
      </c>
      <c r="C836" s="240" t="str" cm="1">
        <f t="array" ref="C836">" "&amp;LOWER(_xlfn.REDUCE(H_unit[[#This Row],[Company]]&amp;" "&amp;H_unit[[#This Row],[Unit]],{",",".","(",")","/"},_xlfn.LAMBDA(_xlpm.txt,_xlpm.delim,SUBSTITUTE(_xlpm.txt,_xlpm.delim," "))))&amp;" "</f>
        <v xml:space="preserve"> kuopion energia oy museo-kirjaston chc </v>
      </c>
      <c r="D836" s="242">
        <v>2019</v>
      </c>
      <c r="E836" s="243">
        <v>0.6</v>
      </c>
      <c r="F836" s="243"/>
      <c r="G836" s="247"/>
      <c r="H836" s="267" t="s">
        <v>1417</v>
      </c>
      <c r="I836" s="248" t="s">
        <v>1144</v>
      </c>
      <c r="J836" s="246" t="str" cm="1">
        <f t="array" ref="J836">_xlfn.XLOOKUP(TRUE,ISNUMBER(SEARCH(" "&amp;Municipality[Municipality]&amp;" ",H_unit[[#This Row],[Info string]])),Municipality[Municipality],"")</f>
        <v/>
      </c>
      <c r="K836" s="246" t="str" cm="1">
        <f t="array" ref="K836">IF(H_unit[[#This Row],[Exact]]&lt;&gt;"","",_xlfn.XLOOKUP(TRUE,ISNUMBER(SEARCH(" "&amp;Municipality[Municipality]&amp;"n ",H_unit[[#This Row],[Info string]])),Municipality[Municipality],""))</f>
        <v>Kuopio</v>
      </c>
      <c r="L836" s="246"/>
      <c r="M836" s="244"/>
      <c r="N836" s="246" t="str">
        <f>_xlfn.TEXTJOIN("",TRUE,H_unit[[#This Row],[Exact]],H_unit[[#This Row],[Exact+n]],H_unit[[#This Row],[Copilot]])</f>
        <v>Kuopio</v>
      </c>
      <c r="O836" s="246" t="str">
        <f>_xlfn.XLOOKUP(H_unit[[#This Row],[Municipality]],Municipality[Municipality],Municipality[Model],"")</f>
        <v>East</v>
      </c>
      <c r="P836" s="236"/>
    </row>
    <row r="837" spans="1:16">
      <c r="A837" s="238" t="s">
        <v>1558</v>
      </c>
      <c r="B837" s="238" t="s">
        <v>912</v>
      </c>
      <c r="C837" s="240" t="str" cm="1">
        <f t="array" ref="C837">" "&amp;LOWER(_xlfn.REDUCE(H_unit[[#This Row],[Company]]&amp;" "&amp;H_unit[[#This Row],[Unit]],{",",".","(",")","/"},_xlfn.LAMBDA(_xlpm.txt,_xlpm.delim,SUBSTITUTE(_xlpm.txt,_xlpm.delim," "))))&amp;" "</f>
        <v xml:space="preserve"> jämsän aluelämpö oy kaipola </v>
      </c>
      <c r="D837" s="242">
        <v>2022</v>
      </c>
      <c r="E837" s="243">
        <v>0.6</v>
      </c>
      <c r="F837" s="243"/>
      <c r="G837" s="247"/>
      <c r="H837" s="267" t="s">
        <v>1417</v>
      </c>
      <c r="I837" s="248" t="s">
        <v>1144</v>
      </c>
      <c r="J837" s="246" t="str" cm="1">
        <f t="array" ref="J837">_xlfn.XLOOKUP(TRUE,ISNUMBER(SEARCH(" "&amp;Municipality[Municipality]&amp;" ",H_unit[[#This Row],[Info string]])),Municipality[Municipality],"")</f>
        <v/>
      </c>
      <c r="K837" s="246" t="str" cm="1">
        <f t="array" ref="K837">IF(H_unit[[#This Row],[Exact]]&lt;&gt;"","",_xlfn.XLOOKUP(TRUE,ISNUMBER(SEARCH(" "&amp;Municipality[Municipality]&amp;"n ",H_unit[[#This Row],[Info string]])),Municipality[Municipality],""))</f>
        <v>Jämsä</v>
      </c>
      <c r="L837" s="246"/>
      <c r="M837" s="244"/>
      <c r="N837" s="246" t="str">
        <f>_xlfn.TEXTJOIN("",TRUE,H_unit[[#This Row],[Exact]],H_unit[[#This Row],[Exact+n]],H_unit[[#This Row],[Copilot]])</f>
        <v>Jämsä</v>
      </c>
      <c r="O837" s="246" t="str">
        <f>_xlfn.XLOOKUP(H_unit[[#This Row],[Municipality]],Municipality[Municipality],Municipality[Model],"")</f>
        <v>Center</v>
      </c>
      <c r="P837" s="236"/>
    </row>
    <row r="838" spans="1:16">
      <c r="A838" s="238" t="s">
        <v>1767</v>
      </c>
      <c r="B838" s="238" t="s">
        <v>1768</v>
      </c>
      <c r="C838" s="240" t="str" cm="1">
        <f t="array" ref="C838">" "&amp;LOWER(_xlfn.REDUCE(H_unit[[#This Row],[Company]]&amp;" "&amp;H_unit[[#This Row],[Unit]],{",",".","(",")","/"},_xlfn.LAMBDA(_xlpm.txt,_xlpm.delim,SUBSTITUTE(_xlpm.txt,_xlpm.delim," "))))&amp;" "</f>
        <v xml:space="preserve"> lempeä lämpö oy  pertunmaa paloaseman lämpökeskus </v>
      </c>
      <c r="D838" s="242">
        <v>2007</v>
      </c>
      <c r="E838" s="243">
        <v>0.5</v>
      </c>
      <c r="F838" s="243"/>
      <c r="G838" s="247"/>
      <c r="H838" s="267" t="s">
        <v>1430</v>
      </c>
      <c r="I838" s="248" t="s">
        <v>1141</v>
      </c>
      <c r="J838" s="246" t="str" cm="1">
        <f t="array" ref="J838">_xlfn.XLOOKUP(TRUE,ISNUMBER(SEARCH(" "&amp;Municipality[Municipality]&amp;" ",H_unit[[#This Row],[Info string]])),Municipality[Municipality],"")</f>
        <v>Pertunmaa</v>
      </c>
      <c r="K838" s="246" t="str" cm="1">
        <f t="array" ref="K838">IF(H_unit[[#This Row],[Exact]]&lt;&gt;"","",_xlfn.XLOOKUP(TRUE,ISNUMBER(SEARCH(" "&amp;Municipality[Municipality]&amp;"n ",H_unit[[#This Row],[Info string]])),Municipality[Municipality],""))</f>
        <v/>
      </c>
      <c r="L838" s="246"/>
      <c r="M838" s="244"/>
      <c r="N838" s="246" t="str">
        <f>_xlfn.TEXTJOIN("",TRUE,H_unit[[#This Row],[Exact]],H_unit[[#This Row],[Exact+n]],H_unit[[#This Row],[Copilot]])</f>
        <v>Pertunmaa</v>
      </c>
      <c r="O838" s="246" t="str">
        <f>_xlfn.XLOOKUP(H_unit[[#This Row],[Municipality]],Municipality[Municipality],Municipality[Model],"")</f>
        <v>East</v>
      </c>
      <c r="P838" s="236"/>
    </row>
    <row r="839" spans="1:16">
      <c r="A839" s="238" t="s">
        <v>1814</v>
      </c>
      <c r="B839" s="238" t="s">
        <v>1816</v>
      </c>
      <c r="C839" s="240" t="str" cm="1">
        <f t="array" ref="C839">" "&amp;LOWER(_xlfn.REDUCE(H_unit[[#This Row],[Company]]&amp;" "&amp;H_unit[[#This Row],[Unit]],{",",".","(",")","/"},_xlfn.LAMBDA(_xlpm.txt,_xlpm.delim,SUBSTITUTE(_xlpm.txt,_xlpm.delim," "))))&amp;" "</f>
        <v xml:space="preserve"> lohjan energiahuolto oy loher sammatin hakelämpölaitos </v>
      </c>
      <c r="D839" s="242">
        <v>2008</v>
      </c>
      <c r="E839" s="243">
        <v>0.5</v>
      </c>
      <c r="F839" s="243"/>
      <c r="G839" s="247"/>
      <c r="H839" s="267" t="s">
        <v>1423</v>
      </c>
      <c r="I839" s="248" t="s">
        <v>1143</v>
      </c>
      <c r="J839" s="246" t="str" cm="1">
        <f t="array" ref="J839">_xlfn.XLOOKUP(TRUE,ISNUMBER(SEARCH(" "&amp;Municipality[Municipality]&amp;" ",H_unit[[#This Row],[Info string]])),Municipality[Municipality],"")</f>
        <v/>
      </c>
      <c r="K839" s="246" t="str" cm="1">
        <f t="array" ref="K839">IF(H_unit[[#This Row],[Exact]]&lt;&gt;"","",_xlfn.XLOOKUP(TRUE,ISNUMBER(SEARCH(" "&amp;Municipality[Municipality]&amp;"n ",H_unit[[#This Row],[Info string]])),Municipality[Municipality],""))</f>
        <v>Lohja</v>
      </c>
      <c r="L839" s="246"/>
      <c r="M839" s="244"/>
      <c r="N839" s="246" t="str">
        <f>_xlfn.TEXTJOIN("",TRUE,H_unit[[#This Row],[Exact]],H_unit[[#This Row],[Exact+n]],H_unit[[#This Row],[Copilot]])</f>
        <v>Lohja</v>
      </c>
      <c r="O839" s="246" t="str">
        <f>_xlfn.XLOOKUP(H_unit[[#This Row],[Municipality]],Municipality[Municipality],Municipality[Model],"")</f>
        <v>Uusimaa</v>
      </c>
      <c r="P839" s="236"/>
    </row>
    <row r="840" spans="1:16">
      <c r="A840" s="238" t="s">
        <v>1963</v>
      </c>
      <c r="B840" s="238" t="s">
        <v>1969</v>
      </c>
      <c r="C840" s="240" t="str" cm="1">
        <f t="array" ref="C840">" "&amp;LOWER(_xlfn.REDUCE(H_unit[[#This Row],[Company]]&amp;" "&amp;H_unit[[#This Row],[Unit]],{",",".","(",")","/"},_xlfn.LAMBDA(_xlpm.txt,_xlpm.delim,SUBSTITUTE(_xlpm.txt,_xlpm.delim," "))))&amp;" "</f>
        <v xml:space="preserve"> nivos vesi ja lämpö oy  mäntsälä numminen </v>
      </c>
      <c r="D840" s="242">
        <v>2013</v>
      </c>
      <c r="E840" s="243">
        <v>0.5</v>
      </c>
      <c r="F840" s="243"/>
      <c r="G840" s="247"/>
      <c r="H840" s="267" t="s">
        <v>1436</v>
      </c>
      <c r="I840" s="248" t="s">
        <v>1143</v>
      </c>
      <c r="J840" s="246" t="str" cm="1">
        <f t="array" ref="J840">_xlfn.XLOOKUP(TRUE,ISNUMBER(SEARCH(" "&amp;Municipality[Municipality]&amp;" ",H_unit[[#This Row],[Info string]])),Municipality[Municipality],"")</f>
        <v>Mäntsälä</v>
      </c>
      <c r="K840" s="246" t="str" cm="1">
        <f t="array" ref="K840">IF(H_unit[[#This Row],[Exact]]&lt;&gt;"","",_xlfn.XLOOKUP(TRUE,ISNUMBER(SEARCH(" "&amp;Municipality[Municipality]&amp;"n ",H_unit[[#This Row],[Info string]])),Municipality[Municipality],""))</f>
        <v/>
      </c>
      <c r="L840" s="246"/>
      <c r="M840" s="244"/>
      <c r="N840" s="246" t="str">
        <f>_xlfn.TEXTJOIN("",TRUE,H_unit[[#This Row],[Exact]],H_unit[[#This Row],[Exact+n]],H_unit[[#This Row],[Copilot]])</f>
        <v>Mäntsälä</v>
      </c>
      <c r="O840" s="246" t="str">
        <f>_xlfn.XLOOKUP(H_unit[[#This Row],[Municipality]],Municipality[Municipality],Municipality[Model],"")</f>
        <v>Uusimaa</v>
      </c>
      <c r="P840" s="236"/>
    </row>
    <row r="841" spans="1:16">
      <c r="A841" s="238" t="s">
        <v>2179</v>
      </c>
      <c r="B841" s="238" t="s">
        <v>2184</v>
      </c>
      <c r="C841" s="240" t="str" cm="1">
        <f t="array" ref="C841">" "&amp;LOWER(_xlfn.REDUCE(H_unit[[#This Row],[Company]]&amp;" "&amp;H_unit[[#This Row],[Unit]],{",",".","(",")","/"},_xlfn.LAMBDA(_xlpm.txt,_xlpm.delim,SUBSTITUTE(_xlpm.txt,_xlpm.delim," "))))&amp;" "</f>
        <v xml:space="preserve"> teuvan kaukolämpö oy pok 0 5 mw </v>
      </c>
      <c r="D841" s="242">
        <v>2016</v>
      </c>
      <c r="E841" s="243">
        <v>0.5</v>
      </c>
      <c r="F841" s="243"/>
      <c r="G841" s="247"/>
      <c r="H841" s="267" t="s">
        <v>1430</v>
      </c>
      <c r="I841" s="248" t="s">
        <v>1141</v>
      </c>
      <c r="J841" s="246" t="str" cm="1">
        <f t="array" ref="J841">_xlfn.XLOOKUP(TRUE,ISNUMBER(SEARCH(" "&amp;Municipality[Municipality]&amp;" ",H_unit[[#This Row],[Info string]])),Municipality[Municipality],"")</f>
        <v/>
      </c>
      <c r="K841" s="246" t="str" cm="1">
        <f t="array" ref="K841">IF(H_unit[[#This Row],[Exact]]&lt;&gt;"","",_xlfn.XLOOKUP(TRUE,ISNUMBER(SEARCH(" "&amp;Municipality[Municipality]&amp;"n ",H_unit[[#This Row],[Info string]])),Municipality[Municipality],""))</f>
        <v>Teuva</v>
      </c>
      <c r="L841" s="246"/>
      <c r="M841" s="244"/>
      <c r="N841" s="246" t="str">
        <f>_xlfn.TEXTJOIN("",TRUE,H_unit[[#This Row],[Exact]],H_unit[[#This Row],[Exact+n]],H_unit[[#This Row],[Copilot]])</f>
        <v>Teuva</v>
      </c>
      <c r="O841" s="246" t="str">
        <f>_xlfn.XLOOKUP(H_unit[[#This Row],[Municipality]],Municipality[Municipality],Municipality[Model],"")</f>
        <v>West</v>
      </c>
      <c r="P841" s="236"/>
    </row>
    <row r="842" spans="1:16">
      <c r="A842" s="238" t="s">
        <v>2285</v>
      </c>
      <c r="B842" s="238" t="s">
        <v>2286</v>
      </c>
      <c r="C842" s="240" t="str" cm="1">
        <f t="array" ref="C842">" "&amp;LOWER(_xlfn.REDUCE(H_unit[[#This Row],[Company]]&amp;" "&amp;H_unit[[#This Row],[Unit]],{",",".","(",")","/"},_xlfn.LAMBDA(_xlpm.txt,_xlpm.delim,SUBSTITUTE(_xlpm.txt,_xlpm.delim," "))))&amp;" "</f>
        <v xml:space="preserve"> isape oy keinäsentien lämpökeskus </v>
      </c>
      <c r="D842" s="242">
        <v>2017</v>
      </c>
      <c r="E842" s="243">
        <v>0.5</v>
      </c>
      <c r="F842" s="243"/>
      <c r="G842" s="247"/>
      <c r="H842" s="267" t="s">
        <v>2287</v>
      </c>
      <c r="I842" s="248" t="s">
        <v>1143</v>
      </c>
      <c r="J842" s="246" t="str" cm="1">
        <f t="array" ref="J842">_xlfn.XLOOKUP(TRUE,ISNUMBER(SEARCH(" "&amp;Municipality[Municipality]&amp;" ",H_unit[[#This Row],[Info string]])),Municipality[Municipality],"")</f>
        <v/>
      </c>
      <c r="K842" s="246" t="str" cm="1">
        <f t="array" ref="K842">IF(H_unit[[#This Row],[Exact]]&lt;&gt;"","",_xlfn.XLOOKUP(TRUE,ISNUMBER(SEARCH(" "&amp;Municipality[Municipality]&amp;"n ",H_unit[[#This Row],[Info string]])),Municipality[Municipality],""))</f>
        <v/>
      </c>
      <c r="L842" s="246"/>
      <c r="M842" s="244"/>
      <c r="N842" s="246" t="str">
        <f>_xlfn.TEXTJOIN("",TRUE,H_unit[[#This Row],[Exact]],H_unit[[#This Row],[Exact+n]],H_unit[[#This Row],[Copilot]])</f>
        <v/>
      </c>
      <c r="O842" s="246" t="str">
        <f>_xlfn.XLOOKUP(H_unit[[#This Row],[Municipality]],Municipality[Municipality],Municipality[Model],"")</f>
        <v/>
      </c>
      <c r="P842" s="236"/>
    </row>
    <row r="843" spans="1:16">
      <c r="A843" s="238" t="s">
        <v>1543</v>
      </c>
      <c r="B843" s="238" t="s">
        <v>1548</v>
      </c>
      <c r="C843" s="240" t="str" cm="1">
        <f t="array" ref="C843">" "&amp;LOWER(_xlfn.REDUCE(H_unit[[#This Row],[Company]]&amp;" "&amp;H_unit[[#This Row],[Unit]],{",",".","(",")","/"},_xlfn.LAMBDA(_xlpm.txt,_xlpm.delim,SUBSTITUTE(_xlpm.txt,_xlpm.delim," "))))&amp;" "</f>
        <v xml:space="preserve"> inergia lämpö oy nukkumajoki </v>
      </c>
      <c r="D843" s="242">
        <v>2018</v>
      </c>
      <c r="E843" s="243">
        <v>0.5</v>
      </c>
      <c r="F843" s="243"/>
      <c r="G843" s="247"/>
      <c r="H843" s="267" t="s">
        <v>1423</v>
      </c>
      <c r="I843" s="248" t="s">
        <v>1143</v>
      </c>
      <c r="J843" s="246" t="str" cm="1">
        <f t="array" ref="J843">_xlfn.XLOOKUP(TRUE,ISNUMBER(SEARCH(" "&amp;Municipality[Municipality]&amp;" ",H_unit[[#This Row],[Info string]])),Municipality[Municipality],"")</f>
        <v/>
      </c>
      <c r="K843" s="246" t="str" cm="1">
        <f t="array" ref="K843">IF(H_unit[[#This Row],[Exact]]&lt;&gt;"","",_xlfn.XLOOKUP(TRUE,ISNUMBER(SEARCH(" "&amp;Municipality[Municipality]&amp;"n ",H_unit[[#This Row],[Info string]])),Municipality[Municipality],""))</f>
        <v/>
      </c>
      <c r="L843" s="246" t="s">
        <v>1546</v>
      </c>
      <c r="M843" s="244" t="s">
        <v>2913</v>
      </c>
      <c r="N843" s="246" t="str">
        <f>_xlfn.TEXTJOIN("",TRUE,H_unit[[#This Row],[Exact]],H_unit[[#This Row],[Exact+n]],H_unit[[#This Row],[Copilot]])</f>
        <v>Inari</v>
      </c>
      <c r="O843" s="246" t="str">
        <f>_xlfn.XLOOKUP(H_unit[[#This Row],[Municipality]],Municipality[Municipality],Municipality[Model],"")</f>
        <v>North</v>
      </c>
      <c r="P843" s="236"/>
    </row>
    <row r="844" spans="1:16">
      <c r="A844" s="238" t="s">
        <v>1782</v>
      </c>
      <c r="B844" s="238" t="s">
        <v>1787</v>
      </c>
      <c r="C844" s="240" t="str" cm="1">
        <f t="array" ref="C844">" "&amp;LOWER(_xlfn.REDUCE(H_unit[[#This Row],[Company]]&amp;" "&amp;H_unit[[#This Row],[Unit]],{",",".","(",")","/"},_xlfn.LAMBDA(_xlpm.txt,_xlpm.delim,SUBSTITUTE(_xlpm.txt,_xlpm.delim," "))))&amp;" "</f>
        <v xml:space="preserve"> lempäälän lämpö oy kl-akku </v>
      </c>
      <c r="D844" s="242">
        <v>2022</v>
      </c>
      <c r="E844" s="243">
        <v>0.5</v>
      </c>
      <c r="F844" s="243"/>
      <c r="G844" s="247"/>
      <c r="H844" s="267" t="s">
        <v>1417</v>
      </c>
      <c r="I844" s="248" t="s">
        <v>1144</v>
      </c>
      <c r="J844" s="246" t="str" cm="1">
        <f t="array" ref="J844">_xlfn.XLOOKUP(TRUE,ISNUMBER(SEARCH(" "&amp;Municipality[Municipality]&amp;" ",H_unit[[#This Row],[Info string]])),Municipality[Municipality],"")</f>
        <v/>
      </c>
      <c r="K844" s="246" t="str" cm="1">
        <f t="array" ref="K844">IF(H_unit[[#This Row],[Exact]]&lt;&gt;"","",_xlfn.XLOOKUP(TRUE,ISNUMBER(SEARCH(" "&amp;Municipality[Municipality]&amp;"n ",H_unit[[#This Row],[Info string]])),Municipality[Municipality],""))</f>
        <v>Lempäälä</v>
      </c>
      <c r="L844" s="246"/>
      <c r="M844" s="244"/>
      <c r="N844" s="246" t="str">
        <f>_xlfn.TEXTJOIN("",TRUE,H_unit[[#This Row],[Exact]],H_unit[[#This Row],[Exact+n]],H_unit[[#This Row],[Copilot]])</f>
        <v>Lempäälä</v>
      </c>
      <c r="O844" s="246" t="str">
        <f>_xlfn.XLOOKUP(H_unit[[#This Row],[Municipality]],Municipality[Municipality],Municipality[Model],"")</f>
        <v>Center</v>
      </c>
      <c r="P844" s="236"/>
    </row>
    <row r="845" spans="1:16">
      <c r="A845" s="238" t="s">
        <v>1624</v>
      </c>
      <c r="B845" s="238" t="s">
        <v>1629</v>
      </c>
      <c r="C845" s="240" t="str" cm="1">
        <f t="array" ref="C845">" "&amp;LOWER(_xlfn.REDUCE(H_unit[[#This Row],[Company]]&amp;" "&amp;H_unit[[#This Row],[Unit]],{",",".","(",")","/"},_xlfn.LAMBDA(_xlpm.txt,_xlpm.delim,SUBSTITUTE(_xlpm.txt,_xlpm.delim," "))))&amp;" "</f>
        <v xml:space="preserve"> keuruun lämpövoima oy yläaste hpmki </v>
      </c>
      <c r="D845" s="242">
        <v>2000</v>
      </c>
      <c r="E845" s="243">
        <v>0.4</v>
      </c>
      <c r="F845" s="243"/>
      <c r="G845" s="247"/>
      <c r="H845" s="267" t="s">
        <v>1436</v>
      </c>
      <c r="I845" s="248" t="s">
        <v>1143</v>
      </c>
      <c r="J845" s="246" t="str" cm="1">
        <f t="array" ref="J845">_xlfn.XLOOKUP(TRUE,ISNUMBER(SEARCH(" "&amp;Municipality[Municipality]&amp;" ",H_unit[[#This Row],[Info string]])),Municipality[Municipality],"")</f>
        <v/>
      </c>
      <c r="K845" s="246" t="str" cm="1">
        <f t="array" ref="K845">IF(H_unit[[#This Row],[Exact]]&lt;&gt;"","",_xlfn.XLOOKUP(TRUE,ISNUMBER(SEARCH(" "&amp;Municipality[Municipality]&amp;"n ",H_unit[[#This Row],[Info string]])),Municipality[Municipality],""))</f>
        <v>Keuruu</v>
      </c>
      <c r="L845" s="246"/>
      <c r="M845" s="244"/>
      <c r="N845" s="246" t="str">
        <f>_xlfn.TEXTJOIN("",TRUE,H_unit[[#This Row],[Exact]],H_unit[[#This Row],[Exact+n]],H_unit[[#This Row],[Copilot]])</f>
        <v>Keuruu</v>
      </c>
      <c r="O845" s="246" t="str">
        <f>_xlfn.XLOOKUP(H_unit[[#This Row],[Municipality]],Municipality[Municipality],Municipality[Model],"")</f>
        <v>Center</v>
      </c>
      <c r="P845" s="236"/>
    </row>
    <row r="846" spans="1:16">
      <c r="A846" s="238" t="s">
        <v>2288</v>
      </c>
      <c r="B846" s="238" t="s">
        <v>2037</v>
      </c>
      <c r="C846" s="240" t="str" cm="1">
        <f t="array" ref="C846">" "&amp;LOWER(_xlfn.REDUCE(H_unit[[#This Row],[Company]]&amp;" "&amp;H_unit[[#This Row],[Unit]],{",",".","(",")","/"},_xlfn.LAMBDA(_xlpm.txt,_xlpm.delim,SUBSTITUTE(_xlpm.txt,_xlpm.delim," "))))&amp;" "</f>
        <v xml:space="preserve"> itä-savon lähienergia oy lehtiniemi </v>
      </c>
      <c r="D846" s="242">
        <v>2004</v>
      </c>
      <c r="E846" s="243">
        <v>0.4</v>
      </c>
      <c r="F846" s="243"/>
      <c r="G846" s="247"/>
      <c r="H846" s="267" t="s">
        <v>1423</v>
      </c>
      <c r="I846" s="248" t="s">
        <v>1143</v>
      </c>
      <c r="J846" s="246" t="str" cm="1">
        <f t="array" ref="J846">_xlfn.XLOOKUP(TRUE,ISNUMBER(SEARCH(" "&amp;Municipality[Municipality]&amp;" ",H_unit[[#This Row],[Info string]])),Municipality[Municipality],"")</f>
        <v/>
      </c>
      <c r="K846" s="246" t="str" cm="1">
        <f t="array" ref="K846">IF(H_unit[[#This Row],[Exact]]&lt;&gt;"","",_xlfn.XLOOKUP(TRUE,ISNUMBER(SEARCH(" "&amp;Municipality[Municipality]&amp;"n ",H_unit[[#This Row],[Info string]])),Municipality[Municipality],""))</f>
        <v/>
      </c>
      <c r="L846" s="246" t="s">
        <v>2708</v>
      </c>
      <c r="M846" s="244" t="s">
        <v>2916</v>
      </c>
      <c r="N846" s="246" t="str">
        <f>_xlfn.TEXTJOIN("",TRUE,H_unit[[#This Row],[Exact]],H_unit[[#This Row],[Exact+n]],H_unit[[#This Row],[Copilot]])</f>
        <v>Parainen</v>
      </c>
      <c r="O846" s="246" t="str">
        <f>_xlfn.XLOOKUP(H_unit[[#This Row],[Municipality]],Municipality[Municipality],Municipality[Model],"")</f>
        <v>South West</v>
      </c>
      <c r="P846" s="236"/>
    </row>
    <row r="847" spans="1:16">
      <c r="A847" s="238" t="s">
        <v>1978</v>
      </c>
      <c r="B847" s="238" t="s">
        <v>1984</v>
      </c>
      <c r="C847" s="240" t="str" cm="1">
        <f t="array" ref="C847">" "&amp;LOWER(_xlfn.REDUCE(H_unit[[#This Row],[Company]]&amp;" "&amp;H_unit[[#This Row],[Unit]],{",",".","(",")","/"},_xlfn.LAMBDA(_xlpm.txt,_xlpm.delim,SUBSTITUTE(_xlpm.txt,_xlpm.delim," "))))&amp;" "</f>
        <v xml:space="preserve"> nurmijärven sähkö oy klaukkala biokaasu-kattila </v>
      </c>
      <c r="D847" s="242">
        <v>2006</v>
      </c>
      <c r="E847" s="243">
        <v>0.4</v>
      </c>
      <c r="F847" s="243"/>
      <c r="G847" s="247"/>
      <c r="H847" s="267" t="s">
        <v>1529</v>
      </c>
      <c r="I847" s="248" t="s">
        <v>1142</v>
      </c>
      <c r="J847" s="246" t="str" cm="1">
        <f t="array" ref="J847">_xlfn.XLOOKUP(TRUE,ISNUMBER(SEARCH(" "&amp;Municipality[Municipality]&amp;" ",H_unit[[#This Row],[Info string]])),Municipality[Municipality],"")</f>
        <v/>
      </c>
      <c r="K847" s="246" t="str" cm="1">
        <f t="array" ref="K847">IF(H_unit[[#This Row],[Exact]]&lt;&gt;"","",_xlfn.XLOOKUP(TRUE,ISNUMBER(SEARCH(" "&amp;Municipality[Municipality]&amp;"n ",H_unit[[#This Row],[Info string]])),Municipality[Municipality],""))</f>
        <v/>
      </c>
      <c r="L847" s="246" t="s">
        <v>2695</v>
      </c>
      <c r="M847" s="244" t="s">
        <v>2905</v>
      </c>
      <c r="N847" s="246" t="str">
        <f>_xlfn.TEXTJOIN("",TRUE,H_unit[[#This Row],[Exact]],H_unit[[#This Row],[Exact+n]],H_unit[[#This Row],[Copilot]])</f>
        <v>Nurmijärvi</v>
      </c>
      <c r="O847" s="246" t="str">
        <f>_xlfn.XLOOKUP(H_unit[[#This Row],[Municipality]],Municipality[Municipality],Municipality[Model],"")</f>
        <v>Uusimaa</v>
      </c>
      <c r="P847" s="236"/>
    </row>
    <row r="848" spans="1:16">
      <c r="A848" s="238" t="s">
        <v>2288</v>
      </c>
      <c r="B848" s="238" t="s">
        <v>2290</v>
      </c>
      <c r="C848" s="240" t="str" cm="1">
        <f t="array" ref="C848">" "&amp;LOWER(_xlfn.REDUCE(H_unit[[#This Row],[Company]]&amp;" "&amp;H_unit[[#This Row],[Unit]],{",",".","(",")","/"},_xlfn.LAMBDA(_xlpm.txt,_xlpm.delim,SUBSTITUTE(_xlpm.txt,_xlpm.delim," "))))&amp;" "</f>
        <v xml:space="preserve"> itä-savon lähienergia oy nojanmaa </v>
      </c>
      <c r="D848" s="242">
        <v>2004</v>
      </c>
      <c r="E848" s="243">
        <v>0.3</v>
      </c>
      <c r="F848" s="243"/>
      <c r="G848" s="247"/>
      <c r="H848" s="267" t="s">
        <v>1423</v>
      </c>
      <c r="I848" s="248" t="s">
        <v>1143</v>
      </c>
      <c r="J848" s="246" t="str" cm="1">
        <f t="array" ref="J848">_xlfn.XLOOKUP(TRUE,ISNUMBER(SEARCH(" "&amp;Municipality[Municipality]&amp;" ",H_unit[[#This Row],[Info string]])),Municipality[Municipality],"")</f>
        <v/>
      </c>
      <c r="K848" s="246" t="str" cm="1">
        <f t="array" ref="K848">IF(H_unit[[#This Row],[Exact]]&lt;&gt;"","",_xlfn.XLOOKUP(TRUE,ISNUMBER(SEARCH(" "&amp;Municipality[Municipality]&amp;"n ",H_unit[[#This Row],[Info string]])),Municipality[Municipality],""))</f>
        <v/>
      </c>
      <c r="L848" s="246"/>
      <c r="M848" s="244"/>
      <c r="N848" s="246" t="str">
        <f>_xlfn.TEXTJOIN("",TRUE,H_unit[[#This Row],[Exact]],H_unit[[#This Row],[Exact+n]],H_unit[[#This Row],[Copilot]])</f>
        <v/>
      </c>
      <c r="O848" s="246" t="str">
        <f>_xlfn.XLOOKUP(H_unit[[#This Row],[Municipality]],Municipality[Municipality],Municipality[Model],"")</f>
        <v/>
      </c>
      <c r="P848" s="236"/>
    </row>
    <row r="849" spans="1:16">
      <c r="A849" s="238" t="s">
        <v>2288</v>
      </c>
      <c r="B849" s="238" t="s">
        <v>2291</v>
      </c>
      <c r="C849" s="240" t="str" cm="1">
        <f t="array" ref="C849">" "&amp;LOWER(_xlfn.REDUCE(H_unit[[#This Row],[Company]]&amp;" "&amp;H_unit[[#This Row],[Unit]],{",",".","(",")","/"},_xlfn.LAMBDA(_xlpm.txt,_xlpm.delim,SUBSTITUTE(_xlpm.txt,_xlpm.delim," "))))&amp;" "</f>
        <v xml:space="preserve"> itä-savon lähienergia oy willanuttu </v>
      </c>
      <c r="D849" s="242">
        <v>2007</v>
      </c>
      <c r="E849" s="243">
        <v>0.3</v>
      </c>
      <c r="F849" s="243"/>
      <c r="G849" s="247"/>
      <c r="H849" s="267" t="s">
        <v>1423</v>
      </c>
      <c r="I849" s="248" t="s">
        <v>1143</v>
      </c>
      <c r="J849" s="246" t="str" cm="1">
        <f t="array" ref="J849">_xlfn.XLOOKUP(TRUE,ISNUMBER(SEARCH(" "&amp;Municipality[Municipality]&amp;" ",H_unit[[#This Row],[Info string]])),Municipality[Municipality],"")</f>
        <v/>
      </c>
      <c r="K849" s="246" t="str" cm="1">
        <f t="array" ref="K849">IF(H_unit[[#This Row],[Exact]]&lt;&gt;"","",_xlfn.XLOOKUP(TRUE,ISNUMBER(SEARCH(" "&amp;Municipality[Municipality]&amp;"n ",H_unit[[#This Row],[Info string]])),Municipality[Municipality],""))</f>
        <v/>
      </c>
      <c r="L849" s="246"/>
      <c r="M849" s="244"/>
      <c r="N849" s="246" t="str">
        <f>_xlfn.TEXTJOIN("",TRUE,H_unit[[#This Row],[Exact]],H_unit[[#This Row],[Exact+n]],H_unit[[#This Row],[Copilot]])</f>
        <v/>
      </c>
      <c r="O849" s="246" t="str">
        <f>_xlfn.XLOOKUP(H_unit[[#This Row],[Municipality]],Municipality[Municipality],Municipality[Model],"")</f>
        <v/>
      </c>
      <c r="P849" s="236"/>
    </row>
    <row r="850" spans="1:16">
      <c r="A850" s="238" t="s">
        <v>2380</v>
      </c>
      <c r="B850" s="238" t="s">
        <v>2381</v>
      </c>
      <c r="C850" s="240" t="str" cm="1">
        <f t="array" ref="C850">" "&amp;LOWER(_xlfn.REDUCE(H_unit[[#This Row],[Company]]&amp;" "&amp;H_unit[[#This Row],[Unit]],{",",".","(",")","/"},_xlfn.LAMBDA(_xlpm.txt,_xlpm.delim,SUBSTITUTE(_xlpm.txt,_xlpm.delim," "))))&amp;" "</f>
        <v xml:space="preserve"> sarlin oy  vaasa vaasan mikroturbiinilaitos  new energy </v>
      </c>
      <c r="D850" s="242">
        <v>2008</v>
      </c>
      <c r="E850" s="243">
        <v>0.3</v>
      </c>
      <c r="F850" s="243">
        <v>0.1</v>
      </c>
      <c r="G850" s="247"/>
      <c r="H850" s="267" t="s">
        <v>1529</v>
      </c>
      <c r="I850" s="248" t="s">
        <v>1443</v>
      </c>
      <c r="J850" s="246" t="str" cm="1">
        <f t="array" ref="J850">_xlfn.XLOOKUP(TRUE,ISNUMBER(SEARCH(" "&amp;Municipality[Municipality]&amp;" ",H_unit[[#This Row],[Info string]])),Municipality[Municipality],"")</f>
        <v>Vaasa</v>
      </c>
      <c r="K850" s="246" t="str" cm="1">
        <f t="array" ref="K850">IF(H_unit[[#This Row],[Exact]]&lt;&gt;"","",_xlfn.XLOOKUP(TRUE,ISNUMBER(SEARCH(" "&amp;Municipality[Municipality]&amp;"n ",H_unit[[#This Row],[Info string]])),Municipality[Municipality],""))</f>
        <v/>
      </c>
      <c r="L850" s="246"/>
      <c r="M850" s="244"/>
      <c r="N850" s="246" t="str">
        <f>_xlfn.TEXTJOIN("",TRUE,H_unit[[#This Row],[Exact]],H_unit[[#This Row],[Exact+n]],H_unit[[#This Row],[Copilot]])</f>
        <v>Vaasa</v>
      </c>
      <c r="O850" s="246" t="str">
        <f>_xlfn.XLOOKUP(H_unit[[#This Row],[Municipality]],Municipality[Municipality],Municipality[Model],"")</f>
        <v>West</v>
      </c>
      <c r="P850" s="236"/>
    </row>
    <row r="851" spans="1:16">
      <c r="A851" s="238" t="s">
        <v>1804</v>
      </c>
      <c r="B851" s="238" t="s">
        <v>1805</v>
      </c>
      <c r="C851" s="240" t="str" cm="1">
        <f t="array" ref="C851">" "&amp;LOWER(_xlfn.REDUCE(H_unit[[#This Row],[Company]]&amp;" "&amp;H_unit[[#This Row],[Unit]],{",",".","(",")","/"},_xlfn.LAMBDA(_xlpm.txt,_xlpm.delim,SUBSTITUTE(_xlpm.txt,_xlpm.delim," "))))&amp;" "</f>
        <v xml:space="preserve"> leppäkosken lämpö oy  ylöjärvi kivilähteentie </v>
      </c>
      <c r="D851" s="242">
        <v>2012</v>
      </c>
      <c r="E851" s="243">
        <v>0.3</v>
      </c>
      <c r="F851" s="243"/>
      <c r="G851" s="247"/>
      <c r="H851" s="267" t="s">
        <v>1772</v>
      </c>
      <c r="I851" s="248" t="s">
        <v>1146</v>
      </c>
      <c r="J851" s="246" t="str" cm="1">
        <f t="array" ref="J851">_xlfn.XLOOKUP(TRUE,ISNUMBER(SEARCH(" "&amp;Municipality[Municipality]&amp;" ",H_unit[[#This Row],[Info string]])),Municipality[Municipality],"")</f>
        <v>Ylöjärvi</v>
      </c>
      <c r="K851" s="246" t="str" cm="1">
        <f t="array" ref="K851">IF(H_unit[[#This Row],[Exact]]&lt;&gt;"","",_xlfn.XLOOKUP(TRUE,ISNUMBER(SEARCH(" "&amp;Municipality[Municipality]&amp;"n ",H_unit[[#This Row],[Info string]])),Municipality[Municipality],""))</f>
        <v/>
      </c>
      <c r="L851" s="246"/>
      <c r="M851" s="244"/>
      <c r="N851" s="246" t="str">
        <f>_xlfn.TEXTJOIN("",TRUE,H_unit[[#This Row],[Exact]],H_unit[[#This Row],[Exact+n]],H_unit[[#This Row],[Copilot]])</f>
        <v>Ylöjärvi</v>
      </c>
      <c r="O851" s="246" t="str">
        <f>_xlfn.XLOOKUP(H_unit[[#This Row],[Municipality]],Municipality[Municipality],Municipality[Model],"")</f>
        <v>Center</v>
      </c>
      <c r="P851" s="236"/>
    </row>
    <row r="852" spans="1:16">
      <c r="A852" s="238" t="s">
        <v>1997</v>
      </c>
      <c r="B852" s="238" t="s">
        <v>2003</v>
      </c>
      <c r="C852" s="240" t="str" cm="1">
        <f t="array" ref="C852">" "&amp;LOWER(_xlfn.REDUCE(H_unit[[#This Row],[Company]]&amp;" "&amp;H_unit[[#This Row],[Unit]],{",",".","(",")","/"},_xlfn.LAMBDA(_xlpm.txt,_xlpm.delim,SUBSTITUTE(_xlpm.txt,_xlpm.delim," "))))&amp;" "</f>
        <v xml:space="preserve"> orimattilan lämpö oy artjärvi </v>
      </c>
      <c r="D852" s="242">
        <v>2013</v>
      </c>
      <c r="E852" s="243">
        <v>0.3</v>
      </c>
      <c r="F852" s="243"/>
      <c r="G852" s="247"/>
      <c r="H852" s="267" t="s">
        <v>1423</v>
      </c>
      <c r="I852" s="248" t="s">
        <v>1143</v>
      </c>
      <c r="J852" s="246" t="str" cm="1">
        <f t="array" ref="J852">_xlfn.XLOOKUP(TRUE,ISNUMBER(SEARCH(" "&amp;Municipality[Municipality]&amp;" ",H_unit[[#This Row],[Info string]])),Municipality[Municipality],"")</f>
        <v>Artjärvi</v>
      </c>
      <c r="K852" s="246" t="str" cm="1">
        <f t="array" ref="K852">IF(H_unit[[#This Row],[Exact]]&lt;&gt;"","",_xlfn.XLOOKUP(TRUE,ISNUMBER(SEARCH(" "&amp;Municipality[Municipality]&amp;"n ",H_unit[[#This Row],[Info string]])),Municipality[Municipality],""))</f>
        <v/>
      </c>
      <c r="L852" s="246"/>
      <c r="M852" s="244"/>
      <c r="N852" s="246" t="str">
        <f>_xlfn.TEXTJOIN("",TRUE,H_unit[[#This Row],[Exact]],H_unit[[#This Row],[Exact+n]],H_unit[[#This Row],[Copilot]])</f>
        <v>Artjärvi</v>
      </c>
      <c r="O852" s="246" t="str">
        <f>_xlfn.XLOOKUP(H_unit[[#This Row],[Municipality]],Municipality[Municipality],Municipality[Model],"")</f>
        <v>Uusimaa</v>
      </c>
      <c r="P852" s="236"/>
    </row>
    <row r="853" spans="1:16">
      <c r="A853" s="238" t="s">
        <v>1543</v>
      </c>
      <c r="B853" s="238" t="s">
        <v>1549</v>
      </c>
      <c r="C853" s="240" t="str" cm="1">
        <f t="array" ref="C853">" "&amp;LOWER(_xlfn.REDUCE(H_unit[[#This Row],[Company]]&amp;" "&amp;H_unit[[#This Row],[Unit]],{",",".","(",")","/"},_xlfn.LAMBDA(_xlpm.txt,_xlpm.delim,SUBSTITUTE(_xlpm.txt,_xlpm.delim," "))))&amp;" "</f>
        <v xml:space="preserve"> inergia lämpö oy aviakaari </v>
      </c>
      <c r="D853" s="242">
        <v>2018</v>
      </c>
      <c r="E853" s="243">
        <v>0.3</v>
      </c>
      <c r="F853" s="243"/>
      <c r="G853" s="247"/>
      <c r="H853" s="267" t="s">
        <v>1436</v>
      </c>
      <c r="I853" s="248" t="s">
        <v>1143</v>
      </c>
      <c r="J853" s="246" t="str" cm="1">
        <f t="array" ref="J853">_xlfn.XLOOKUP(TRUE,ISNUMBER(SEARCH(" "&amp;Municipality[Municipality]&amp;" ",H_unit[[#This Row],[Info string]])),Municipality[Municipality],"")</f>
        <v/>
      </c>
      <c r="K853" s="246" t="str" cm="1">
        <f t="array" ref="K853">IF(H_unit[[#This Row],[Exact]]&lt;&gt;"","",_xlfn.XLOOKUP(TRUE,ISNUMBER(SEARCH(" "&amp;Municipality[Municipality]&amp;"n ",H_unit[[#This Row],[Info string]])),Municipality[Municipality],""))</f>
        <v/>
      </c>
      <c r="L853" s="246" t="s">
        <v>1546</v>
      </c>
      <c r="M853" s="244" t="s">
        <v>2913</v>
      </c>
      <c r="N853" s="246" t="str">
        <f>_xlfn.TEXTJOIN("",TRUE,H_unit[[#This Row],[Exact]],H_unit[[#This Row],[Exact+n]],H_unit[[#This Row],[Copilot]])</f>
        <v>Inari</v>
      </c>
      <c r="O853" s="246" t="str">
        <f>_xlfn.XLOOKUP(H_unit[[#This Row],[Municipality]],Municipality[Municipality],Municipality[Model],"")</f>
        <v>North</v>
      </c>
      <c r="P853" s="236"/>
    </row>
    <row r="854" spans="1:16">
      <c r="A854" s="238" t="s">
        <v>2014</v>
      </c>
      <c r="B854" s="238" t="s">
        <v>2017</v>
      </c>
      <c r="C854" s="240" t="str" cm="1">
        <f t="array" ref="C854">" "&amp;LOWER(_xlfn.REDUCE(H_unit[[#This Row],[Company]]&amp;" "&amp;H_unit[[#This Row],[Unit]],{",",".","(",")","/"},_xlfn.LAMBDA(_xlpm.txt,_xlpm.delim,SUBSTITUTE(_xlpm.txt,_xlpm.delim," "))))&amp;" "</f>
        <v xml:space="preserve"> oulun seudun sähkö  liminka liminka  ankkurilahti </v>
      </c>
      <c r="D854" s="242">
        <v>2018</v>
      </c>
      <c r="E854" s="243">
        <v>0.3</v>
      </c>
      <c r="F854" s="243"/>
      <c r="G854" s="247"/>
      <c r="H854" s="267" t="s">
        <v>2019</v>
      </c>
      <c r="I854" s="248" t="s">
        <v>1443</v>
      </c>
      <c r="J854" s="246" t="str" cm="1">
        <f t="array" ref="J854">_xlfn.XLOOKUP(TRUE,ISNUMBER(SEARCH(" "&amp;Municipality[Municipality]&amp;" ",H_unit[[#This Row],[Info string]])),Municipality[Municipality],"")</f>
        <v>Liminka</v>
      </c>
      <c r="K854" s="246" t="str" cm="1">
        <f t="array" ref="K854">IF(H_unit[[#This Row],[Exact]]&lt;&gt;"","",_xlfn.XLOOKUP(TRUE,ISNUMBER(SEARCH(" "&amp;Municipality[Municipality]&amp;"n ",H_unit[[#This Row],[Info string]])),Municipality[Municipality],""))</f>
        <v/>
      </c>
      <c r="L854" s="246"/>
      <c r="M854" s="244"/>
      <c r="N854" s="246" t="str">
        <f>_xlfn.TEXTJOIN("",TRUE,H_unit[[#This Row],[Exact]],H_unit[[#This Row],[Exact+n]],H_unit[[#This Row],[Copilot]])</f>
        <v>Liminka</v>
      </c>
      <c r="O854" s="246" t="str">
        <f>_xlfn.XLOOKUP(H_unit[[#This Row],[Municipality]],Municipality[Municipality],Municipality[Model],"")</f>
        <v>North</v>
      </c>
      <c r="P854" s="236"/>
    </row>
    <row r="855" spans="1:16">
      <c r="A855" s="238" t="s">
        <v>1806</v>
      </c>
      <c r="B855" s="238" t="s">
        <v>1813</v>
      </c>
      <c r="C855" s="240" t="str" cm="1">
        <f t="array" ref="C855">" "&amp;LOWER(_xlfn.REDUCE(H_unit[[#This Row],[Company]]&amp;" "&amp;H_unit[[#This Row],[Unit]],{",",".","(",")","/"},_xlfn.LAMBDA(_xlpm.txt,_xlpm.delim,SUBSTITUTE(_xlpm.txt,_xlpm.delim," "))))&amp;" "</f>
        <v xml:space="preserve"> liedon lämpö oy kunnantalo </v>
      </c>
      <c r="D855" s="242">
        <v>2020</v>
      </c>
      <c r="E855" s="243">
        <v>0.3</v>
      </c>
      <c r="F855" s="243"/>
      <c r="G855" s="247"/>
      <c r="H855" s="267" t="s">
        <v>1417</v>
      </c>
      <c r="I855" s="248" t="s">
        <v>1144</v>
      </c>
      <c r="J855" s="246" t="str" cm="1">
        <f t="array" ref="J855">_xlfn.XLOOKUP(TRUE,ISNUMBER(SEARCH(" "&amp;Municipality[Municipality]&amp;" ",H_unit[[#This Row],[Info string]])),Municipality[Municipality],"")</f>
        <v/>
      </c>
      <c r="K855" s="246" t="str" cm="1">
        <f t="array" ref="K855">IF(H_unit[[#This Row],[Exact]]&lt;&gt;"","",_xlfn.XLOOKUP(TRUE,ISNUMBER(SEARCH(" "&amp;Municipality[Municipality]&amp;"n ",H_unit[[#This Row],[Info string]])),Municipality[Municipality],""))</f>
        <v/>
      </c>
      <c r="L855" s="246" t="s">
        <v>2661</v>
      </c>
      <c r="M855" s="244" t="s">
        <v>2909</v>
      </c>
      <c r="N855" s="246" t="str">
        <f>_xlfn.TEXTJOIN("",TRUE,H_unit[[#This Row],[Exact]],H_unit[[#This Row],[Exact+n]],H_unit[[#This Row],[Copilot]])</f>
        <v>Lieto</v>
      </c>
      <c r="O855" s="246" t="str">
        <f>_xlfn.XLOOKUP(H_unit[[#This Row],[Municipality]],Municipality[Municipality],Municipality[Model],"")</f>
        <v>South West</v>
      </c>
      <c r="P855" s="236"/>
    </row>
    <row r="856" spans="1:16">
      <c r="A856" s="238" t="s">
        <v>2087</v>
      </c>
      <c r="B856" s="238" t="s">
        <v>2093</v>
      </c>
      <c r="C856" s="240" t="str" cm="1">
        <f t="array" ref="C856">" "&amp;LOWER(_xlfn.REDUCE(H_unit[[#This Row],[Company]]&amp;" "&amp;H_unit[[#This Row],[Unit]],{",",".","(",")","/"},_xlfn.LAMBDA(_xlpm.txt,_xlpm.delim,SUBSTITUTE(_xlpm.txt,_xlpm.delim," "))))&amp;" "</f>
        <v xml:space="preserve"> riihimäen kaukolämpö oy kynttilätie </v>
      </c>
      <c r="D856" s="242">
        <v>2023</v>
      </c>
      <c r="E856" s="243">
        <v>0.3</v>
      </c>
      <c r="F856" s="243"/>
      <c r="G856" s="247"/>
      <c r="H856" s="267" t="s">
        <v>1417</v>
      </c>
      <c r="I856" s="248" t="s">
        <v>1144</v>
      </c>
      <c r="J856" s="246" t="str" cm="1">
        <f t="array" ref="J856">_xlfn.XLOOKUP(TRUE,ISNUMBER(SEARCH(" "&amp;Municipality[Municipality]&amp;" ",H_unit[[#This Row],[Info string]])),Municipality[Municipality],"")</f>
        <v/>
      </c>
      <c r="K856" s="246" t="str" cm="1">
        <f t="array" ref="K856">IF(H_unit[[#This Row],[Exact]]&lt;&gt;"","",_xlfn.XLOOKUP(TRUE,ISNUMBER(SEARCH(" "&amp;Municipality[Municipality]&amp;"n ",H_unit[[#This Row],[Info string]])),Municipality[Municipality],""))</f>
        <v/>
      </c>
      <c r="L856" s="246" t="s">
        <v>2751</v>
      </c>
      <c r="M856" s="244" t="s">
        <v>2908</v>
      </c>
      <c r="N856" s="246" t="str">
        <f>_xlfn.TEXTJOIN("",TRUE,H_unit[[#This Row],[Exact]],H_unit[[#This Row],[Exact+n]],H_unit[[#This Row],[Copilot]])</f>
        <v>Riihimäki</v>
      </c>
      <c r="O856" s="246" t="str">
        <f>_xlfn.XLOOKUP(H_unit[[#This Row],[Municipality]],Municipality[Municipality],Municipality[Model],"")</f>
        <v>South West</v>
      </c>
      <c r="P856" s="236"/>
    </row>
    <row r="857" spans="1:16">
      <c r="A857" s="238" t="s">
        <v>1694</v>
      </c>
      <c r="B857" s="238" t="s">
        <v>1036</v>
      </c>
      <c r="C857" s="240" t="str" cm="1">
        <f t="array" ref="C857">" "&amp;LOWER(_xlfn.REDUCE(H_unit[[#This Row],[Company]]&amp;" "&amp;H_unit[[#This Row],[Unit]],{",",".","(",")","/"},_xlfn.LAMBDA(_xlpm.txt,_xlpm.delim,SUBSTITUTE(_xlpm.txt,_xlpm.delim," "))))&amp;" "</f>
        <v xml:space="preserve"> kuortaneen energiaosuuskunta haapaniemi </v>
      </c>
      <c r="D857" s="242">
        <v>2004</v>
      </c>
      <c r="E857" s="243">
        <v>0.2</v>
      </c>
      <c r="F857" s="243"/>
      <c r="G857" s="247"/>
      <c r="H857" s="267" t="s">
        <v>1423</v>
      </c>
      <c r="I857" s="248" t="s">
        <v>1143</v>
      </c>
      <c r="J857" s="246" t="str" cm="1">
        <f t="array" ref="J857">_xlfn.XLOOKUP(TRUE,ISNUMBER(SEARCH(" "&amp;Municipality[Municipality]&amp;" ",H_unit[[#This Row],[Info string]])),Municipality[Municipality],"")</f>
        <v/>
      </c>
      <c r="K857" s="246" t="str" cm="1">
        <f t="array" ref="K857">IF(H_unit[[#This Row],[Exact]]&lt;&gt;"","",_xlfn.XLOOKUP(TRUE,ISNUMBER(SEARCH(" "&amp;Municipality[Municipality]&amp;"n ",H_unit[[#This Row],[Info string]])),Municipality[Municipality],""))</f>
        <v/>
      </c>
      <c r="L857" s="246"/>
      <c r="M857" s="244"/>
      <c r="N857" s="246" t="str">
        <f>_xlfn.TEXTJOIN("",TRUE,H_unit[[#This Row],[Exact]],H_unit[[#This Row],[Exact+n]],H_unit[[#This Row],[Copilot]])</f>
        <v/>
      </c>
      <c r="O857" s="246" t="str">
        <f>_xlfn.XLOOKUP(H_unit[[#This Row],[Municipality]],Municipality[Municipality],Municipality[Model],"")</f>
        <v/>
      </c>
      <c r="P857" s="236"/>
    </row>
    <row r="858" spans="1:16">
      <c r="A858" s="238" t="s">
        <v>1997</v>
      </c>
      <c r="B858" s="238" t="s">
        <v>2004</v>
      </c>
      <c r="C858" s="240" t="str" cm="1">
        <f t="array" ref="C858">" "&amp;LOWER(_xlfn.REDUCE(H_unit[[#This Row],[Company]]&amp;" "&amp;H_unit[[#This Row],[Unit]],{",",".","(",")","/"},_xlfn.LAMBDA(_xlpm.txt,_xlpm.delim,SUBSTITUTE(_xlpm.txt,_xlpm.delim," "))))&amp;" "</f>
        <v xml:space="preserve"> orimattilan lämpö oy artjärven lämpökeskus </v>
      </c>
      <c r="D858" s="242">
        <v>2014</v>
      </c>
      <c r="E858" s="243">
        <v>0.2</v>
      </c>
      <c r="F858" s="243"/>
      <c r="G858" s="247"/>
      <c r="H858" s="267" t="s">
        <v>1417</v>
      </c>
      <c r="I858" s="248" t="s">
        <v>1144</v>
      </c>
      <c r="J858" s="246" t="str" cm="1">
        <f t="array" ref="J858">_xlfn.XLOOKUP(TRUE,ISNUMBER(SEARCH(" "&amp;Municipality[Municipality]&amp;" ",H_unit[[#This Row],[Info string]])),Municipality[Municipality],"")</f>
        <v/>
      </c>
      <c r="K858" s="246" t="str" cm="1">
        <f t="array" ref="K858">IF(H_unit[[#This Row],[Exact]]&lt;&gt;"","",_xlfn.XLOOKUP(TRUE,ISNUMBER(SEARCH(" "&amp;Municipality[Municipality]&amp;"n ",H_unit[[#This Row],[Info string]])),Municipality[Municipality],""))</f>
        <v>Orimattila</v>
      </c>
      <c r="L858" s="246"/>
      <c r="M858" s="244"/>
      <c r="N858" s="246" t="str">
        <f>_xlfn.TEXTJOIN("",TRUE,H_unit[[#This Row],[Exact]],H_unit[[#This Row],[Exact+n]],H_unit[[#This Row],[Copilot]])</f>
        <v>Orimattila</v>
      </c>
      <c r="O858" s="246" t="str">
        <f>_xlfn.XLOOKUP(H_unit[[#This Row],[Municipality]],Municipality[Municipality],Municipality[Model],"")</f>
        <v>Uusimaa</v>
      </c>
      <c r="P858" s="236"/>
    </row>
    <row r="859" spans="1:16">
      <c r="A859" s="238" t="s">
        <v>1618</v>
      </c>
      <c r="B859" s="238" t="s">
        <v>1622</v>
      </c>
      <c r="C859" s="240" t="str" cm="1">
        <f t="array" ref="C859">" "&amp;LOWER(_xlfn.REDUCE(H_unit[[#This Row],[Company]]&amp;" "&amp;H_unit[[#This Row],[Unit]],{",",".","(",")","/"},_xlfn.LAMBDA(_xlpm.txt,_xlpm.delim,SUBSTITUTE(_xlpm.txt,_xlpm.delim," "))))&amp;" "</f>
        <v xml:space="preserve"> keravan energia oy  sipoo hansas </v>
      </c>
      <c r="D859" s="242">
        <v>2017</v>
      </c>
      <c r="E859" s="243">
        <v>0.2</v>
      </c>
      <c r="F859" s="243"/>
      <c r="G859" s="247"/>
      <c r="H859" s="267" t="s">
        <v>1430</v>
      </c>
      <c r="I859" s="248" t="s">
        <v>1141</v>
      </c>
      <c r="J859" s="246" t="str" cm="1">
        <f t="array" ref="J859">_xlfn.XLOOKUP(TRUE,ISNUMBER(SEARCH(" "&amp;Municipality[Municipality]&amp;" ",H_unit[[#This Row],[Info string]])),Municipality[Municipality],"")</f>
        <v>Sipoo</v>
      </c>
      <c r="K859" s="246" t="str" cm="1">
        <f t="array" ref="K859">IF(H_unit[[#This Row],[Exact]]&lt;&gt;"","",_xlfn.XLOOKUP(TRUE,ISNUMBER(SEARCH(" "&amp;Municipality[Municipality]&amp;"n ",H_unit[[#This Row],[Info string]])),Municipality[Municipality],""))</f>
        <v/>
      </c>
      <c r="L859" s="246"/>
      <c r="M859" s="244"/>
      <c r="N859" s="246" t="str">
        <f>_xlfn.TEXTJOIN("",TRUE,H_unit[[#This Row],[Exact]],H_unit[[#This Row],[Exact+n]],H_unit[[#This Row],[Copilot]])</f>
        <v>Sipoo</v>
      </c>
      <c r="O859" s="246" t="str">
        <f>_xlfn.XLOOKUP(H_unit[[#This Row],[Municipality]],Municipality[Municipality],Municipality[Model],"")</f>
        <v>Uusimaa</v>
      </c>
      <c r="P859" s="236"/>
    </row>
    <row r="860" spans="1:16">
      <c r="A860" s="238" t="s">
        <v>2179</v>
      </c>
      <c r="B860" s="238" t="s">
        <v>2185</v>
      </c>
      <c r="C860" s="240" t="str" cm="1">
        <f t="array" ref="C860">" "&amp;LOWER(_xlfn.REDUCE(H_unit[[#This Row],[Company]]&amp;" "&amp;H_unit[[#This Row],[Unit]],{",",".","(",")","/"},_xlfn.LAMBDA(_xlpm.txt,_xlpm.delim,SUBSTITUTE(_xlpm.txt,_xlpm.delim," "))))&amp;" "</f>
        <v xml:space="preserve"> teuvan kaukolämpö oy pelletti 0 2 mw </v>
      </c>
      <c r="D860" s="242">
        <v>2019</v>
      </c>
      <c r="E860" s="243">
        <v>0.2</v>
      </c>
      <c r="F860" s="243"/>
      <c r="G860" s="247"/>
      <c r="H860" s="267" t="s">
        <v>1436</v>
      </c>
      <c r="I860" s="248" t="s">
        <v>1143</v>
      </c>
      <c r="J860" s="246" t="str" cm="1">
        <f t="array" ref="J860">_xlfn.XLOOKUP(TRUE,ISNUMBER(SEARCH(" "&amp;Municipality[Municipality]&amp;" ",H_unit[[#This Row],[Info string]])),Municipality[Municipality],"")</f>
        <v/>
      </c>
      <c r="K860" s="246" t="str" cm="1">
        <f t="array" ref="K860">IF(H_unit[[#This Row],[Exact]]&lt;&gt;"","",_xlfn.XLOOKUP(TRUE,ISNUMBER(SEARCH(" "&amp;Municipality[Municipality]&amp;"n ",H_unit[[#This Row],[Info string]])),Municipality[Municipality],""))</f>
        <v>Teuva</v>
      </c>
      <c r="L860" s="246"/>
      <c r="M860" s="244"/>
      <c r="N860" s="246" t="str">
        <f>_xlfn.TEXTJOIN("",TRUE,H_unit[[#This Row],[Exact]],H_unit[[#This Row],[Exact+n]],H_unit[[#This Row],[Copilot]])</f>
        <v>Teuva</v>
      </c>
      <c r="O860" s="246" t="str">
        <f>_xlfn.XLOOKUP(H_unit[[#This Row],[Municipality]],Municipality[Municipality],Municipality[Model],"")</f>
        <v>West</v>
      </c>
      <c r="P860" s="236"/>
    </row>
    <row r="861" spans="1:16">
      <c r="A861" s="238" t="s">
        <v>1697</v>
      </c>
      <c r="B861" s="238" t="s">
        <v>1709</v>
      </c>
      <c r="C861" s="240" t="str" cm="1">
        <f t="array" ref="C861">" "&amp;LOWER(_xlfn.REDUCE(H_unit[[#This Row],[Company]]&amp;" "&amp;H_unit[[#This Row],[Unit]],{",",".","(",")","/"},_xlfn.LAMBDA(_xlpm.txt,_xlpm.delim,SUBSTITUTE(_xlpm.txt,_xlpm.delim," "))))&amp;" "</f>
        <v xml:space="preserve"> kurikan energia oy kurikan jäähalli </v>
      </c>
      <c r="D861" s="242">
        <v>2021</v>
      </c>
      <c r="E861" s="243">
        <v>0.2</v>
      </c>
      <c r="F861" s="243"/>
      <c r="G861" s="247"/>
      <c r="H861" s="267" t="s">
        <v>1417</v>
      </c>
      <c r="I861" s="248" t="s">
        <v>1144</v>
      </c>
      <c r="J861" s="246" t="str" cm="1">
        <f t="array" ref="J861">_xlfn.XLOOKUP(TRUE,ISNUMBER(SEARCH(" "&amp;Municipality[Municipality]&amp;" ",H_unit[[#This Row],[Info string]])),Municipality[Municipality],"")</f>
        <v/>
      </c>
      <c r="K861" s="246" t="str" cm="1">
        <f t="array" ref="K861">IF(H_unit[[#This Row],[Exact]]&lt;&gt;"","",_xlfn.XLOOKUP(TRUE,ISNUMBER(SEARCH(" "&amp;Municipality[Municipality]&amp;"n ",H_unit[[#This Row],[Info string]])),Municipality[Municipality],""))</f>
        <v/>
      </c>
      <c r="L861" s="246"/>
      <c r="M861" s="244"/>
      <c r="N861" s="246" t="str">
        <f>_xlfn.TEXTJOIN("",TRUE,H_unit[[#This Row],[Exact]],H_unit[[#This Row],[Exact+n]],H_unit[[#This Row],[Copilot]])</f>
        <v/>
      </c>
      <c r="O861" s="246" t="str">
        <f>_xlfn.XLOOKUP(H_unit[[#This Row],[Municipality]],Municipality[Municipality],Municipality[Model],"")</f>
        <v/>
      </c>
      <c r="P861" s="236"/>
    </row>
    <row r="862" spans="1:16">
      <c r="A862" s="238" t="s">
        <v>1678</v>
      </c>
      <c r="B862" s="238" t="s">
        <v>1690</v>
      </c>
      <c r="C862" s="240" t="str" cm="1">
        <f t="array" ref="C862">" "&amp;LOWER(_xlfn.REDUCE(H_unit[[#This Row],[Company]]&amp;" "&amp;H_unit[[#This Row],[Unit]],{",",".","(",")","/"},_xlfn.LAMBDA(_xlpm.txt,_xlpm.delim,SUBSTITUTE(_xlpm.txt,_xlpm.delim," "))))&amp;" "</f>
        <v xml:space="preserve"> kuopion energia oy niuvan chc </v>
      </c>
      <c r="D862" s="242">
        <v>2022</v>
      </c>
      <c r="E862" s="243">
        <v>0.2</v>
      </c>
      <c r="F862" s="243"/>
      <c r="G862" s="247"/>
      <c r="H862" s="267" t="s">
        <v>1417</v>
      </c>
      <c r="I862" s="248" t="s">
        <v>1144</v>
      </c>
      <c r="J862" s="246" t="str" cm="1">
        <f t="array" ref="J862">_xlfn.XLOOKUP(TRUE,ISNUMBER(SEARCH(" "&amp;Municipality[Municipality]&amp;" ",H_unit[[#This Row],[Info string]])),Municipality[Municipality],"")</f>
        <v/>
      </c>
      <c r="K862" s="246" t="str" cm="1">
        <f t="array" ref="K862">IF(H_unit[[#This Row],[Exact]]&lt;&gt;"","",_xlfn.XLOOKUP(TRUE,ISNUMBER(SEARCH(" "&amp;Municipality[Municipality]&amp;"n ",H_unit[[#This Row],[Info string]])),Municipality[Municipality],""))</f>
        <v>Kuopio</v>
      </c>
      <c r="L862" s="246"/>
      <c r="M862" s="244"/>
      <c r="N862" s="246" t="str">
        <f>_xlfn.TEXTJOIN("",TRUE,H_unit[[#This Row],[Exact]],H_unit[[#This Row],[Exact+n]],H_unit[[#This Row],[Copilot]])</f>
        <v>Kuopio</v>
      </c>
      <c r="O862" s="246" t="str">
        <f>_xlfn.XLOOKUP(H_unit[[#This Row],[Municipality]],Municipality[Municipality],Municipality[Model],"")</f>
        <v>East</v>
      </c>
      <c r="P862" s="236"/>
    </row>
    <row r="863" spans="1:16">
      <c r="A863" s="238" t="s">
        <v>1678</v>
      </c>
      <c r="B863" s="238" t="s">
        <v>1691</v>
      </c>
      <c r="C863" s="240" t="str" cm="1">
        <f t="array" ref="C863">" "&amp;LOWER(_xlfn.REDUCE(H_unit[[#This Row],[Company]]&amp;" "&amp;H_unit[[#This Row],[Unit]],{",",".","(",")","/"},_xlfn.LAMBDA(_xlpm.txt,_xlpm.delim,SUBSTITUTE(_xlpm.txt,_xlpm.delim," "))))&amp;" "</f>
        <v xml:space="preserve"> kuopion energia oy valteri chc </v>
      </c>
      <c r="D863" s="242">
        <v>2022</v>
      </c>
      <c r="E863" s="243">
        <v>0.2</v>
      </c>
      <c r="F863" s="243"/>
      <c r="G863" s="247"/>
      <c r="H863" s="267" t="s">
        <v>1417</v>
      </c>
      <c r="I863" s="248" t="s">
        <v>1144</v>
      </c>
      <c r="J863" s="246" t="str" cm="1">
        <f t="array" ref="J863">_xlfn.XLOOKUP(TRUE,ISNUMBER(SEARCH(" "&amp;Municipality[Municipality]&amp;" ",H_unit[[#This Row],[Info string]])),Municipality[Municipality],"")</f>
        <v/>
      </c>
      <c r="K863" s="246" t="str" cm="1">
        <f t="array" ref="K863">IF(H_unit[[#This Row],[Exact]]&lt;&gt;"","",_xlfn.XLOOKUP(TRUE,ISNUMBER(SEARCH(" "&amp;Municipality[Municipality]&amp;"n ",H_unit[[#This Row],[Info string]])),Municipality[Municipality],""))</f>
        <v>Kuopio</v>
      </c>
      <c r="L863" s="246"/>
      <c r="M863" s="244"/>
      <c r="N863" s="246" t="str">
        <f>_xlfn.TEXTJOIN("",TRUE,H_unit[[#This Row],[Exact]],H_unit[[#This Row],[Exact+n]],H_unit[[#This Row],[Copilot]])</f>
        <v>Kuopio</v>
      </c>
      <c r="O863" s="246" t="str">
        <f>_xlfn.XLOOKUP(H_unit[[#This Row],[Municipality]],Municipality[Municipality],Municipality[Model],"")</f>
        <v>East</v>
      </c>
      <c r="P863" s="236"/>
    </row>
    <row r="864" spans="1:16">
      <c r="A864" s="238" t="s">
        <v>2009</v>
      </c>
      <c r="B864" s="238" t="s">
        <v>2013</v>
      </c>
      <c r="C864" s="240" t="str" cm="1">
        <f t="array" ref="C864">" "&amp;LOWER(_xlfn.REDUCE(H_unit[[#This Row],[Company]]&amp;" "&amp;H_unit[[#This Row],[Unit]],{",",".","(",")","/"},_xlfn.LAMBDA(_xlpm.txt,_xlpm.delim,SUBSTITUTE(_xlpm.txt,_xlpm.delim," "))))&amp;" "</f>
        <v xml:space="preserve"> oulun seudun sähkö  kempele ketolanperän koulu </v>
      </c>
      <c r="D864" s="242">
        <v>2016</v>
      </c>
      <c r="E864" s="243">
        <v>0.1</v>
      </c>
      <c r="F864" s="243"/>
      <c r="G864" s="247"/>
      <c r="H864" s="267" t="s">
        <v>1417</v>
      </c>
      <c r="I864" s="248" t="s">
        <v>1144</v>
      </c>
      <c r="J864" s="246" t="str" cm="1">
        <f t="array" ref="J864">_xlfn.XLOOKUP(TRUE,ISNUMBER(SEARCH(" "&amp;Municipality[Municipality]&amp;" ",H_unit[[#This Row],[Info string]])),Municipality[Municipality],"")</f>
        <v>Kempele</v>
      </c>
      <c r="K864" s="246" t="str" cm="1">
        <f t="array" ref="K864">IF(H_unit[[#This Row],[Exact]]&lt;&gt;"","",_xlfn.XLOOKUP(TRUE,ISNUMBER(SEARCH(" "&amp;Municipality[Municipality]&amp;"n ",H_unit[[#This Row],[Info string]])),Municipality[Municipality],""))</f>
        <v/>
      </c>
      <c r="L864" s="246"/>
      <c r="M864" s="244"/>
      <c r="N864" s="246" t="str">
        <f>_xlfn.TEXTJOIN("",TRUE,H_unit[[#This Row],[Exact]],H_unit[[#This Row],[Exact+n]],H_unit[[#This Row],[Copilot]])</f>
        <v>Kempele</v>
      </c>
      <c r="O864" s="246" t="str">
        <f>_xlfn.XLOOKUP(H_unit[[#This Row],[Municipality]],Municipality[Municipality],Municipality[Model],"")</f>
        <v>North</v>
      </c>
      <c r="P864" s="236"/>
    </row>
    <row r="865" spans="1:16">
      <c r="A865" s="268" t="s">
        <v>2025</v>
      </c>
      <c r="B865" s="268" t="s">
        <v>2027</v>
      </c>
      <c r="C865" s="269" t="str" cm="1">
        <f t="array" ref="C865">" "&amp;LOWER(_xlfn.REDUCE(H_unit[[#This Row],[Company]]&amp;" "&amp;H_unit[[#This Row],[Unit]],{",",".","(",")","/"},_xlfn.LAMBDA(_xlpm.txt,_xlpm.delim,SUBSTITUTE(_xlpm.txt,_xlpm.delim," "))))&amp;" "</f>
        <v xml:space="preserve"> oulun seudun sähkö  tyrnävä mäläskänsuora </v>
      </c>
      <c r="D865" s="270">
        <v>2018</v>
      </c>
      <c r="E865" s="271">
        <v>0.1</v>
      </c>
      <c r="F865" s="271"/>
      <c r="G865" s="272"/>
      <c r="H865" s="273" t="s">
        <v>1417</v>
      </c>
      <c r="I865" s="274" t="s">
        <v>1144</v>
      </c>
      <c r="J865" s="275" t="str" cm="1">
        <f t="array" ref="J865">_xlfn.XLOOKUP(TRUE,ISNUMBER(SEARCH(" "&amp;Municipality[Municipality]&amp;" ",H_unit[[#This Row],[Info string]])),Municipality[Municipality],"")</f>
        <v>Tyrnävä</v>
      </c>
      <c r="K865" s="275" t="str" cm="1">
        <f t="array" ref="K865">IF(H_unit[[#This Row],[Exact]]&lt;&gt;"","",_xlfn.XLOOKUP(TRUE,ISNUMBER(SEARCH(" "&amp;Municipality[Municipality]&amp;"n ",H_unit[[#This Row],[Info string]])),Municipality[Municipality],""))</f>
        <v/>
      </c>
      <c r="L865" s="275"/>
      <c r="M865" s="276"/>
      <c r="N865" s="275" t="str">
        <f>_xlfn.TEXTJOIN("",TRUE,H_unit[[#This Row],[Exact]],H_unit[[#This Row],[Exact+n]],H_unit[[#This Row],[Copilot]])</f>
        <v>Tyrnävä</v>
      </c>
      <c r="O865" s="275" t="str">
        <f>_xlfn.XLOOKUP(H_unit[[#This Row],[Municipality]],Municipality[Municipality],Municipality[Model],"")</f>
        <v>North</v>
      </c>
      <c r="P865" s="236"/>
    </row>
    <row r="866" spans="1:16">
      <c r="A866" s="238"/>
      <c r="B866" s="238" t="s">
        <v>2469</v>
      </c>
      <c r="C866" s="240" t="str" cm="1">
        <f t="array" ref="C866">" "&amp;LOWER(_xlfn.REDUCE(H_unit[[#This Row],[Company]]&amp;" "&amp;H_unit[[#This Row],[Unit]],{",",".","(",")","/"},_xlfn.LAMBDA(_xlpm.txt,_xlpm.delim,SUBSTITUTE(_xlpm.txt,_xlpm.delim," "))))&amp;" "</f>
        <v xml:space="preserve">  kuopio tes </v>
      </c>
      <c r="D866" s="242"/>
      <c r="E866" s="243">
        <f t="shared" ref="E866:E875" si="2">G866/10</f>
        <v>75</v>
      </c>
      <c r="F866" s="243"/>
      <c r="G866" s="247">
        <v>750</v>
      </c>
      <c r="H866" s="267"/>
      <c r="I866" s="248" t="s">
        <v>2932</v>
      </c>
      <c r="J866" s="246" t="str" cm="1">
        <f t="array" ref="J866">_xlfn.XLOOKUP(TRUE,ISNUMBER(SEARCH(" "&amp;Municipality[Municipality]&amp;" ",H_unit[[#This Row],[Info string]])),Municipality[Municipality],"")</f>
        <v>Kuopio</v>
      </c>
      <c r="K866" s="246" t="str" cm="1">
        <f t="array" ref="K866">IF(H_unit[[#This Row],[Exact]]&lt;&gt;"","",_xlfn.XLOOKUP(TRUE,ISNUMBER(SEARCH(" "&amp;Municipality[Municipality]&amp;"n ",H_unit[[#This Row],[Info string]])),Municipality[Municipality],""))</f>
        <v/>
      </c>
      <c r="L866" s="246"/>
      <c r="M866" s="244"/>
      <c r="N866" s="246" t="str">
        <f>_xlfn.TEXTJOIN("",TRUE,H_unit[[#This Row],[Exact]],H_unit[[#This Row],[Exact+n]],H_unit[[#This Row],[Copilot]])</f>
        <v>Kuopio</v>
      </c>
      <c r="O866" s="246" t="str">
        <f>_xlfn.XLOOKUP(H_unit[[#This Row],[Municipality]],Municipality[Municipality],Municipality[Model],"")</f>
        <v>East</v>
      </c>
    </row>
    <row r="867" spans="1:16">
      <c r="A867" s="238"/>
      <c r="B867" s="238" t="s">
        <v>2470</v>
      </c>
      <c r="C867" s="240" t="str" cm="1">
        <f t="array" ref="C867">" "&amp;LOWER(_xlfn.REDUCE(H_unit[[#This Row],[Company]]&amp;" "&amp;H_unit[[#This Row],[Unit]],{",",".","(",")","/"},_xlfn.LAMBDA(_xlpm.txt,_xlpm.delim,SUBSTITUTE(_xlpm.txt,_xlpm.delim," "))))&amp;" "</f>
        <v xml:space="preserve">  lahti tes </v>
      </c>
      <c r="D867" s="242"/>
      <c r="E867" s="243">
        <f t="shared" si="2"/>
        <v>40</v>
      </c>
      <c r="F867" s="243"/>
      <c r="G867" s="247">
        <v>400</v>
      </c>
      <c r="H867" s="267"/>
      <c r="I867" s="248" t="s">
        <v>2932</v>
      </c>
      <c r="J867" s="246" t="str" cm="1">
        <f t="array" ref="J867">_xlfn.XLOOKUP(TRUE,ISNUMBER(SEARCH(" "&amp;Municipality[Municipality]&amp;" ",H_unit[[#This Row],[Info string]])),Municipality[Municipality],"")</f>
        <v>Lahti</v>
      </c>
      <c r="K867" s="246" t="str" cm="1">
        <f t="array" ref="K867">IF(H_unit[[#This Row],[Exact]]&lt;&gt;"","",_xlfn.XLOOKUP(TRUE,ISNUMBER(SEARCH(" "&amp;Municipality[Municipality]&amp;"n ",H_unit[[#This Row],[Info string]])),Municipality[Municipality],""))</f>
        <v/>
      </c>
      <c r="L867" s="246"/>
      <c r="M867" s="244"/>
      <c r="N867" s="246" t="str">
        <f>_xlfn.TEXTJOIN("",TRUE,H_unit[[#This Row],[Exact]],H_unit[[#This Row],[Exact+n]],H_unit[[#This Row],[Copilot]])</f>
        <v>Lahti</v>
      </c>
      <c r="O867" s="246" t="str">
        <f>_xlfn.XLOOKUP(H_unit[[#This Row],[Municipality]],Municipality[Municipality],Municipality[Model],"")</f>
        <v>South East</v>
      </c>
    </row>
    <row r="868" spans="1:16">
      <c r="A868" s="238"/>
      <c r="B868" s="238" t="s">
        <v>2471</v>
      </c>
      <c r="C868" s="240" t="str" cm="1">
        <f t="array" ref="C868">" "&amp;LOWER(_xlfn.REDUCE(H_unit[[#This Row],[Company]]&amp;" "&amp;H_unit[[#This Row],[Unit]],{",",".","(",")","/"},_xlfn.LAMBDA(_xlpm.txt,_xlpm.delim,SUBSTITUTE(_xlpm.txt,_xlpm.delim," "))))&amp;" "</f>
        <v xml:space="preserve">  etelä-savon energia tes </v>
      </c>
      <c r="D868" s="242"/>
      <c r="E868" s="243">
        <f t="shared" si="2"/>
        <v>40</v>
      </c>
      <c r="F868" s="243"/>
      <c r="G868" s="247">
        <v>400</v>
      </c>
      <c r="H868" s="267"/>
      <c r="I868" s="248" t="s">
        <v>2932</v>
      </c>
      <c r="J868" s="246" t="str" cm="1">
        <f t="array" ref="J868">_xlfn.XLOOKUP(TRUE,ISNUMBER(SEARCH(" "&amp;Municipality[Municipality]&amp;" ",H_unit[[#This Row],[Info string]])),Municipality[Municipality],"")</f>
        <v/>
      </c>
      <c r="K868" s="246" t="str" cm="1">
        <f t="array" ref="K868">IF(H_unit[[#This Row],[Exact]]&lt;&gt;"","",_xlfn.XLOOKUP(TRUE,ISNUMBER(SEARCH(" "&amp;Municipality[Municipality]&amp;"n ",H_unit[[#This Row],[Info string]])),Municipality[Municipality],""))</f>
        <v/>
      </c>
      <c r="L868" s="246" t="s">
        <v>2761</v>
      </c>
      <c r="M868" s="244" t="s">
        <v>2939</v>
      </c>
      <c r="N868" s="246" t="str">
        <f>_xlfn.TEXTJOIN("",TRUE,H_unit[[#This Row],[Exact]],H_unit[[#This Row],[Exact+n]],H_unit[[#This Row],[Copilot]])</f>
        <v>Mikkeli</v>
      </c>
      <c r="O868" s="246" t="str">
        <f>_xlfn.XLOOKUP(H_unit[[#This Row],[Municipality]],Municipality[Municipality],Municipality[Model],"")</f>
        <v>East</v>
      </c>
    </row>
    <row r="869" spans="1:16">
      <c r="A869" s="238"/>
      <c r="B869" s="238" t="s">
        <v>2472</v>
      </c>
      <c r="C869" s="240" t="str" cm="1">
        <f t="array" ref="C869">" "&amp;LOWER(_xlfn.REDUCE(H_unit[[#This Row],[Company]]&amp;" "&amp;H_unit[[#This Row],[Unit]],{",",".","(",")","/"},_xlfn.LAMBDA(_xlpm.txt,_xlpm.delim,SUBSTITUTE(_xlpm.txt,_xlpm.delim," "))))&amp;" "</f>
        <v xml:space="preserve">  pori ev01 tes </v>
      </c>
      <c r="D869" s="242"/>
      <c r="E869" s="243">
        <f t="shared" si="2"/>
        <v>8</v>
      </c>
      <c r="F869" s="243"/>
      <c r="G869" s="247">
        <v>80</v>
      </c>
      <c r="H869" s="267"/>
      <c r="I869" s="248" t="s">
        <v>2932</v>
      </c>
      <c r="J869" s="246" t="str" cm="1">
        <f t="array" ref="J869">_xlfn.XLOOKUP(TRUE,ISNUMBER(SEARCH(" "&amp;Municipality[Municipality]&amp;" ",H_unit[[#This Row],[Info string]])),Municipality[Municipality],"")</f>
        <v>Pori</v>
      </c>
      <c r="K869" s="246" t="str" cm="1">
        <f t="array" ref="K869">IF(H_unit[[#This Row],[Exact]]&lt;&gt;"","",_xlfn.XLOOKUP(TRUE,ISNUMBER(SEARCH(" "&amp;Municipality[Municipality]&amp;"n ",H_unit[[#This Row],[Info string]])),Municipality[Municipality],""))</f>
        <v/>
      </c>
      <c r="L869" s="246"/>
      <c r="M869" s="244"/>
      <c r="N869" s="246" t="str">
        <f>_xlfn.TEXTJOIN("",TRUE,H_unit[[#This Row],[Exact]],H_unit[[#This Row],[Exact+n]],H_unit[[#This Row],[Copilot]])</f>
        <v>Pori</v>
      </c>
      <c r="O869" s="246" t="str">
        <f>_xlfn.XLOOKUP(H_unit[[#This Row],[Municipality]],Municipality[Municipality],Municipality[Model],"")</f>
        <v>West</v>
      </c>
    </row>
    <row r="870" spans="1:16">
      <c r="A870" s="238"/>
      <c r="B870" s="238" t="s">
        <v>2473</v>
      </c>
      <c r="C870" s="240" t="str" cm="1">
        <f t="array" ref="C870">" "&amp;LOWER(_xlfn.REDUCE(H_unit[[#This Row],[Company]]&amp;" "&amp;H_unit[[#This Row],[Unit]],{",",".","(",")","/"},_xlfn.LAMBDA(_xlpm.txt,_xlpm.delim,SUBSTITUTE(_xlpm.txt,_xlpm.delim," "))))&amp;" "</f>
        <v xml:space="preserve">  porvoo tes kipinätie </v>
      </c>
      <c r="D870" s="242"/>
      <c r="E870" s="243">
        <f t="shared" si="2"/>
        <v>40</v>
      </c>
      <c r="F870" s="243"/>
      <c r="G870" s="247">
        <v>400</v>
      </c>
      <c r="H870" s="267"/>
      <c r="I870" s="248" t="s">
        <v>2932</v>
      </c>
      <c r="J870" s="246" t="str" cm="1">
        <f t="array" ref="J870">_xlfn.XLOOKUP(TRUE,ISNUMBER(SEARCH(" "&amp;Municipality[Municipality]&amp;" ",H_unit[[#This Row],[Info string]])),Municipality[Municipality],"")</f>
        <v>Porvoo</v>
      </c>
      <c r="K870" s="246" t="str" cm="1">
        <f t="array" ref="K870">IF(H_unit[[#This Row],[Exact]]&lt;&gt;"","",_xlfn.XLOOKUP(TRUE,ISNUMBER(SEARCH(" "&amp;Municipality[Municipality]&amp;"n ",H_unit[[#This Row],[Info string]])),Municipality[Municipality],""))</f>
        <v/>
      </c>
      <c r="L870" s="246"/>
      <c r="M870" s="244"/>
      <c r="N870" s="246" t="str">
        <f>_xlfn.TEXTJOIN("",TRUE,H_unit[[#This Row],[Exact]],H_unit[[#This Row],[Exact+n]],H_unit[[#This Row],[Copilot]])</f>
        <v>Porvoo</v>
      </c>
      <c r="O870" s="246" t="str">
        <f>_xlfn.XLOOKUP(H_unit[[#This Row],[Municipality]],Municipality[Municipality],Municipality[Model],"")</f>
        <v>Uusimaa</v>
      </c>
      <c r="P870" s="225"/>
    </row>
    <row r="871" spans="1:16">
      <c r="A871" s="238"/>
      <c r="B871" s="238" t="s">
        <v>2474</v>
      </c>
      <c r="C871" s="240" t="str" cm="1">
        <f t="array" ref="C871">" "&amp;LOWER(_xlfn.REDUCE(H_unit[[#This Row],[Company]]&amp;" "&amp;H_unit[[#This Row],[Unit]],{",",".","(",")","/"},_xlfn.LAMBDA(_xlpm.txt,_xlpm.delim,SUBSTITUTE(_xlpm.txt,_xlpm.delim," "))))&amp;" "</f>
        <v xml:space="preserve">  pansian lämpövarasto </v>
      </c>
      <c r="D871" s="242"/>
      <c r="E871" s="243">
        <f t="shared" si="2"/>
        <v>18</v>
      </c>
      <c r="F871" s="243"/>
      <c r="G871" s="247">
        <v>180</v>
      </c>
      <c r="H871" s="267"/>
      <c r="I871" s="248" t="s">
        <v>2932</v>
      </c>
      <c r="J871" s="246" t="str" cm="1">
        <f t="array" ref="J871">_xlfn.XLOOKUP(TRUE,ISNUMBER(SEARCH(" "&amp;Municipality[Municipality]&amp;" ",H_unit[[#This Row],[Info string]])),Municipality[Municipality],"")</f>
        <v/>
      </c>
      <c r="K871" s="246" t="str" cm="1">
        <f t="array" ref="K871">IF(H_unit[[#This Row],[Exact]]&lt;&gt;"","",_xlfn.XLOOKUP(TRUE,ISNUMBER(SEARCH(" "&amp;Municipality[Municipality]&amp;"n ",H_unit[[#This Row],[Info string]])),Municipality[Municipality],""))</f>
        <v/>
      </c>
      <c r="L871" s="246" t="s">
        <v>2855</v>
      </c>
      <c r="M871" s="244" t="s">
        <v>2940</v>
      </c>
      <c r="N871" s="246" t="str">
        <f>_xlfn.TEXTJOIN("",TRUE,H_unit[[#This Row],[Exact]],H_unit[[#This Row],[Exact+n]],H_unit[[#This Row],[Copilot]])</f>
        <v>Turku</v>
      </c>
      <c r="O871" s="246" t="str">
        <f>_xlfn.XLOOKUP(H_unit[[#This Row],[Municipality]],Municipality[Municipality],Municipality[Model],"")</f>
        <v>South West</v>
      </c>
      <c r="P871" s="225"/>
    </row>
    <row r="872" spans="1:16">
      <c r="A872" s="238"/>
      <c r="B872" s="238" t="s">
        <v>1897</v>
      </c>
      <c r="C872" s="240" t="str" cm="1">
        <f t="array" ref="C872">" "&amp;LOWER(_xlfn.REDUCE(H_unit[[#This Row],[Company]]&amp;" "&amp;H_unit[[#This Row],[Unit]],{",",".","(",")","/"},_xlfn.LAMBDA(_xlpm.txt,_xlpm.delim,SUBSTITUTE(_xlpm.txt,_xlpm.delim," "))))&amp;" "</f>
        <v xml:space="preserve">  neve oy  rovaniemi </v>
      </c>
      <c r="D872" s="242"/>
      <c r="E872" s="243">
        <f t="shared" si="2"/>
        <v>40</v>
      </c>
      <c r="F872" s="243"/>
      <c r="G872" s="247">
        <v>400</v>
      </c>
      <c r="H872" s="267"/>
      <c r="I872" s="248" t="s">
        <v>2932</v>
      </c>
      <c r="J872" s="246" t="str" cm="1">
        <f t="array" ref="J872">_xlfn.XLOOKUP(TRUE,ISNUMBER(SEARCH(" "&amp;Municipality[Municipality]&amp;" ",H_unit[[#This Row],[Info string]])),Municipality[Municipality],"")</f>
        <v>Rovaniemi</v>
      </c>
      <c r="K872" s="246" t="str" cm="1">
        <f t="array" ref="K872">IF(H_unit[[#This Row],[Exact]]&lt;&gt;"","",_xlfn.XLOOKUP(TRUE,ISNUMBER(SEARCH(" "&amp;Municipality[Municipality]&amp;"n ",H_unit[[#This Row],[Info string]])),Municipality[Municipality],""))</f>
        <v/>
      </c>
      <c r="L872" s="246"/>
      <c r="M872" s="244"/>
      <c r="N872" s="246" t="str">
        <f>_xlfn.TEXTJOIN("",TRUE,H_unit[[#This Row],[Exact]],H_unit[[#This Row],[Exact+n]],H_unit[[#This Row],[Copilot]])</f>
        <v>Rovaniemi</v>
      </c>
      <c r="O872" s="246" t="str">
        <f>_xlfn.XLOOKUP(H_unit[[#This Row],[Municipality]],Municipality[Municipality],Municipality[Model],"")</f>
        <v>North</v>
      </c>
      <c r="P872" s="225"/>
    </row>
    <row r="873" spans="1:16">
      <c r="A873" s="238"/>
      <c r="B873" s="238" t="s">
        <v>2459</v>
      </c>
      <c r="C873" s="240" t="str" cm="1">
        <f t="array" ref="C873">" "&amp;LOWER(_xlfn.REDUCE(H_unit[[#This Row],[Company]]&amp;" "&amp;H_unit[[#This Row],[Unit]],{",",".","(",")","/"},_xlfn.LAMBDA(_xlpm.txt,_xlpm.delim,SUBSTITUTE(_xlpm.txt,_xlpm.delim," "))))&amp;" "</f>
        <v xml:space="preserve">  herrfors oy  ylivieska </v>
      </c>
      <c r="D873" s="242"/>
      <c r="E873" s="243">
        <f t="shared" si="2"/>
        <v>6</v>
      </c>
      <c r="F873" s="243"/>
      <c r="G873" s="247">
        <v>60</v>
      </c>
      <c r="H873" s="267"/>
      <c r="I873" s="248" t="s">
        <v>2932</v>
      </c>
      <c r="J873" s="246" t="str" cm="1">
        <f t="array" ref="J873">_xlfn.XLOOKUP(TRUE,ISNUMBER(SEARCH(" "&amp;Municipality[Municipality]&amp;" ",H_unit[[#This Row],[Info string]])),Municipality[Municipality],"")</f>
        <v>Ylivieska</v>
      </c>
      <c r="K873" s="246" t="str" cm="1">
        <f t="array" ref="K873">IF(H_unit[[#This Row],[Exact]]&lt;&gt;"","",_xlfn.XLOOKUP(TRUE,ISNUMBER(SEARCH(" "&amp;Municipality[Municipality]&amp;"n ",H_unit[[#This Row],[Info string]])),Municipality[Municipality],""))</f>
        <v/>
      </c>
      <c r="L873" s="246"/>
      <c r="M873" s="244"/>
      <c r="N873" s="246" t="str">
        <f>_xlfn.TEXTJOIN("",TRUE,H_unit[[#This Row],[Exact]],H_unit[[#This Row],[Exact+n]],H_unit[[#This Row],[Copilot]])</f>
        <v>Ylivieska</v>
      </c>
      <c r="O873" s="246" t="str">
        <f>_xlfn.XLOOKUP(H_unit[[#This Row],[Municipality]],Municipality[Municipality],Municipality[Model],"")</f>
        <v>North</v>
      </c>
      <c r="P873" s="224"/>
    </row>
    <row r="874" spans="1:16">
      <c r="A874" s="238"/>
      <c r="B874" s="238" t="s">
        <v>2475</v>
      </c>
      <c r="C874" s="240" t="str" cm="1">
        <f t="array" ref="C874">" "&amp;LOWER(_xlfn.REDUCE(H_unit[[#This Row],[Company]]&amp;" "&amp;H_unit[[#This Row],[Unit]],{",",".","(",")","/"},_xlfn.LAMBDA(_xlpm.txt,_xlpm.delim,SUBSTITUTE(_xlpm.txt,_xlpm.delim," "))))&amp;" "</f>
        <v xml:space="preserve">  lempäälän lämpö oy </v>
      </c>
      <c r="D874" s="242"/>
      <c r="E874" s="243">
        <f t="shared" si="2"/>
        <v>3</v>
      </c>
      <c r="F874" s="243"/>
      <c r="G874" s="247">
        <v>30</v>
      </c>
      <c r="H874" s="267"/>
      <c r="I874" s="248" t="s">
        <v>2932</v>
      </c>
      <c r="J874" s="246" t="str" cm="1">
        <f t="array" ref="J874">_xlfn.XLOOKUP(TRUE,ISNUMBER(SEARCH(" "&amp;Municipality[Municipality]&amp;" ",H_unit[[#This Row],[Info string]])),Municipality[Municipality],"")</f>
        <v/>
      </c>
      <c r="K874" s="246" t="str" cm="1">
        <f t="array" ref="K874">IF(H_unit[[#This Row],[Exact]]&lt;&gt;"","",_xlfn.XLOOKUP(TRUE,ISNUMBER(SEARCH(" "&amp;Municipality[Municipality]&amp;"n ",H_unit[[#This Row],[Info string]])),Municipality[Municipality],""))</f>
        <v>Lempäälä</v>
      </c>
      <c r="L874" s="246"/>
      <c r="M874" s="244"/>
      <c r="N874" s="246" t="str">
        <f>_xlfn.TEXTJOIN("",TRUE,H_unit[[#This Row],[Exact]],H_unit[[#This Row],[Exact+n]],H_unit[[#This Row],[Copilot]])</f>
        <v>Lempäälä</v>
      </c>
      <c r="O874" s="246" t="str">
        <f>_xlfn.XLOOKUP(H_unit[[#This Row],[Municipality]],Municipality[Municipality],Municipality[Model],"")</f>
        <v>Center</v>
      </c>
      <c r="P874" s="225"/>
    </row>
    <row r="875" spans="1:16">
      <c r="A875" s="238"/>
      <c r="B875" s="238" t="s">
        <v>1839</v>
      </c>
      <c r="C875" s="240" t="str" cm="1">
        <f t="array" ref="C875">" "&amp;LOWER(_xlfn.REDUCE(H_unit[[#This Row],[Company]]&amp;" "&amp;H_unit[[#This Row],[Unit]],{",",".","(",")","/"},_xlfn.LAMBDA(_xlpm.txt,_xlpm.delim,SUBSTITUTE(_xlpm.txt,_xlpm.delim," "))))&amp;" "</f>
        <v xml:space="preserve">  loimua oy  hämeenlinna </v>
      </c>
      <c r="D875" s="242"/>
      <c r="E875" s="243">
        <f t="shared" si="2"/>
        <v>40</v>
      </c>
      <c r="F875" s="243"/>
      <c r="G875" s="247">
        <v>400</v>
      </c>
      <c r="H875" s="267"/>
      <c r="I875" s="248" t="s">
        <v>2932</v>
      </c>
      <c r="J875" s="246" t="str" cm="1">
        <f t="array" ref="J875">_xlfn.XLOOKUP(TRUE,ISNUMBER(SEARCH(" "&amp;Municipality[Municipality]&amp;" ",H_unit[[#This Row],[Info string]])),Municipality[Municipality],"")</f>
        <v>Hämeenlinna</v>
      </c>
      <c r="K875" s="246" t="str" cm="1">
        <f t="array" ref="K875">IF(H_unit[[#This Row],[Exact]]&lt;&gt;"","",_xlfn.XLOOKUP(TRUE,ISNUMBER(SEARCH(" "&amp;Municipality[Municipality]&amp;"n ",H_unit[[#This Row],[Info string]])),Municipality[Municipality],""))</f>
        <v/>
      </c>
      <c r="L875" s="246"/>
      <c r="M875" s="244"/>
      <c r="N875" s="246" t="str">
        <f>_xlfn.TEXTJOIN("",TRUE,H_unit[[#This Row],[Exact]],H_unit[[#This Row],[Exact+n]],H_unit[[#This Row],[Copilot]])</f>
        <v>Hämeenlinna</v>
      </c>
      <c r="O875" s="246" t="str">
        <f>_xlfn.XLOOKUP(H_unit[[#This Row],[Municipality]],Municipality[Municipality],Municipality[Model],"")</f>
        <v>South West</v>
      </c>
      <c r="P875" s="225"/>
    </row>
    <row r="876" spans="1:16">
      <c r="A876" s="238"/>
      <c r="B876" s="238" t="s">
        <v>2415</v>
      </c>
      <c r="C876" s="240" t="str" cm="1">
        <f t="array" ref="C876">" "&amp;LOWER(_xlfn.REDUCE(H_unit[[#This Row],[Company]]&amp;" "&amp;H_unit[[#This Row],[Unit]],{",",".","(",")","/"},_xlfn.LAMBDA(_xlpm.txt,_xlpm.delim,SUBSTITUTE(_xlpm.txt,_xlpm.delim," "))))&amp;" "</f>
        <v xml:space="preserve">  vaasan voima oy </v>
      </c>
      <c r="D876" s="242"/>
      <c r="E876" s="243">
        <f>G876/100</f>
        <v>110</v>
      </c>
      <c r="F876" s="243"/>
      <c r="G876" s="247">
        <v>11000</v>
      </c>
      <c r="H876" s="267"/>
      <c r="I876" s="248" t="s">
        <v>2933</v>
      </c>
      <c r="J876" s="246" t="str" cm="1">
        <f t="array" ref="J876">_xlfn.XLOOKUP(TRUE,ISNUMBER(SEARCH(" "&amp;Municipality[Municipality]&amp;" ",H_unit[[#This Row],[Info string]])),Municipality[Municipality],"")</f>
        <v/>
      </c>
      <c r="K876" s="246" t="str" cm="1">
        <f t="array" ref="K876">IF(H_unit[[#This Row],[Exact]]&lt;&gt;"","",_xlfn.XLOOKUP(TRUE,ISNUMBER(SEARCH(" "&amp;Municipality[Municipality]&amp;"n ",H_unit[[#This Row],[Info string]])),Municipality[Municipality],""))</f>
        <v>Vaasa</v>
      </c>
      <c r="L876" s="246"/>
      <c r="M876" s="244"/>
      <c r="N876" s="246" t="str">
        <f>_xlfn.TEXTJOIN("",TRUE,H_unit[[#This Row],[Exact]],H_unit[[#This Row],[Exact+n]],H_unit[[#This Row],[Copilot]])</f>
        <v>Vaasa</v>
      </c>
      <c r="O876" s="246" t="str">
        <f>_xlfn.XLOOKUP(H_unit[[#This Row],[Municipality]],Municipality[Municipality],Municipality[Model],"")</f>
        <v>West</v>
      </c>
      <c r="P876" s="225"/>
    </row>
    <row r="877" spans="1:16">
      <c r="A877" s="238"/>
      <c r="B877" s="238" t="s">
        <v>2300</v>
      </c>
      <c r="C877" s="240" t="str" cm="1">
        <f t="array" ref="C877">" "&amp;LOWER(_xlfn.REDUCE(H_unit[[#This Row],[Company]]&amp;" "&amp;H_unit[[#This Row],[Unit]],{",",".","(",")","/"},_xlfn.LAMBDA(_xlpm.txt,_xlpm.delim,SUBSTITUTE(_xlpm.txt,_xlpm.delim," "))))&amp;" "</f>
        <v xml:space="preserve">  kainuun voima oy  kajaani </v>
      </c>
      <c r="D877" s="242"/>
      <c r="E877" s="243">
        <f>G877/10</f>
        <v>40</v>
      </c>
      <c r="F877" s="243"/>
      <c r="G877" s="247">
        <v>400</v>
      </c>
      <c r="H877" s="267"/>
      <c r="I877" s="248" t="s">
        <v>2932</v>
      </c>
      <c r="J877" s="246" t="str" cm="1">
        <f t="array" ref="J877">_xlfn.XLOOKUP(TRUE,ISNUMBER(SEARCH(" "&amp;Municipality[Municipality]&amp;" ",H_unit[[#This Row],[Info string]])),Municipality[Municipality],"")</f>
        <v>Kajaani</v>
      </c>
      <c r="K877" s="246" t="str" cm="1">
        <f t="array" ref="K877">IF(H_unit[[#This Row],[Exact]]&lt;&gt;"","",_xlfn.XLOOKUP(TRUE,ISNUMBER(SEARCH(" "&amp;Municipality[Municipality]&amp;"n ",H_unit[[#This Row],[Info string]])),Municipality[Municipality],""))</f>
        <v/>
      </c>
      <c r="L877" s="246"/>
      <c r="M877" s="244"/>
      <c r="N877" s="246" t="str">
        <f>_xlfn.TEXTJOIN("",TRUE,H_unit[[#This Row],[Exact]],H_unit[[#This Row],[Exact+n]],H_unit[[#This Row],[Copilot]])</f>
        <v>Kajaani</v>
      </c>
      <c r="O877" s="246" t="str">
        <f>_xlfn.XLOOKUP(H_unit[[#This Row],[Municipality]],Municipality[Municipality],Municipality[Model],"")</f>
        <v>East</v>
      </c>
      <c r="P877" s="225"/>
    </row>
    <row r="878" spans="1:16">
      <c r="A878" s="238"/>
      <c r="B878" s="238" t="s">
        <v>2476</v>
      </c>
      <c r="C878" s="240" t="str" cm="1">
        <f t="array" ref="C878">" "&amp;LOWER(_xlfn.REDUCE(H_unit[[#This Row],[Company]]&amp;" "&amp;H_unit[[#This Row],[Unit]],{",",".","(",")","/"},_xlfn.LAMBDA(_xlpm.txt,_xlpm.delim,SUBSTITUTE(_xlpm.txt,_xlpm.delim," "))))&amp;" "</f>
        <v xml:space="preserve">  seinäjoen voima oy </v>
      </c>
      <c r="D878" s="242"/>
      <c r="E878" s="243">
        <f>G878/10</f>
        <v>40</v>
      </c>
      <c r="F878" s="243"/>
      <c r="G878" s="247">
        <v>400</v>
      </c>
      <c r="H878" s="267"/>
      <c r="I878" s="248" t="s">
        <v>2932</v>
      </c>
      <c r="J878" s="246" t="str" cm="1">
        <f t="array" ref="J878">_xlfn.XLOOKUP(TRUE,ISNUMBER(SEARCH(" "&amp;Municipality[Municipality]&amp;" ",H_unit[[#This Row],[Info string]])),Municipality[Municipality],"")</f>
        <v/>
      </c>
      <c r="K878" s="246" t="str" cm="1">
        <f t="array" ref="K878">IF(H_unit[[#This Row],[Exact]]&lt;&gt;"","",_xlfn.XLOOKUP(TRUE,ISNUMBER(SEARCH(" "&amp;Municipality[Municipality]&amp;"n ",H_unit[[#This Row],[Info string]])),Municipality[Municipality],""))</f>
        <v/>
      </c>
      <c r="L878" s="246" t="s">
        <v>806</v>
      </c>
      <c r="M878" s="244" t="s">
        <v>2941</v>
      </c>
      <c r="N878" s="246" t="str">
        <f>_xlfn.TEXTJOIN("",TRUE,H_unit[[#This Row],[Exact]],H_unit[[#This Row],[Exact+n]],H_unit[[#This Row],[Copilot]])</f>
        <v>Seinäjoki</v>
      </c>
      <c r="O878" s="246" t="str">
        <f>_xlfn.XLOOKUP(H_unit[[#This Row],[Municipality]],Municipality[Municipality],Municipality[Model],"")</f>
        <v>West</v>
      </c>
      <c r="P878" s="225"/>
    </row>
    <row r="879" spans="1:16">
      <c r="A879" s="238"/>
      <c r="B879" s="238" t="s">
        <v>2477</v>
      </c>
      <c r="C879" s="240" t="str" cm="1">
        <f t="array" ref="C879">" "&amp;LOWER(_xlfn.REDUCE(H_unit[[#This Row],[Company]]&amp;" "&amp;H_unit[[#This Row],[Unit]],{",",".","(",")","/"},_xlfn.LAMBDA(_xlpm.txt,_xlpm.delim,SUBSTITUTE(_xlpm.txt,_xlpm.delim," "))))&amp;" "</f>
        <v xml:space="preserve">  kss energia oy  hinkismäen voimalaitos </v>
      </c>
      <c r="D879" s="242"/>
      <c r="E879" s="243">
        <f>G879/10</f>
        <v>40</v>
      </c>
      <c r="F879" s="243"/>
      <c r="G879" s="247">
        <v>400</v>
      </c>
      <c r="H879" s="267"/>
      <c r="I879" s="248" t="s">
        <v>2932</v>
      </c>
      <c r="J879" s="246" t="str" cm="1">
        <f t="array" ref="J879">_xlfn.XLOOKUP(TRUE,ISNUMBER(SEARCH(" "&amp;Municipality[Municipality]&amp;" ",H_unit[[#This Row],[Info string]])),Municipality[Municipality],"")</f>
        <v/>
      </c>
      <c r="K879" s="246" t="str" cm="1">
        <f t="array" ref="K879">IF(H_unit[[#This Row],[Exact]]&lt;&gt;"","",_xlfn.XLOOKUP(TRUE,ISNUMBER(SEARCH(" "&amp;Municipality[Municipality]&amp;"n ",H_unit[[#This Row],[Info string]])),Municipality[Municipality],""))</f>
        <v/>
      </c>
      <c r="L879" s="246" t="s">
        <v>2612</v>
      </c>
      <c r="M879" s="244" t="s">
        <v>2942</v>
      </c>
      <c r="N879" s="246" t="str">
        <f>_xlfn.TEXTJOIN("",TRUE,H_unit[[#This Row],[Exact]],H_unit[[#This Row],[Exact+n]],H_unit[[#This Row],[Copilot]])</f>
        <v>Kouvola</v>
      </c>
      <c r="O879" s="246" t="str">
        <f>_xlfn.XLOOKUP(H_unit[[#This Row],[Municipality]],Municipality[Municipality],Municipality[Model],"")</f>
        <v>South East</v>
      </c>
      <c r="P879" s="225"/>
    </row>
    <row r="880" spans="1:16">
      <c r="A880" s="238"/>
      <c r="B880" s="238" t="s">
        <v>2478</v>
      </c>
      <c r="C880" s="240" t="str" cm="1">
        <f t="array" ref="C880">" "&amp;LOWER(_xlfn.REDUCE(H_unit[[#This Row],[Company]]&amp;" "&amp;H_unit[[#This Row],[Unit]],{",",".","(",")","/"},_xlfn.LAMBDA(_xlpm.txt,_xlpm.delim,SUBSTITUTE(_xlpm.txt,_xlpm.delim," "))))&amp;" "</f>
        <v xml:space="preserve">  rauman biovoima oy </v>
      </c>
      <c r="D880" s="242"/>
      <c r="E880" s="243">
        <f>G880/10</f>
        <v>10</v>
      </c>
      <c r="F880" s="243"/>
      <c r="G880" s="247">
        <v>100</v>
      </c>
      <c r="H880" s="267"/>
      <c r="I880" s="248" t="s">
        <v>2932</v>
      </c>
      <c r="J880" s="246" t="str" cm="1">
        <f t="array" ref="J880">_xlfn.XLOOKUP(TRUE,ISNUMBER(SEARCH(" "&amp;Municipality[Municipality]&amp;" ",H_unit[[#This Row],[Info string]])),Municipality[Municipality],"")</f>
        <v>Rauman</v>
      </c>
      <c r="K880" s="246" t="str" cm="1">
        <f t="array" ref="K880">IF(H_unit[[#This Row],[Exact]]&lt;&gt;"","",_xlfn.XLOOKUP(TRUE,ISNUMBER(SEARCH(" "&amp;Municipality[Municipality]&amp;"n ",H_unit[[#This Row],[Info string]])),Municipality[Municipality],""))</f>
        <v/>
      </c>
      <c r="L880" s="246"/>
      <c r="M880" s="244"/>
      <c r="N880" s="246" t="str">
        <f>_xlfn.TEXTJOIN("",TRUE,H_unit[[#This Row],[Exact]],H_unit[[#This Row],[Exact+n]],H_unit[[#This Row],[Copilot]])</f>
        <v>Rauman</v>
      </c>
      <c r="O880" s="246" t="str">
        <f>_xlfn.XLOOKUP(H_unit[[#This Row],[Municipality]],Municipality[Municipality],Municipality[Model],"")</f>
        <v>West</v>
      </c>
      <c r="P880" s="225"/>
    </row>
    <row r="881" spans="1:17">
      <c r="A881" s="268"/>
      <c r="B881" s="268" t="s">
        <v>2334</v>
      </c>
      <c r="C881" s="269" t="str" cm="1">
        <f t="array" ref="C881">" "&amp;LOWER(_xlfn.REDUCE(H_unit[[#This Row],[Company]]&amp;" "&amp;H_unit[[#This Row],[Unit]],{",",".","(",")","/"},_xlfn.LAMBDA(_xlpm.txt,_xlpm.delim,SUBSTITUTE(_xlpm.txt,_xlpm.delim," "))))&amp;" "</f>
        <v xml:space="preserve">  lempäälän energia oy </v>
      </c>
      <c r="D881" s="270"/>
      <c r="E881" s="271">
        <f>G881/10</f>
        <v>0.5</v>
      </c>
      <c r="F881" s="271"/>
      <c r="G881" s="272">
        <v>5</v>
      </c>
      <c r="H881" s="273"/>
      <c r="I881" s="274" t="s">
        <v>2932</v>
      </c>
      <c r="J881" s="275" t="str" cm="1">
        <f t="array" ref="J881">_xlfn.XLOOKUP(TRUE,ISNUMBER(SEARCH(" "&amp;Municipality[Municipality]&amp;" ",H_unit[[#This Row],[Info string]])),Municipality[Municipality],"")</f>
        <v/>
      </c>
      <c r="K881" s="275" t="str" cm="1">
        <f t="array" ref="K881">IF(H_unit[[#This Row],[Exact]]&lt;&gt;"","",_xlfn.XLOOKUP(TRUE,ISNUMBER(SEARCH(" "&amp;Municipality[Municipality]&amp;"n ",H_unit[[#This Row],[Info string]])),Municipality[Municipality],""))</f>
        <v>Lempäälä</v>
      </c>
      <c r="L881" s="275"/>
      <c r="M881" s="276"/>
      <c r="N881" s="275" t="str">
        <f>_xlfn.TEXTJOIN("",TRUE,H_unit[[#This Row],[Exact]],H_unit[[#This Row],[Exact+n]],H_unit[[#This Row],[Copilot]])</f>
        <v>Lempäälä</v>
      </c>
      <c r="O881" s="275" t="str">
        <f>_xlfn.XLOOKUP(H_unit[[#This Row],[Municipality]],Municipality[Municipality],Municipality[Model],"")</f>
        <v>Center</v>
      </c>
      <c r="P881" s="225"/>
      <c r="Q881" s="1" t="s">
        <v>2956</v>
      </c>
    </row>
    <row r="882" spans="1:17">
      <c r="A882" s="238"/>
      <c r="B882" s="238" t="s">
        <v>2434</v>
      </c>
      <c r="C882" s="240" t="str" cm="1">
        <f t="array" ref="C882">" "&amp;LOWER(_xlfn.REDUCE(H_unit[[#This Row],[Company]]&amp;" "&amp;H_unit[[#This Row],[Unit]],{",",".","(",")","/"},_xlfn.LAMBDA(_xlpm.txt,_xlpm.delim,SUBSTITUTE(_xlpm.txt,_xlpm.delim," "))))&amp;" "</f>
        <v xml:space="preserve">  google data centre </v>
      </c>
      <c r="D882" s="242"/>
      <c r="E882" s="243">
        <v>5</v>
      </c>
      <c r="F882" s="243"/>
      <c r="G882" s="247"/>
      <c r="H882" s="267"/>
      <c r="I882" s="248" t="s">
        <v>1144</v>
      </c>
      <c r="J882" s="246" t="str" cm="1">
        <f t="array" ref="J882">_xlfn.XLOOKUP(TRUE,ISNUMBER(SEARCH(" "&amp;Municipality[Municipality]&amp;" ",H_unit[[#This Row],[Info string]])),Municipality[Municipality],"")</f>
        <v/>
      </c>
      <c r="K882" s="246" t="str" cm="1">
        <f t="array" ref="K882">IF(H_unit[[#This Row],[Exact]]&lt;&gt;"","",_xlfn.XLOOKUP(TRUE,ISNUMBER(SEARCH(" "&amp;Municipality[Municipality]&amp;"n ",H_unit[[#This Row],[Info string]])),Municipality[Municipality],""))</f>
        <v/>
      </c>
      <c r="L882" s="246" t="s">
        <v>968</v>
      </c>
      <c r="M882" s="244" t="s">
        <v>2934</v>
      </c>
      <c r="N882" s="246" t="str">
        <f>_xlfn.TEXTJOIN("",TRUE,H_unit[[#This Row],[Exact]],H_unit[[#This Row],[Exact+n]],H_unit[[#This Row],[Copilot]])</f>
        <v>Hamina</v>
      </c>
      <c r="O882" s="246" t="str">
        <f>_xlfn.XLOOKUP(H_unit[[#This Row],[Municipality]],Municipality[Municipality],Municipality[Model],"")</f>
        <v>South East</v>
      </c>
      <c r="P882" s="225"/>
      <c r="Q882" s="225" t="s">
        <v>2957</v>
      </c>
    </row>
    <row r="883" spans="1:17">
      <c r="A883" s="238"/>
      <c r="B883" s="238" t="s">
        <v>2435</v>
      </c>
      <c r="C883" s="240" t="str" cm="1">
        <f t="array" ref="C883">" "&amp;LOWER(_xlfn.REDUCE(H_unit[[#This Row],[Company]]&amp;" "&amp;H_unit[[#This Row],[Unit]],{",",".","(",")","/"},_xlfn.LAMBDA(_xlpm.txt,_xlpm.delim,SUBSTITUTE(_xlpm.txt,_xlpm.delim," "))))&amp;" "</f>
        <v xml:space="preserve">  loimua oy  hämeenlinna  vanaja </v>
      </c>
      <c r="D883" s="242"/>
      <c r="E883" s="243">
        <v>30</v>
      </c>
      <c r="F883" s="243"/>
      <c r="G883" s="247"/>
      <c r="H883" s="267"/>
      <c r="I883" s="248" t="s">
        <v>1146</v>
      </c>
      <c r="J883" s="246" t="str" cm="1">
        <f t="array" ref="J883">_xlfn.XLOOKUP(TRUE,ISNUMBER(SEARCH(" "&amp;Municipality[Municipality]&amp;" ",H_unit[[#This Row],[Info string]])),Municipality[Municipality],"")</f>
        <v>Hämeenlinna</v>
      </c>
      <c r="K883" s="246" t="str" cm="1">
        <f t="array" ref="K883">IF(H_unit[[#This Row],[Exact]]&lt;&gt;"","",_xlfn.XLOOKUP(TRUE,ISNUMBER(SEARCH(" "&amp;Municipality[Municipality]&amp;"n ",H_unit[[#This Row],[Info string]])),Municipality[Municipality],""))</f>
        <v/>
      </c>
      <c r="L883" s="246"/>
      <c r="M883" s="244"/>
      <c r="N883" s="246" t="str">
        <f>_xlfn.TEXTJOIN("",TRUE,H_unit[[#This Row],[Exact]],H_unit[[#This Row],[Exact+n]],H_unit[[#This Row],[Copilot]])</f>
        <v>Hämeenlinna</v>
      </c>
      <c r="O883" s="246" t="str">
        <f>_xlfn.XLOOKUP(H_unit[[#This Row],[Municipality]],Municipality[Municipality],Municipality[Model],"")</f>
        <v>South West</v>
      </c>
      <c r="P883" s="225"/>
      <c r="Q883" s="225" t="s">
        <v>2958</v>
      </c>
    </row>
    <row r="884" spans="1:17">
      <c r="A884" s="238"/>
      <c r="B884" s="238" t="s">
        <v>2436</v>
      </c>
      <c r="C884" s="240" t="str" cm="1">
        <f t="array" ref="C884">" "&amp;LOWER(_xlfn.REDUCE(H_unit[[#This Row],[Company]]&amp;" "&amp;H_unit[[#This Row],[Unit]],{",",".","(",")","/"},_xlfn.LAMBDA(_xlpm.txt,_xlpm.delim,SUBSTITUTE(_xlpm.txt,_xlpm.delim," "))))&amp;" "</f>
        <v xml:space="preserve">  ssab waste heat  hämeenlinna </v>
      </c>
      <c r="D884" s="242"/>
      <c r="E884" s="243">
        <v>10</v>
      </c>
      <c r="F884" s="243"/>
      <c r="G884" s="247"/>
      <c r="H884" s="267"/>
      <c r="I884" s="248" t="s">
        <v>1144</v>
      </c>
      <c r="J884" s="246" t="str" cm="1">
        <f t="array" ref="J884">_xlfn.XLOOKUP(TRUE,ISNUMBER(SEARCH(" "&amp;Municipality[Municipality]&amp;" ",H_unit[[#This Row],[Info string]])),Municipality[Municipality],"")</f>
        <v>Hämeenlinna</v>
      </c>
      <c r="K884" s="246" t="str" cm="1">
        <f t="array" ref="K884">IF(H_unit[[#This Row],[Exact]]&lt;&gt;"","",_xlfn.XLOOKUP(TRUE,ISNUMBER(SEARCH(" "&amp;Municipality[Municipality]&amp;"n ",H_unit[[#This Row],[Info string]])),Municipality[Municipality],""))</f>
        <v/>
      </c>
      <c r="L884" s="246"/>
      <c r="M884" s="244"/>
      <c r="N884" s="246" t="str">
        <f>_xlfn.TEXTJOIN("",TRUE,H_unit[[#This Row],[Exact]],H_unit[[#This Row],[Exact+n]],H_unit[[#This Row],[Copilot]])</f>
        <v>Hämeenlinna</v>
      </c>
      <c r="O884" s="246" t="str">
        <f>_xlfn.XLOOKUP(H_unit[[#This Row],[Municipality]],Municipality[Municipality],Municipality[Model],"")</f>
        <v>South West</v>
      </c>
      <c r="P884" s="225"/>
      <c r="Q884" s="225" t="s">
        <v>2959</v>
      </c>
    </row>
    <row r="885" spans="1:17">
      <c r="A885" s="238"/>
      <c r="B885" s="238" t="s">
        <v>2437</v>
      </c>
      <c r="C885" s="240" t="str" cm="1">
        <f t="array" ref="C885">" "&amp;LOWER(_xlfn.REDUCE(H_unit[[#This Row],[Company]]&amp;" "&amp;H_unit[[#This Row],[Unit]],{",",".","(",")","/"},_xlfn.LAMBDA(_xlpm.txt,_xlpm.delim,SUBSTITUTE(_xlpm.txt,_xlpm.delim," "))))&amp;" "</f>
        <v xml:space="preserve">  stora enso waste heat hp  imatra </v>
      </c>
      <c r="D885" s="242"/>
      <c r="E885" s="243">
        <v>15</v>
      </c>
      <c r="F885" s="243"/>
      <c r="G885" s="247"/>
      <c r="H885" s="267"/>
      <c r="I885" s="248" t="s">
        <v>1144</v>
      </c>
      <c r="J885" s="246" t="str" cm="1">
        <f t="array" ref="J885">_xlfn.XLOOKUP(TRUE,ISNUMBER(SEARCH(" "&amp;Municipality[Municipality]&amp;" ",H_unit[[#This Row],[Info string]])),Municipality[Municipality],"")</f>
        <v>Imatra</v>
      </c>
      <c r="K885" s="246" t="str" cm="1">
        <f t="array" ref="K885">IF(H_unit[[#This Row],[Exact]]&lt;&gt;"","",_xlfn.XLOOKUP(TRUE,ISNUMBER(SEARCH(" "&amp;Municipality[Municipality]&amp;"n ",H_unit[[#This Row],[Info string]])),Municipality[Municipality],""))</f>
        <v/>
      </c>
      <c r="L885" s="246"/>
      <c r="M885" s="244"/>
      <c r="N885" s="246" t="str">
        <f>_xlfn.TEXTJOIN("",TRUE,H_unit[[#This Row],[Exact]],H_unit[[#This Row],[Exact+n]],H_unit[[#This Row],[Copilot]])</f>
        <v>Imatra</v>
      </c>
      <c r="O885" s="246" t="str">
        <f>_xlfn.XLOOKUP(H_unit[[#This Row],[Municipality]],Municipality[Municipality],Municipality[Model],"")</f>
        <v>South East</v>
      </c>
      <c r="P885" s="225"/>
      <c r="Q885" s="278" t="s">
        <v>2960</v>
      </c>
    </row>
    <row r="886" spans="1:17">
      <c r="A886" s="238"/>
      <c r="B886" s="238" t="s">
        <v>2438</v>
      </c>
      <c r="C886" s="240" t="str" cm="1">
        <f t="array" ref="C886">" "&amp;LOWER(_xlfn.REDUCE(H_unit[[#This Row],[Company]]&amp;" "&amp;H_unit[[#This Row],[Unit]],{",",".","(",")","/"},_xlfn.LAMBDA(_xlpm.txt,_xlpm.delim,SUBSTITUTE(_xlpm.txt,_xlpm.delim," "))))&amp;" "</f>
        <v xml:space="preserve">  loiste lämpö oy  kajaani eb </v>
      </c>
      <c r="D886" s="242"/>
      <c r="E886" s="243">
        <v>100</v>
      </c>
      <c r="F886" s="243"/>
      <c r="G886" s="247"/>
      <c r="H886" s="267"/>
      <c r="I886" s="248" t="s">
        <v>1146</v>
      </c>
      <c r="J886" s="246" t="str" cm="1">
        <f t="array" ref="J886">_xlfn.XLOOKUP(TRUE,ISNUMBER(SEARCH(" "&amp;Municipality[Municipality]&amp;" ",H_unit[[#This Row],[Info string]])),Municipality[Municipality],"")</f>
        <v>Kajaani</v>
      </c>
      <c r="K886" s="246" t="str" cm="1">
        <f t="array" ref="K886">IF(H_unit[[#This Row],[Exact]]&lt;&gt;"","",_xlfn.XLOOKUP(TRUE,ISNUMBER(SEARCH(" "&amp;Municipality[Municipality]&amp;"n ",H_unit[[#This Row],[Info string]])),Municipality[Municipality],""))</f>
        <v/>
      </c>
      <c r="L886" s="246"/>
      <c r="M886" s="244"/>
      <c r="N886" s="246" t="str">
        <f>_xlfn.TEXTJOIN("",TRUE,H_unit[[#This Row],[Exact]],H_unit[[#This Row],[Exact+n]],H_unit[[#This Row],[Copilot]])</f>
        <v>Kajaani</v>
      </c>
      <c r="O886" s="246" t="str">
        <f>_xlfn.XLOOKUP(H_unit[[#This Row],[Municipality]],Municipality[Municipality],Municipality[Model],"")</f>
        <v>East</v>
      </c>
      <c r="P886" s="225"/>
      <c r="Q886" s="225" t="s">
        <v>2961</v>
      </c>
    </row>
    <row r="887" spans="1:17">
      <c r="A887" s="238"/>
      <c r="B887" s="238" t="s">
        <v>2439</v>
      </c>
      <c r="C887" s="240" t="str" cm="1">
        <f t="array" ref="C887">" "&amp;LOWER(_xlfn.REDUCE(H_unit[[#This Row],[Company]]&amp;" "&amp;H_unit[[#This Row],[Unit]],{",",".","(",")","/"},_xlfn.LAMBDA(_xlpm.txt,_xlpm.delim,SUBSTITUTE(_xlpm.txt,_xlpm.delim," "))))&amp;" "</f>
        <v xml:space="preserve">  vatajankoski oy waste heat hp </v>
      </c>
      <c r="D887" s="242"/>
      <c r="E887" s="243">
        <v>3</v>
      </c>
      <c r="F887" s="243"/>
      <c r="G887" s="247"/>
      <c r="H887" s="267"/>
      <c r="I887" s="248" t="s">
        <v>1144</v>
      </c>
      <c r="J887" s="246" t="str" cm="1">
        <f t="array" ref="J887">_xlfn.XLOOKUP(TRUE,ISNUMBER(SEARCH(" "&amp;Municipality[Municipality]&amp;" ",H_unit[[#This Row],[Info string]])),Municipality[Municipality],"")</f>
        <v/>
      </c>
      <c r="K887" s="246" t="str" cm="1">
        <f t="array" ref="K887">IF(H_unit[[#This Row],[Exact]]&lt;&gt;"","",_xlfn.XLOOKUP(TRUE,ISNUMBER(SEARCH(" "&amp;Municipality[Municipality]&amp;"n ",H_unit[[#This Row],[Info string]])),Municipality[Municipality],""))</f>
        <v/>
      </c>
      <c r="L887" s="246" t="s">
        <v>466</v>
      </c>
      <c r="M887" s="244" t="s">
        <v>2935</v>
      </c>
      <c r="N887" s="246" t="str">
        <f>_xlfn.TEXTJOIN("",TRUE,H_unit[[#This Row],[Exact]],H_unit[[#This Row],[Exact+n]],H_unit[[#This Row],[Copilot]])</f>
        <v>Kankaanpää</v>
      </c>
      <c r="O887" s="246" t="str">
        <f>_xlfn.XLOOKUP(H_unit[[#This Row],[Municipality]],Municipality[Municipality],Municipality[Model],"")</f>
        <v>West</v>
      </c>
      <c r="P887" s="225"/>
      <c r="Q887" s="225" t="s">
        <v>2962</v>
      </c>
    </row>
    <row r="888" spans="1:17">
      <c r="A888" s="238"/>
      <c r="B888" s="238" t="s">
        <v>2440</v>
      </c>
      <c r="C888" s="240" t="str" cm="1">
        <f t="array" ref="C888">" "&amp;LOWER(_xlfn.REDUCE(H_unit[[#This Row],[Company]]&amp;" "&amp;H_unit[[#This Row],[Unit]],{",",".","(",")","/"},_xlfn.LAMBDA(_xlpm.txt,_xlpm.delim,SUBSTITUTE(_xlpm.txt,_xlpm.delim," "))))&amp;" "</f>
        <v xml:space="preserve">  kotka  waste heat hp </v>
      </c>
      <c r="D888" s="242"/>
      <c r="E888" s="243">
        <v>10</v>
      </c>
      <c r="F888" s="243"/>
      <c r="G888" s="247"/>
      <c r="H888" s="267"/>
      <c r="I888" s="248" t="s">
        <v>1144</v>
      </c>
      <c r="J888" s="246" t="str" cm="1">
        <f t="array" ref="J888">_xlfn.XLOOKUP(TRUE,ISNUMBER(SEARCH(" "&amp;Municipality[Municipality]&amp;" ",H_unit[[#This Row],[Info string]])),Municipality[Municipality],"")</f>
        <v>Kotka</v>
      </c>
      <c r="K888" s="246" t="str" cm="1">
        <f t="array" ref="K888">IF(H_unit[[#This Row],[Exact]]&lt;&gt;"","",_xlfn.XLOOKUP(TRUE,ISNUMBER(SEARCH(" "&amp;Municipality[Municipality]&amp;"n ",H_unit[[#This Row],[Info string]])),Municipality[Municipality],""))</f>
        <v/>
      </c>
      <c r="L888" s="246"/>
      <c r="M888" s="244"/>
      <c r="N888" s="246" t="str">
        <f>_xlfn.TEXTJOIN("",TRUE,H_unit[[#This Row],[Exact]],H_unit[[#This Row],[Exact+n]],H_unit[[#This Row],[Copilot]])</f>
        <v>Kotka</v>
      </c>
      <c r="O888" s="246" t="str">
        <f>_xlfn.XLOOKUP(H_unit[[#This Row],[Municipality]],Municipality[Municipality],Municipality[Model],"")</f>
        <v>South East</v>
      </c>
      <c r="P888" s="225"/>
      <c r="Q888" s="225" t="s">
        <v>2963</v>
      </c>
    </row>
    <row r="889" spans="1:17">
      <c r="A889" s="238"/>
      <c r="B889" s="238" t="s">
        <v>2441</v>
      </c>
      <c r="C889" s="240" t="str" cm="1">
        <f t="array" ref="C889">" "&amp;LOWER(_xlfn.REDUCE(H_unit[[#This Row],[Company]]&amp;" "&amp;H_unit[[#This Row],[Unit]],{",",".","(",")","/"},_xlfn.LAMBDA(_xlpm.txt,_xlpm.delim,SUBSTITUTE(_xlpm.txt,_xlpm.delim," "))))&amp;" "</f>
        <v xml:space="preserve">  kangasniemi eb </v>
      </c>
      <c r="D889" s="242"/>
      <c r="E889" s="243">
        <v>2</v>
      </c>
      <c r="F889" s="243"/>
      <c r="G889" s="247"/>
      <c r="H889" s="267"/>
      <c r="I889" s="248" t="s">
        <v>1146</v>
      </c>
      <c r="J889" s="246" t="str" cm="1">
        <f t="array" ref="J889">_xlfn.XLOOKUP(TRUE,ISNUMBER(SEARCH(" "&amp;Municipality[Municipality]&amp;" ",H_unit[[#This Row],[Info string]])),Municipality[Municipality],"")</f>
        <v>Kangasniemi</v>
      </c>
      <c r="K889" s="246" t="str" cm="1">
        <f t="array" ref="K889">IF(H_unit[[#This Row],[Exact]]&lt;&gt;"","",_xlfn.XLOOKUP(TRUE,ISNUMBER(SEARCH(" "&amp;Municipality[Municipality]&amp;"n ",H_unit[[#This Row],[Info string]])),Municipality[Municipality],""))</f>
        <v/>
      </c>
      <c r="L889" s="246"/>
      <c r="M889" s="244"/>
      <c r="N889" s="246" t="str">
        <f>_xlfn.TEXTJOIN("",TRUE,H_unit[[#This Row],[Exact]],H_unit[[#This Row],[Exact+n]],H_unit[[#This Row],[Copilot]])</f>
        <v>Kangasniemi</v>
      </c>
      <c r="O889" s="246" t="str">
        <f>_xlfn.XLOOKUP(H_unit[[#This Row],[Municipality]],Municipality[Municipality],Municipality[Model],"")</f>
        <v>East</v>
      </c>
      <c r="P889" s="225"/>
      <c r="Q889" s="225" t="s">
        <v>2964</v>
      </c>
    </row>
    <row r="890" spans="1:17">
      <c r="A890" s="238"/>
      <c r="B890" s="238" t="s">
        <v>2442</v>
      </c>
      <c r="C890" s="240" t="str" cm="1">
        <f t="array" ref="C890">" "&amp;LOWER(_xlfn.REDUCE(H_unit[[#This Row],[Company]]&amp;" "&amp;H_unit[[#This Row],[Unit]],{",",".","(",")","/"},_xlfn.LAMBDA(_xlpm.txt,_xlpm.delim,SUBSTITUTE(_xlpm.txt,_xlpm.delim," "))))&amp;" "</f>
        <v xml:space="preserve">  seinäjoki  waste water hp </v>
      </c>
      <c r="D890" s="242"/>
      <c r="E890" s="243">
        <v>5</v>
      </c>
      <c r="F890" s="243"/>
      <c r="G890" s="247"/>
      <c r="H890" s="267"/>
      <c r="I890" s="248" t="s">
        <v>1144</v>
      </c>
      <c r="J890" s="246" t="str" cm="1">
        <f t="array" ref="J890">_xlfn.XLOOKUP(TRUE,ISNUMBER(SEARCH(" "&amp;Municipality[Municipality]&amp;" ",H_unit[[#This Row],[Info string]])),Municipality[Municipality],"")</f>
        <v>Seinäjoki</v>
      </c>
      <c r="K890" s="246" t="str" cm="1">
        <f t="array" ref="K890">IF(H_unit[[#This Row],[Exact]]&lt;&gt;"","",_xlfn.XLOOKUP(TRUE,ISNUMBER(SEARCH(" "&amp;Municipality[Municipality]&amp;"n ",H_unit[[#This Row],[Info string]])),Municipality[Municipality],""))</f>
        <v/>
      </c>
      <c r="L890" s="246"/>
      <c r="M890" s="244"/>
      <c r="N890" s="246" t="str">
        <f>_xlfn.TEXTJOIN("",TRUE,H_unit[[#This Row],[Exact]],H_unit[[#This Row],[Exact+n]],H_unit[[#This Row],[Copilot]])</f>
        <v>Seinäjoki</v>
      </c>
      <c r="O890" s="246" t="str">
        <f>_xlfn.XLOOKUP(H_unit[[#This Row],[Municipality]],Municipality[Municipality],Municipality[Model],"")</f>
        <v>West</v>
      </c>
      <c r="P890" s="225"/>
      <c r="Q890" s="225" t="s">
        <v>2965</v>
      </c>
    </row>
    <row r="891" spans="1:17">
      <c r="A891" s="238"/>
      <c r="B891" s="238" t="s">
        <v>2443</v>
      </c>
      <c r="C891" s="240" t="str" cm="1">
        <f t="array" ref="C891">" "&amp;LOWER(_xlfn.REDUCE(H_unit[[#This Row],[Company]]&amp;" "&amp;H_unit[[#This Row],[Unit]],{",",".","(",")","/"},_xlfn.LAMBDA(_xlpm.txt,_xlpm.delim,SUBSTITUTE(_xlpm.txt,_xlpm.delim," "))))&amp;" "</f>
        <v xml:space="preserve">  hyvinkää  sahanmäki eb </v>
      </c>
      <c r="D891" s="242"/>
      <c r="E891" s="243">
        <v>20</v>
      </c>
      <c r="F891" s="243"/>
      <c r="G891" s="247"/>
      <c r="H891" s="267"/>
      <c r="I891" s="248" t="s">
        <v>1146</v>
      </c>
      <c r="J891" s="246" t="str" cm="1">
        <f t="array" ref="J891">_xlfn.XLOOKUP(TRUE,ISNUMBER(SEARCH(" "&amp;Municipality[Municipality]&amp;" ",H_unit[[#This Row],[Info string]])),Municipality[Municipality],"")</f>
        <v>Hyvinkää</v>
      </c>
      <c r="K891" s="246" t="str" cm="1">
        <f t="array" ref="K891">IF(H_unit[[#This Row],[Exact]]&lt;&gt;"","",_xlfn.XLOOKUP(TRUE,ISNUMBER(SEARCH(" "&amp;Municipality[Municipality]&amp;"n ",H_unit[[#This Row],[Info string]])),Municipality[Municipality],""))</f>
        <v/>
      </c>
      <c r="L891" s="246"/>
      <c r="M891" s="244"/>
      <c r="N891" s="246" t="str">
        <f>_xlfn.TEXTJOIN("",TRUE,H_unit[[#This Row],[Exact]],H_unit[[#This Row],[Exact+n]],H_unit[[#This Row],[Copilot]])</f>
        <v>Hyvinkää</v>
      </c>
      <c r="O891" s="246" t="str">
        <f>_xlfn.XLOOKUP(H_unit[[#This Row],[Municipality]],Municipality[Municipality],Municipality[Model],"")</f>
        <v>Uusimaa</v>
      </c>
      <c r="P891" s="225"/>
      <c r="Q891" s="225" t="s">
        <v>2966</v>
      </c>
    </row>
    <row r="892" spans="1:17">
      <c r="A892" s="238"/>
      <c r="B892" s="238" t="s">
        <v>2444</v>
      </c>
      <c r="C892" s="240" t="str" cm="1">
        <f t="array" ref="C892">" "&amp;LOWER(_xlfn.REDUCE(H_unit[[#This Row],[Company]]&amp;" "&amp;H_unit[[#This Row],[Unit]],{",",".","(",")","/"},_xlfn.LAMBDA(_xlpm.txt,_xlpm.delim,SUBSTITUTE(_xlpm.txt,_xlpm.delim," "))))&amp;" "</f>
        <v xml:space="preserve">  nevel oy  karkkila hp </v>
      </c>
      <c r="D892" s="242"/>
      <c r="E892" s="243">
        <v>1</v>
      </c>
      <c r="F892" s="243"/>
      <c r="G892" s="247"/>
      <c r="H892" s="267"/>
      <c r="I892" s="248" t="s">
        <v>1144</v>
      </c>
      <c r="J892" s="246" t="str" cm="1">
        <f t="array" ref="J892">_xlfn.XLOOKUP(TRUE,ISNUMBER(SEARCH(" "&amp;Municipality[Municipality]&amp;" ",H_unit[[#This Row],[Info string]])),Municipality[Municipality],"")</f>
        <v>Karkkila</v>
      </c>
      <c r="K892" s="246" t="str" cm="1">
        <f t="array" ref="K892">IF(H_unit[[#This Row],[Exact]]&lt;&gt;"","",_xlfn.XLOOKUP(TRUE,ISNUMBER(SEARCH(" "&amp;Municipality[Municipality]&amp;"n ",H_unit[[#This Row],[Info string]])),Municipality[Municipality],""))</f>
        <v/>
      </c>
      <c r="L892" s="246"/>
      <c r="M892" s="244"/>
      <c r="N892" s="246" t="str">
        <f>_xlfn.TEXTJOIN("",TRUE,H_unit[[#This Row],[Exact]],H_unit[[#This Row],[Exact+n]],H_unit[[#This Row],[Copilot]])</f>
        <v>Karkkila</v>
      </c>
      <c r="O892" s="246" t="str">
        <f>_xlfn.XLOOKUP(H_unit[[#This Row],[Municipality]],Municipality[Municipality],Municipality[Model],"")</f>
        <v>Uusimaa</v>
      </c>
      <c r="P892" s="225"/>
      <c r="Q892" s="225" t="s">
        <v>2967</v>
      </c>
    </row>
    <row r="893" spans="1:17">
      <c r="A893" s="238"/>
      <c r="B893" s="238" t="s">
        <v>2445</v>
      </c>
      <c r="C893" s="240" t="str" cm="1">
        <f t="array" ref="C893">" "&amp;LOWER(_xlfn.REDUCE(H_unit[[#This Row],[Company]]&amp;" "&amp;H_unit[[#This Row],[Unit]],{",",".","(",")","/"},_xlfn.LAMBDA(_xlpm.txt,_xlpm.delim,SUBSTITUTE(_xlpm.txt,_xlpm.delim," "))))&amp;" "</f>
        <v xml:space="preserve">  keitele eb </v>
      </c>
      <c r="D893" s="242"/>
      <c r="E893" s="243">
        <v>2</v>
      </c>
      <c r="F893" s="243"/>
      <c r="G893" s="247"/>
      <c r="H893" s="267"/>
      <c r="I893" s="248" t="s">
        <v>1146</v>
      </c>
      <c r="J893" s="246" t="str" cm="1">
        <f t="array" ref="J893">_xlfn.XLOOKUP(TRUE,ISNUMBER(SEARCH(" "&amp;Municipality[Municipality]&amp;" ",H_unit[[#This Row],[Info string]])),Municipality[Municipality],"")</f>
        <v>Keitele</v>
      </c>
      <c r="K893" s="246" t="str" cm="1">
        <f t="array" ref="K893">IF(H_unit[[#This Row],[Exact]]&lt;&gt;"","",_xlfn.XLOOKUP(TRUE,ISNUMBER(SEARCH(" "&amp;Municipality[Municipality]&amp;"n ",H_unit[[#This Row],[Info string]])),Municipality[Municipality],""))</f>
        <v/>
      </c>
      <c r="L893" s="246"/>
      <c r="M893" s="244"/>
      <c r="N893" s="246" t="str">
        <f>_xlfn.TEXTJOIN("",TRUE,H_unit[[#This Row],[Exact]],H_unit[[#This Row],[Exact+n]],H_unit[[#This Row],[Copilot]])</f>
        <v>Keitele</v>
      </c>
      <c r="O893" s="246" t="str">
        <f>_xlfn.XLOOKUP(H_unit[[#This Row],[Municipality]],Municipality[Municipality],Municipality[Model],"")</f>
        <v>East</v>
      </c>
      <c r="P893" s="225"/>
      <c r="Q893" s="225" t="s">
        <v>2968</v>
      </c>
    </row>
    <row r="894" spans="1:17">
      <c r="A894" s="238"/>
      <c r="B894" s="238" t="s">
        <v>2446</v>
      </c>
      <c r="C894" s="240" t="str" cm="1">
        <f t="array" ref="C894">" "&amp;LOWER(_xlfn.REDUCE(H_unit[[#This Row],[Company]]&amp;" "&amp;H_unit[[#This Row],[Unit]],{",",".","(",")","/"},_xlfn.LAMBDA(_xlpm.txt,_xlpm.delim,SUBSTITUTE(_xlpm.txt,_xlpm.delim," "))))&amp;" "</f>
        <v xml:space="preserve">  adven oy  kuusamo eb </v>
      </c>
      <c r="D894" s="242"/>
      <c r="E894" s="243">
        <v>15</v>
      </c>
      <c r="F894" s="243"/>
      <c r="G894" s="247"/>
      <c r="H894" s="267"/>
      <c r="I894" s="248" t="s">
        <v>1146</v>
      </c>
      <c r="J894" s="246" t="str" cm="1">
        <f t="array" ref="J894">_xlfn.XLOOKUP(TRUE,ISNUMBER(SEARCH(" "&amp;Municipality[Municipality]&amp;" ",H_unit[[#This Row],[Info string]])),Municipality[Municipality],"")</f>
        <v>Kuusamo</v>
      </c>
      <c r="K894" s="246" t="str" cm="1">
        <f t="array" ref="K894">IF(H_unit[[#This Row],[Exact]]&lt;&gt;"","",_xlfn.XLOOKUP(TRUE,ISNUMBER(SEARCH(" "&amp;Municipality[Municipality]&amp;"n ",H_unit[[#This Row],[Info string]])),Municipality[Municipality],""))</f>
        <v/>
      </c>
      <c r="L894" s="246"/>
      <c r="M894" s="244"/>
      <c r="N894" s="246" t="str">
        <f>_xlfn.TEXTJOIN("",TRUE,H_unit[[#This Row],[Exact]],H_unit[[#This Row],[Exact+n]],H_unit[[#This Row],[Copilot]])</f>
        <v>Kuusamo</v>
      </c>
      <c r="O894" s="246" t="str">
        <f>_xlfn.XLOOKUP(H_unit[[#This Row],[Municipality]],Municipality[Municipality],Municipality[Model],"")</f>
        <v>North</v>
      </c>
      <c r="P894" s="225"/>
      <c r="Q894" s="225" t="s">
        <v>2969</v>
      </c>
    </row>
    <row r="895" spans="1:17">
      <c r="A895" s="238"/>
      <c r="B895" s="238" t="s">
        <v>2447</v>
      </c>
      <c r="C895" s="240" t="str" cm="1">
        <f t="array" ref="C895">" "&amp;LOWER(_xlfn.REDUCE(H_unit[[#This Row],[Company]]&amp;" "&amp;H_unit[[#This Row],[Unit]],{",",".","(",")","/"},_xlfn.LAMBDA(_xlpm.txt,_xlpm.delim,SUBSTITUTE(_xlpm.txt,_xlpm.delim," "))))&amp;" "</f>
        <v xml:space="preserve">  pansia eb </v>
      </c>
      <c r="D895" s="242"/>
      <c r="E895" s="243">
        <v>10</v>
      </c>
      <c r="F895" s="243"/>
      <c r="G895" s="247"/>
      <c r="H895" s="267"/>
      <c r="I895" s="248" t="s">
        <v>1146</v>
      </c>
      <c r="J895" s="246" t="str" cm="1">
        <f t="array" ref="J895">_xlfn.XLOOKUP(TRUE,ISNUMBER(SEARCH(" "&amp;Municipality[Municipality]&amp;" ",H_unit[[#This Row],[Info string]])),Municipality[Municipality],"")</f>
        <v/>
      </c>
      <c r="K895" s="246" t="str" cm="1">
        <f t="array" ref="K895">IF(H_unit[[#This Row],[Exact]]&lt;&gt;"","",_xlfn.XLOOKUP(TRUE,ISNUMBER(SEARCH(" "&amp;Municipality[Municipality]&amp;"n ",H_unit[[#This Row],[Info string]])),Municipality[Municipality],""))</f>
        <v/>
      </c>
      <c r="L895" s="246" t="s">
        <v>2855</v>
      </c>
      <c r="M895" s="244" t="s">
        <v>2936</v>
      </c>
      <c r="N895" s="246" t="str">
        <f>_xlfn.TEXTJOIN("",TRUE,H_unit[[#This Row],[Exact]],H_unit[[#This Row],[Exact+n]],H_unit[[#This Row],[Copilot]])</f>
        <v>Turku</v>
      </c>
      <c r="O895" s="246" t="str">
        <f>_xlfn.XLOOKUP(H_unit[[#This Row],[Municipality]],Municipality[Municipality],Municipality[Model],"")</f>
        <v>South West</v>
      </c>
      <c r="P895" s="225"/>
      <c r="Q895" s="225" t="s">
        <v>2970</v>
      </c>
    </row>
    <row r="896" spans="1:17">
      <c r="A896" s="238"/>
      <c r="B896" s="238" t="s">
        <v>2448</v>
      </c>
      <c r="C896" s="240" t="str" cm="1">
        <f t="array" ref="C896">" "&amp;LOWER(_xlfn.REDUCE(H_unit[[#This Row],[Company]]&amp;" "&amp;H_unit[[#This Row],[Unit]],{",",".","(",")","/"},_xlfn.LAMBDA(_xlpm.txt,_xlpm.delim,SUBSTITUTE(_xlpm.txt,_xlpm.delim," "))))&amp;" "</f>
        <v xml:space="preserve">  kokkola eb </v>
      </c>
      <c r="D896" s="242"/>
      <c r="E896" s="243">
        <v>120</v>
      </c>
      <c r="F896" s="243"/>
      <c r="G896" s="247"/>
      <c r="H896" s="267"/>
      <c r="I896" s="248" t="s">
        <v>1146</v>
      </c>
      <c r="J896" s="246" t="str" cm="1">
        <f t="array" ref="J896">_xlfn.XLOOKUP(TRUE,ISNUMBER(SEARCH(" "&amp;Municipality[Municipality]&amp;" ",H_unit[[#This Row],[Info string]])),Municipality[Municipality],"")</f>
        <v>Kokkola</v>
      </c>
      <c r="K896" s="246" t="str" cm="1">
        <f t="array" ref="K896">IF(H_unit[[#This Row],[Exact]]&lt;&gt;"","",_xlfn.XLOOKUP(TRUE,ISNUMBER(SEARCH(" "&amp;Municipality[Municipality]&amp;"n ",H_unit[[#This Row],[Info string]])),Municipality[Municipality],""))</f>
        <v/>
      </c>
      <c r="L896" s="246"/>
      <c r="M896" s="244"/>
      <c r="N896" s="246" t="str">
        <f>_xlfn.TEXTJOIN("",TRUE,H_unit[[#This Row],[Exact]],H_unit[[#This Row],[Exact+n]],H_unit[[#This Row],[Copilot]])</f>
        <v>Kokkola</v>
      </c>
      <c r="O896" s="246" t="str">
        <f>_xlfn.XLOOKUP(H_unit[[#This Row],[Municipality]],Municipality[Municipality],Municipality[Model],"")</f>
        <v>West</v>
      </c>
      <c r="P896" s="225"/>
      <c r="Q896" s="225" t="s">
        <v>2971</v>
      </c>
    </row>
    <row r="897" spans="1:17">
      <c r="A897" s="238"/>
      <c r="B897" s="238" t="s">
        <v>2449</v>
      </c>
      <c r="C897" s="240" t="str" cm="1">
        <f t="array" ref="C897">" "&amp;LOWER(_xlfn.REDUCE(H_unit[[#This Row],[Company]]&amp;" "&amp;H_unit[[#This Row],[Unit]],{",",".","(",")","/"},_xlfn.LAMBDA(_xlpm.txt,_xlpm.delim,SUBSTITUTE(_xlpm.txt,_xlpm.delim," "))))&amp;" "</f>
        <v xml:space="preserve">  kuopio  haapniemi eb </v>
      </c>
      <c r="D897" s="242"/>
      <c r="E897" s="243">
        <v>60</v>
      </c>
      <c r="F897" s="243"/>
      <c r="G897" s="247"/>
      <c r="H897" s="267"/>
      <c r="I897" s="248" t="s">
        <v>1146</v>
      </c>
      <c r="J897" s="246" t="str" cm="1">
        <f t="array" ref="J897">_xlfn.XLOOKUP(TRUE,ISNUMBER(SEARCH(" "&amp;Municipality[Municipality]&amp;" ",H_unit[[#This Row],[Info string]])),Municipality[Municipality],"")</f>
        <v>Kuopio</v>
      </c>
      <c r="K897" s="246" t="str" cm="1">
        <f t="array" ref="K897">IF(H_unit[[#This Row],[Exact]]&lt;&gt;"","",_xlfn.XLOOKUP(TRUE,ISNUMBER(SEARCH(" "&amp;Municipality[Municipality]&amp;"n ",H_unit[[#This Row],[Info string]])),Municipality[Municipality],""))</f>
        <v/>
      </c>
      <c r="L897" s="246"/>
      <c r="M897" s="244"/>
      <c r="N897" s="246" t="str">
        <f>_xlfn.TEXTJOIN("",TRUE,H_unit[[#This Row],[Exact]],H_unit[[#This Row],[Exact+n]],H_unit[[#This Row],[Copilot]])</f>
        <v>Kuopio</v>
      </c>
      <c r="O897" s="246" t="str">
        <f>_xlfn.XLOOKUP(H_unit[[#This Row],[Municipality]],Municipality[Municipality],Municipality[Model],"")</f>
        <v>East</v>
      </c>
      <c r="P897" s="225"/>
      <c r="Q897" s="225" t="s">
        <v>2972</v>
      </c>
    </row>
    <row r="898" spans="1:17">
      <c r="A898" s="238"/>
      <c r="B898" s="238" t="s">
        <v>2450</v>
      </c>
      <c r="C898" s="240" t="str" cm="1">
        <f t="array" ref="C898">" "&amp;LOWER(_xlfn.REDUCE(H_unit[[#This Row],[Company]]&amp;" "&amp;H_unit[[#This Row],[Unit]],{",",".","(",")","/"},_xlfn.LAMBDA(_xlpm.txt,_xlpm.delim,SUBSTITUTE(_xlpm.txt,_xlpm.delim," "))))&amp;" "</f>
        <v xml:space="preserve">  lahti eb 1 </v>
      </c>
      <c r="D898" s="242"/>
      <c r="E898" s="243">
        <v>60</v>
      </c>
      <c r="F898" s="243"/>
      <c r="G898" s="247"/>
      <c r="H898" s="267"/>
      <c r="I898" s="248" t="s">
        <v>1146</v>
      </c>
      <c r="J898" s="246" t="str" cm="1">
        <f t="array" ref="J898">_xlfn.XLOOKUP(TRUE,ISNUMBER(SEARCH(" "&amp;Municipality[Municipality]&amp;" ",H_unit[[#This Row],[Info string]])),Municipality[Municipality],"")</f>
        <v>Lahti</v>
      </c>
      <c r="K898" s="246" t="str" cm="1">
        <f t="array" ref="K898">IF(H_unit[[#This Row],[Exact]]&lt;&gt;"","",_xlfn.XLOOKUP(TRUE,ISNUMBER(SEARCH(" "&amp;Municipality[Municipality]&amp;"n ",H_unit[[#This Row],[Info string]])),Municipality[Municipality],""))</f>
        <v/>
      </c>
      <c r="L898" s="246"/>
      <c r="M898" s="244"/>
      <c r="N898" s="246" t="str">
        <f>_xlfn.TEXTJOIN("",TRUE,H_unit[[#This Row],[Exact]],H_unit[[#This Row],[Exact+n]],H_unit[[#This Row],[Copilot]])</f>
        <v>Lahti</v>
      </c>
      <c r="O898" s="246" t="str">
        <f>_xlfn.XLOOKUP(H_unit[[#This Row],[Municipality]],Municipality[Municipality],Municipality[Model],"")</f>
        <v>South East</v>
      </c>
      <c r="P898" s="225"/>
      <c r="Q898" s="225" t="s">
        <v>2973</v>
      </c>
    </row>
    <row r="899" spans="1:17">
      <c r="A899" s="238"/>
      <c r="B899" s="238" t="s">
        <v>2451</v>
      </c>
      <c r="C899" s="240" t="str" cm="1">
        <f t="array" ref="C899">" "&amp;LOWER(_xlfn.REDUCE(H_unit[[#This Row],[Company]]&amp;" "&amp;H_unit[[#This Row],[Unit]],{",",".","(",")","/"},_xlfn.LAMBDA(_xlpm.txt,_xlpm.delim,SUBSTITUTE(_xlpm.txt,_xlpm.delim," "))))&amp;" "</f>
        <v xml:space="preserve">  lahti eb 2 </v>
      </c>
      <c r="D899" s="242"/>
      <c r="E899" s="243">
        <v>60</v>
      </c>
      <c r="F899" s="243"/>
      <c r="G899" s="247"/>
      <c r="H899" s="267"/>
      <c r="I899" s="248" t="s">
        <v>1146</v>
      </c>
      <c r="J899" s="246" t="str" cm="1">
        <f t="array" ref="J899">_xlfn.XLOOKUP(TRUE,ISNUMBER(SEARCH(" "&amp;Municipality[Municipality]&amp;" ",H_unit[[#This Row],[Info string]])),Municipality[Municipality],"")</f>
        <v>Lahti</v>
      </c>
      <c r="K899" s="246" t="str" cm="1">
        <f t="array" ref="K899">IF(H_unit[[#This Row],[Exact]]&lt;&gt;"","",_xlfn.XLOOKUP(TRUE,ISNUMBER(SEARCH(" "&amp;Municipality[Municipality]&amp;"n ",H_unit[[#This Row],[Info string]])),Municipality[Municipality],""))</f>
        <v/>
      </c>
      <c r="L899" s="246"/>
      <c r="M899" s="244"/>
      <c r="N899" s="246" t="str">
        <f>_xlfn.TEXTJOIN("",TRUE,H_unit[[#This Row],[Exact]],H_unit[[#This Row],[Exact+n]],H_unit[[#This Row],[Copilot]])</f>
        <v>Lahti</v>
      </c>
      <c r="O899" s="246" t="str">
        <f>_xlfn.XLOOKUP(H_unit[[#This Row],[Municipality]],Municipality[Municipality],Municipality[Model],"")</f>
        <v>South East</v>
      </c>
      <c r="P899" s="225"/>
      <c r="Q899" s="225" t="s">
        <v>2974</v>
      </c>
    </row>
    <row r="900" spans="1:17">
      <c r="A900" s="238"/>
      <c r="B900" s="238" t="s">
        <v>2452</v>
      </c>
      <c r="C900" s="240" t="str" cm="1">
        <f t="array" ref="C900">" "&amp;LOWER(_xlfn.REDUCE(H_unit[[#This Row],[Company]]&amp;" "&amp;H_unit[[#This Row],[Unit]],{",",".","(",")","/"},_xlfn.LAMBDA(_xlpm.txt,_xlpm.delim,SUBSTITUTE(_xlpm.txt,_xlpm.delim," "))))&amp;" "</f>
        <v xml:space="preserve">  loviisa  loval oy waste heat hp </v>
      </c>
      <c r="D900" s="242"/>
      <c r="E900" s="243">
        <v>3</v>
      </c>
      <c r="F900" s="243"/>
      <c r="G900" s="247"/>
      <c r="H900" s="267"/>
      <c r="I900" s="248" t="s">
        <v>1144</v>
      </c>
      <c r="J900" s="246" t="str" cm="1">
        <f t="array" ref="J900">_xlfn.XLOOKUP(TRUE,ISNUMBER(SEARCH(" "&amp;Municipality[Municipality]&amp;" ",H_unit[[#This Row],[Info string]])),Municipality[Municipality],"")</f>
        <v>Loviisa</v>
      </c>
      <c r="K900" s="246" t="str" cm="1">
        <f t="array" ref="K900">IF(H_unit[[#This Row],[Exact]]&lt;&gt;"","",_xlfn.XLOOKUP(TRUE,ISNUMBER(SEARCH(" "&amp;Municipality[Municipality]&amp;"n ",H_unit[[#This Row],[Info string]])),Municipality[Municipality],""))</f>
        <v/>
      </c>
      <c r="L900" s="246"/>
      <c r="M900" s="244"/>
      <c r="N900" s="246" t="str">
        <f>_xlfn.TEXTJOIN("",TRUE,H_unit[[#This Row],[Exact]],H_unit[[#This Row],[Exact+n]],H_unit[[#This Row],[Copilot]])</f>
        <v>Loviisa</v>
      </c>
      <c r="O900" s="246" t="str">
        <f>_xlfn.XLOOKUP(H_unit[[#This Row],[Municipality]],Municipality[Municipality],Municipality[Model],"")</f>
        <v>Uusimaa</v>
      </c>
      <c r="P900" s="225"/>
      <c r="Q900" s="225" t="s">
        <v>2975</v>
      </c>
    </row>
    <row r="901" spans="1:17">
      <c r="A901" s="238"/>
      <c r="B901" s="238" t="s">
        <v>2453</v>
      </c>
      <c r="C901" s="240" t="str" cm="1">
        <f t="array" ref="C901">" "&amp;LOWER(_xlfn.REDUCE(H_unit[[#This Row],[Company]]&amp;" "&amp;H_unit[[#This Row],[Unit]],{",",".","(",")","/"},_xlfn.LAMBDA(_xlpm.txt,_xlpm.delim,SUBSTITUTE(_xlpm.txt,_xlpm.delim," "))))&amp;" "</f>
        <v xml:space="preserve">  mikkeli  pursiala eb </v>
      </c>
      <c r="D901" s="242"/>
      <c r="E901" s="243">
        <v>30</v>
      </c>
      <c r="F901" s="243"/>
      <c r="G901" s="247"/>
      <c r="H901" s="267"/>
      <c r="I901" s="248" t="s">
        <v>1146</v>
      </c>
      <c r="J901" s="246" t="str" cm="1">
        <f t="array" ref="J901">_xlfn.XLOOKUP(TRUE,ISNUMBER(SEARCH(" "&amp;Municipality[Municipality]&amp;" ",H_unit[[#This Row],[Info string]])),Municipality[Municipality],"")</f>
        <v>Mikkeli</v>
      </c>
      <c r="K901" s="246" t="str" cm="1">
        <f t="array" ref="K901">IF(H_unit[[#This Row],[Exact]]&lt;&gt;"","",_xlfn.XLOOKUP(TRUE,ISNUMBER(SEARCH(" "&amp;Municipality[Municipality]&amp;"n ",H_unit[[#This Row],[Info string]])),Municipality[Municipality],""))</f>
        <v/>
      </c>
      <c r="L901" s="246"/>
      <c r="M901" s="244"/>
      <c r="N901" s="246" t="str">
        <f>_xlfn.TEXTJOIN("",TRUE,H_unit[[#This Row],[Exact]],H_unit[[#This Row],[Exact+n]],H_unit[[#This Row],[Copilot]])</f>
        <v>Mikkeli</v>
      </c>
      <c r="O901" s="246" t="str">
        <f>_xlfn.XLOOKUP(H_unit[[#This Row],[Municipality]],Municipality[Municipality],Municipality[Model],"")</f>
        <v>East</v>
      </c>
      <c r="P901" s="224"/>
      <c r="Q901" s="225" t="s">
        <v>2976</v>
      </c>
    </row>
    <row r="902" spans="1:17">
      <c r="A902" s="238"/>
      <c r="B902" s="238" t="s">
        <v>2454</v>
      </c>
      <c r="C902" s="240" t="str" cm="1">
        <f t="array" ref="C902">" "&amp;LOWER(_xlfn.REDUCE(H_unit[[#This Row],[Company]]&amp;" "&amp;H_unit[[#This Row],[Unit]],{",",".","(",")","/"},_xlfn.LAMBDA(_xlpm.txt,_xlpm.delim,SUBSTITUTE(_xlpm.txt,_xlpm.delim," "))))&amp;" "</f>
        <v xml:space="preserve">  pori  aittaluoto eb </v>
      </c>
      <c r="D902" s="242"/>
      <c r="E902" s="243">
        <v>45</v>
      </c>
      <c r="F902" s="243"/>
      <c r="G902" s="247"/>
      <c r="H902" s="267"/>
      <c r="I902" s="248" t="s">
        <v>1146</v>
      </c>
      <c r="J902" s="246" t="str" cm="1">
        <f t="array" ref="J902">_xlfn.XLOOKUP(TRUE,ISNUMBER(SEARCH(" "&amp;Municipality[Municipality]&amp;" ",H_unit[[#This Row],[Info string]])),Municipality[Municipality],"")</f>
        <v>Pori</v>
      </c>
      <c r="K902" s="246" t="str" cm="1">
        <f t="array" ref="K902">IF(H_unit[[#This Row],[Exact]]&lt;&gt;"","",_xlfn.XLOOKUP(TRUE,ISNUMBER(SEARCH(" "&amp;Municipality[Municipality]&amp;"n ",H_unit[[#This Row],[Info string]])),Municipality[Municipality],""))</f>
        <v/>
      </c>
      <c r="L902" s="246"/>
      <c r="M902" s="244"/>
      <c r="N902" s="246" t="str">
        <f>_xlfn.TEXTJOIN("",TRUE,H_unit[[#This Row],[Exact]],H_unit[[#This Row],[Exact+n]],H_unit[[#This Row],[Copilot]])</f>
        <v>Pori</v>
      </c>
      <c r="O902" s="246" t="str">
        <f>_xlfn.XLOOKUP(H_unit[[#This Row],[Municipality]],Municipality[Municipality],Municipality[Model],"")</f>
        <v>West</v>
      </c>
      <c r="P902" s="225"/>
      <c r="Q902" s="225" t="s">
        <v>2977</v>
      </c>
    </row>
    <row r="903" spans="1:17">
      <c r="A903" s="238"/>
      <c r="B903" s="238" t="s">
        <v>2455</v>
      </c>
      <c r="C903" s="240" t="str" cm="1">
        <f t="array" ref="C903">" "&amp;LOWER(_xlfn.REDUCE(H_unit[[#This Row],[Company]]&amp;" "&amp;H_unit[[#This Row],[Unit]],{",",".","(",")","/"},_xlfn.LAMBDA(_xlpm.txt,_xlpm.delim,SUBSTITUTE(_xlpm.txt,_xlpm.delim," "))))&amp;" "</f>
        <v xml:space="preserve">  porvoo  2x10 mw eb </v>
      </c>
      <c r="D903" s="242"/>
      <c r="E903" s="243">
        <v>20</v>
      </c>
      <c r="F903" s="243"/>
      <c r="G903" s="247"/>
      <c r="H903" s="267"/>
      <c r="I903" s="248" t="s">
        <v>1146</v>
      </c>
      <c r="J903" s="246" t="str" cm="1">
        <f t="array" ref="J903">_xlfn.XLOOKUP(TRUE,ISNUMBER(SEARCH(" "&amp;Municipality[Municipality]&amp;" ",H_unit[[#This Row],[Info string]])),Municipality[Municipality],"")</f>
        <v>Porvoo</v>
      </c>
      <c r="K903" s="246" t="str" cm="1">
        <f t="array" ref="K903">IF(H_unit[[#This Row],[Exact]]&lt;&gt;"","",_xlfn.XLOOKUP(TRUE,ISNUMBER(SEARCH(" "&amp;Municipality[Municipality]&amp;"n ",H_unit[[#This Row],[Info string]])),Municipality[Municipality],""))</f>
        <v/>
      </c>
      <c r="L903" s="246"/>
      <c r="M903" s="244"/>
      <c r="N903" s="246" t="str">
        <f>_xlfn.TEXTJOIN("",TRUE,H_unit[[#This Row],[Exact]],H_unit[[#This Row],[Exact+n]],H_unit[[#This Row],[Copilot]])</f>
        <v>Porvoo</v>
      </c>
      <c r="O903" s="246" t="str">
        <f>_xlfn.XLOOKUP(H_unit[[#This Row],[Municipality]],Municipality[Municipality],Municipality[Model],"")</f>
        <v>Uusimaa</v>
      </c>
      <c r="P903" s="225"/>
      <c r="Q903" s="225" t="s">
        <v>2978</v>
      </c>
    </row>
    <row r="904" spans="1:17">
      <c r="A904" s="238"/>
      <c r="B904" s="238" t="s">
        <v>2456</v>
      </c>
      <c r="C904" s="240" t="str" cm="1">
        <f t="array" ref="C904">" "&amp;LOWER(_xlfn.REDUCE(H_unit[[#This Row],[Company]]&amp;" "&amp;H_unit[[#This Row],[Unit]],{",",".","(",")","/"},_xlfn.LAMBDA(_xlpm.txt,_xlpm.delim,SUBSTITUTE(_xlpm.txt,_xlpm.delim," "))))&amp;" "</f>
        <v xml:space="preserve">  tornion voima eb </v>
      </c>
      <c r="D904" s="242"/>
      <c r="E904" s="243">
        <v>40</v>
      </c>
      <c r="F904" s="243"/>
      <c r="G904" s="247"/>
      <c r="H904" s="267"/>
      <c r="I904" s="248" t="s">
        <v>1146</v>
      </c>
      <c r="J904" s="246" t="str" cm="1">
        <f t="array" ref="J904">_xlfn.XLOOKUP(TRUE,ISNUMBER(SEARCH(" "&amp;Municipality[Municipality]&amp;" ",H_unit[[#This Row],[Info string]])),Municipality[Municipality],"")</f>
        <v/>
      </c>
      <c r="K904" s="246" t="str" cm="1">
        <f t="array" ref="K904">IF(H_unit[[#This Row],[Exact]]&lt;&gt;"","",_xlfn.XLOOKUP(TRUE,ISNUMBER(SEARCH(" "&amp;Municipality[Municipality]&amp;"n ",H_unit[[#This Row],[Info string]])),Municipality[Municipality],""))</f>
        <v>Tornio</v>
      </c>
      <c r="L904" s="246"/>
      <c r="M904" s="244" t="s">
        <v>2937</v>
      </c>
      <c r="N904" s="246" t="str">
        <f>_xlfn.TEXTJOIN("",TRUE,H_unit[[#This Row],[Exact]],H_unit[[#This Row],[Exact+n]],H_unit[[#This Row],[Copilot]])</f>
        <v>Tornio</v>
      </c>
      <c r="O904" s="246" t="str">
        <f>_xlfn.XLOOKUP(H_unit[[#This Row],[Municipality]],Municipality[Municipality],Municipality[Model],"")</f>
        <v>North</v>
      </c>
      <c r="P904" s="225"/>
      <c r="Q904" s="225" t="s">
        <v>2979</v>
      </c>
    </row>
    <row r="905" spans="1:17">
      <c r="A905" s="238"/>
      <c r="B905" s="238" t="s">
        <v>2457</v>
      </c>
      <c r="C905" s="240" t="str" cm="1">
        <f t="array" ref="C905">" "&amp;LOWER(_xlfn.REDUCE(H_unit[[#This Row],[Company]]&amp;" "&amp;H_unit[[#This Row],[Unit]],{",",".","(",")","/"},_xlfn.LAMBDA(_xlpm.txt,_xlpm.delim,SUBSTITUTE(_xlpm.txt,_xlpm.delim," "))))&amp;" "</f>
        <v xml:space="preserve">  vaasa  vaskiluoto eb 1 </v>
      </c>
      <c r="D905" s="242"/>
      <c r="E905" s="243">
        <v>40</v>
      </c>
      <c r="F905" s="243"/>
      <c r="G905" s="247"/>
      <c r="H905" s="267"/>
      <c r="I905" s="248" t="s">
        <v>1146</v>
      </c>
      <c r="J905" s="246" t="str" cm="1">
        <f t="array" ref="J905">_xlfn.XLOOKUP(TRUE,ISNUMBER(SEARCH(" "&amp;Municipality[Municipality]&amp;" ",H_unit[[#This Row],[Info string]])),Municipality[Municipality],"")</f>
        <v>Vaasa</v>
      </c>
      <c r="K905" s="246" t="str" cm="1">
        <f t="array" ref="K905">IF(H_unit[[#This Row],[Exact]]&lt;&gt;"","",_xlfn.XLOOKUP(TRUE,ISNUMBER(SEARCH(" "&amp;Municipality[Municipality]&amp;"n ",H_unit[[#This Row],[Info string]])),Municipality[Municipality],""))</f>
        <v/>
      </c>
      <c r="L905" s="246"/>
      <c r="M905" s="244"/>
      <c r="N905" s="246" t="str">
        <f>_xlfn.TEXTJOIN("",TRUE,H_unit[[#This Row],[Exact]],H_unit[[#This Row],[Exact+n]],H_unit[[#This Row],[Copilot]])</f>
        <v>Vaasa</v>
      </c>
      <c r="O905" s="246" t="str">
        <f>_xlfn.XLOOKUP(H_unit[[#This Row],[Municipality]],Municipality[Municipality],Municipality[Model],"")</f>
        <v>West</v>
      </c>
      <c r="Q905" s="225" t="s">
        <v>2980</v>
      </c>
    </row>
    <row r="906" spans="1:17">
      <c r="A906" s="238"/>
      <c r="B906" s="238" t="s">
        <v>2458</v>
      </c>
      <c r="C906" s="240" t="str" cm="1">
        <f t="array" ref="C906">" "&amp;LOWER(_xlfn.REDUCE(H_unit[[#This Row],[Company]]&amp;" "&amp;H_unit[[#This Row],[Unit]],{",",".","(",")","/"},_xlfn.LAMBDA(_xlpm.txt,_xlpm.delim,SUBSTITUTE(_xlpm.txt,_xlpm.delim," "))))&amp;" "</f>
        <v xml:space="preserve">  vaasa  vaskiluoto eb new </v>
      </c>
      <c r="D906" s="242"/>
      <c r="E906" s="243">
        <v>120</v>
      </c>
      <c r="F906" s="243"/>
      <c r="G906" s="247"/>
      <c r="H906" s="267"/>
      <c r="I906" s="248" t="s">
        <v>1146</v>
      </c>
      <c r="J906" s="246" t="str" cm="1">
        <f t="array" ref="J906">_xlfn.XLOOKUP(TRUE,ISNUMBER(SEARCH(" "&amp;Municipality[Municipality]&amp;" ",H_unit[[#This Row],[Info string]])),Municipality[Municipality],"")</f>
        <v>Vaasa</v>
      </c>
      <c r="K906" s="246" t="str" cm="1">
        <f t="array" ref="K906">IF(H_unit[[#This Row],[Exact]]&lt;&gt;"","",_xlfn.XLOOKUP(TRUE,ISNUMBER(SEARCH(" "&amp;Municipality[Municipality]&amp;"n ",H_unit[[#This Row],[Info string]])),Municipality[Municipality],""))</f>
        <v/>
      </c>
      <c r="L906" s="246"/>
      <c r="M906" s="244"/>
      <c r="N906" s="246" t="str">
        <f>_xlfn.TEXTJOIN("",TRUE,H_unit[[#This Row],[Exact]],H_unit[[#This Row],[Exact+n]],H_unit[[#This Row],[Copilot]])</f>
        <v>Vaasa</v>
      </c>
      <c r="O906" s="246" t="str">
        <f>_xlfn.XLOOKUP(H_unit[[#This Row],[Municipality]],Municipality[Municipality],Municipality[Model],"")</f>
        <v>West</v>
      </c>
      <c r="Q906" s="225" t="s">
        <v>2981</v>
      </c>
    </row>
    <row r="907" spans="1:17">
      <c r="A907" s="238"/>
      <c r="B907" s="238" t="s">
        <v>2459</v>
      </c>
      <c r="C907" s="240" t="str" cm="1">
        <f t="array" ref="C907">" "&amp;LOWER(_xlfn.REDUCE(H_unit[[#This Row],[Company]]&amp;" "&amp;H_unit[[#This Row],[Unit]],{",",".","(",")","/"},_xlfn.LAMBDA(_xlpm.txt,_xlpm.delim,SUBSTITUTE(_xlpm.txt,_xlpm.delim," "))))&amp;" "</f>
        <v xml:space="preserve">  herrfors oy  ylivieska </v>
      </c>
      <c r="D907" s="242"/>
      <c r="E907" s="243">
        <v>5</v>
      </c>
      <c r="F907" s="243"/>
      <c r="G907" s="247"/>
      <c r="H907" s="267"/>
      <c r="I907" s="248" t="s">
        <v>1146</v>
      </c>
      <c r="J907" s="246" t="str" cm="1">
        <f t="array" ref="J907">_xlfn.XLOOKUP(TRUE,ISNUMBER(SEARCH(" "&amp;Municipality[Municipality]&amp;" ",H_unit[[#This Row],[Info string]])),Municipality[Municipality],"")</f>
        <v>Ylivieska</v>
      </c>
      <c r="K907" s="246" t="str" cm="1">
        <f t="array" ref="K907">IF(H_unit[[#This Row],[Exact]]&lt;&gt;"","",_xlfn.XLOOKUP(TRUE,ISNUMBER(SEARCH(" "&amp;Municipality[Municipality]&amp;"n ",H_unit[[#This Row],[Info string]])),Municipality[Municipality],""))</f>
        <v/>
      </c>
      <c r="L907" s="246"/>
      <c r="M907" s="244"/>
      <c r="N907" s="246" t="str">
        <f>_xlfn.TEXTJOIN("",TRUE,H_unit[[#This Row],[Exact]],H_unit[[#This Row],[Exact+n]],H_unit[[#This Row],[Copilot]])</f>
        <v>Ylivieska</v>
      </c>
      <c r="O907" s="246" t="str">
        <f>_xlfn.XLOOKUP(H_unit[[#This Row],[Municipality]],Municipality[Municipality],Municipality[Model],"")</f>
        <v>North</v>
      </c>
      <c r="Q907" s="225" t="s">
        <v>2982</v>
      </c>
    </row>
    <row r="908" spans="1:17">
      <c r="A908" s="238"/>
      <c r="B908" s="238" t="s">
        <v>2460</v>
      </c>
      <c r="C908" s="240" t="str" cm="1">
        <f t="array" ref="C908">" "&amp;LOWER(_xlfn.REDUCE(H_unit[[#This Row],[Company]]&amp;" "&amp;H_unit[[#This Row],[Unit]],{",",".","(",")","/"},_xlfn.LAMBDA(_xlpm.txt,_xlpm.delim,SUBSTITUTE(_xlpm.txt,_xlpm.delim," "))))&amp;" "</f>
        <v xml:space="preserve">  vsv-energia oy  uusikaupunki eb </v>
      </c>
      <c r="D908" s="242"/>
      <c r="E908" s="243">
        <v>2.6</v>
      </c>
      <c r="F908" s="243"/>
      <c r="G908" s="247"/>
      <c r="H908" s="267"/>
      <c r="I908" s="248" t="s">
        <v>1146</v>
      </c>
      <c r="J908" s="246" t="str" cm="1">
        <f t="array" ref="J908">_xlfn.XLOOKUP(TRUE,ISNUMBER(SEARCH(" "&amp;Municipality[Municipality]&amp;" ",H_unit[[#This Row],[Info string]])),Municipality[Municipality],"")</f>
        <v>Uusikaupunki</v>
      </c>
      <c r="K908" s="246" t="str" cm="1">
        <f t="array" ref="K908">IF(H_unit[[#This Row],[Exact]]&lt;&gt;"","",_xlfn.XLOOKUP(TRUE,ISNUMBER(SEARCH(" "&amp;Municipality[Municipality]&amp;"n ",H_unit[[#This Row],[Info string]])),Municipality[Municipality],""))</f>
        <v/>
      </c>
      <c r="L908" s="246"/>
      <c r="M908" s="244"/>
      <c r="N908" s="246" t="str">
        <f>_xlfn.TEXTJOIN("",TRUE,H_unit[[#This Row],[Exact]],H_unit[[#This Row],[Exact+n]],H_unit[[#This Row],[Copilot]])</f>
        <v>Uusikaupunki</v>
      </c>
      <c r="O908" s="246" t="str">
        <f>_xlfn.XLOOKUP(H_unit[[#This Row],[Municipality]],Municipality[Municipality],Municipality[Model],"")</f>
        <v>South West</v>
      </c>
      <c r="Q908" s="225" t="s">
        <v>2983</v>
      </c>
    </row>
    <row r="909" spans="1:17">
      <c r="A909" s="238"/>
      <c r="B909" s="238" t="s">
        <v>2461</v>
      </c>
      <c r="C909" s="240" t="str" cm="1">
        <f t="array" ref="C909">" "&amp;LOWER(_xlfn.REDUCE(H_unit[[#This Row],[Company]]&amp;" "&amp;H_unit[[#This Row],[Unit]],{",",".","(",")","/"},_xlfn.LAMBDA(_xlpm.txt,_xlpm.delim,SUBSTITUTE(_xlpm.txt,_xlpm.delim," "))))&amp;" "</f>
        <v xml:space="preserve">  lahti  ali-juhakkala hp </v>
      </c>
      <c r="D909" s="242"/>
      <c r="E909" s="243">
        <v>5</v>
      </c>
      <c r="F909" s="243"/>
      <c r="G909" s="247"/>
      <c r="H909" s="267"/>
      <c r="I909" s="248" t="s">
        <v>1144</v>
      </c>
      <c r="J909" s="246" t="str" cm="1">
        <f t="array" ref="J909">_xlfn.XLOOKUP(TRUE,ISNUMBER(SEARCH(" "&amp;Municipality[Municipality]&amp;" ",H_unit[[#This Row],[Info string]])),Municipality[Municipality],"")</f>
        <v>Lahti</v>
      </c>
      <c r="K909" s="246" t="str" cm="1">
        <f t="array" ref="K909">IF(H_unit[[#This Row],[Exact]]&lt;&gt;"","",_xlfn.XLOOKUP(TRUE,ISNUMBER(SEARCH(" "&amp;Municipality[Municipality]&amp;"n ",H_unit[[#This Row],[Info string]])),Municipality[Municipality],""))</f>
        <v/>
      </c>
      <c r="L909" s="246"/>
      <c r="M909" s="244"/>
      <c r="N909" s="246" t="str">
        <f>_xlfn.TEXTJOIN("",TRUE,H_unit[[#This Row],[Exact]],H_unit[[#This Row],[Exact+n]],H_unit[[#This Row],[Copilot]])</f>
        <v>Lahti</v>
      </c>
      <c r="O909" s="246" t="str">
        <f>_xlfn.XLOOKUP(H_unit[[#This Row],[Municipality]],Municipality[Municipality],Municipality[Model],"")</f>
        <v>South East</v>
      </c>
      <c r="Q909" s="225" t="s">
        <v>2984</v>
      </c>
    </row>
    <row r="910" spans="1:17">
      <c r="A910" s="238"/>
      <c r="B910" s="238" t="s">
        <v>2462</v>
      </c>
      <c r="C910" s="240" t="str" cm="1">
        <f t="array" ref="C910">" "&amp;LOWER(_xlfn.REDUCE(H_unit[[#This Row],[Company]]&amp;" "&amp;H_unit[[#This Row],[Unit]],{",",".","(",")","/"},_xlfn.LAMBDA(_xlpm.txt,_xlpm.delim,SUBSTITUTE(_xlpm.txt,_xlpm.delim," "))))&amp;" "</f>
        <v xml:space="preserve">  oulun seudun sähkö  new bio hob </v>
      </c>
      <c r="D910" s="242"/>
      <c r="E910" s="243">
        <v>20</v>
      </c>
      <c r="F910" s="243"/>
      <c r="G910" s="247"/>
      <c r="H910" s="267"/>
      <c r="I910" s="248" t="s">
        <v>1143</v>
      </c>
      <c r="J910" s="246" t="str" cm="1">
        <f t="array" ref="J910">_xlfn.XLOOKUP(TRUE,ISNUMBER(SEARCH(" "&amp;Municipality[Municipality]&amp;" ",H_unit[[#This Row],[Info string]])),Municipality[Municipality],"")</f>
        <v/>
      </c>
      <c r="K910" s="246" t="str" cm="1">
        <f t="array" ref="K910">IF(H_unit[[#This Row],[Exact]]&lt;&gt;"","",_xlfn.XLOOKUP(TRUE,ISNUMBER(SEARCH(" "&amp;Municipality[Municipality]&amp;"n ",H_unit[[#This Row],[Info string]])),Municipality[Municipality],""))</f>
        <v>Oulu</v>
      </c>
      <c r="L910" s="246"/>
      <c r="M910" s="244"/>
      <c r="N910" s="246" t="str">
        <f>_xlfn.TEXTJOIN("",TRUE,H_unit[[#This Row],[Exact]],H_unit[[#This Row],[Exact+n]],H_unit[[#This Row],[Copilot]])</f>
        <v>Oulu</v>
      </c>
      <c r="O910" s="246" t="str">
        <f>_xlfn.XLOOKUP(H_unit[[#This Row],[Municipality]],Municipality[Municipality],Municipality[Model],"")</f>
        <v>North</v>
      </c>
      <c r="Q910" s="225" t="s">
        <v>2985</v>
      </c>
    </row>
    <row r="911" spans="1:17">
      <c r="A911" s="238"/>
      <c r="B911" s="238" t="s">
        <v>2463</v>
      </c>
      <c r="C911" s="240" t="str" cm="1">
        <f t="array" ref="C911">" "&amp;LOWER(_xlfn.REDUCE(H_unit[[#This Row],[Company]]&amp;" "&amp;H_unit[[#This Row],[Unit]],{",",".","(",")","/"},_xlfn.LAMBDA(_xlpm.txt,_xlpm.delim,SUBSTITUTE(_xlpm.txt,_xlpm.delim," "))))&amp;" "</f>
        <v xml:space="preserve">  nevel oy  nokia hp </v>
      </c>
      <c r="D911" s="242"/>
      <c r="E911" s="243">
        <v>1.5</v>
      </c>
      <c r="F911" s="243"/>
      <c r="G911" s="247"/>
      <c r="H911" s="267"/>
      <c r="I911" s="248" t="s">
        <v>1144</v>
      </c>
      <c r="J911" s="246" t="str" cm="1">
        <f t="array" ref="J911">_xlfn.XLOOKUP(TRUE,ISNUMBER(SEARCH(" "&amp;Municipality[Municipality]&amp;" ",H_unit[[#This Row],[Info string]])),Municipality[Municipality],"")</f>
        <v>Nokia</v>
      </c>
      <c r="K911" s="246" t="str" cm="1">
        <f t="array" ref="K911">IF(H_unit[[#This Row],[Exact]]&lt;&gt;"","",_xlfn.XLOOKUP(TRUE,ISNUMBER(SEARCH(" "&amp;Municipality[Municipality]&amp;"n ",H_unit[[#This Row],[Info string]])),Municipality[Municipality],""))</f>
        <v/>
      </c>
      <c r="L911" s="246"/>
      <c r="M911" s="244"/>
      <c r="N911" s="246" t="str">
        <f>_xlfn.TEXTJOIN("",TRUE,H_unit[[#This Row],[Exact]],H_unit[[#This Row],[Exact+n]],H_unit[[#This Row],[Copilot]])</f>
        <v>Nokia</v>
      </c>
      <c r="O911" s="246" t="str">
        <f>_xlfn.XLOOKUP(H_unit[[#This Row],[Municipality]],Municipality[Municipality],Municipality[Model],"")</f>
        <v>Center</v>
      </c>
      <c r="Q911" s="225" t="s">
        <v>2986</v>
      </c>
    </row>
    <row r="912" spans="1:17">
      <c r="A912" s="238"/>
      <c r="B912" s="238" t="s">
        <v>2464</v>
      </c>
      <c r="C912" s="240" t="str" cm="1">
        <f t="array" ref="C912">" "&amp;LOWER(_xlfn.REDUCE(H_unit[[#This Row],[Company]]&amp;" "&amp;H_unit[[#This Row],[Unit]],{",",".","(",")","/"},_xlfn.LAMBDA(_xlpm.txt,_xlpm.delim,SUBSTITUTE(_xlpm.txt,_xlpm.delim," "))))&amp;" "</f>
        <v xml:space="preserve">  porvoo  tolkkinen hp </v>
      </c>
      <c r="D912" s="242"/>
      <c r="E912" s="243">
        <v>2</v>
      </c>
      <c r="F912" s="243"/>
      <c r="G912" s="247"/>
      <c r="H912" s="267"/>
      <c r="I912" s="248" t="s">
        <v>1144</v>
      </c>
      <c r="J912" s="246" t="str" cm="1">
        <f t="array" ref="J912">_xlfn.XLOOKUP(TRUE,ISNUMBER(SEARCH(" "&amp;Municipality[Municipality]&amp;" ",H_unit[[#This Row],[Info string]])),Municipality[Municipality],"")</f>
        <v>Porvoo</v>
      </c>
      <c r="K912" s="246" t="str" cm="1">
        <f t="array" ref="K912">IF(H_unit[[#This Row],[Exact]]&lt;&gt;"","",_xlfn.XLOOKUP(TRUE,ISNUMBER(SEARCH(" "&amp;Municipality[Municipality]&amp;"n ",H_unit[[#This Row],[Info string]])),Municipality[Municipality],""))</f>
        <v/>
      </c>
      <c r="L912" s="246"/>
      <c r="M912" s="244"/>
      <c r="N912" s="246" t="str">
        <f>_xlfn.TEXTJOIN("",TRUE,H_unit[[#This Row],[Exact]],H_unit[[#This Row],[Exact+n]],H_unit[[#This Row],[Copilot]])</f>
        <v>Porvoo</v>
      </c>
      <c r="O912" s="246" t="str">
        <f>_xlfn.XLOOKUP(H_unit[[#This Row],[Municipality]],Municipality[Municipality],Municipality[Model],"")</f>
        <v>Uusimaa</v>
      </c>
      <c r="Q912" s="225" t="s">
        <v>2987</v>
      </c>
    </row>
    <row r="913" spans="1:17">
      <c r="A913" s="238"/>
      <c r="B913" s="238" t="s">
        <v>2465</v>
      </c>
      <c r="C913" s="240" t="str" cm="1">
        <f t="array" ref="C913">" "&amp;LOWER(_xlfn.REDUCE(H_unit[[#This Row],[Company]]&amp;" "&amp;H_unit[[#This Row],[Unit]],{",",".","(",")","/"},_xlfn.LAMBDA(_xlpm.txt,_xlpm.delim,SUBSTITUTE(_xlpm.txt,_xlpm.delim," "))))&amp;" "</f>
        <v xml:space="preserve">  rovaniemi  neve hp </v>
      </c>
      <c r="D913" s="242"/>
      <c r="E913" s="243">
        <v>5</v>
      </c>
      <c r="F913" s="243"/>
      <c r="G913" s="247"/>
      <c r="H913" s="267"/>
      <c r="I913" s="248" t="s">
        <v>1144</v>
      </c>
      <c r="J913" s="246" t="str" cm="1">
        <f t="array" ref="J913">_xlfn.XLOOKUP(TRUE,ISNUMBER(SEARCH(" "&amp;Municipality[Municipality]&amp;" ",H_unit[[#This Row],[Info string]])),Municipality[Municipality],"")</f>
        <v>Rovaniemi</v>
      </c>
      <c r="K913" s="246" t="str" cm="1">
        <f t="array" ref="K913">IF(H_unit[[#This Row],[Exact]]&lt;&gt;"","",_xlfn.XLOOKUP(TRUE,ISNUMBER(SEARCH(" "&amp;Municipality[Municipality]&amp;"n ",H_unit[[#This Row],[Info string]])),Municipality[Municipality],""))</f>
        <v/>
      </c>
      <c r="L913" s="246"/>
      <c r="M913" s="244"/>
      <c r="N913" s="246" t="str">
        <f>_xlfn.TEXTJOIN("",TRUE,H_unit[[#This Row],[Exact]],H_unit[[#This Row],[Exact+n]],H_unit[[#This Row],[Copilot]])</f>
        <v>Rovaniemi</v>
      </c>
      <c r="O913" s="246" t="str">
        <f>_xlfn.XLOOKUP(H_unit[[#This Row],[Municipality]],Municipality[Municipality],Municipality[Model],"")</f>
        <v>North</v>
      </c>
      <c r="Q913" s="278" t="s">
        <v>2988</v>
      </c>
    </row>
    <row r="914" spans="1:17">
      <c r="A914" s="238"/>
      <c r="B914" s="238" t="s">
        <v>2466</v>
      </c>
      <c r="C914" s="240" t="str" cm="1">
        <f t="array" ref="C914">" "&amp;LOWER(_xlfn.REDUCE(H_unit[[#This Row],[Company]]&amp;" "&amp;H_unit[[#This Row],[Unit]],{",",".","(",")","/"},_xlfn.LAMBDA(_xlpm.txt,_xlpm.delim,SUBSTITUTE(_xlpm.txt,_xlpm.delim," "))))&amp;" "</f>
        <v xml:space="preserve">  vaasa  pått hp </v>
      </c>
      <c r="D914" s="242"/>
      <c r="E914" s="243">
        <v>12</v>
      </c>
      <c r="F914" s="243"/>
      <c r="G914" s="247"/>
      <c r="H914" s="267"/>
      <c r="I914" s="248" t="s">
        <v>1144</v>
      </c>
      <c r="J914" s="246" t="str" cm="1">
        <f t="array" ref="J914">_xlfn.XLOOKUP(TRUE,ISNUMBER(SEARCH(" "&amp;Municipality[Municipality]&amp;" ",H_unit[[#This Row],[Info string]])),Municipality[Municipality],"")</f>
        <v>Vaasa</v>
      </c>
      <c r="K914" s="246" t="str" cm="1">
        <f t="array" ref="K914">IF(H_unit[[#This Row],[Exact]]&lt;&gt;"","",_xlfn.XLOOKUP(TRUE,ISNUMBER(SEARCH(" "&amp;Municipality[Municipality]&amp;"n ",H_unit[[#This Row],[Info string]])),Municipality[Municipality],""))</f>
        <v/>
      </c>
      <c r="L914" s="246"/>
      <c r="M914" s="244"/>
      <c r="N914" s="246" t="str">
        <f>_xlfn.TEXTJOIN("",TRUE,H_unit[[#This Row],[Exact]],H_unit[[#This Row],[Exact+n]],H_unit[[#This Row],[Copilot]])</f>
        <v>Vaasa</v>
      </c>
      <c r="O914" s="246" t="str">
        <f>_xlfn.XLOOKUP(H_unit[[#This Row],[Municipality]],Municipality[Municipality],Municipality[Model],"")</f>
        <v>West</v>
      </c>
      <c r="Q914" s="225" t="s">
        <v>2989</v>
      </c>
    </row>
    <row r="915" spans="1:17">
      <c r="A915" s="238"/>
      <c r="B915" s="238" t="s">
        <v>2467</v>
      </c>
      <c r="C915" s="240" t="str" cm="1">
        <f t="array" ref="C915">" "&amp;LOWER(_xlfn.REDUCE(H_unit[[#This Row],[Company]]&amp;" "&amp;H_unit[[#This Row],[Unit]],{",",".","(",")","/"},_xlfn.LAMBDA(_xlpm.txt,_xlpm.delim,SUBSTITUTE(_xlpm.txt,_xlpm.delim," "))))&amp;" "</f>
        <v xml:space="preserve">  porvoo  waste heat hp </v>
      </c>
      <c r="D915" s="242"/>
      <c r="E915" s="243">
        <v>1</v>
      </c>
      <c r="F915" s="243"/>
      <c r="G915" s="247"/>
      <c r="H915" s="267"/>
      <c r="I915" s="248" t="s">
        <v>1144</v>
      </c>
      <c r="J915" s="246" t="str" cm="1">
        <f t="array" ref="J915">_xlfn.XLOOKUP(TRUE,ISNUMBER(SEARCH(" "&amp;Municipality[Municipality]&amp;" ",H_unit[[#This Row],[Info string]])),Municipality[Municipality],"")</f>
        <v>Porvoo</v>
      </c>
      <c r="K915" s="246" t="str" cm="1">
        <f t="array" ref="K915">IF(H_unit[[#This Row],[Exact]]&lt;&gt;"","",_xlfn.XLOOKUP(TRUE,ISNUMBER(SEARCH(" "&amp;Municipality[Municipality]&amp;"n ",H_unit[[#This Row],[Info string]])),Municipality[Municipality],""))</f>
        <v/>
      </c>
      <c r="L915" s="246"/>
      <c r="M915" s="244"/>
      <c r="N915" s="246" t="str">
        <f>_xlfn.TEXTJOIN("",TRUE,H_unit[[#This Row],[Exact]],H_unit[[#This Row],[Exact+n]],H_unit[[#This Row],[Copilot]])</f>
        <v>Porvoo</v>
      </c>
      <c r="O915" s="246" t="str">
        <f>_xlfn.XLOOKUP(H_unit[[#This Row],[Municipality]],Municipality[Municipality],Municipality[Model],"")</f>
        <v>Uusimaa</v>
      </c>
      <c r="Q915" s="225" t="s">
        <v>2965</v>
      </c>
    </row>
    <row r="916" spans="1:17">
      <c r="A916" s="238"/>
      <c r="B916" s="238" t="s">
        <v>2479</v>
      </c>
      <c r="C916" s="240" t="str" cm="1">
        <f t="array" ref="C916">" "&amp;LOWER(_xlfn.REDUCE(H_unit[[#This Row],[Company]]&amp;" "&amp;H_unit[[#This Row],[Unit]],{",",".","(",")","/"},_xlfn.LAMBDA(_xlpm.txt,_xlpm.delim,SUBSTITUTE(_xlpm.txt,_xlpm.delim," "))))&amp;" "</f>
        <v xml:space="preserve">  lappeenranta  mertanniemi </v>
      </c>
      <c r="D916" s="242"/>
      <c r="E916" s="243">
        <f t="shared" ref="E916:E920" si="3">G916/10</f>
        <v>40</v>
      </c>
      <c r="F916" s="243"/>
      <c r="G916" s="247">
        <v>400</v>
      </c>
      <c r="H916" s="267"/>
      <c r="I916" s="248" t="s">
        <v>2932</v>
      </c>
      <c r="J916" s="246" t="str" cm="1">
        <f t="array" ref="J916">_xlfn.XLOOKUP(TRUE,ISNUMBER(SEARCH(" "&amp;Municipality[Municipality]&amp;" ",H_unit[[#This Row],[Info string]])),Municipality[Municipality],"")</f>
        <v>Lappeenranta</v>
      </c>
      <c r="K916" s="246" t="str" cm="1">
        <f t="array" ref="K916">IF(H_unit[[#This Row],[Exact]]&lt;&gt;"","",_xlfn.XLOOKUP(TRUE,ISNUMBER(SEARCH(" "&amp;Municipality[Municipality]&amp;"n ",H_unit[[#This Row],[Info string]])),Municipality[Municipality],""))</f>
        <v/>
      </c>
      <c r="L916" s="246"/>
      <c r="M916" s="244"/>
      <c r="N916" s="246" t="str">
        <f>_xlfn.TEXTJOIN("",TRUE,H_unit[[#This Row],[Exact]],H_unit[[#This Row],[Exact+n]],H_unit[[#This Row],[Copilot]])</f>
        <v>Lappeenranta</v>
      </c>
      <c r="O916" s="246" t="str">
        <f>_xlfn.XLOOKUP(H_unit[[#This Row],[Municipality]],Municipality[Municipality],Municipality[Model],"")</f>
        <v>South East</v>
      </c>
      <c r="Q916" s="225" t="s">
        <v>2990</v>
      </c>
    </row>
    <row r="917" spans="1:17">
      <c r="A917" s="238"/>
      <c r="B917" s="238" t="s">
        <v>2480</v>
      </c>
      <c r="C917" s="240" t="str" cm="1">
        <f t="array" ref="C917">" "&amp;LOWER(_xlfn.REDUCE(H_unit[[#This Row],[Company]]&amp;" "&amp;H_unit[[#This Row],[Unit]],{",",".","(",")","/"},_xlfn.LAMBDA(_xlpm.txt,_xlpm.delim,SUBSTITUTE(_xlpm.txt,_xlpm.delim," "))))&amp;" "</f>
        <v xml:space="preserve">  adven oy  kuusamo tes </v>
      </c>
      <c r="D917" s="242"/>
      <c r="E917" s="243">
        <f t="shared" si="3"/>
        <v>15</v>
      </c>
      <c r="F917" s="243"/>
      <c r="G917" s="247">
        <v>150</v>
      </c>
      <c r="H917" s="267"/>
      <c r="I917" s="248" t="s">
        <v>2932</v>
      </c>
      <c r="J917" s="246" t="str" cm="1">
        <f t="array" ref="J917">_xlfn.XLOOKUP(TRUE,ISNUMBER(SEARCH(" "&amp;Municipality[Municipality]&amp;" ",H_unit[[#This Row],[Info string]])),Municipality[Municipality],"")</f>
        <v>Kuusamo</v>
      </c>
      <c r="K917" s="246" t="str" cm="1">
        <f t="array" ref="K917">IF(H_unit[[#This Row],[Exact]]&lt;&gt;"","",_xlfn.XLOOKUP(TRUE,ISNUMBER(SEARCH(" "&amp;Municipality[Municipality]&amp;"n ",H_unit[[#This Row],[Info string]])),Municipality[Municipality],""))</f>
        <v/>
      </c>
      <c r="L917" s="246"/>
      <c r="M917" s="244"/>
      <c r="N917" s="246" t="str">
        <f>_xlfn.TEXTJOIN("",TRUE,H_unit[[#This Row],[Exact]],H_unit[[#This Row],[Exact+n]],H_unit[[#This Row],[Copilot]])</f>
        <v>Kuusamo</v>
      </c>
      <c r="O917" s="246" t="str">
        <f>_xlfn.XLOOKUP(H_unit[[#This Row],[Municipality]],Municipality[Municipality],Municipality[Model],"")</f>
        <v>North</v>
      </c>
      <c r="Q917" s="279" t="s">
        <v>2969</v>
      </c>
    </row>
    <row r="918" spans="1:17">
      <c r="A918" s="238"/>
      <c r="B918" s="238" t="s">
        <v>2481</v>
      </c>
      <c r="C918" s="240" t="str" cm="1">
        <f t="array" ref="C918">" "&amp;LOWER(_xlfn.REDUCE(H_unit[[#This Row],[Company]]&amp;" "&amp;H_unit[[#This Row],[Unit]],{",",".","(",")","/"},_xlfn.LAMBDA(_xlpm.txt,_xlpm.delim,SUBSTITUTE(_xlpm.txt,_xlpm.delim," "))))&amp;" "</f>
        <v xml:space="preserve">  lahti  kymijärvi </v>
      </c>
      <c r="D918" s="242"/>
      <c r="E918" s="243">
        <f t="shared" si="3"/>
        <v>70</v>
      </c>
      <c r="F918" s="243"/>
      <c r="G918" s="247">
        <v>700</v>
      </c>
      <c r="H918" s="267"/>
      <c r="I918" s="248" t="s">
        <v>2932</v>
      </c>
      <c r="J918" s="246" t="str" cm="1">
        <f t="array" ref="J918">_xlfn.XLOOKUP(TRUE,ISNUMBER(SEARCH(" "&amp;Municipality[Municipality]&amp;" ",H_unit[[#This Row],[Info string]])),Municipality[Municipality],"")</f>
        <v>Lahti</v>
      </c>
      <c r="K918" s="246" t="str" cm="1">
        <f t="array" ref="K918">IF(H_unit[[#This Row],[Exact]]&lt;&gt;"","",_xlfn.XLOOKUP(TRUE,ISNUMBER(SEARCH(" "&amp;Municipality[Municipality]&amp;"n ",H_unit[[#This Row],[Info string]])),Municipality[Municipality],""))</f>
        <v/>
      </c>
      <c r="L918" s="246"/>
      <c r="M918" s="244"/>
      <c r="N918" s="246" t="str">
        <f>_xlfn.TEXTJOIN("",TRUE,H_unit[[#This Row],[Exact]],H_unit[[#This Row],[Exact+n]],H_unit[[#This Row],[Copilot]])</f>
        <v>Lahti</v>
      </c>
      <c r="O918" s="246" t="str">
        <f>_xlfn.XLOOKUP(H_unit[[#This Row],[Municipality]],Municipality[Municipality],Municipality[Model],"")</f>
        <v>South East</v>
      </c>
      <c r="Q918" s="225" t="s">
        <v>2974</v>
      </c>
    </row>
    <row r="919" spans="1:17">
      <c r="A919" s="238"/>
      <c r="B919" s="238" t="s">
        <v>2482</v>
      </c>
      <c r="C919" s="240" t="str" cm="1">
        <f t="array" ref="C919">" "&amp;LOWER(_xlfn.REDUCE(H_unit[[#This Row],[Company]]&amp;" "&amp;H_unit[[#This Row],[Unit]],{",",".","(",")","/"},_xlfn.LAMBDA(_xlpm.txt,_xlpm.delim,SUBSTITUTE(_xlpm.txt,_xlpm.delim," "))))&amp;" "</f>
        <v xml:space="preserve">  kokkola tes new </v>
      </c>
      <c r="D919" s="242"/>
      <c r="E919" s="243">
        <f t="shared" si="3"/>
        <v>50</v>
      </c>
      <c r="F919" s="243"/>
      <c r="G919" s="247">
        <v>500</v>
      </c>
      <c r="H919" s="267"/>
      <c r="I919" s="248" t="s">
        <v>2932</v>
      </c>
      <c r="J919" s="246" t="str" cm="1">
        <f t="array" ref="J919">_xlfn.XLOOKUP(TRUE,ISNUMBER(SEARCH(" "&amp;Municipality[Municipality]&amp;" ",H_unit[[#This Row],[Info string]])),Municipality[Municipality],"")</f>
        <v>Kokkola</v>
      </c>
      <c r="K919" s="246" t="str" cm="1">
        <f t="array" ref="K919">IF(H_unit[[#This Row],[Exact]]&lt;&gt;"","",_xlfn.XLOOKUP(TRUE,ISNUMBER(SEARCH(" "&amp;Municipality[Municipality]&amp;"n ",H_unit[[#This Row],[Info string]])),Municipality[Municipality],""))</f>
        <v/>
      </c>
      <c r="L919" s="246"/>
      <c r="M919" s="244"/>
      <c r="N919" s="246" t="str">
        <f>_xlfn.TEXTJOIN("",TRUE,H_unit[[#This Row],[Exact]],H_unit[[#This Row],[Exact+n]],H_unit[[#This Row],[Copilot]])</f>
        <v>Kokkola</v>
      </c>
      <c r="O919" s="246" t="str">
        <f>_xlfn.XLOOKUP(H_unit[[#This Row],[Municipality]],Municipality[Municipality],Municipality[Model],"")</f>
        <v>West</v>
      </c>
      <c r="Q919" s="225" t="s">
        <v>2971</v>
      </c>
    </row>
    <row r="920" spans="1:17">
      <c r="A920" s="238"/>
      <c r="B920" s="238" t="s">
        <v>2483</v>
      </c>
      <c r="C920" s="240" t="str" cm="1">
        <f t="array" ref="C920">" "&amp;LOWER(_xlfn.REDUCE(H_unit[[#This Row],[Company]]&amp;" "&amp;H_unit[[#This Row],[Unit]],{",",".","(",")","/"},_xlfn.LAMBDA(_xlpm.txt,_xlpm.delim,SUBSTITUTE(_xlpm.txt,_xlpm.delim," "))))&amp;" "</f>
        <v xml:space="preserve">  loviisa  hiekka-akku </v>
      </c>
      <c r="D920" s="242"/>
      <c r="E920" s="243">
        <f t="shared" si="3"/>
        <v>10</v>
      </c>
      <c r="F920" s="243"/>
      <c r="G920" s="247">
        <v>100</v>
      </c>
      <c r="H920" s="267"/>
      <c r="I920" s="248" t="s">
        <v>2932</v>
      </c>
      <c r="J920" s="246" t="str" cm="1">
        <f t="array" ref="J920">_xlfn.XLOOKUP(TRUE,ISNUMBER(SEARCH(" "&amp;Municipality[Municipality]&amp;" ",H_unit[[#This Row],[Info string]])),Municipality[Municipality],"")</f>
        <v>Loviisa</v>
      </c>
      <c r="K920" s="246" t="str" cm="1">
        <f t="array" ref="K920">IF(H_unit[[#This Row],[Exact]]&lt;&gt;"","",_xlfn.XLOOKUP(TRUE,ISNUMBER(SEARCH(" "&amp;Municipality[Municipality]&amp;"n ",H_unit[[#This Row],[Info string]])),Municipality[Municipality],""))</f>
        <v/>
      </c>
      <c r="L920" s="246"/>
      <c r="M920" s="244"/>
      <c r="N920" s="246" t="str">
        <f>_xlfn.TEXTJOIN("",TRUE,H_unit[[#This Row],[Exact]],H_unit[[#This Row],[Exact+n]],H_unit[[#This Row],[Copilot]])</f>
        <v>Loviisa</v>
      </c>
      <c r="O920" s="246" t="str">
        <f>_xlfn.XLOOKUP(H_unit[[#This Row],[Municipality]],Municipality[Municipality],Municipality[Model],"")</f>
        <v>Uusimaa</v>
      </c>
      <c r="Q920" s="225" t="s">
        <v>2991</v>
      </c>
    </row>
    <row r="921" spans="1:17">
      <c r="A921" s="268"/>
      <c r="B921" s="268" t="s">
        <v>2484</v>
      </c>
      <c r="C921" s="269" t="str" cm="1">
        <f t="array" ref="C921">" "&amp;LOWER(_xlfn.REDUCE(H_unit[[#This Row],[Company]]&amp;" "&amp;H_unit[[#This Row],[Unit]],{",",".","(",")","/"},_xlfn.LAMBDA(_xlpm.txt,_xlpm.delim,SUBSTITUTE(_xlpm.txt,_xlpm.delim," "))))&amp;" "</f>
        <v xml:space="preserve">  vaasan voima oy  vaskiluoto tes extension </v>
      </c>
      <c r="D921" s="270"/>
      <c r="E921" s="271">
        <f>G921/100</f>
        <v>60</v>
      </c>
      <c r="F921" s="271"/>
      <c r="G921" s="272">
        <v>6000</v>
      </c>
      <c r="H921" s="273"/>
      <c r="I921" s="274" t="s">
        <v>2933</v>
      </c>
      <c r="J921" s="275" t="str" cm="1">
        <f t="array" ref="J921">_xlfn.XLOOKUP(TRUE,ISNUMBER(SEARCH(" "&amp;Municipality[Municipality]&amp;" ",H_unit[[#This Row],[Info string]])),Municipality[Municipality],"")</f>
        <v/>
      </c>
      <c r="K921" s="275" t="str" cm="1">
        <f t="array" ref="K921">IF(H_unit[[#This Row],[Exact]]&lt;&gt;"","",_xlfn.XLOOKUP(TRUE,ISNUMBER(SEARCH(" "&amp;Municipality[Municipality]&amp;"n ",H_unit[[#This Row],[Info string]])),Municipality[Municipality],""))</f>
        <v>Vaasa</v>
      </c>
      <c r="L921" s="275"/>
      <c r="M921" s="276"/>
      <c r="N921" s="275" t="str">
        <f>_xlfn.TEXTJOIN("",TRUE,H_unit[[#This Row],[Exact]],H_unit[[#This Row],[Exact+n]],H_unit[[#This Row],[Copilot]])</f>
        <v>Vaasa</v>
      </c>
      <c r="O921" s="275" t="str">
        <f>_xlfn.XLOOKUP(H_unit[[#This Row],[Municipality]],Municipality[Municipality],Municipality[Model],"")</f>
        <v>West</v>
      </c>
      <c r="Q921" s="225" t="s">
        <v>2992</v>
      </c>
    </row>
    <row r="922" spans="1:17">
      <c r="A922" s="238"/>
      <c r="B922" s="238" t="s">
        <v>2468</v>
      </c>
      <c r="C922" s="240" t="str" cm="1">
        <f t="array" ref="C922">" "&amp;LOWER(_xlfn.REDUCE(H_unit[[#This Row],[Company]]&amp;" "&amp;H_unit[[#This Row],[Unit]],{",",".","(",")","/"},_xlfn.LAMBDA(_xlpm.txt,_xlpm.delim,SUBSTITUTE(_xlpm.txt,_xlpm.delim," "))))&amp;" "</f>
        <v xml:space="preserve">  lapeenranta data centre hp </v>
      </c>
      <c r="D922" s="242"/>
      <c r="E922" s="243">
        <v>24</v>
      </c>
      <c r="F922" s="243"/>
      <c r="G922" s="247"/>
      <c r="H922" s="267"/>
      <c r="I922" s="248" t="s">
        <v>1144</v>
      </c>
      <c r="J922" s="246" t="str" cm="1">
        <f t="array" ref="J922">_xlfn.XLOOKUP(TRUE,ISNUMBER(SEARCH(" "&amp;Municipality[Municipality]&amp;" ",H_unit[[#This Row],[Info string]])),Municipality[Municipality],"")</f>
        <v/>
      </c>
      <c r="K922" s="246" t="str" cm="1">
        <f t="array" ref="K922">IF(H_unit[[#This Row],[Exact]]&lt;&gt;"","",_xlfn.XLOOKUP(TRUE,ISNUMBER(SEARCH(" "&amp;Municipality[Municipality]&amp;"n ",H_unit[[#This Row],[Info string]])),Municipality[Municipality],""))</f>
        <v/>
      </c>
      <c r="L922" s="246" t="s">
        <v>980</v>
      </c>
      <c r="M922" s="244" t="s">
        <v>2938</v>
      </c>
      <c r="N922" s="246" t="str">
        <f>_xlfn.TEXTJOIN("",TRUE,H_unit[[#This Row],[Exact]],H_unit[[#This Row],[Exact+n]],H_unit[[#This Row],[Copilot]])</f>
        <v>Lappeenranta</v>
      </c>
      <c r="O922" s="246" t="str">
        <f>_xlfn.XLOOKUP(H_unit[[#This Row],[Municipality]],Municipality[Municipality],Municipality[Model],"")</f>
        <v>South East</v>
      </c>
      <c r="Q922" s="279" t="s">
        <v>2967</v>
      </c>
    </row>
    <row r="944" spans="13:16">
      <c r="M944" s="225"/>
      <c r="N944" s="225"/>
      <c r="O944" s="225"/>
      <c r="P944" s="225"/>
    </row>
    <row r="948" spans="5:16">
      <c r="M948" s="225"/>
      <c r="N948" s="225"/>
      <c r="O948" s="225"/>
      <c r="P948" s="225"/>
    </row>
    <row r="950" spans="5:16">
      <c r="M950" s="225"/>
      <c r="N950" s="225"/>
      <c r="O950" s="225"/>
      <c r="P950" s="225"/>
    </row>
    <row r="952" spans="5:16">
      <c r="M952" s="225"/>
      <c r="N952" s="225"/>
      <c r="O952" s="225"/>
      <c r="P952" s="225"/>
    </row>
    <row r="954" spans="5:16">
      <c r="M954" s="225"/>
      <c r="N954" s="225"/>
      <c r="O954" s="225"/>
      <c r="P954" s="225"/>
    </row>
    <row r="958" spans="5:16">
      <c r="M958" s="226"/>
      <c r="N958" s="226"/>
      <c r="O958" s="226"/>
      <c r="P958" s="226"/>
    </row>
    <row r="959" spans="5:16">
      <c r="M959" s="226"/>
      <c r="N959" s="226"/>
      <c r="O959" s="226"/>
      <c r="P959" s="226"/>
    </row>
    <row r="960" spans="5:16">
      <c r="E960" s="226"/>
      <c r="F960" s="226"/>
      <c r="L960" s="226"/>
      <c r="M960" s="226"/>
      <c r="N960" s="226"/>
      <c r="O960" s="226"/>
      <c r="P960" s="226"/>
    </row>
    <row r="961" spans="5:16">
      <c r="E961" s="226"/>
      <c r="F961" s="226"/>
      <c r="L961" s="226"/>
      <c r="M961" s="226"/>
      <c r="N961" s="226"/>
      <c r="O961" s="226"/>
      <c r="P961" s="226"/>
    </row>
    <row r="962" spans="5:16">
      <c r="E962" s="226"/>
      <c r="F962" s="226"/>
      <c r="L962" s="226"/>
      <c r="M962" s="226"/>
      <c r="N962" s="226"/>
      <c r="O962" s="226"/>
      <c r="P962" s="226"/>
    </row>
    <row r="963" spans="5:16">
      <c r="E963" s="226"/>
      <c r="F963" s="226"/>
      <c r="L963" s="226"/>
      <c r="M963" s="226"/>
      <c r="N963" s="226"/>
      <c r="O963" s="226"/>
      <c r="P963" s="226"/>
    </row>
    <row r="964" spans="5:16">
      <c r="E964" s="226"/>
      <c r="F964" s="226"/>
      <c r="L964" s="226"/>
      <c r="M964" s="226"/>
      <c r="N964" s="226"/>
      <c r="O964" s="226"/>
      <c r="P964" s="226"/>
    </row>
    <row r="965" spans="5:16">
      <c r="E965" s="226"/>
      <c r="F965" s="226"/>
      <c r="L965" s="226"/>
      <c r="M965" s="226"/>
      <c r="N965" s="226"/>
      <c r="O965" s="226"/>
      <c r="P965" s="226"/>
    </row>
    <row r="966" spans="5:16">
      <c r="E966" s="226"/>
      <c r="F966" s="226"/>
      <c r="L966" s="226"/>
      <c r="M966" s="226"/>
      <c r="N966" s="226"/>
      <c r="O966" s="226"/>
      <c r="P966" s="226"/>
    </row>
    <row r="967" spans="5:16">
      <c r="E967" s="226"/>
      <c r="F967" s="226"/>
      <c r="L967" s="226"/>
      <c r="M967" s="226"/>
      <c r="N967" s="226"/>
      <c r="O967" s="226"/>
      <c r="P967" s="226"/>
    </row>
    <row r="968" spans="5:16">
      <c r="E968" s="228"/>
      <c r="F968" s="228"/>
      <c r="L968" s="226"/>
      <c r="M968" s="226"/>
      <c r="N968" s="226"/>
      <c r="O968" s="226"/>
      <c r="P968" s="226"/>
    </row>
    <row r="969" spans="5:16">
      <c r="L969" s="226"/>
      <c r="M969" s="226"/>
      <c r="N969" s="226"/>
      <c r="O969" s="226"/>
      <c r="P969" s="226"/>
    </row>
    <row r="970" spans="5:16">
      <c r="L970" s="226"/>
      <c r="M970" s="226"/>
      <c r="N970" s="226"/>
      <c r="O970" s="226"/>
      <c r="P970" s="226"/>
    </row>
    <row r="971" spans="5:16">
      <c r="L971" s="226"/>
      <c r="M971" s="226"/>
      <c r="N971" s="226"/>
      <c r="O971" s="226"/>
      <c r="P971" s="226"/>
    </row>
    <row r="972" spans="5:16">
      <c r="L972" s="226"/>
      <c r="M972" s="226"/>
      <c r="N972" s="226"/>
      <c r="O972" s="226"/>
      <c r="P972" s="226"/>
    </row>
    <row r="973" spans="5:16">
      <c r="L973" s="226"/>
      <c r="M973" s="226"/>
      <c r="N973" s="226"/>
      <c r="O973" s="226"/>
      <c r="P973" s="226"/>
    </row>
    <row r="974" spans="5:16">
      <c r="L974" s="226"/>
      <c r="M974" s="226"/>
      <c r="N974" s="226"/>
      <c r="O974" s="226"/>
      <c r="P974" s="226"/>
    </row>
    <row r="975" spans="5:16">
      <c r="L975" s="226"/>
      <c r="M975" s="226"/>
      <c r="N975" s="226"/>
      <c r="O975" s="226"/>
      <c r="P975" s="226"/>
    </row>
    <row r="976" spans="5:16">
      <c r="L976" s="226"/>
      <c r="M976" s="226"/>
      <c r="N976" s="226"/>
      <c r="O976" s="226"/>
      <c r="P976" s="226"/>
    </row>
    <row r="977" spans="12:16">
      <c r="L977" s="226"/>
      <c r="M977" s="226"/>
      <c r="N977" s="226"/>
      <c r="O977" s="226"/>
      <c r="P977" s="226"/>
    </row>
    <row r="978" spans="12:16">
      <c r="L978" s="226"/>
      <c r="M978" s="226"/>
      <c r="N978" s="226"/>
      <c r="O978" s="226"/>
      <c r="P978" s="226"/>
    </row>
    <row r="979" spans="12:16">
      <c r="L979" s="226"/>
      <c r="M979" s="226"/>
      <c r="N979" s="226"/>
      <c r="O979" s="226"/>
      <c r="P979" s="226"/>
    </row>
    <row r="980" spans="12:16">
      <c r="L980" s="226"/>
      <c r="M980" s="226"/>
      <c r="N980" s="226"/>
      <c r="O980" s="226"/>
      <c r="P980" s="226"/>
    </row>
    <row r="981" spans="12:16">
      <c r="L981" s="226"/>
      <c r="M981" s="226"/>
      <c r="N981" s="226"/>
      <c r="O981" s="226"/>
      <c r="P981" s="226"/>
    </row>
    <row r="982" spans="12:16">
      <c r="L982" s="226"/>
      <c r="M982" s="226"/>
      <c r="N982" s="226"/>
      <c r="O982" s="226"/>
      <c r="P982" s="226"/>
    </row>
    <row r="983" spans="12:16">
      <c r="L983" s="226"/>
      <c r="M983" s="226"/>
      <c r="N983" s="226"/>
      <c r="O983" s="226"/>
      <c r="P983" s="226"/>
    </row>
    <row r="984" spans="12:16">
      <c r="L984" s="226"/>
      <c r="M984" s="226"/>
      <c r="N984" s="226"/>
      <c r="O984" s="226"/>
      <c r="P984" s="226"/>
    </row>
    <row r="985" spans="12:16">
      <c r="L985" s="226"/>
      <c r="M985" s="226"/>
      <c r="N985" s="226"/>
      <c r="O985" s="226"/>
      <c r="P985" s="226"/>
    </row>
    <row r="986" spans="12:16">
      <c r="L986" s="226"/>
      <c r="M986" s="226"/>
      <c r="N986" s="226"/>
      <c r="O986" s="226"/>
      <c r="P986" s="226"/>
    </row>
    <row r="987" spans="12:16">
      <c r="L987" s="226"/>
      <c r="M987" s="226"/>
      <c r="N987" s="226"/>
      <c r="O987" s="226"/>
      <c r="P987" s="226"/>
    </row>
    <row r="988" spans="12:16">
      <c r="L988" s="226"/>
      <c r="M988" s="226"/>
      <c r="N988" s="226"/>
      <c r="O988" s="226"/>
      <c r="P988" s="226"/>
    </row>
    <row r="989" spans="12:16">
      <c r="L989" s="226"/>
      <c r="M989" s="226"/>
      <c r="N989" s="226"/>
      <c r="O989" s="226"/>
      <c r="P989" s="226"/>
    </row>
    <row r="990" spans="12:16">
      <c r="L990" s="226"/>
      <c r="M990" s="226"/>
      <c r="N990" s="226"/>
      <c r="O990" s="226"/>
      <c r="P990" s="226"/>
    </row>
    <row r="991" spans="12:16">
      <c r="L991" s="226"/>
      <c r="M991" s="226"/>
      <c r="N991" s="226"/>
      <c r="O991" s="226"/>
      <c r="P991" s="226"/>
    </row>
    <row r="992" spans="12:16">
      <c r="L992" s="226"/>
      <c r="M992" s="226"/>
      <c r="N992" s="226"/>
      <c r="O992" s="226"/>
      <c r="P992" s="226"/>
    </row>
    <row r="993" spans="12:16">
      <c r="L993" s="226"/>
      <c r="M993" s="226"/>
      <c r="N993" s="226"/>
      <c r="O993" s="226"/>
      <c r="P993" s="226"/>
    </row>
    <row r="994" spans="12:16">
      <c r="L994" s="226"/>
      <c r="M994" s="226"/>
      <c r="N994" s="226"/>
      <c r="O994" s="226"/>
      <c r="P994" s="226"/>
    </row>
    <row r="995" spans="12:16">
      <c r="L995" s="226"/>
      <c r="M995" s="226"/>
      <c r="N995" s="226"/>
      <c r="O995" s="226"/>
      <c r="P995" s="226"/>
    </row>
    <row r="996" spans="12:16">
      <c r="L996" s="226"/>
      <c r="M996" s="226"/>
      <c r="N996" s="226"/>
      <c r="O996" s="226"/>
      <c r="P996" s="226"/>
    </row>
    <row r="997" spans="12:16">
      <c r="L997" s="226"/>
      <c r="M997" s="226"/>
      <c r="N997" s="226"/>
      <c r="O997" s="226"/>
      <c r="P997" s="226"/>
    </row>
    <row r="998" spans="12:16">
      <c r="L998" s="226"/>
      <c r="M998" s="226"/>
      <c r="N998" s="226"/>
      <c r="O998" s="226"/>
      <c r="P998" s="226"/>
    </row>
    <row r="999" spans="12:16">
      <c r="L999" s="226"/>
      <c r="M999" s="226"/>
      <c r="N999" s="226"/>
      <c r="O999" s="226"/>
      <c r="P999" s="226"/>
    </row>
    <row r="1000" spans="12:16">
      <c r="L1000" s="226"/>
      <c r="M1000" s="226"/>
      <c r="N1000" s="226"/>
      <c r="O1000" s="226"/>
      <c r="P1000" s="226"/>
    </row>
    <row r="1001" spans="12:16">
      <c r="L1001" s="226"/>
      <c r="M1001" s="226"/>
      <c r="N1001" s="226"/>
      <c r="O1001" s="226"/>
      <c r="P1001" s="226"/>
    </row>
    <row r="1002" spans="12:16">
      <c r="L1002" s="226"/>
      <c r="M1002" s="226"/>
      <c r="N1002" s="226"/>
      <c r="O1002" s="226"/>
      <c r="P1002" s="226"/>
    </row>
    <row r="1003" spans="12:16">
      <c r="L1003" s="226"/>
      <c r="M1003" s="226"/>
      <c r="N1003" s="226"/>
      <c r="O1003" s="226"/>
      <c r="P1003" s="226"/>
    </row>
    <row r="1004" spans="12:16">
      <c r="L1004" s="226"/>
      <c r="M1004" s="226"/>
      <c r="N1004" s="226"/>
      <c r="O1004" s="226"/>
      <c r="P1004" s="226"/>
    </row>
    <row r="1005" spans="12:16">
      <c r="L1005" s="226"/>
      <c r="M1005" s="226"/>
      <c r="N1005" s="226"/>
      <c r="O1005" s="226"/>
      <c r="P1005" s="226"/>
    </row>
    <row r="1006" spans="12:16">
      <c r="L1006" s="226"/>
      <c r="M1006" s="226"/>
      <c r="N1006" s="226"/>
      <c r="O1006" s="226"/>
      <c r="P1006" s="226"/>
    </row>
    <row r="1007" spans="12:16">
      <c r="L1007" s="226"/>
      <c r="M1007" s="226"/>
      <c r="N1007" s="226"/>
      <c r="O1007" s="226"/>
      <c r="P1007" s="226"/>
    </row>
    <row r="1008" spans="12:16">
      <c r="L1008" s="226"/>
      <c r="M1008" s="226"/>
      <c r="N1008" s="226"/>
      <c r="O1008" s="226"/>
      <c r="P1008" s="226"/>
    </row>
    <row r="1009" spans="12:17">
      <c r="L1009" s="226"/>
      <c r="M1009" s="226"/>
      <c r="N1009" s="226"/>
      <c r="O1009" s="226"/>
      <c r="P1009" s="226"/>
    </row>
    <row r="1010" spans="12:17">
      <c r="L1010" s="226"/>
      <c r="M1010" s="226"/>
      <c r="N1010" s="226"/>
      <c r="O1010" s="226"/>
      <c r="P1010" s="226"/>
    </row>
    <row r="1011" spans="12:17">
      <c r="L1011" s="226"/>
      <c r="M1011" s="226"/>
      <c r="N1011" s="226"/>
      <c r="O1011" s="226"/>
      <c r="P1011" s="226"/>
    </row>
    <row r="1012" spans="12:17">
      <c r="L1012" s="226"/>
      <c r="M1012" s="226"/>
      <c r="N1012" s="226"/>
      <c r="O1012" s="226"/>
      <c r="P1012" s="226"/>
    </row>
    <row r="1013" spans="12:17">
      <c r="L1013" s="226"/>
      <c r="M1013" s="226"/>
      <c r="N1013" s="226"/>
      <c r="O1013" s="226"/>
      <c r="P1013" s="226"/>
    </row>
    <row r="1014" spans="12:17">
      <c r="L1014" s="226"/>
      <c r="M1014" s="226"/>
      <c r="N1014" s="226"/>
      <c r="O1014" s="226"/>
      <c r="P1014" s="226"/>
    </row>
    <row r="1015" spans="12:17">
      <c r="L1015" s="226"/>
      <c r="M1015" s="226"/>
      <c r="N1015" s="226"/>
      <c r="O1015" s="226"/>
      <c r="P1015" s="226"/>
    </row>
    <row r="1016" spans="12:17">
      <c r="L1016" s="226"/>
      <c r="M1016" s="226"/>
      <c r="N1016" s="226"/>
      <c r="O1016" s="226"/>
      <c r="P1016" s="226"/>
    </row>
    <row r="1017" spans="12:17">
      <c r="L1017" s="226"/>
      <c r="M1017" s="226"/>
      <c r="N1017" s="226"/>
      <c r="O1017" s="226"/>
      <c r="P1017" s="226"/>
    </row>
    <row r="1019" spans="12:17">
      <c r="L1019" s="228">
        <f>SUM(L958:L1017)</f>
        <v>0</v>
      </c>
      <c r="M1019" s="228"/>
      <c r="N1019" s="228"/>
      <c r="O1019" s="228"/>
      <c r="P1019" s="228"/>
      <c r="Q1019" s="1">
        <f>COUNT(L958:L1017)</f>
        <v>0</v>
      </c>
    </row>
  </sheetData>
  <mergeCells count="6">
    <mergeCell ref="R47:AF51"/>
    <mergeCell ref="B5:O6"/>
    <mergeCell ref="R30:S30"/>
    <mergeCell ref="T30:U30"/>
    <mergeCell ref="V30:W30"/>
    <mergeCell ref="R38:AF46"/>
  </mergeCells>
  <phoneticPr fontId="22" type="noConversion"/>
  <conditionalFormatting sqref="O8:O922">
    <cfRule type="cellIs" dxfId="0" priority="1" operator="equal">
      <formula>FALSE</formula>
    </cfRule>
  </conditionalFormatting>
  <hyperlinks>
    <hyperlink ref="Q885" r:id="rId1" location=":~:text=Mets%C3%A4teollisuuden%20hukkal%C3%A4mp%C3%B6hankkeen%20toteutus%20on%20k%C3%A4ytt%C3%B6%C3%B6nottovaiheessa%20ja%20kaukol%C3%A4mm%C3%B6n%20tuotanto,Kaukop%C3%A4%C3%A4n%20tehtaan%20j%C3%A4tevesien%20hukkal%C3%A4mm%C3%B6n%20talteenotosta%20sen%20hy%C3%B6dynt%C3%A4miseksi%20kaukol%C3%A4mp%C3%B6verkossa." display="https://www.imatra.fi/hukkalampohanke-loppusuoralla-kaukolammon-tuotanto-alkanut - :~:text=Mets%C3%A4teollisuuden%20hukkal%C3%A4mp%C3%B6hankkeen%20toteutus%20on%20k%C3%A4ytt%C3%B6%C3%B6nottovaiheessa%20ja%20kaukol%C3%A4mm%C3%B6n%20tuotanto,Kaukop%C3%A4%C3%A4n%20tehtaan%20j%C3%A4tevesien%20hukkal%C3%A4mm%C3%B6n%20talteenotosta%20sen%20hy%C3%B6dynt%C3%A4miseksi%20kaukol%C3%A4mp%C3%B6verkossa." xr:uid="{750A4711-0C40-482B-A519-FB0424710C00}"/>
    <hyperlink ref="Q913" r:id="rId2" location=":~:text=Neven%20uusi%20l%C3%A4mp%C3%B6pumppulaitos%20lis%C3%A4%C3%A4%20energiatehokkuutta%20ja%20monipuolistaa%20rovaniemel%C3%A4isten,j%C3%A4tevedenpuhdistamon%20yhteyteen%20rakennettava%20l%C3%A4mp%C3%B6pumppulaitos%20otetaan%20k%C3%A4ytt%C3%B6%C3%B6n%20vuonna%202025." display="https://neve.fi/ajankohtaista/jateveden-lampo-hyotykiertoon-ja-kustannuksia-alas-neven-uudella-lampopumppulaitoksella-toteutus-alkaa-ensi-vuonna/ - :~:text=Neven%20uusi%20l%C3%A4mp%C3%B6pumppulaitos%20lis%C3%A4%C3%A4%20energiatehokkuutta%20ja%20monipuolistaa%20rovaniemel%C3%A4isten,j%C3%A4tevedenpuhdistamon%20yhteyteen%20rakennettava%20l%C3%A4mp%C3%B6pumppulaitos%20otetaan%20k%C3%A4ytt%C3%B6%C3%B6n%20vuonna%202025." xr:uid="{C92960C4-2523-4CB8-9C6C-F19211A383B3}"/>
  </hyperlinks>
  <pageMargins left="0.7" right="0.7" top="0.75" bottom="0.75" header="0.3" footer="0.3"/>
  <tableParts count="4">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B002-1F26-4B49-A686-EC52B46594F7}">
  <sheetPr>
    <tabColor rgb="FF00CC00"/>
  </sheetPr>
  <dimension ref="A1:AF52"/>
  <sheetViews>
    <sheetView tabSelected="1" workbookViewId="0">
      <selection activeCell="J4" sqref="J4"/>
    </sheetView>
  </sheetViews>
  <sheetFormatPr defaultRowHeight="14.4"/>
  <cols>
    <col min="1" max="1" width="10.33203125" style="1" bestFit="1" customWidth="1"/>
    <col min="2" max="14" width="7.77734375" style="1" customWidth="1"/>
    <col min="15" max="16" width="6.6640625" style="1" customWidth="1"/>
    <col min="17" max="32" width="7.77734375" style="1" customWidth="1"/>
    <col min="33" max="16384" width="8.88671875" style="1"/>
  </cols>
  <sheetData>
    <row r="1" spans="1:32">
      <c r="A1" s="65" t="s">
        <v>127</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row>
    <row r="2" spans="1:32">
      <c r="A2" s="45" t="s">
        <v>1294</v>
      </c>
      <c r="B2" s="45"/>
      <c r="C2" s="45"/>
      <c r="D2" s="45"/>
      <c r="E2" s="45"/>
      <c r="F2" s="45"/>
      <c r="G2" s="45"/>
      <c r="H2" s="45"/>
      <c r="I2" s="45"/>
      <c r="J2" s="45"/>
      <c r="K2" s="45"/>
      <c r="L2" s="45"/>
      <c r="P2" s="45">
        <v>2035</v>
      </c>
      <c r="Q2" s="45"/>
      <c r="R2" s="45"/>
      <c r="S2" s="45"/>
      <c r="T2" s="45"/>
      <c r="U2" s="45"/>
      <c r="V2" s="45"/>
      <c r="W2" s="45"/>
      <c r="X2" s="45"/>
      <c r="Y2" s="45"/>
      <c r="Z2" s="45"/>
      <c r="AA2" s="45"/>
      <c r="AB2" s="45"/>
      <c r="AC2" s="45"/>
      <c r="AD2" s="45"/>
    </row>
    <row r="3" spans="1:32">
      <c r="A3" s="14" t="s">
        <v>24</v>
      </c>
      <c r="B3" s="14" t="s">
        <v>835</v>
      </c>
      <c r="C3" s="101" t="s">
        <v>836</v>
      </c>
      <c r="D3" s="101" t="s">
        <v>1136</v>
      </c>
      <c r="E3" s="101" t="s">
        <v>1135</v>
      </c>
      <c r="F3" s="101" t="s">
        <v>3212</v>
      </c>
      <c r="G3" s="101" t="s">
        <v>1172</v>
      </c>
      <c r="H3" s="101" t="s">
        <v>1171</v>
      </c>
      <c r="I3" s="14" t="s">
        <v>836</v>
      </c>
      <c r="J3" s="14" t="s">
        <v>161</v>
      </c>
      <c r="K3" s="14" t="s">
        <v>162</v>
      </c>
      <c r="L3" s="14" t="s">
        <v>163</v>
      </c>
      <c r="P3" s="14" t="s">
        <v>24</v>
      </c>
      <c r="Q3" s="14" t="s">
        <v>835</v>
      </c>
      <c r="R3" s="101" t="s">
        <v>873</v>
      </c>
      <c r="S3" s="101" t="s">
        <v>877</v>
      </c>
      <c r="T3" s="101" t="s">
        <v>1136</v>
      </c>
      <c r="U3" s="101" t="s">
        <v>1135</v>
      </c>
      <c r="V3" s="101" t="s">
        <v>3212</v>
      </c>
      <c r="W3" s="101" t="s">
        <v>1172</v>
      </c>
      <c r="X3" s="101" t="s">
        <v>1171</v>
      </c>
      <c r="Y3" s="14" t="s">
        <v>836</v>
      </c>
      <c r="Z3" s="14" t="s">
        <v>161</v>
      </c>
      <c r="AA3" s="14" t="s">
        <v>841</v>
      </c>
      <c r="AB3" s="14" t="s">
        <v>842</v>
      </c>
      <c r="AC3" s="14" t="s">
        <v>163</v>
      </c>
      <c r="AD3" s="14" t="s">
        <v>1211</v>
      </c>
      <c r="AF3" s="11">
        <f t="shared" ref="AF3:AF9" si="0">AE4/$AE$11</f>
        <v>0.34710837989497417</v>
      </c>
    </row>
    <row r="4" spans="1:32">
      <c r="A4" s="1" t="str" cm="1">
        <f t="array" ref="A4:A10">P_el_final[Region]</f>
        <v>North</v>
      </c>
      <c r="B4" s="24" cm="1">
        <f t="array" ref="B4:B10">P_el_3[Nuclear]</f>
        <v>0</v>
      </c>
      <c r="C4" s="6" cm="1">
        <f t="array" ref="C4:C10">P_el_3[Thermal]</f>
        <v>120.1</v>
      </c>
      <c r="D4" s="6" cm="1">
        <f t="array" ref="D4:D10">P_chp_ind216[RE]</f>
        <v>501.3</v>
      </c>
      <c r="E4" s="6" cm="1">
        <f t="array" ref="E4:E10">P_chp_ind216[non-RE]</f>
        <v>0</v>
      </c>
      <c r="F4" s="6" cm="1">
        <f t="array" ref="F4:F10">P_chp_ind2[Gas]</f>
        <v>0</v>
      </c>
      <c r="G4" s="6" cm="1">
        <f t="array" ref="G4:G10">P_chp_ind2[Bio]</f>
        <v>194.5</v>
      </c>
      <c r="H4" s="6" cm="1">
        <f t="array" ref="H4:H10">P_chp_ind2[Waste]</f>
        <v>0</v>
      </c>
      <c r="I4" s="24">
        <f>SUM(C4:H4)</f>
        <v>815.9</v>
      </c>
      <c r="J4" s="24" cm="1">
        <f t="array" ref="J4:J10">P_hydro_3[Capacity]</f>
        <v>1767</v>
      </c>
      <c r="K4" s="24" cm="1">
        <f t="array" ref="K4:K10">P_el_3[Wind]</f>
        <v>4187.8500000000004</v>
      </c>
      <c r="L4" s="24" cm="1">
        <f t="array" ref="L4:L10">P_el_3[Solar]</f>
        <v>19.3</v>
      </c>
      <c r="M4" s="6">
        <f>SUM(B4,I4:L4)</f>
        <v>6790.05</v>
      </c>
      <c r="N4" s="11">
        <f t="shared" ref="N4:N10" si="1">M4/$M$11</f>
        <v>0.28533614156938764</v>
      </c>
      <c r="P4" s="1" t="str" cm="1">
        <f t="array" ref="P4:P10">P_el_final[Region]</f>
        <v>North</v>
      </c>
      <c r="Q4" s="24" cm="1">
        <f t="array" ref="Q4:Q10">P_el_final[Nuclear]</f>
        <v>0</v>
      </c>
      <c r="R4" s="6" cm="1">
        <f t="array" ref="R4:R10">P_el_final[Hard coal new bio]</f>
        <v>0</v>
      </c>
      <c r="S4" s="6" cm="1">
        <f t="array" ref="S4:S10">P_el_final[Gass CCGT old 2]</f>
        <v>120.1</v>
      </c>
      <c r="T4" s="6" cm="1">
        <f t="array" ref="T4:T10">P_ind_chp_2[RE]</f>
        <v>501.3</v>
      </c>
      <c r="U4" s="6" cm="1">
        <f t="array" ref="U4:U10">P_ind_chp_2[non-RE]</f>
        <v>0</v>
      </c>
      <c r="V4" s="6" cm="1">
        <f t="array" ref="V4:V10">P_dh_chp_3[Gas CCGT]</f>
        <v>0</v>
      </c>
      <c r="W4" s="6" cm="1">
        <f t="array" ref="W4:W10">P_dh_chp_3[Bio]</f>
        <v>112.25895562522135</v>
      </c>
      <c r="X4" s="6" cm="1">
        <f t="array" ref="X4:X10">P_dh_chp_3[Waste]</f>
        <v>0</v>
      </c>
      <c r="Y4" s="24">
        <f>SUM(R4:X4)</f>
        <v>733.65895562522132</v>
      </c>
      <c r="Z4" s="24" cm="1">
        <f t="array" ref="Z4:Z10">P_hydro_3[Capacity]</f>
        <v>1767</v>
      </c>
      <c r="AA4" s="24" cm="1">
        <f t="array" ref="AA4:AA10">P_el_final[Wind Onshore]</f>
        <v>22638.197509624475</v>
      </c>
      <c r="AB4" s="24" cm="1">
        <f t="array" ref="AB4:AB10">P_el_final[Wind Offshore]</f>
        <v>1925.0770285679264</v>
      </c>
      <c r="AC4" s="24" cm="1">
        <f t="array" ref="AC4:AC10">P_el_final[Solar]</f>
        <v>2066.3930093362978</v>
      </c>
      <c r="AD4" s="24" cm="1">
        <f t="array" ref="AD4:AD10">Battery[Battery]</f>
        <v>458.3816004035163</v>
      </c>
      <c r="AE4" s="6">
        <f t="shared" ref="AE4:AE11" si="2">SUM(Q4,Y4:AD4)</f>
        <v>29588.708103557441</v>
      </c>
      <c r="AF4" s="11">
        <f t="shared" si="0"/>
        <v>0.4033356407200927</v>
      </c>
    </row>
    <row r="5" spans="1:32">
      <c r="A5" s="1" t="str">
        <v>West</v>
      </c>
      <c r="B5" s="24">
        <v>3355</v>
      </c>
      <c r="C5" s="6">
        <v>830.09999999999991</v>
      </c>
      <c r="D5" s="6">
        <v>652.9</v>
      </c>
      <c r="E5" s="6">
        <v>0</v>
      </c>
      <c r="F5" s="6">
        <v>230</v>
      </c>
      <c r="G5" s="6">
        <v>152.69999999999999</v>
      </c>
      <c r="H5" s="6">
        <v>0</v>
      </c>
      <c r="I5" s="24">
        <f t="shared" ref="I5:I11" si="3">SUM(C5:H5)</f>
        <v>1865.7</v>
      </c>
      <c r="J5" s="24">
        <v>150</v>
      </c>
      <c r="K5" s="24">
        <v>3504.81</v>
      </c>
      <c r="L5" s="24">
        <v>79.5</v>
      </c>
      <c r="M5" s="6">
        <f t="shared" ref="M5:M11" si="4">SUM(B5,I5:L5)</f>
        <v>8955.01</v>
      </c>
      <c r="N5" s="11">
        <f t="shared" si="1"/>
        <v>0.37631357664748888</v>
      </c>
      <c r="P5" s="1" t="str">
        <v>West</v>
      </c>
      <c r="Q5" s="24">
        <v>3355</v>
      </c>
      <c r="R5" s="6">
        <v>625</v>
      </c>
      <c r="S5" s="6">
        <v>205.09999999999991</v>
      </c>
      <c r="T5" s="6">
        <v>652.9</v>
      </c>
      <c r="U5" s="6">
        <v>0</v>
      </c>
      <c r="V5" s="6">
        <v>233.13870246085008</v>
      </c>
      <c r="W5" s="6">
        <v>207.46705667851566</v>
      </c>
      <c r="X5" s="6">
        <v>0</v>
      </c>
      <c r="Y5" s="24">
        <f t="shared" ref="Y5:Y11" si="5">SUM(R5:X5)</f>
        <v>1923.6057591393658</v>
      </c>
      <c r="Z5" s="24">
        <v>150</v>
      </c>
      <c r="AA5" s="24">
        <v>18945.898495339359</v>
      </c>
      <c r="AB5" s="24">
        <v>1611.0961998388561</v>
      </c>
      <c r="AC5" s="24">
        <v>7869.4987055912188</v>
      </c>
      <c r="AD5" s="24">
        <v>526.61338946585442</v>
      </c>
      <c r="AE5" s="6">
        <f t="shared" si="2"/>
        <v>34381.712549374657</v>
      </c>
      <c r="AF5" s="11">
        <f t="shared" si="0"/>
        <v>3.9901637641225181E-2</v>
      </c>
    </row>
    <row r="6" spans="1:32">
      <c r="A6" s="1" t="str">
        <v>Center</v>
      </c>
      <c r="B6" s="24">
        <v>0</v>
      </c>
      <c r="C6" s="6">
        <v>7</v>
      </c>
      <c r="D6" s="6">
        <v>440</v>
      </c>
      <c r="E6" s="6">
        <v>88.5</v>
      </c>
      <c r="F6" s="6">
        <v>142</v>
      </c>
      <c r="G6" s="6">
        <v>250</v>
      </c>
      <c r="H6" s="6">
        <v>12.3</v>
      </c>
      <c r="I6" s="24">
        <f t="shared" si="3"/>
        <v>939.8</v>
      </c>
      <c r="J6" s="24">
        <v>116.10000000000001</v>
      </c>
      <c r="K6" s="24">
        <v>370.8</v>
      </c>
      <c r="L6" s="24">
        <v>4.5999999999999996</v>
      </c>
      <c r="M6" s="6">
        <f t="shared" si="4"/>
        <v>1431.2999999999997</v>
      </c>
      <c r="N6" s="11">
        <f t="shared" si="1"/>
        <v>6.0147070997748832E-2</v>
      </c>
      <c r="P6" s="1" t="str">
        <v>Center</v>
      </c>
      <c r="Q6" s="24">
        <v>0</v>
      </c>
      <c r="R6" s="6">
        <v>0</v>
      </c>
      <c r="S6" s="6">
        <v>7</v>
      </c>
      <c r="T6" s="6">
        <v>528.5</v>
      </c>
      <c r="U6" s="6">
        <v>0</v>
      </c>
      <c r="V6" s="6">
        <v>0</v>
      </c>
      <c r="W6" s="6">
        <v>34.664467384603256</v>
      </c>
      <c r="X6" s="6">
        <v>20.245513654096236</v>
      </c>
      <c r="Y6" s="24">
        <f t="shared" si="5"/>
        <v>590.40998103869958</v>
      </c>
      <c r="Z6" s="24">
        <v>116.10000000000001</v>
      </c>
      <c r="AA6" s="24">
        <v>2004.4279610226617</v>
      </c>
      <c r="AB6" s="24">
        <v>0</v>
      </c>
      <c r="AC6" s="24">
        <v>645.83508632721851</v>
      </c>
      <c r="AD6" s="24">
        <v>44.579337052329407</v>
      </c>
      <c r="AE6" s="6">
        <f t="shared" si="2"/>
        <v>3401.3523654409091</v>
      </c>
      <c r="AF6" s="11">
        <f t="shared" si="0"/>
        <v>6.5935338321413614E-2</v>
      </c>
    </row>
    <row r="7" spans="1:32">
      <c r="A7" s="1" t="str">
        <v>East</v>
      </c>
      <c r="B7" s="24">
        <v>0</v>
      </c>
      <c r="C7" s="6">
        <v>182.6</v>
      </c>
      <c r="D7" s="6">
        <v>281.60000000000002</v>
      </c>
      <c r="E7" s="6">
        <v>0</v>
      </c>
      <c r="F7" s="6">
        <v>0</v>
      </c>
      <c r="G7" s="6">
        <v>348.4</v>
      </c>
      <c r="H7" s="6">
        <v>0</v>
      </c>
      <c r="I7" s="24">
        <f t="shared" si="3"/>
        <v>812.6</v>
      </c>
      <c r="J7" s="24">
        <v>457.9</v>
      </c>
      <c r="K7" s="24">
        <v>231.8</v>
      </c>
      <c r="L7" s="24">
        <v>16.98</v>
      </c>
      <c r="M7" s="6">
        <f t="shared" si="4"/>
        <v>1519.28</v>
      </c>
      <c r="N7" s="11">
        <f t="shared" si="1"/>
        <v>6.3844226944358179E-2</v>
      </c>
      <c r="P7" s="1" t="str">
        <v>East</v>
      </c>
      <c r="Q7" s="24">
        <v>0</v>
      </c>
      <c r="R7" s="6">
        <v>0</v>
      </c>
      <c r="S7" s="6">
        <v>182.6</v>
      </c>
      <c r="T7" s="6">
        <v>281.60000000000002</v>
      </c>
      <c r="U7" s="6">
        <v>0</v>
      </c>
      <c r="V7" s="6">
        <v>0</v>
      </c>
      <c r="W7" s="6">
        <v>473.3564017471831</v>
      </c>
      <c r="X7" s="6">
        <v>0</v>
      </c>
      <c r="Y7" s="24">
        <f t="shared" si="5"/>
        <v>937.55640174718314</v>
      </c>
      <c r="Z7" s="24">
        <v>457.9</v>
      </c>
      <c r="AA7" s="24">
        <v>1253.0377598841774</v>
      </c>
      <c r="AB7" s="24">
        <v>0</v>
      </c>
      <c r="AC7" s="24">
        <v>2895.0872120404274</v>
      </c>
      <c r="AD7" s="24">
        <v>76.972874807939675</v>
      </c>
      <c r="AE7" s="6">
        <f t="shared" si="2"/>
        <v>5620.5542484797279</v>
      </c>
      <c r="AF7" s="11">
        <f t="shared" si="0"/>
        <v>5.0725360227697421E-2</v>
      </c>
    </row>
    <row r="8" spans="1:32">
      <c r="A8" s="1" t="str">
        <v>South West</v>
      </c>
      <c r="B8" s="24">
        <v>0</v>
      </c>
      <c r="C8" s="6">
        <v>443.1</v>
      </c>
      <c r="D8" s="6">
        <v>27.7</v>
      </c>
      <c r="E8" s="6">
        <v>11.4</v>
      </c>
      <c r="F8" s="6">
        <v>0</v>
      </c>
      <c r="G8" s="6">
        <v>208.5</v>
      </c>
      <c r="H8" s="6">
        <v>19.600000000000001</v>
      </c>
      <c r="I8" s="24">
        <f t="shared" si="3"/>
        <v>710.30000000000007</v>
      </c>
      <c r="J8" s="24">
        <v>14</v>
      </c>
      <c r="K8" s="24">
        <v>138.85</v>
      </c>
      <c r="L8" s="24">
        <v>0</v>
      </c>
      <c r="M8" s="6">
        <f t="shared" si="4"/>
        <v>863.15000000000009</v>
      </c>
      <c r="N8" s="11">
        <f t="shared" si="1"/>
        <v>3.6271881738075121E-2</v>
      </c>
      <c r="P8" s="1" t="str">
        <v>South West</v>
      </c>
      <c r="Q8" s="24">
        <v>0</v>
      </c>
      <c r="R8" s="6">
        <v>0</v>
      </c>
      <c r="S8" s="6">
        <v>443.1</v>
      </c>
      <c r="T8" s="6">
        <v>50.12495519462626</v>
      </c>
      <c r="U8" s="6">
        <v>0</v>
      </c>
      <c r="V8" s="6">
        <v>0</v>
      </c>
      <c r="W8" s="6">
        <v>123.28016579875913</v>
      </c>
      <c r="X8" s="6">
        <v>51.383094928478556</v>
      </c>
      <c r="Y8" s="24">
        <f t="shared" si="5"/>
        <v>667.888215921864</v>
      </c>
      <c r="Z8" s="24">
        <v>14</v>
      </c>
      <c r="AA8" s="24">
        <v>750.57934840344262</v>
      </c>
      <c r="AB8" s="24">
        <v>63.82677159321765</v>
      </c>
      <c r="AC8" s="24">
        <v>2762.8604007957688</v>
      </c>
      <c r="AD8" s="24">
        <v>64.848843030088119</v>
      </c>
      <c r="AE8" s="6">
        <f t="shared" si="2"/>
        <v>4324.0035797443816</v>
      </c>
      <c r="AF8" s="11">
        <f t="shared" si="0"/>
        <v>6.1397962040263404E-2</v>
      </c>
    </row>
    <row r="9" spans="1:32">
      <c r="A9" s="1" t="str">
        <v>South East</v>
      </c>
      <c r="B9" s="24">
        <v>0</v>
      </c>
      <c r="C9" s="6">
        <v>17.2</v>
      </c>
      <c r="D9" s="6">
        <v>720.40000000000009</v>
      </c>
      <c r="E9" s="6">
        <v>45</v>
      </c>
      <c r="F9" s="6">
        <v>45</v>
      </c>
      <c r="G9" s="6">
        <v>164.5</v>
      </c>
      <c r="H9" s="6">
        <v>45</v>
      </c>
      <c r="I9" s="24">
        <f t="shared" si="3"/>
        <v>1037.1000000000001</v>
      </c>
      <c r="J9" s="24">
        <v>452.70000000000005</v>
      </c>
      <c r="K9" s="24">
        <v>48.8</v>
      </c>
      <c r="L9" s="24">
        <v>2.31</v>
      </c>
      <c r="M9" s="6">
        <f t="shared" si="4"/>
        <v>1540.91</v>
      </c>
      <c r="N9" s="11">
        <f t="shared" si="1"/>
        <v>6.4753177650486396E-2</v>
      </c>
      <c r="P9" s="1" t="str">
        <v>South East</v>
      </c>
      <c r="Q9" s="24">
        <v>0</v>
      </c>
      <c r="R9" s="6">
        <v>0</v>
      </c>
      <c r="S9" s="6">
        <v>17.2</v>
      </c>
      <c r="T9" s="6">
        <v>765.40000000000009</v>
      </c>
      <c r="U9" s="6">
        <v>0</v>
      </c>
      <c r="V9" s="6">
        <v>45.614093959731541</v>
      </c>
      <c r="W9" s="6">
        <v>223.49921953906895</v>
      </c>
      <c r="X9" s="6">
        <v>117.97139141742524</v>
      </c>
      <c r="Y9" s="24">
        <f t="shared" si="5"/>
        <v>1169.6847049162259</v>
      </c>
      <c r="Z9" s="24">
        <v>452.70000000000005</v>
      </c>
      <c r="AA9" s="24">
        <v>263.79742313351102</v>
      </c>
      <c r="AB9" s="24">
        <v>0</v>
      </c>
      <c r="AC9" s="24">
        <v>3283.025377262361</v>
      </c>
      <c r="AD9" s="24">
        <v>64.565235963509949</v>
      </c>
      <c r="AE9" s="6">
        <f t="shared" si="2"/>
        <v>5233.7727412756076</v>
      </c>
      <c r="AF9" s="11">
        <f t="shared" si="0"/>
        <v>3.1595681154333484E-2</v>
      </c>
    </row>
    <row r="10" spans="1:32">
      <c r="A10" s="1" t="str">
        <v>Uusimaa</v>
      </c>
      <c r="B10" s="24">
        <v>1014</v>
      </c>
      <c r="C10" s="6">
        <v>226.25</v>
      </c>
      <c r="D10" s="6">
        <v>0</v>
      </c>
      <c r="E10" s="6">
        <v>289.60000000000002</v>
      </c>
      <c r="F10" s="6">
        <v>924</v>
      </c>
      <c r="G10" s="6">
        <v>206.14000000000001</v>
      </c>
      <c r="H10" s="6">
        <v>0</v>
      </c>
      <c r="I10" s="24">
        <f t="shared" si="3"/>
        <v>1645.99</v>
      </c>
      <c r="J10" s="24">
        <v>0</v>
      </c>
      <c r="K10" s="24">
        <v>26.65</v>
      </c>
      <c r="L10" s="24">
        <v>10.33</v>
      </c>
      <c r="M10" s="6">
        <f t="shared" si="4"/>
        <v>2696.97</v>
      </c>
      <c r="N10" s="11">
        <f t="shared" si="1"/>
        <v>0.11333392445245488</v>
      </c>
      <c r="P10" s="1" t="str">
        <v>Uusimaa</v>
      </c>
      <c r="Q10" s="24">
        <v>0</v>
      </c>
      <c r="R10" s="6">
        <v>0</v>
      </c>
      <c r="S10" s="6">
        <v>226.25</v>
      </c>
      <c r="T10" s="6">
        <v>146.58510308240673</v>
      </c>
      <c r="U10" s="6">
        <v>143.01489691759329</v>
      </c>
      <c r="V10" s="6">
        <v>0</v>
      </c>
      <c r="W10" s="6">
        <v>252.07373322664847</v>
      </c>
      <c r="X10" s="6">
        <v>0</v>
      </c>
      <c r="Y10" s="24">
        <f t="shared" si="5"/>
        <v>767.92373322664844</v>
      </c>
      <c r="Z10" s="24">
        <v>0</v>
      </c>
      <c r="AA10" s="24">
        <v>144.06150259237845</v>
      </c>
      <c r="AB10" s="24">
        <v>0</v>
      </c>
      <c r="AC10" s="24">
        <v>1747.3002086467079</v>
      </c>
      <c r="AD10" s="24">
        <v>34.038719276761832</v>
      </c>
      <c r="AE10" s="6">
        <f t="shared" si="2"/>
        <v>2693.3241637424967</v>
      </c>
    </row>
    <row r="11" spans="1:32">
      <c r="B11" s="6">
        <f t="shared" ref="B11:H11" si="6">SUM(_xlfn.ANCHORARRAY(B4))</f>
        <v>4369</v>
      </c>
      <c r="C11" s="6">
        <f t="shared" si="6"/>
        <v>1826.3500000000001</v>
      </c>
      <c r="D11" s="6">
        <f t="shared" si="6"/>
        <v>2623.9000000000005</v>
      </c>
      <c r="E11" s="6">
        <f t="shared" si="6"/>
        <v>434.5</v>
      </c>
      <c r="F11" s="6">
        <f t="shared" si="6"/>
        <v>1341</v>
      </c>
      <c r="G11" s="6">
        <f t="shared" si="6"/>
        <v>1524.74</v>
      </c>
      <c r="H11" s="6">
        <f t="shared" si="6"/>
        <v>76.900000000000006</v>
      </c>
      <c r="I11" s="6">
        <f t="shared" si="3"/>
        <v>7827.39</v>
      </c>
      <c r="J11" s="6">
        <f>SUM(_xlfn.ANCHORARRAY(J4))</f>
        <v>2957.7</v>
      </c>
      <c r="K11" s="6">
        <f>SUM(_xlfn.ANCHORARRAY(K4))</f>
        <v>8509.56</v>
      </c>
      <c r="L11" s="6">
        <f>SUM(_xlfn.ANCHORARRAY(L4))</f>
        <v>133.02000000000001</v>
      </c>
      <c r="M11" s="6">
        <f t="shared" si="4"/>
        <v>23796.670000000002</v>
      </c>
      <c r="N11" s="95"/>
      <c r="Q11" s="6">
        <f t="shared" ref="Q11:X11" si="7">SUM(_xlfn.ANCHORARRAY(Q4))</f>
        <v>3355</v>
      </c>
      <c r="R11" s="6">
        <f t="shared" si="7"/>
        <v>625</v>
      </c>
      <c r="S11" s="6">
        <f t="shared" si="7"/>
        <v>1201.3499999999999</v>
      </c>
      <c r="T11" s="6">
        <f t="shared" si="7"/>
        <v>2926.4100582770334</v>
      </c>
      <c r="U11" s="6">
        <f t="shared" si="7"/>
        <v>143.01489691759329</v>
      </c>
      <c r="V11" s="6">
        <f t="shared" si="7"/>
        <v>278.7527964205816</v>
      </c>
      <c r="W11" s="6">
        <f t="shared" si="7"/>
        <v>1426.6</v>
      </c>
      <c r="X11" s="6">
        <f t="shared" si="7"/>
        <v>189.60000000000002</v>
      </c>
      <c r="Y11" s="6">
        <f t="shared" si="5"/>
        <v>6790.7277516152099</v>
      </c>
      <c r="Z11" s="6">
        <f>SUM(_xlfn.ANCHORARRAY(Z4))</f>
        <v>2957.7</v>
      </c>
      <c r="AA11" s="6">
        <f>SUM(_xlfn.ANCHORARRAY(AA4))</f>
        <v>46000.000000000007</v>
      </c>
      <c r="AB11" s="6">
        <f>SUM(_xlfn.ANCHORARRAY(AB4))</f>
        <v>3600</v>
      </c>
      <c r="AC11" s="6">
        <f>SUM(_xlfn.ANCHORARRAY(AC4))</f>
        <v>21270.000000000004</v>
      </c>
      <c r="AD11" s="6">
        <f>SUM(_xlfn.ANCHORARRAY(AD4))</f>
        <v>1269.9999999999998</v>
      </c>
      <c r="AE11" s="6">
        <f t="shared" si="2"/>
        <v>85243.427751615221</v>
      </c>
      <c r="AF11" s="11"/>
    </row>
    <row r="12" spans="1:32">
      <c r="B12" s="11">
        <f>B11/$M$11</f>
        <v>0.18359711673944293</v>
      </c>
      <c r="C12" s="11"/>
      <c r="D12" s="11"/>
      <c r="E12" s="11"/>
      <c r="F12" s="11"/>
      <c r="G12" s="11"/>
      <c r="H12" s="11"/>
      <c r="I12" s="11">
        <f>I11/$M$11</f>
        <v>0.32892795504581102</v>
      </c>
      <c r="J12" s="11">
        <f>J11/$M$11</f>
        <v>0.12429049946904334</v>
      </c>
      <c r="K12" s="11">
        <f>K11/$M$11</f>
        <v>0.35759457100510278</v>
      </c>
      <c r="L12" s="11">
        <f>L11/$M$11</f>
        <v>5.5898577405998403E-3</v>
      </c>
      <c r="N12" s="11"/>
      <c r="Q12" s="11">
        <f>Q11/$AE$11</f>
        <v>3.9357872958556951E-2</v>
      </c>
      <c r="R12" s="11"/>
      <c r="S12" s="11"/>
      <c r="T12" s="11"/>
      <c r="U12" s="11"/>
      <c r="V12" s="11"/>
      <c r="W12" s="11"/>
      <c r="X12" s="11"/>
      <c r="Y12" s="11">
        <f>Y11/$AE$11</f>
        <v>7.9662772025102385E-2</v>
      </c>
      <c r="Z12" s="11">
        <f>AA11/$AE$11</f>
        <v>0.53963104503535619</v>
      </c>
      <c r="AA12" s="11">
        <f>AB11/$AE$11</f>
        <v>4.223199482885396E-2</v>
      </c>
      <c r="AB12" s="11">
        <f>AC11/$AE$11</f>
        <v>0.24952070278047883</v>
      </c>
      <c r="AC12" s="11">
        <f>AD11/$AE$11</f>
        <v>1.4898509286845699E-2</v>
      </c>
      <c r="AD12" s="11">
        <f>Z11/$AE$11</f>
        <v>3.4697103084805926E-2</v>
      </c>
    </row>
    <row r="15" spans="1:32">
      <c r="O15" s="6"/>
    </row>
    <row r="27" spans="1:30">
      <c r="A27" s="65" t="s">
        <v>1157</v>
      </c>
      <c r="B27" s="36"/>
      <c r="C27" s="36"/>
      <c r="D27" s="36"/>
      <c r="E27" s="36"/>
      <c r="F27" s="36"/>
      <c r="G27" s="36"/>
      <c r="H27" s="36"/>
      <c r="I27" s="36"/>
      <c r="J27" s="36"/>
      <c r="K27" s="36"/>
      <c r="L27" s="36"/>
      <c r="M27" s="314"/>
      <c r="N27" s="314"/>
      <c r="O27" s="36"/>
      <c r="P27" s="36"/>
      <c r="Q27" s="36"/>
      <c r="R27" s="36"/>
      <c r="S27" s="36"/>
      <c r="T27" s="36"/>
      <c r="U27" s="36"/>
      <c r="V27" s="36"/>
      <c r="W27" s="36"/>
      <c r="X27" s="36"/>
      <c r="Y27" s="36"/>
      <c r="Z27" s="36"/>
      <c r="AA27" s="36"/>
      <c r="AB27" s="36"/>
      <c r="AC27" s="36"/>
      <c r="AD27" s="36"/>
    </row>
    <row r="28" spans="1:30" ht="14.4" customHeight="1">
      <c r="A28" s="14" t="s">
        <v>24</v>
      </c>
      <c r="B28" s="101" t="s">
        <v>1136</v>
      </c>
      <c r="C28" s="101" t="s">
        <v>1135</v>
      </c>
      <c r="D28" s="14" t="s">
        <v>3070</v>
      </c>
      <c r="E28" s="101" t="s">
        <v>3212</v>
      </c>
      <c r="F28" s="101" t="s">
        <v>1172</v>
      </c>
      <c r="G28" s="101" t="s">
        <v>1171</v>
      </c>
      <c r="H28" s="14" t="s">
        <v>3071</v>
      </c>
      <c r="I28" s="14" t="s">
        <v>1141</v>
      </c>
      <c r="J28" s="14" t="s">
        <v>1142</v>
      </c>
      <c r="K28" s="101" t="s">
        <v>1143</v>
      </c>
      <c r="L28" s="101" t="s">
        <v>1152</v>
      </c>
      <c r="M28" s="14" t="s">
        <v>1143</v>
      </c>
      <c r="N28" s="14" t="s">
        <v>1146</v>
      </c>
      <c r="O28" s="14" t="s">
        <v>3217</v>
      </c>
      <c r="P28" s="101" t="s">
        <v>2932</v>
      </c>
      <c r="Q28" s="8" t="s">
        <v>2933</v>
      </c>
      <c r="R28" s="101" t="s">
        <v>3216</v>
      </c>
      <c r="S28" s="127" t="s">
        <v>2932</v>
      </c>
    </row>
    <row r="29" spans="1:30">
      <c r="A29" s="1" t="str" cm="1">
        <f t="array" ref="A29:A35">P_el_final[Region]</f>
        <v>North</v>
      </c>
      <c r="B29" s="6" cm="1">
        <f t="array" ref="B29:B35">P_ind_chp_2[RE]*P_ind_chp!$P$7</f>
        <v>807.09300000000007</v>
      </c>
      <c r="C29" s="6" cm="1">
        <f t="array" ref="C29:C35">P_ind_chp_2[non-RE]*P_ind_chp!$P$7</f>
        <v>0</v>
      </c>
      <c r="D29" s="24">
        <f t="shared" ref="D29:D35" si="8">B29+C29</f>
        <v>807.09300000000007</v>
      </c>
      <c r="E29" s="6" cm="1">
        <f t="array" ref="E29:G35">P_dh_chp_4[[Gas CCGT]:[Waste]]</f>
        <v>0</v>
      </c>
      <c r="F29" s="6">
        <v>243.88348602919424</v>
      </c>
      <c r="G29" s="6">
        <v>0</v>
      </c>
      <c r="H29" s="24">
        <f t="shared" ref="H29:H35" si="9">SUM(E29:G29)</f>
        <v>243.88348602919424</v>
      </c>
      <c r="I29" s="24">
        <f>N44+B47</f>
        <v>754.4</v>
      </c>
      <c r="J29" s="24">
        <f>O44+C47</f>
        <v>1</v>
      </c>
      <c r="K29" s="6">
        <f>P44+D47</f>
        <v>592.4</v>
      </c>
      <c r="L29" s="6">
        <f>Q44+E47</f>
        <v>0</v>
      </c>
      <c r="M29" s="24">
        <f>SUM(K29:L29)</f>
        <v>592.4</v>
      </c>
      <c r="N29" s="24">
        <f>R44+F47</f>
        <v>200</v>
      </c>
      <c r="O29" s="24">
        <f>S44+G47</f>
        <v>7.3000000000000007</v>
      </c>
      <c r="P29" s="6">
        <f>T44+H47</f>
        <v>116</v>
      </c>
      <c r="Q29" s="6">
        <f>U44+I47</f>
        <v>80</v>
      </c>
      <c r="R29" s="172"/>
      <c r="S29" s="24">
        <f>SUM(P29:R29)</f>
        <v>196</v>
      </c>
      <c r="T29" s="6">
        <f>SUM(D29,H29:J29,M29:O29,S29)</f>
        <v>2802.0764860291947</v>
      </c>
      <c r="U29" s="11">
        <f t="shared" ref="U29:U35" si="10">T29/$M$11</f>
        <v>0.11775078135004581</v>
      </c>
    </row>
    <row r="30" spans="1:30">
      <c r="A30" s="1" t="str">
        <v>West</v>
      </c>
      <c r="B30" s="6">
        <v>1051.1690000000001</v>
      </c>
      <c r="C30" s="6">
        <v>0</v>
      </c>
      <c r="D30" s="24">
        <f t="shared" si="8"/>
        <v>1051.1690000000001</v>
      </c>
      <c r="E30" s="6">
        <v>393.4560402155189</v>
      </c>
      <c r="F30" s="6">
        <v>450.72385305181797</v>
      </c>
      <c r="G30" s="6">
        <v>0</v>
      </c>
      <c r="H30" s="24">
        <f t="shared" si="9"/>
        <v>844.17989326733687</v>
      </c>
      <c r="I30" s="24">
        <f t="shared" ref="I30:L31" si="11">N45</f>
        <v>832.3</v>
      </c>
      <c r="J30" s="24">
        <f t="shared" si="11"/>
        <v>0</v>
      </c>
      <c r="K30" s="6">
        <f t="shared" si="11"/>
        <v>572.20000000000005</v>
      </c>
      <c r="L30" s="6">
        <f t="shared" si="11"/>
        <v>10</v>
      </c>
      <c r="M30" s="24">
        <f t="shared" ref="M30:M35" si="12">SUM(K30:L30)</f>
        <v>582.20000000000005</v>
      </c>
      <c r="N30" s="24">
        <f t="shared" ref="N30:Q31" si="13">R45</f>
        <v>545</v>
      </c>
      <c r="O30" s="24">
        <f t="shared" si="13"/>
        <v>34.700000000000003</v>
      </c>
      <c r="P30" s="6">
        <f t="shared" si="13"/>
        <v>108</v>
      </c>
      <c r="Q30" s="6">
        <f t="shared" si="13"/>
        <v>170</v>
      </c>
      <c r="R30" s="172"/>
      <c r="S30" s="24">
        <f t="shared" ref="S30:S35" si="14">SUM(P30:R30)</f>
        <v>278</v>
      </c>
      <c r="T30" s="6">
        <f t="shared" ref="T30:T36" si="15">SUM(D30,H30:J30,M30:O30,S30)</f>
        <v>4167.548893267337</v>
      </c>
      <c r="U30" s="11">
        <f t="shared" si="10"/>
        <v>0.17513160006283807</v>
      </c>
    </row>
    <row r="31" spans="1:30">
      <c r="A31" s="1" t="str">
        <v>Center</v>
      </c>
      <c r="B31" s="6">
        <v>850.8850000000001</v>
      </c>
      <c r="C31" s="6">
        <v>0</v>
      </c>
      <c r="D31" s="24">
        <f t="shared" si="8"/>
        <v>850.8850000000001</v>
      </c>
      <c r="E31" s="6">
        <v>0</v>
      </c>
      <c r="F31" s="6">
        <v>75.308834827632737</v>
      </c>
      <c r="G31" s="6">
        <v>61.70231634861485</v>
      </c>
      <c r="H31" s="24">
        <f t="shared" si="9"/>
        <v>137.01115117624758</v>
      </c>
      <c r="I31" s="24">
        <f t="shared" si="11"/>
        <v>226.6</v>
      </c>
      <c r="J31" s="24">
        <f t="shared" si="11"/>
        <v>149.9</v>
      </c>
      <c r="K31" s="6">
        <f t="shared" si="11"/>
        <v>240.80000000000004</v>
      </c>
      <c r="L31" s="6">
        <f t="shared" si="11"/>
        <v>0</v>
      </c>
      <c r="M31" s="24">
        <f t="shared" si="12"/>
        <v>240.80000000000004</v>
      </c>
      <c r="N31" s="24">
        <f t="shared" si="13"/>
        <v>0.3</v>
      </c>
      <c r="O31" s="24">
        <f t="shared" si="13"/>
        <v>3.5</v>
      </c>
      <c r="P31" s="6">
        <f t="shared" si="13"/>
        <v>3.5</v>
      </c>
      <c r="Q31" s="6">
        <f t="shared" si="13"/>
        <v>0</v>
      </c>
      <c r="R31" s="172"/>
      <c r="S31" s="24">
        <f t="shared" si="14"/>
        <v>3.5</v>
      </c>
      <c r="T31" s="6">
        <f t="shared" si="15"/>
        <v>1612.4961511762476</v>
      </c>
      <c r="U31" s="11">
        <f t="shared" si="10"/>
        <v>6.7761420029619587E-2</v>
      </c>
    </row>
    <row r="32" spans="1:30">
      <c r="A32" s="1" t="str">
        <v>East</v>
      </c>
      <c r="B32" s="6">
        <v>453.37600000000009</v>
      </c>
      <c r="C32" s="6">
        <v>0</v>
      </c>
      <c r="D32" s="24">
        <f t="shared" si="8"/>
        <v>453.37600000000009</v>
      </c>
      <c r="E32" s="6">
        <v>0</v>
      </c>
      <c r="F32" s="6">
        <v>1028.3705985805723</v>
      </c>
      <c r="G32" s="6">
        <v>0</v>
      </c>
      <c r="H32" s="24">
        <f t="shared" si="9"/>
        <v>1028.3705985805723</v>
      </c>
      <c r="I32" s="24">
        <f>N47+SUM(B48,B45)</f>
        <v>1557.4</v>
      </c>
      <c r="J32" s="24">
        <f>O47+SUM(C48,C45)</f>
        <v>343.1</v>
      </c>
      <c r="K32" s="6">
        <f>P47+SUM(D48,D45)</f>
        <v>658.10000000000014</v>
      </c>
      <c r="L32" s="6">
        <f>Q47+SUM(E48,E45)</f>
        <v>0</v>
      </c>
      <c r="M32" s="24">
        <f t="shared" si="12"/>
        <v>658.10000000000014</v>
      </c>
      <c r="N32" s="24">
        <f>R47+SUM(F48,F45)</f>
        <v>460</v>
      </c>
      <c r="O32" s="24">
        <f>S47+SUM(G48,G45)</f>
        <v>50.9</v>
      </c>
      <c r="P32" s="6">
        <f>T47+SUM(H48,H45)</f>
        <v>335</v>
      </c>
      <c r="Q32" s="6">
        <f>U47+SUM(I48,I45)</f>
        <v>0</v>
      </c>
      <c r="R32" s="172"/>
      <c r="S32" s="24">
        <f t="shared" si="14"/>
        <v>335</v>
      </c>
      <c r="T32" s="6">
        <f t="shared" si="15"/>
        <v>4886.246598580572</v>
      </c>
      <c r="U32" s="11">
        <f t="shared" si="10"/>
        <v>0.205333208326231</v>
      </c>
    </row>
    <row r="33" spans="1:22">
      <c r="A33" s="1" t="str">
        <v>South West</v>
      </c>
      <c r="B33" s="6">
        <v>80.701177863348278</v>
      </c>
      <c r="C33" s="6">
        <v>0</v>
      </c>
      <c r="D33" s="24">
        <f t="shared" si="8"/>
        <v>80.701177863348278</v>
      </c>
      <c r="E33" s="6">
        <v>0</v>
      </c>
      <c r="F33" s="6">
        <v>267.82715397455075</v>
      </c>
      <c r="G33" s="6">
        <v>156.60042182265991</v>
      </c>
      <c r="H33" s="24">
        <f t="shared" si="9"/>
        <v>424.42757579721069</v>
      </c>
      <c r="I33" s="24">
        <f>N48+B46</f>
        <v>1099.8</v>
      </c>
      <c r="J33" s="24">
        <f>O48+C46</f>
        <v>169.3</v>
      </c>
      <c r="K33" s="6">
        <f>P48+D46</f>
        <v>385.2</v>
      </c>
      <c r="L33" s="6">
        <f>Q48+E46</f>
        <v>0</v>
      </c>
      <c r="M33" s="24">
        <f t="shared" si="12"/>
        <v>385.2</v>
      </c>
      <c r="N33" s="24">
        <f>R48+F46</f>
        <v>92.6</v>
      </c>
      <c r="O33" s="24">
        <f>S48+G46</f>
        <v>83</v>
      </c>
      <c r="P33" s="6">
        <f>T48+H46</f>
        <v>133</v>
      </c>
      <c r="Q33" s="6">
        <f>U48+I46</f>
        <v>0</v>
      </c>
      <c r="R33" s="172"/>
      <c r="S33" s="24">
        <f t="shared" si="14"/>
        <v>133</v>
      </c>
      <c r="T33" s="6">
        <f t="shared" si="15"/>
        <v>2468.0287536605588</v>
      </c>
      <c r="U33" s="11">
        <f t="shared" si="10"/>
        <v>0.10371319826095662</v>
      </c>
    </row>
    <row r="34" spans="1:22">
      <c r="A34" s="1" t="str">
        <v>South East</v>
      </c>
      <c r="B34" s="6">
        <v>1232.2940000000003</v>
      </c>
      <c r="C34" s="6">
        <v>0</v>
      </c>
      <c r="D34" s="24">
        <f t="shared" si="8"/>
        <v>1232.2940000000003</v>
      </c>
      <c r="E34" s="6">
        <v>76.980529607384128</v>
      </c>
      <c r="F34" s="6">
        <v>485.55385610362845</v>
      </c>
      <c r="G34" s="6">
        <v>359.5417847969232</v>
      </c>
      <c r="H34" s="24">
        <f t="shared" si="9"/>
        <v>922.07617050793579</v>
      </c>
      <c r="I34" s="24">
        <f>N49</f>
        <v>215.70000000000002</v>
      </c>
      <c r="J34" s="24">
        <f>O49</f>
        <v>914.79999999999984</v>
      </c>
      <c r="K34" s="6">
        <f>P49</f>
        <v>164.20000000000002</v>
      </c>
      <c r="L34" s="6">
        <f>Q49</f>
        <v>0</v>
      </c>
      <c r="M34" s="24">
        <f t="shared" si="12"/>
        <v>164.20000000000002</v>
      </c>
      <c r="N34" s="24">
        <f>R49</f>
        <v>160</v>
      </c>
      <c r="O34" s="24">
        <f>S49</f>
        <v>64.8</v>
      </c>
      <c r="P34" s="6">
        <f>T49</f>
        <v>190</v>
      </c>
      <c r="Q34" s="6">
        <f>U49</f>
        <v>0</v>
      </c>
      <c r="R34" s="172"/>
      <c r="S34" s="24">
        <f t="shared" si="14"/>
        <v>190</v>
      </c>
      <c r="T34" s="6">
        <f t="shared" si="15"/>
        <v>3863.8701705079357</v>
      </c>
      <c r="U34" s="11">
        <f t="shared" si="10"/>
        <v>0.1623702043398482</v>
      </c>
    </row>
    <row r="35" spans="1:22">
      <c r="A35" s="1" t="str">
        <v>Uusimaa</v>
      </c>
      <c r="B35" s="6">
        <v>236.00201596267485</v>
      </c>
      <c r="C35" s="6">
        <v>230.25398403732521</v>
      </c>
      <c r="D35" s="24">
        <f t="shared" si="8"/>
        <v>466.25600000000009</v>
      </c>
      <c r="E35" s="6">
        <v>0</v>
      </c>
      <c r="F35" s="6">
        <v>547.63221743260306</v>
      </c>
      <c r="G35" s="6">
        <v>0</v>
      </c>
      <c r="H35" s="24">
        <f t="shared" si="9"/>
        <v>547.63221743260306</v>
      </c>
      <c r="I35" s="24">
        <f>N50+SUM(B49:B51)</f>
        <v>1135.3</v>
      </c>
      <c r="J35" s="24">
        <f>O50+SUM(C49:C51)</f>
        <v>2606.4</v>
      </c>
      <c r="K35" s="6">
        <f>P50+SUM(D49:D51)</f>
        <v>938.4</v>
      </c>
      <c r="L35" s="6">
        <f>Q50+SUM(E49:E51)</f>
        <v>80</v>
      </c>
      <c r="M35" s="24">
        <f t="shared" si="12"/>
        <v>1018.4</v>
      </c>
      <c r="N35" s="24">
        <f>R50+SUM(F49:F51)</f>
        <v>910</v>
      </c>
      <c r="O35" s="24">
        <f>S50+SUM(G49:G51)</f>
        <v>687.30000000000007</v>
      </c>
      <c r="P35" s="6">
        <f>T50+SUM(H49:H51)</f>
        <v>850</v>
      </c>
      <c r="Q35" s="6">
        <f>U50+SUM(I49:I51)</f>
        <v>120</v>
      </c>
      <c r="R35" s="6">
        <f>J49</f>
        <v>200</v>
      </c>
      <c r="S35" s="24">
        <f t="shared" si="14"/>
        <v>1170</v>
      </c>
      <c r="T35" s="6">
        <f t="shared" si="15"/>
        <v>8541.2882174326041</v>
      </c>
      <c r="U35" s="11">
        <f t="shared" si="10"/>
        <v>0.35892787593527176</v>
      </c>
    </row>
    <row r="36" spans="1:22">
      <c r="B36" s="6">
        <f t="shared" ref="B36" si="16">SUM(B29:B35)</f>
        <v>4711.5201938260234</v>
      </c>
      <c r="C36" s="6">
        <f t="shared" ref="C36:D36" si="17">SUM(C29:C35)</f>
        <v>230.25398403732521</v>
      </c>
      <c r="D36" s="6">
        <f t="shared" si="17"/>
        <v>4941.774177863349</v>
      </c>
      <c r="E36" s="6">
        <f t="shared" ref="E36" si="18">SUM(E29:E35)</f>
        <v>470.43656982290304</v>
      </c>
      <c r="F36" s="6">
        <f t="shared" ref="F36" si="19">SUM(F29:F35)</f>
        <v>3099.2999999999993</v>
      </c>
      <c r="G36" s="6">
        <f t="shared" ref="G36:H36" si="20">SUM(G29:G35)</f>
        <v>577.84452296819791</v>
      </c>
      <c r="H36" s="6">
        <f t="shared" si="20"/>
        <v>4147.5810927911007</v>
      </c>
      <c r="I36" s="6">
        <f t="shared" ref="I36" si="21">SUM(I29:I35)</f>
        <v>5821.5</v>
      </c>
      <c r="J36" s="6">
        <f t="shared" ref="J36" si="22">SUM(J29:J35)</f>
        <v>4184.5</v>
      </c>
      <c r="K36" s="6">
        <f t="shared" ref="K36" si="23">SUM(K29:K35)</f>
        <v>3551.2999999999997</v>
      </c>
      <c r="L36" s="6">
        <f t="shared" ref="L36:M36" si="24">SUM(L29:L35)</f>
        <v>90</v>
      </c>
      <c r="M36" s="6">
        <f t="shared" si="24"/>
        <v>3641.2999999999997</v>
      </c>
      <c r="N36" s="6">
        <f t="shared" ref="N36" si="25">SUM(N29:N35)</f>
        <v>2367.8999999999996</v>
      </c>
      <c r="O36" s="6">
        <f t="shared" ref="O36" si="26">SUM(O29:O35)</f>
        <v>931.5</v>
      </c>
      <c r="P36" s="6">
        <f t="shared" ref="P36" si="27">SUM(P29:P35)</f>
        <v>1735.5</v>
      </c>
      <c r="Q36" s="6">
        <f t="shared" ref="Q36" si="28">SUM(Q29:Q35)</f>
        <v>370</v>
      </c>
      <c r="R36" s="6">
        <f t="shared" ref="R36:S36" si="29">SUM(R29:R35)</f>
        <v>200</v>
      </c>
      <c r="S36" s="6">
        <f t="shared" si="29"/>
        <v>2305.5</v>
      </c>
      <c r="T36" s="6">
        <f t="shared" si="15"/>
        <v>28341.555270654448</v>
      </c>
      <c r="U36" s="95"/>
    </row>
    <row r="37" spans="1:22">
      <c r="B37" s="11"/>
      <c r="C37" s="11"/>
      <c r="D37" s="11">
        <f>D36/$T$36</f>
        <v>0.1743649609441224</v>
      </c>
      <c r="E37" s="11"/>
      <c r="F37" s="11"/>
      <c r="G37" s="11"/>
      <c r="H37" s="11">
        <f>H36/$T$36</f>
        <v>0.14634274841951278</v>
      </c>
      <c r="I37" s="11">
        <f>I36/$T$36</f>
        <v>0.20540510019320379</v>
      </c>
      <c r="J37" s="11">
        <f>J36/$T$36</f>
        <v>0.14764539066537169</v>
      </c>
      <c r="K37" s="11"/>
      <c r="L37" s="11"/>
      <c r="M37" s="11">
        <f>M36/$T$36</f>
        <v>0.12847918772369887</v>
      </c>
      <c r="N37" s="11">
        <f>N36/$T$36</f>
        <v>8.354869651249458E-2</v>
      </c>
      <c r="O37" s="11">
        <f>O36/$T$36</f>
        <v>3.2866933063638124E-2</v>
      </c>
      <c r="P37" s="11"/>
      <c r="Q37" s="11"/>
      <c r="R37" s="11"/>
      <c r="S37" s="11">
        <f>S36/$T$36</f>
        <v>8.134698247795781E-2</v>
      </c>
    </row>
    <row r="38" spans="1:22">
      <c r="N38" s="24"/>
      <c r="O38" s="6"/>
      <c r="P38" s="11"/>
    </row>
    <row r="39" spans="1:22">
      <c r="A39" s="98" t="s">
        <v>3213</v>
      </c>
      <c r="B39" s="45"/>
      <c r="C39" s="45"/>
      <c r="D39" s="45"/>
      <c r="E39" s="45"/>
      <c r="F39" s="45"/>
      <c r="G39" s="45"/>
      <c r="H39" s="45"/>
      <c r="I39" s="45"/>
      <c r="J39" s="45"/>
      <c r="M39" s="315" t="s">
        <v>3214</v>
      </c>
      <c r="N39" s="98"/>
      <c r="O39" s="98"/>
      <c r="P39" s="98"/>
      <c r="Q39" s="98"/>
      <c r="R39" s="98"/>
      <c r="S39" s="98"/>
      <c r="T39" s="98"/>
      <c r="U39" s="98"/>
    </row>
    <row r="40" spans="1:22">
      <c r="A40" s="101"/>
      <c r="B40" s="347" t="s">
        <v>1141</v>
      </c>
      <c r="C40" s="347" t="s">
        <v>1142</v>
      </c>
      <c r="D40" s="347" t="s">
        <v>1143</v>
      </c>
      <c r="E40" s="347" t="s">
        <v>1152</v>
      </c>
      <c r="F40" s="347" t="s">
        <v>1146</v>
      </c>
      <c r="G40" s="347" t="s">
        <v>1144</v>
      </c>
      <c r="H40" s="347" t="s">
        <v>3215</v>
      </c>
      <c r="I40" s="347" t="s">
        <v>2933</v>
      </c>
      <c r="J40" s="347" t="s">
        <v>3216</v>
      </c>
      <c r="K40" s="349"/>
      <c r="M40" s="121"/>
      <c r="N40" s="121"/>
      <c r="O40" s="121"/>
      <c r="P40" s="121"/>
      <c r="Q40" s="121"/>
      <c r="R40" s="121"/>
      <c r="S40" s="121"/>
      <c r="T40" s="121"/>
      <c r="U40" s="121"/>
      <c r="V40" s="121"/>
    </row>
    <row r="41" spans="1:22">
      <c r="A41" s="101"/>
      <c r="B41" s="347"/>
      <c r="C41" s="347"/>
      <c r="D41" s="347"/>
      <c r="E41" s="347"/>
      <c r="F41" s="347"/>
      <c r="G41" s="347"/>
      <c r="H41" s="347"/>
      <c r="I41" s="347"/>
      <c r="J41" s="347"/>
      <c r="K41" s="349"/>
      <c r="M41" s="121"/>
      <c r="N41" s="121"/>
      <c r="O41" s="121"/>
      <c r="P41" s="121"/>
      <c r="Q41" s="121"/>
      <c r="R41" s="121"/>
      <c r="S41" s="121"/>
      <c r="T41" s="121"/>
      <c r="U41" s="121"/>
      <c r="V41" s="121"/>
    </row>
    <row r="42" spans="1:22">
      <c r="A42" s="101"/>
      <c r="B42" s="347"/>
      <c r="C42" s="347"/>
      <c r="D42" s="347"/>
      <c r="E42" s="347"/>
      <c r="F42" s="347"/>
      <c r="G42" s="347"/>
      <c r="H42" s="347"/>
      <c r="I42" s="347"/>
      <c r="J42" s="347"/>
      <c r="K42" s="349"/>
      <c r="M42" s="121"/>
      <c r="N42" s="121"/>
      <c r="O42" s="121"/>
      <c r="P42" s="121"/>
      <c r="Q42" s="121"/>
      <c r="R42" s="121"/>
      <c r="S42" s="121"/>
      <c r="T42" s="121"/>
      <c r="U42" s="121"/>
      <c r="V42" s="121"/>
    </row>
    <row r="43" spans="1:22">
      <c r="A43" s="101"/>
      <c r="B43" s="347"/>
      <c r="C43" s="347"/>
      <c r="D43" s="347"/>
      <c r="E43" s="347"/>
      <c r="F43" s="347"/>
      <c r="G43" s="347"/>
      <c r="H43" s="347"/>
      <c r="I43" s="347"/>
      <c r="J43" s="347"/>
      <c r="K43" s="349"/>
      <c r="M43" s="101" t="s">
        <v>24</v>
      </c>
      <c r="N43" s="101" t="s">
        <v>1141</v>
      </c>
      <c r="O43" s="101" t="s">
        <v>1142</v>
      </c>
      <c r="P43" s="101" t="s">
        <v>1143</v>
      </c>
      <c r="Q43" s="101" t="s">
        <v>1152</v>
      </c>
      <c r="R43" s="101" t="s">
        <v>1146</v>
      </c>
      <c r="S43" s="101" t="s">
        <v>1144</v>
      </c>
      <c r="T43" s="101" t="s">
        <v>2932</v>
      </c>
      <c r="U43" s="8" t="s">
        <v>2933</v>
      </c>
    </row>
    <row r="44" spans="1:22">
      <c r="A44" s="150" t="s">
        <v>87</v>
      </c>
      <c r="B44" s="9">
        <v>3520.3000000000006</v>
      </c>
      <c r="C44" s="9">
        <v>1849.9999999999998</v>
      </c>
      <c r="D44" s="9">
        <v>2701.9000000000005</v>
      </c>
      <c r="E44" s="9">
        <v>10</v>
      </c>
      <c r="F44" s="9">
        <v>1042.8999999999999</v>
      </c>
      <c r="G44" s="9">
        <v>148.80000000000001</v>
      </c>
      <c r="H44" s="9">
        <v>625.5</v>
      </c>
      <c r="I44" s="9">
        <v>170</v>
      </c>
      <c r="J44" s="148" t="s">
        <v>1137</v>
      </c>
      <c r="K44" s="6">
        <f>SUM(B44:J44)</f>
        <v>10069.4</v>
      </c>
      <c r="M44" s="35" t="s">
        <v>28</v>
      </c>
      <c r="N44" s="24">
        <v>406.4</v>
      </c>
      <c r="O44" s="24">
        <v>1</v>
      </c>
      <c r="P44" s="24">
        <v>592.4</v>
      </c>
      <c r="Q44" s="24">
        <v>0</v>
      </c>
      <c r="R44" s="24">
        <v>60</v>
      </c>
      <c r="S44" s="24">
        <v>5.2</v>
      </c>
      <c r="T44" s="24">
        <v>61</v>
      </c>
      <c r="U44" s="24">
        <v>0</v>
      </c>
      <c r="V44" s="6">
        <v>2121.8334860291943</v>
      </c>
    </row>
    <row r="45" spans="1:22">
      <c r="A45" s="150" t="s">
        <v>86</v>
      </c>
      <c r="B45" s="9">
        <v>200</v>
      </c>
      <c r="C45" s="9">
        <v>3.1</v>
      </c>
      <c r="D45" s="9">
        <v>26.8</v>
      </c>
      <c r="E45" s="54"/>
      <c r="F45" s="9">
        <v>120</v>
      </c>
      <c r="G45" s="9">
        <v>45</v>
      </c>
      <c r="H45" s="9">
        <v>80</v>
      </c>
      <c r="I45" s="54"/>
      <c r="J45" s="54"/>
      <c r="K45" s="6">
        <f t="shared" ref="K45:K52" si="30">SUM(B45:J45)</f>
        <v>474.9</v>
      </c>
      <c r="M45" s="35" t="s">
        <v>29</v>
      </c>
      <c r="N45" s="24">
        <v>832.3</v>
      </c>
      <c r="O45" s="24">
        <v>0</v>
      </c>
      <c r="P45" s="24">
        <v>572.20000000000005</v>
      </c>
      <c r="Q45" s="107">
        <v>10</v>
      </c>
      <c r="R45" s="24">
        <v>545</v>
      </c>
      <c r="S45" s="24">
        <v>34.700000000000003</v>
      </c>
      <c r="T45" s="107">
        <v>108</v>
      </c>
      <c r="U45" s="24">
        <v>170</v>
      </c>
      <c r="V45" s="6">
        <v>4095.7298932673366</v>
      </c>
    </row>
    <row r="46" spans="1:22">
      <c r="A46" s="150" t="s">
        <v>83</v>
      </c>
      <c r="B46" s="9">
        <v>624</v>
      </c>
      <c r="C46" s="54"/>
      <c r="D46" s="9">
        <v>106.8</v>
      </c>
      <c r="E46" s="54"/>
      <c r="F46" s="9">
        <v>50</v>
      </c>
      <c r="G46" s="9">
        <v>64.400000000000006</v>
      </c>
      <c r="H46" s="9">
        <v>75</v>
      </c>
      <c r="I46" s="54"/>
      <c r="J46" s="54"/>
      <c r="K46" s="6">
        <f t="shared" si="30"/>
        <v>920.19999999999993</v>
      </c>
      <c r="M46" s="35" t="s">
        <v>31</v>
      </c>
      <c r="N46" s="24">
        <v>226.6</v>
      </c>
      <c r="O46" s="24">
        <v>149.9</v>
      </c>
      <c r="P46" s="24">
        <v>240.80000000000004</v>
      </c>
      <c r="Q46" s="107">
        <v>0</v>
      </c>
      <c r="R46" s="24">
        <v>0.3</v>
      </c>
      <c r="S46" s="24">
        <v>3.5</v>
      </c>
      <c r="T46" s="107">
        <v>3.5</v>
      </c>
      <c r="U46" s="24">
        <v>0</v>
      </c>
      <c r="V46" s="6">
        <v>1554.3611511762476</v>
      </c>
    </row>
    <row r="47" spans="1:22">
      <c r="A47" s="150" t="s">
        <v>85</v>
      </c>
      <c r="B47" s="9">
        <v>348</v>
      </c>
      <c r="C47" s="54"/>
      <c r="D47" s="54"/>
      <c r="E47" s="54"/>
      <c r="F47" s="9">
        <v>140</v>
      </c>
      <c r="G47" s="9">
        <v>2.1</v>
      </c>
      <c r="H47" s="9">
        <v>55</v>
      </c>
      <c r="I47" s="9">
        <v>80</v>
      </c>
      <c r="J47" s="54"/>
      <c r="K47" s="6">
        <f t="shared" si="30"/>
        <v>625.1</v>
      </c>
      <c r="M47" s="35" t="s">
        <v>32</v>
      </c>
      <c r="N47" s="24">
        <v>1052.4000000000001</v>
      </c>
      <c r="O47" s="24">
        <v>105</v>
      </c>
      <c r="P47" s="24">
        <v>539.30000000000018</v>
      </c>
      <c r="Q47" s="107">
        <v>0</v>
      </c>
      <c r="R47" s="24">
        <v>195</v>
      </c>
      <c r="S47" s="24">
        <v>5.9</v>
      </c>
      <c r="T47" s="107">
        <v>155</v>
      </c>
      <c r="U47" s="24">
        <v>0</v>
      </c>
      <c r="V47" s="6">
        <v>3503.3705985805727</v>
      </c>
    </row>
    <row r="48" spans="1:22">
      <c r="A48" s="150" t="s">
        <v>84</v>
      </c>
      <c r="B48" s="9">
        <v>305</v>
      </c>
      <c r="C48" s="9">
        <v>235</v>
      </c>
      <c r="D48" s="9">
        <v>92</v>
      </c>
      <c r="E48" s="54"/>
      <c r="F48" s="9">
        <v>145</v>
      </c>
      <c r="G48" s="54"/>
      <c r="H48" s="9">
        <v>100</v>
      </c>
      <c r="I48" s="54"/>
      <c r="J48" s="54"/>
      <c r="K48" s="6">
        <f t="shared" si="30"/>
        <v>877</v>
      </c>
      <c r="M48" s="35" t="s">
        <v>33</v>
      </c>
      <c r="N48" s="24">
        <v>475.8</v>
      </c>
      <c r="O48" s="24">
        <v>169.3</v>
      </c>
      <c r="P48" s="24">
        <v>278.39999999999998</v>
      </c>
      <c r="Q48" s="107">
        <v>0</v>
      </c>
      <c r="R48" s="24">
        <v>42.6</v>
      </c>
      <c r="S48" s="24">
        <v>18.600000000000001</v>
      </c>
      <c r="T48" s="107">
        <v>58</v>
      </c>
      <c r="U48" s="24">
        <v>0</v>
      </c>
      <c r="V48" s="6">
        <v>1525.7775757972106</v>
      </c>
    </row>
    <row r="49" spans="1:22">
      <c r="A49" s="150" t="s">
        <v>82</v>
      </c>
      <c r="B49" s="9">
        <v>92</v>
      </c>
      <c r="C49" s="9">
        <v>427</v>
      </c>
      <c r="D49" s="9">
        <v>23</v>
      </c>
      <c r="E49" s="9">
        <v>80</v>
      </c>
      <c r="F49" s="9">
        <v>180</v>
      </c>
      <c r="G49" s="9">
        <v>35</v>
      </c>
      <c r="H49" s="9">
        <v>180</v>
      </c>
      <c r="I49" s="54"/>
      <c r="J49" s="9">
        <v>200</v>
      </c>
      <c r="K49" s="6">
        <f t="shared" si="30"/>
        <v>1217</v>
      </c>
      <c r="M49" s="35" t="s">
        <v>34</v>
      </c>
      <c r="N49" s="24">
        <v>215.70000000000002</v>
      </c>
      <c r="O49" s="24">
        <v>914.79999999999984</v>
      </c>
      <c r="P49" s="24">
        <v>164.20000000000002</v>
      </c>
      <c r="Q49" s="107">
        <v>0</v>
      </c>
      <c r="R49" s="24">
        <v>160</v>
      </c>
      <c r="S49" s="24">
        <v>64.8</v>
      </c>
      <c r="T49" s="107">
        <v>190</v>
      </c>
      <c r="U49" s="95">
        <v>0</v>
      </c>
      <c r="V49" s="6">
        <v>3779.6761705079357</v>
      </c>
    </row>
    <row r="50" spans="1:22">
      <c r="A50" s="150" t="s">
        <v>81</v>
      </c>
      <c r="B50" s="9">
        <v>88</v>
      </c>
      <c r="C50" s="9">
        <v>757.4</v>
      </c>
      <c r="D50" s="9">
        <v>139</v>
      </c>
      <c r="E50" s="54"/>
      <c r="F50" s="9">
        <v>150</v>
      </c>
      <c r="G50" s="9">
        <v>295</v>
      </c>
      <c r="H50" s="9">
        <v>280</v>
      </c>
      <c r="I50" s="54"/>
      <c r="J50" s="54"/>
      <c r="K50" s="6">
        <f t="shared" si="30"/>
        <v>1709.4</v>
      </c>
      <c r="M50" s="35" t="s">
        <v>3</v>
      </c>
      <c r="N50" s="24">
        <v>284.29999999999995</v>
      </c>
      <c r="O50" s="24">
        <v>509.99999999999994</v>
      </c>
      <c r="P50" s="24">
        <v>249.4</v>
      </c>
      <c r="Q50" s="107">
        <v>0</v>
      </c>
      <c r="R50" s="24">
        <v>40</v>
      </c>
      <c r="S50" s="24">
        <v>14.100000000000001</v>
      </c>
      <c r="T50" s="107">
        <v>50</v>
      </c>
      <c r="U50" s="107">
        <v>0</v>
      </c>
      <c r="V50" s="6">
        <v>2129.8322174326031</v>
      </c>
    </row>
    <row r="51" spans="1:22">
      <c r="A51" s="150" t="s">
        <v>80</v>
      </c>
      <c r="B51" s="9">
        <v>671</v>
      </c>
      <c r="C51" s="9">
        <v>912</v>
      </c>
      <c r="D51" s="9">
        <v>527</v>
      </c>
      <c r="E51" s="54"/>
      <c r="F51" s="9">
        <v>540</v>
      </c>
      <c r="G51" s="9">
        <v>343.2</v>
      </c>
      <c r="H51" s="9">
        <v>340</v>
      </c>
      <c r="I51" s="9">
        <v>120</v>
      </c>
      <c r="J51" s="54"/>
      <c r="K51" s="6">
        <f t="shared" si="30"/>
        <v>3453.2</v>
      </c>
      <c r="N51" s="6">
        <v>3493.5</v>
      </c>
      <c r="O51" s="6">
        <v>1850</v>
      </c>
      <c r="P51" s="6">
        <v>2636.7</v>
      </c>
      <c r="Q51" s="6">
        <v>10</v>
      </c>
      <c r="R51" s="6">
        <v>1042.9000000000001</v>
      </c>
      <c r="S51" s="6">
        <v>146.79999999999998</v>
      </c>
      <c r="T51" s="6">
        <v>625.5</v>
      </c>
      <c r="U51" s="6">
        <v>170</v>
      </c>
      <c r="V51" s="6">
        <v>18710.581092791097</v>
      </c>
    </row>
    <row r="52" spans="1:22">
      <c r="B52" s="6">
        <f t="shared" ref="B52:H52" si="31">SUM(B44:B51)</f>
        <v>5848.3000000000011</v>
      </c>
      <c r="C52" s="6">
        <f>SUM(C44:C51)</f>
        <v>4184.5</v>
      </c>
      <c r="D52" s="6">
        <f>SUM(D44:D51)</f>
        <v>3616.5000000000009</v>
      </c>
      <c r="E52" s="6">
        <f>SUM(E44:E51)</f>
        <v>90</v>
      </c>
      <c r="F52" s="6">
        <f>SUM(F44:F51)</f>
        <v>2367.8999999999996</v>
      </c>
      <c r="G52" s="6">
        <f>SUM(G44:G51)</f>
        <v>933.5</v>
      </c>
      <c r="H52" s="6">
        <f t="shared" si="31"/>
        <v>1735.5</v>
      </c>
      <c r="I52" s="6">
        <f>SUM(I44:I51)</f>
        <v>370</v>
      </c>
      <c r="J52" s="6">
        <f>SUM(J44:J51)</f>
        <v>200</v>
      </c>
      <c r="K52" s="6">
        <f t="shared" si="30"/>
        <v>19346.200000000004</v>
      </c>
      <c r="M52" s="121"/>
      <c r="N52" s="121"/>
      <c r="O52" s="121"/>
      <c r="P52" s="121"/>
      <c r="Q52" s="121"/>
      <c r="R52" s="121"/>
      <c r="S52" s="121"/>
      <c r="T52" s="121"/>
      <c r="U52" s="121"/>
      <c r="V52" s="121"/>
    </row>
  </sheetData>
  <mergeCells count="10">
    <mergeCell ref="H40:H43"/>
    <mergeCell ref="I40:I43"/>
    <mergeCell ref="K40:K43"/>
    <mergeCell ref="J40:J43"/>
    <mergeCell ref="B40:B43"/>
    <mergeCell ref="E40:E43"/>
    <mergeCell ref="D40:D43"/>
    <mergeCell ref="C40:C43"/>
    <mergeCell ref="G40:G43"/>
    <mergeCell ref="F40:F4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4623E-E32B-4DBD-A825-59843CB6F897}">
  <sheetPr>
    <tabColor theme="0" tint="-0.499984740745262"/>
  </sheetPr>
  <dimension ref="A1:V526"/>
  <sheetViews>
    <sheetView zoomScale="90" zoomScaleNormal="90" workbookViewId="0">
      <pane ySplit="5" topLeftCell="A475" activePane="bottomLeft" state="frozen"/>
      <selection pane="bottomLeft" activeCell="D482" sqref="D482"/>
    </sheetView>
  </sheetViews>
  <sheetFormatPr defaultRowHeight="14.4"/>
  <cols>
    <col min="1" max="3" width="16.77734375" style="1" customWidth="1"/>
    <col min="4" max="4" width="8.88671875" style="1"/>
    <col min="5" max="5" width="10.88671875" style="1" customWidth="1"/>
    <col min="6" max="6" width="9.21875" style="1" customWidth="1"/>
    <col min="7" max="7" width="9.109375" style="1" customWidth="1"/>
    <col min="8" max="8" width="8.88671875" style="1"/>
    <col min="9" max="9" width="10.5546875" style="1" customWidth="1"/>
    <col min="10" max="11" width="14.33203125" style="1" customWidth="1"/>
    <col min="12" max="14" width="8.88671875" style="1"/>
    <col min="15" max="15" width="17.21875" style="1" customWidth="1"/>
    <col min="16" max="16384" width="8.88671875" style="1"/>
  </cols>
  <sheetData>
    <row r="1" spans="1:22">
      <c r="A1" s="65" t="s">
        <v>1177</v>
      </c>
      <c r="B1" s="36" t="s">
        <v>859</v>
      </c>
      <c r="C1" s="36"/>
      <c r="D1" s="36"/>
      <c r="E1" s="36"/>
      <c r="F1" s="36"/>
      <c r="G1" s="97" t="s">
        <v>175</v>
      </c>
      <c r="H1" s="36"/>
      <c r="I1" s="36"/>
      <c r="J1" s="36"/>
      <c r="K1" s="36"/>
      <c r="S1" s="1" t="s">
        <v>406</v>
      </c>
      <c r="U1" s="1" t="s">
        <v>58</v>
      </c>
    </row>
    <row r="2" spans="1:22">
      <c r="A2" s="98" t="s">
        <v>831</v>
      </c>
      <c r="B2" s="98" t="s">
        <v>1132</v>
      </c>
      <c r="C2" s="98"/>
      <c r="D2" s="98"/>
      <c r="E2" s="45"/>
      <c r="F2" s="45"/>
      <c r="G2" s="45"/>
      <c r="H2" s="45"/>
      <c r="I2" s="45"/>
      <c r="J2" s="45"/>
      <c r="K2" s="45"/>
      <c r="S2" s="1">
        <f>COUNTIF(El_unit[Name],"?*")</f>
        <v>521</v>
      </c>
      <c r="U2" s="2">
        <f>SUM(El_unit[Capacity])</f>
        <v>24232.895000000004</v>
      </c>
    </row>
    <row r="3" spans="1:22">
      <c r="A3" s="98"/>
      <c r="B3" s="98" t="s">
        <v>815</v>
      </c>
      <c r="C3" s="98"/>
      <c r="D3" s="98"/>
      <c r="E3" s="45"/>
      <c r="F3" s="45"/>
      <c r="G3" s="45"/>
      <c r="H3" s="45"/>
      <c r="I3" s="45"/>
      <c r="J3" s="45"/>
      <c r="K3" s="45"/>
      <c r="S3" s="1">
        <f>COUNTIF(El_unit[Exact],"?*")</f>
        <v>242</v>
      </c>
      <c r="T3" s="76">
        <f>S3/$S$2</f>
        <v>0.46449136276391556</v>
      </c>
      <c r="U3" s="2" cm="1">
        <f t="array" ref="U3">SUM(_xlfn._xlws.FILTER(El_unit[Capacity],LEN(El_unit[Exact])&gt;0))</f>
        <v>9280.7199999999993</v>
      </c>
      <c r="V3" s="76">
        <f>U3/$U$2</f>
        <v>0.38298024235238909</v>
      </c>
    </row>
    <row r="4" spans="1:22">
      <c r="A4" s="98"/>
      <c r="B4" s="98" t="s">
        <v>3072</v>
      </c>
      <c r="C4" s="98"/>
      <c r="D4" s="98"/>
      <c r="E4" s="45"/>
      <c r="F4" s="45"/>
      <c r="G4" s="45"/>
      <c r="H4" s="45"/>
      <c r="I4" s="45"/>
      <c r="J4" s="45"/>
      <c r="K4" s="45"/>
      <c r="S4" s="1">
        <f>COUNTIF(El_unit[Exact+n],"?*")</f>
        <v>15</v>
      </c>
      <c r="T4" s="76">
        <f>S4/$S$2</f>
        <v>2.8790786948176585E-2</v>
      </c>
      <c r="U4" s="2" cm="1">
        <f t="array" ref="U4">SUM(_xlfn._xlws.FILTER(El_unit[Capacity],LEN(El_unit[Exact+n])&gt;0))</f>
        <v>576.69999999999993</v>
      </c>
      <c r="V4" s="76">
        <f>U4/$U$2</f>
        <v>2.3798229637853829E-2</v>
      </c>
    </row>
    <row r="5" spans="1:22">
      <c r="A5" s="14" t="s">
        <v>177</v>
      </c>
      <c r="B5" s="14" t="s">
        <v>178</v>
      </c>
      <c r="C5" s="14" t="s">
        <v>3073</v>
      </c>
      <c r="D5" s="14" t="s">
        <v>159</v>
      </c>
      <c r="E5" s="14" t="s">
        <v>127</v>
      </c>
      <c r="F5" s="14" t="s">
        <v>3070</v>
      </c>
      <c r="G5" s="14" t="s">
        <v>3071</v>
      </c>
      <c r="H5" s="14" t="s">
        <v>58</v>
      </c>
      <c r="I5" s="14" t="s">
        <v>1012</v>
      </c>
      <c r="J5" s="14" t="s">
        <v>1013</v>
      </c>
      <c r="K5" s="14" t="s">
        <v>1014</v>
      </c>
      <c r="L5" s="14" t="s">
        <v>2877</v>
      </c>
      <c r="M5" s="14" t="s">
        <v>2886</v>
      </c>
      <c r="N5" s="14" t="s">
        <v>2887</v>
      </c>
      <c r="O5" s="14" t="s">
        <v>71</v>
      </c>
      <c r="P5" s="14" t="s">
        <v>821</v>
      </c>
      <c r="Q5" s="14" t="s">
        <v>2859</v>
      </c>
      <c r="S5" s="1">
        <f>COUNTIF(El_unit[Copilot],"?*")</f>
        <v>156</v>
      </c>
      <c r="T5" s="76">
        <f>S5/$S$2</f>
        <v>0.29942418426103645</v>
      </c>
      <c r="U5" s="2" cm="1">
        <f t="array" ref="U5">SUM(_xlfn._xlws.FILTER(El_unit[Capacity],LEN(El_unit[Copilot])&gt;0))</f>
        <v>10396.279999999995</v>
      </c>
      <c r="V5" s="76">
        <f>U5/$U$2</f>
        <v>0.42901518782629949</v>
      </c>
    </row>
    <row r="6" spans="1:22">
      <c r="A6" s="54" t="s">
        <v>179</v>
      </c>
      <c r="B6" s="22" t="s">
        <v>179</v>
      </c>
      <c r="C6" s="107" t="str" cm="1">
        <f t="array" ref="C6">" "&amp;LOWER(_xlfn.REDUCE(El_unit[[#This Row],[Location]]&amp;" "&amp;El_unit[[#This Row],[Name]],{",",".","(",")","/"},_xlfn.LAMBDA(_xlpm.txt,_xlpm.delim,SUBSTITUTE(_xlpm.txt,_xlpm.delim," "))))&amp;" "</f>
        <v xml:space="preserve"> ahvenkoski ahvenkoski </v>
      </c>
      <c r="D6" s="22" t="s">
        <v>3064</v>
      </c>
      <c r="E6" s="1">
        <v>24</v>
      </c>
      <c r="F6" s="1">
        <v>0</v>
      </c>
      <c r="G6" s="1">
        <v>0</v>
      </c>
      <c r="H6" s="1">
        <v>24</v>
      </c>
      <c r="L6" s="1" t="str" cm="1">
        <f t="array" ref="L6">_xlfn.XLOOKUP(TRUE,ISNUMBER(SEARCH(" "&amp;Municipality[Municipality]&amp;" ",El_unit[[#This Row],[Info sting]])),Municipality[Municipality],"")</f>
        <v/>
      </c>
      <c r="M6" s="1" t="str" cm="1">
        <f t="array" ref="M6">IF(El_unit[[#This Row],[Exact]]&lt;&gt;"","",_xlfn.XLOOKUP(TRUE,ISNUMBER(SEARCH(" "&amp;Municipality[Municipality]&amp;"n ",El_unit[[#This Row],[Info sting]])),Municipality[Municipality],""))</f>
        <v/>
      </c>
      <c r="N6" s="1" t="s">
        <v>3101</v>
      </c>
      <c r="O6" s="35" t="s">
        <v>3103</v>
      </c>
      <c r="Q6" s="1" t="str">
        <f>_xlfn.TEXTJOIN("",TRUE,El_unit[[#This Row],[Exact]],El_unit[[#This Row],[Exact+n]],El_unit[[#This Row],[Copilot]])</f>
        <v>Pyhtää; Loviisa</v>
      </c>
      <c r="S6" s="1">
        <f>S2-SUM(S3:S5)</f>
        <v>108</v>
      </c>
      <c r="T6" s="76">
        <f>S6/$S$2</f>
        <v>0.20729366602687141</v>
      </c>
      <c r="U6" s="1">
        <f>U2-SUM(U3:U5)</f>
        <v>3979.195000000007</v>
      </c>
      <c r="V6" s="76">
        <f>U6/$U$2</f>
        <v>0.16420634018345751</v>
      </c>
    </row>
    <row r="7" spans="1:22">
      <c r="A7" s="54" t="s">
        <v>896</v>
      </c>
      <c r="B7" s="22" t="s">
        <v>963</v>
      </c>
      <c r="C7" s="107" t="str" cm="1">
        <f t="array" ref="C7">" "&amp;LOWER(_xlfn.REDUCE(El_unit[[#This Row],[Location]],{",",".","(",")","/"},_xlfn.LAMBDA(_xlpm.txt,_xlpm.delim,SUBSTITUTE(_xlpm.txt,_xlpm.delim," "))))&amp;" "</f>
        <v xml:space="preserve"> pori aittaluoto </v>
      </c>
      <c r="D7" s="22" t="s">
        <v>3065</v>
      </c>
      <c r="E7" s="1">
        <v>0</v>
      </c>
      <c r="F7" s="1">
        <v>14</v>
      </c>
      <c r="G7" s="1">
        <v>0</v>
      </c>
      <c r="H7" s="1">
        <v>14</v>
      </c>
      <c r="I7" s="1" t="s">
        <v>1015</v>
      </c>
      <c r="J7" s="1" t="s">
        <v>1016</v>
      </c>
      <c r="K7" s="1" t="s">
        <v>1016</v>
      </c>
      <c r="L7" s="1" t="str" cm="1">
        <f t="array" ref="L7">_xlfn.XLOOKUP(TRUE,ISNUMBER(SEARCH(" "&amp;Municipality[Municipality]&amp;" ",El_unit[[#This Row],[Info sting]])),Municipality[Municipality],"")</f>
        <v>Pori</v>
      </c>
      <c r="M7" s="1" t="str" cm="1">
        <f t="array" ref="M7">IF(El_unit[[#This Row],[Exact]]&lt;&gt;"","",_xlfn.XLOOKUP(TRUE,ISNUMBER(SEARCH(" "&amp;Municipality[Municipality]&amp;"n ",El_unit[[#This Row],[Info sting]])),Municipality[Municipality],""))</f>
        <v/>
      </c>
      <c r="O7" s="35"/>
      <c r="Q7" s="1" t="str">
        <f>_xlfn.TEXTJOIN("",TRUE,El_unit[[#This Row],[Exact]],El_unit[[#This Row],[Exact+n]],El_unit[[#This Row],[Copilot]])</f>
        <v>Pori</v>
      </c>
    </row>
    <row r="8" spans="1:22">
      <c r="A8" s="54" t="s">
        <v>180</v>
      </c>
      <c r="B8" s="22" t="s">
        <v>180</v>
      </c>
      <c r="C8" s="107" t="str" cm="1">
        <f t="array" ref="C8">" "&amp;LOWER(_xlfn.REDUCE(El_unit[[#This Row],[Location]],{",",".","(",")","/"},_xlfn.LAMBDA(_xlpm.txt,_xlpm.delim,SUBSTITUTE(_xlpm.txt,_xlpm.delim," "))))&amp;" "</f>
        <v xml:space="preserve"> aittokoski </v>
      </c>
      <c r="D8" s="22" t="s">
        <v>3064</v>
      </c>
      <c r="E8" s="1">
        <v>44.8</v>
      </c>
      <c r="F8" s="1">
        <v>0</v>
      </c>
      <c r="G8" s="1">
        <v>0</v>
      </c>
      <c r="H8" s="1">
        <v>44.8</v>
      </c>
      <c r="L8" s="1" t="str" cm="1">
        <f t="array" ref="L8">_xlfn.XLOOKUP(TRUE,ISNUMBER(SEARCH(" "&amp;Municipality[Municipality]&amp;" ",El_unit[[#This Row],[Info sting]])),Municipality[Municipality],"")</f>
        <v/>
      </c>
      <c r="M8" s="1" t="str" cm="1">
        <f t="array" ref="M8">IF(El_unit[[#This Row],[Exact]]&lt;&gt;"","",_xlfn.XLOOKUP(TRUE,ISNUMBER(SEARCH(" "&amp;Municipality[Municipality]&amp;"n ",El_unit[[#This Row],[Info sting]])),Municipality[Municipality],""))</f>
        <v/>
      </c>
      <c r="N8" s="1" t="s">
        <v>2789</v>
      </c>
      <c r="O8" s="35" t="s">
        <v>3104</v>
      </c>
      <c r="Q8" s="1" t="str">
        <f>_xlfn.TEXTJOIN("",TRUE,El_unit[[#This Row],[Exact]],El_unit[[#This Row],[Exact+n]],El_unit[[#This Row],[Copilot]])</f>
        <v>Suomussalmi</v>
      </c>
    </row>
    <row r="9" spans="1:22">
      <c r="A9" s="54" t="s">
        <v>412</v>
      </c>
      <c r="B9" s="22" t="s">
        <v>412</v>
      </c>
      <c r="C9" s="107" t="str" cm="1">
        <f t="array" ref="C9">" "&amp;LOWER(_xlfn.REDUCE(El_unit[[#This Row],[Location]],{",",".","(",")","/"},_xlfn.LAMBDA(_xlpm.txt,_xlpm.delim,SUBSTITUTE(_xlpm.txt,_xlpm.delim," "))))&amp;" "</f>
        <v xml:space="preserve"> ajos wind oy </v>
      </c>
      <c r="D9" s="22" t="s">
        <v>3066</v>
      </c>
      <c r="E9" s="1">
        <v>42.4</v>
      </c>
      <c r="F9" s="1">
        <v>0</v>
      </c>
      <c r="G9" s="1">
        <v>0</v>
      </c>
      <c r="H9" s="1">
        <v>42.4</v>
      </c>
      <c r="L9" s="1" t="str" cm="1">
        <f t="array" ref="L9">_xlfn.XLOOKUP(TRUE,ISNUMBER(SEARCH(" "&amp;Municipality[Municipality]&amp;" ",El_unit[[#This Row],[Info sting]])),Municipality[Municipality],"")</f>
        <v/>
      </c>
      <c r="M9" s="1" t="str" cm="1">
        <f t="array" ref="M9">IF(El_unit[[#This Row],[Exact]]&lt;&gt;"","",_xlfn.XLOOKUP(TRUE,ISNUMBER(SEARCH(" "&amp;Municipality[Municipality]&amp;"n ",El_unit[[#This Row],[Info sting]])),Municipality[Municipality],""))</f>
        <v/>
      </c>
      <c r="N9" s="1" t="s">
        <v>918</v>
      </c>
      <c r="O9" s="35" t="s">
        <v>3105</v>
      </c>
      <c r="Q9" s="1" t="str">
        <f>_xlfn.TEXTJOIN("",TRUE,El_unit[[#This Row],[Exact]],El_unit[[#This Row],[Exact+n]],El_unit[[#This Row],[Copilot]])</f>
        <v>Kemi</v>
      </c>
    </row>
    <row r="10" spans="1:22">
      <c r="A10" s="54" t="s">
        <v>413</v>
      </c>
      <c r="B10" s="22" t="s">
        <v>665</v>
      </c>
      <c r="C10" s="107" t="str" cm="1">
        <f t="array" ref="C10">" "&amp;LOWER(_xlfn.REDUCE(El_unit[[#This Row],[Location]],{",",".","(",")","/"},_xlfn.LAMBDA(_xlpm.txt,_xlpm.delim,SUBSTITUTE(_xlpm.txt,_xlpm.delim," "))))&amp;" "</f>
        <v xml:space="preserve"> alajoki-peuralinna tuulipuisto  perho &amp; kyyjärvi </v>
      </c>
      <c r="D10" s="22" t="s">
        <v>3066</v>
      </c>
      <c r="E10" s="1">
        <v>92.4</v>
      </c>
      <c r="F10" s="1">
        <v>0</v>
      </c>
      <c r="G10" s="1">
        <v>0</v>
      </c>
      <c r="H10" s="1">
        <v>92.4</v>
      </c>
      <c r="L10" s="1" t="str" cm="1">
        <f t="array" ref="L10">_xlfn.XLOOKUP(TRUE,ISNUMBER(SEARCH(" "&amp;Municipality[Municipality]&amp;" ",El_unit[[#This Row],[Info sting]])),Municipality[Municipality],"")</f>
        <v>Kyyjärvi</v>
      </c>
      <c r="M10" s="1" t="str" cm="1">
        <f t="array" ref="M10">IF(El_unit[[#This Row],[Exact]]&lt;&gt;"","",_xlfn.XLOOKUP(TRUE,ISNUMBER(SEARCH(" "&amp;Municipality[Municipality]&amp;"n ",El_unit[[#This Row],[Info sting]])),Municipality[Municipality],""))</f>
        <v/>
      </c>
      <c r="O10" s="35"/>
      <c r="Q10" s="1" t="str">
        <f>_xlfn.TEXTJOIN("",TRUE,El_unit[[#This Row],[Exact]],El_unit[[#This Row],[Exact+n]],El_unit[[#This Row],[Copilot]])</f>
        <v>Kyyjärvi</v>
      </c>
    </row>
    <row r="11" spans="1:22">
      <c r="A11" s="54" t="s">
        <v>181</v>
      </c>
      <c r="B11" s="22" t="s">
        <v>182</v>
      </c>
      <c r="C11" s="107" t="str" cm="1">
        <f t="array" ref="C11">" "&amp;LOWER(_xlfn.REDUCE(El_unit[[#This Row],[Location]],{",",".","(",")","/"},_xlfn.LAMBDA(_xlpm.txt,_xlpm.delim,SUBSTITUTE(_xlpm.txt,_xlpm.delim," "))))&amp;" "</f>
        <v xml:space="preserve"> alakoski  vuolteentori 6  33100 tampere </v>
      </c>
      <c r="D11" s="22" t="s">
        <v>3064</v>
      </c>
      <c r="E11" s="1">
        <v>4.5999999999999996</v>
      </c>
      <c r="F11" s="1">
        <v>0</v>
      </c>
      <c r="G11" s="1">
        <v>0</v>
      </c>
      <c r="H11" s="1">
        <v>4.5999999999999996</v>
      </c>
      <c r="L11" s="1" t="str" cm="1">
        <f t="array" ref="L11">_xlfn.XLOOKUP(TRUE,ISNUMBER(SEARCH(" "&amp;Municipality[Municipality]&amp;" ",El_unit[[#This Row],[Info sting]])),Municipality[Municipality],"")</f>
        <v>Tampere</v>
      </c>
      <c r="M11" s="1" t="str" cm="1">
        <f t="array" ref="M11">IF(El_unit[[#This Row],[Exact]]&lt;&gt;"","",_xlfn.XLOOKUP(TRUE,ISNUMBER(SEARCH(" "&amp;Municipality[Municipality]&amp;"n ",El_unit[[#This Row],[Info sting]])),Municipality[Municipality],""))</f>
        <v/>
      </c>
      <c r="O11" s="35"/>
      <c r="Q11" s="1" t="str">
        <f>_xlfn.TEXTJOIN("",TRUE,El_unit[[#This Row],[Exact]],El_unit[[#This Row],[Exact+n]],El_unit[[#This Row],[Copilot]])</f>
        <v>Tampere</v>
      </c>
    </row>
    <row r="12" spans="1:22">
      <c r="A12" s="54" t="s">
        <v>897</v>
      </c>
      <c r="B12" s="22" t="s">
        <v>964</v>
      </c>
      <c r="C12" s="107" t="str" cm="1">
        <f t="array" ref="C12">" "&amp;LOWER(_xlfn.REDUCE(El_unit[[#This Row],[Location]],{",",".","(",")","/"},_xlfn.LAMBDA(_xlpm.txt,_xlpm.delim,SUBSTITUTE(_xlpm.txt,_xlpm.delim," "))))&amp;" "</f>
        <v xml:space="preserve"> ak1 </v>
      </c>
      <c r="D12" s="22" t="s">
        <v>3065</v>
      </c>
      <c r="E12" s="1">
        <v>0</v>
      </c>
      <c r="F12" s="1">
        <v>30</v>
      </c>
      <c r="G12" s="1">
        <v>0</v>
      </c>
      <c r="H12" s="1">
        <v>30</v>
      </c>
      <c r="I12" s="1" t="s">
        <v>1016</v>
      </c>
      <c r="K12" s="1" t="s">
        <v>1017</v>
      </c>
      <c r="L12" s="1" t="str" cm="1">
        <f t="array" ref="L12">_xlfn.XLOOKUP(TRUE,ISNUMBER(SEARCH(" "&amp;Municipality[Municipality]&amp;" ",El_unit[[#This Row],[Info sting]])),Municipality[Municipality],"")</f>
        <v/>
      </c>
      <c r="M12" s="1" t="str" cm="1">
        <f t="array" ref="M12">IF(El_unit[[#This Row],[Exact]]&lt;&gt;"","",_xlfn.XLOOKUP(TRUE,ISNUMBER(SEARCH(" "&amp;Municipality[Municipality]&amp;"n ",El_unit[[#This Row],[Info sting]])),Municipality[Municipality],""))</f>
        <v/>
      </c>
      <c r="N12" s="1" t="s">
        <v>994</v>
      </c>
      <c r="O12" s="35" t="s">
        <v>3106</v>
      </c>
      <c r="Q12" s="1" t="str">
        <f>_xlfn.TEXTJOIN("",TRUE,El_unit[[#This Row],[Exact]],El_unit[[#This Row],[Exact+n]],El_unit[[#This Row],[Copilot]])</f>
        <v>Pietarsaari</v>
      </c>
    </row>
    <row r="13" spans="1:22">
      <c r="A13" s="54" t="s">
        <v>898</v>
      </c>
      <c r="B13" s="22" t="s">
        <v>965</v>
      </c>
      <c r="C13" s="107" t="str" cm="1">
        <f t="array" ref="C13">" "&amp;LOWER(_xlfn.REDUCE(El_unit[[#This Row],[Location]],{",",".","(",")","/"},_xlfn.LAMBDA(_xlpm.txt,_xlpm.delim,SUBSTITUTE(_xlpm.txt,_xlpm.delim," "))))&amp;" "</f>
        <v xml:space="preserve"> ak2 </v>
      </c>
      <c r="D13" s="22" t="s">
        <v>3065</v>
      </c>
      <c r="E13" s="1">
        <v>0</v>
      </c>
      <c r="F13" s="1">
        <v>240</v>
      </c>
      <c r="G13" s="1">
        <v>0</v>
      </c>
      <c r="H13" s="1">
        <v>240</v>
      </c>
      <c r="I13" s="1" t="s">
        <v>1015</v>
      </c>
      <c r="J13" s="1" t="s">
        <v>1018</v>
      </c>
      <c r="K13" s="1" t="s">
        <v>1016</v>
      </c>
      <c r="L13" s="1" t="str" cm="1">
        <f t="array" ref="L13">_xlfn.XLOOKUP(TRUE,ISNUMBER(SEARCH(" "&amp;Municipality[Municipality]&amp;" ",El_unit[[#This Row],[Info sting]])),Municipality[Municipality],"")</f>
        <v/>
      </c>
      <c r="M13" s="1" t="str" cm="1">
        <f t="array" ref="M13">IF(El_unit[[#This Row],[Exact]]&lt;&gt;"","",_xlfn.XLOOKUP(TRUE,ISNUMBER(SEARCH(" "&amp;Municipality[Municipality]&amp;"n ",El_unit[[#This Row],[Info sting]])),Municipality[Municipality],""))</f>
        <v/>
      </c>
      <c r="N13" s="1" t="s">
        <v>994</v>
      </c>
      <c r="O13" s="35" t="s">
        <v>3106</v>
      </c>
      <c r="Q13" s="1" t="str">
        <f>_xlfn.TEXTJOIN("",TRUE,El_unit[[#This Row],[Exact]],El_unit[[#This Row],[Exact+n]],El_unit[[#This Row],[Copilot]])</f>
        <v>Pietarsaari</v>
      </c>
    </row>
    <row r="14" spans="1:22">
      <c r="A14" s="54" t="s">
        <v>184</v>
      </c>
      <c r="B14" s="22" t="s">
        <v>966</v>
      </c>
      <c r="C14" s="107" t="str" cm="1">
        <f t="array" ref="C14">" "&amp;LOWER(_xlfn.REDUCE(El_unit[[#This Row],[Location]],{",",".","(",")","/"},_xlfn.LAMBDA(_xlpm.txt,_xlpm.delim,SUBSTITUTE(_xlpm.txt,_xlpm.delim," "))))&amp;" "</f>
        <v xml:space="preserve"> inkeroinen  kouvola  </v>
      </c>
      <c r="D14" s="22" t="s">
        <v>3065</v>
      </c>
      <c r="E14" s="1">
        <v>0</v>
      </c>
      <c r="F14" s="1">
        <v>160.5</v>
      </c>
      <c r="G14" s="1">
        <v>0</v>
      </c>
      <c r="H14" s="1">
        <v>160.5</v>
      </c>
      <c r="I14" s="1" t="s">
        <v>1016</v>
      </c>
      <c r="J14" s="1" t="s">
        <v>1019</v>
      </c>
      <c r="L14" s="1" t="str" cm="1">
        <f t="array" ref="L14">_xlfn.XLOOKUP(TRUE,ISNUMBER(SEARCH(" "&amp;Municipality[Municipality]&amp;" ",El_unit[[#This Row],[Info sting]])),Municipality[Municipality],"")</f>
        <v>Kouvola</v>
      </c>
      <c r="M14" s="1" t="str" cm="1">
        <f t="array" ref="M14">IF(El_unit[[#This Row],[Exact]]&lt;&gt;"","",_xlfn.XLOOKUP(TRUE,ISNUMBER(SEARCH(" "&amp;Municipality[Municipality]&amp;"n ",El_unit[[#This Row],[Info sting]])),Municipality[Municipality],""))</f>
        <v/>
      </c>
      <c r="O14" s="35"/>
      <c r="Q14" s="1" t="str">
        <f>_xlfn.TEXTJOIN("",TRUE,El_unit[[#This Row],[Exact]],El_unit[[#This Row],[Exact+n]],El_unit[[#This Row],[Copilot]])</f>
        <v>Kouvola</v>
      </c>
    </row>
    <row r="15" spans="1:22">
      <c r="A15" s="54" t="s">
        <v>183</v>
      </c>
      <c r="B15" s="22" t="s">
        <v>184</v>
      </c>
      <c r="C15" s="107" t="str" cm="1">
        <f t="array" ref="C15">" "&amp;LOWER(_xlfn.REDUCE(El_unit[[#This Row],[Location]],{",",".","(",")","/"},_xlfn.LAMBDA(_xlpm.txt,_xlpm.delim,SUBSTITUTE(_xlpm.txt,_xlpm.delim," "))))&amp;" "</f>
        <v xml:space="preserve"> anjalankoski </v>
      </c>
      <c r="D15" s="22" t="s">
        <v>3064</v>
      </c>
      <c r="E15" s="1">
        <v>18</v>
      </c>
      <c r="F15" s="1">
        <v>0</v>
      </c>
      <c r="G15" s="1">
        <v>0</v>
      </c>
      <c r="H15" s="1">
        <v>18</v>
      </c>
      <c r="L15" s="1" t="str" cm="1">
        <f t="array" ref="L15">_xlfn.XLOOKUP(TRUE,ISNUMBER(SEARCH(" "&amp;Municipality[Municipality]&amp;" ",El_unit[[#This Row],[Info sting]])),Municipality[Municipality],"")</f>
        <v>Anjalankoski</v>
      </c>
      <c r="M15" s="1" t="str" cm="1">
        <f t="array" ref="M15">IF(El_unit[[#This Row],[Exact]]&lt;&gt;"","",_xlfn.XLOOKUP(TRUE,ISNUMBER(SEARCH(" "&amp;Municipality[Municipality]&amp;"n ",El_unit[[#This Row],[Info sting]])),Municipality[Municipality],""))</f>
        <v/>
      </c>
      <c r="O15" s="35"/>
      <c r="Q15" s="1" t="str">
        <f>_xlfn.TEXTJOIN("",TRUE,El_unit[[#This Row],[Exact]],El_unit[[#This Row],[Exact+n]],El_unit[[#This Row],[Copilot]])</f>
        <v>Anjalankoski</v>
      </c>
    </row>
    <row r="16" spans="1:22">
      <c r="A16" s="54" t="s">
        <v>414</v>
      </c>
      <c r="B16" s="22" t="s">
        <v>414</v>
      </c>
      <c r="C16" s="107" t="str" cm="1">
        <f t="array" ref="C16">" "&amp;LOWER(_xlfn.REDUCE(El_unit[[#This Row],[Location]],{",",".","(",")","/"},_xlfn.LAMBDA(_xlpm.txt,_xlpm.delim,SUBSTITUTE(_xlpm.txt,_xlpm.delim," "))))&amp;" "</f>
        <v xml:space="preserve"> annankangas t1-t10 </v>
      </c>
      <c r="D16" s="22" t="s">
        <v>3066</v>
      </c>
      <c r="E16" s="1">
        <v>34.5</v>
      </c>
      <c r="F16" s="1">
        <v>0</v>
      </c>
      <c r="G16" s="1">
        <v>0</v>
      </c>
      <c r="H16" s="1">
        <v>34.5</v>
      </c>
      <c r="L16" s="1" t="str" cm="1">
        <f t="array" ref="L16">_xlfn.XLOOKUP(TRUE,ISNUMBER(SEARCH(" "&amp;Municipality[Municipality]&amp;" ",El_unit[[#This Row],[Info sting]])),Municipality[Municipality],"")</f>
        <v/>
      </c>
      <c r="M16" s="1" t="str" cm="1">
        <f t="array" ref="M16">IF(El_unit[[#This Row],[Exact]]&lt;&gt;"","",_xlfn.XLOOKUP(TRUE,ISNUMBER(SEARCH(" "&amp;Municipality[Municipality]&amp;"n ",El_unit[[#This Row],[Info sting]])),Municipality[Municipality],""))</f>
        <v/>
      </c>
      <c r="N16" s="1" t="s">
        <v>939</v>
      </c>
      <c r="O16" s="35" t="s">
        <v>3107</v>
      </c>
      <c r="Q16" s="1" t="str">
        <f>_xlfn.TEXTJOIN("",TRUE,El_unit[[#This Row],[Exact]],El_unit[[#This Row],[Exact+n]],El_unit[[#This Row],[Copilot]])</f>
        <v>Raahe</v>
      </c>
    </row>
    <row r="17" spans="1:17">
      <c r="A17" s="54" t="s">
        <v>185</v>
      </c>
      <c r="B17" s="22" t="s">
        <v>186</v>
      </c>
      <c r="C17" s="107" t="str" cm="1">
        <f t="array" ref="C17">" "&amp;LOWER(_xlfn.REDUCE(El_unit[[#This Row],[Location]],{",",".","(",")","/"},_xlfn.LAMBDA(_xlpm.txt,_xlpm.delim,SUBSTITUTE(_xlpm.txt,_xlpm.delim," "))))&amp;" "</f>
        <v xml:space="preserve"> askala  voimalantie 116  21530 paimio </v>
      </c>
      <c r="D17" s="22" t="s">
        <v>3064</v>
      </c>
      <c r="E17" s="1">
        <v>1.3</v>
      </c>
      <c r="F17" s="1">
        <v>0</v>
      </c>
      <c r="G17" s="1">
        <v>0</v>
      </c>
      <c r="H17" s="1">
        <v>1.3</v>
      </c>
      <c r="L17" s="1" t="str" cm="1">
        <f t="array" ref="L17">_xlfn.XLOOKUP(TRUE,ISNUMBER(SEARCH(" "&amp;Municipality[Municipality]&amp;" ",El_unit[[#This Row],[Info sting]])),Municipality[Municipality],"")</f>
        <v>Paimio</v>
      </c>
      <c r="M17" s="1" t="str" cm="1">
        <f t="array" ref="M17">IF(El_unit[[#This Row],[Exact]]&lt;&gt;"","",_xlfn.XLOOKUP(TRUE,ISNUMBER(SEARCH(" "&amp;Municipality[Municipality]&amp;"n ",El_unit[[#This Row],[Info sting]])),Municipality[Municipality],""))</f>
        <v/>
      </c>
      <c r="O17" s="35"/>
      <c r="Q17" s="1" t="str">
        <f>_xlfn.TEXTJOIN("",TRUE,El_unit[[#This Row],[Exact]],El_unit[[#This Row],[Exact+n]],El_unit[[#This Row],[Copilot]])</f>
        <v>Paimio</v>
      </c>
    </row>
    <row r="18" spans="1:17">
      <c r="A18" s="54" t="s">
        <v>187</v>
      </c>
      <c r="B18" s="22" t="s">
        <v>188</v>
      </c>
      <c r="C18" s="107" t="str" cm="1">
        <f t="array" ref="C18">" "&amp;LOWER(_xlfn.REDUCE(El_unit[[#This Row],[Location]],{",",".","(",")","/"},_xlfn.LAMBDA(_xlpm.txt,_xlpm.delim,SUBSTITUTE(_xlpm.txt,_xlpm.delim," "))))&amp;" "</f>
        <v xml:space="preserve"> lapinlahti  voimalaitoksentie 1  syvärinpää </v>
      </c>
      <c r="D18" s="22" t="s">
        <v>3064</v>
      </c>
      <c r="E18" s="1">
        <v>6.5</v>
      </c>
      <c r="F18" s="1">
        <v>0</v>
      </c>
      <c r="G18" s="1">
        <v>0</v>
      </c>
      <c r="H18" s="1">
        <v>6.5</v>
      </c>
      <c r="L18" s="1" t="str" cm="1">
        <f t="array" ref="L18">_xlfn.XLOOKUP(TRUE,ISNUMBER(SEARCH(" "&amp;Municipality[Municipality]&amp;" ",El_unit[[#This Row],[Info sting]])),Municipality[Municipality],"")</f>
        <v>Lapinlahti</v>
      </c>
      <c r="M18" s="1" t="str" cm="1">
        <f t="array" ref="M18">IF(El_unit[[#This Row],[Exact]]&lt;&gt;"","",_xlfn.XLOOKUP(TRUE,ISNUMBER(SEARCH(" "&amp;Municipality[Municipality]&amp;"n ",El_unit[[#This Row],[Info sting]])),Municipality[Municipality],""))</f>
        <v/>
      </c>
      <c r="O18" s="35"/>
      <c r="Q18" s="1" t="str">
        <f>_xlfn.TEXTJOIN("",TRUE,El_unit[[#This Row],[Exact]],El_unit[[#This Row],[Exact+n]],El_unit[[#This Row],[Copilot]])</f>
        <v>Lapinlahti</v>
      </c>
    </row>
    <row r="19" spans="1:17">
      <c r="A19" s="54" t="s">
        <v>189</v>
      </c>
      <c r="B19" s="22" t="s">
        <v>190</v>
      </c>
      <c r="C19" s="107" t="str" cm="1">
        <f t="array" ref="C19">" "&amp;LOWER(_xlfn.REDUCE(El_unit[[#This Row],[Location]],{",",".","(",")","/"},_xlfn.LAMBDA(_xlpm.txt,_xlpm.delim,SUBSTITUTE(_xlpm.txt,_xlpm.delim," "))))&amp;" "</f>
        <v xml:space="preserve"> billnäs  pohja </v>
      </c>
      <c r="D19" s="22" t="s">
        <v>3064</v>
      </c>
      <c r="E19" s="1">
        <v>1.8</v>
      </c>
      <c r="F19" s="1">
        <v>0</v>
      </c>
      <c r="G19" s="1">
        <v>0</v>
      </c>
      <c r="H19" s="1">
        <v>1.8</v>
      </c>
      <c r="L19" s="1" t="str" cm="1">
        <f t="array" ref="L19">_xlfn.XLOOKUP(TRUE,ISNUMBER(SEARCH(" "&amp;Municipality[Municipality]&amp;" ",El_unit[[#This Row],[Info sting]])),Municipality[Municipality],"")</f>
        <v>Pohja</v>
      </c>
      <c r="M19" s="1" t="str" cm="1">
        <f t="array" ref="M19">IF(El_unit[[#This Row],[Exact]]&lt;&gt;"","",_xlfn.XLOOKUP(TRUE,ISNUMBER(SEARCH(" "&amp;Municipality[Municipality]&amp;"n ",El_unit[[#This Row],[Info sting]])),Municipality[Municipality],""))</f>
        <v/>
      </c>
      <c r="O19" s="35"/>
      <c r="Q19" s="1" t="str">
        <f>_xlfn.TEXTJOIN("",TRUE,El_unit[[#This Row],[Exact]],El_unit[[#This Row],[Exact+n]],El_unit[[#This Row],[Copilot]])</f>
        <v>Pohja</v>
      </c>
    </row>
    <row r="20" spans="1:17">
      <c r="A20" s="54" t="s">
        <v>191</v>
      </c>
      <c r="B20" s="22" t="s">
        <v>191</v>
      </c>
      <c r="C20" s="107" t="str" cm="1">
        <f t="array" ref="C20">" "&amp;LOWER(_xlfn.REDUCE(El_unit[[#This Row],[Location]],{",",".","(",")","/"},_xlfn.LAMBDA(_xlpm.txt,_xlpm.delim,SUBSTITUTE(_xlpm.txt,_xlpm.delim," "))))&amp;" "</f>
        <v xml:space="preserve"> björkfors </v>
      </c>
      <c r="D20" s="22" t="s">
        <v>3064</v>
      </c>
      <c r="E20" s="1">
        <v>1.2</v>
      </c>
      <c r="F20" s="1">
        <v>0</v>
      </c>
      <c r="G20" s="1">
        <v>0</v>
      </c>
      <c r="H20" s="1">
        <v>1.2</v>
      </c>
      <c r="L20" s="1" t="str" cm="1">
        <f t="array" ref="L20">_xlfn.XLOOKUP(TRUE,ISNUMBER(SEARCH(" "&amp;Municipality[Municipality]&amp;" ",El_unit[[#This Row],[Info sting]])),Municipality[Municipality],"")</f>
        <v/>
      </c>
      <c r="M20" s="1" t="str" cm="1">
        <f t="array" ref="M20">IF(El_unit[[#This Row],[Exact]]&lt;&gt;"","",_xlfn.XLOOKUP(TRUE,ISNUMBER(SEARCH(" "&amp;Municipality[Municipality]&amp;"n ",El_unit[[#This Row],[Info sting]])),Municipality[Municipality],""))</f>
        <v/>
      </c>
      <c r="N20" s="1" t="s">
        <v>2712</v>
      </c>
      <c r="O20" s="35" t="s">
        <v>3108</v>
      </c>
      <c r="P20" s="1" t="s">
        <v>3127</v>
      </c>
      <c r="Q20" s="1" t="str">
        <f>_xlfn.TEXTJOIN("",TRUE,El_unit[[#This Row],[Exact]],El_unit[[#This Row],[Exact+n]],El_unit[[#This Row],[Copilot]])</f>
        <v>Pedersören kunta</v>
      </c>
    </row>
    <row r="21" spans="1:17">
      <c r="A21" s="54" t="s">
        <v>415</v>
      </c>
      <c r="B21" s="22" t="s">
        <v>666</v>
      </c>
      <c r="C21" s="107" t="str" cm="1">
        <f t="array" ref="C21">" "&amp;LOWER(_xlfn.REDUCE(El_unit[[#This Row],[Location]],{",",".","(",")","/"},_xlfn.LAMBDA(_xlpm.txt,_xlpm.delim,SUBSTITUTE(_xlpm.txt,_xlpm.delim," "))))&amp;" "</f>
        <v xml:space="preserve"> björklidens vindpark 1-8b  yttermark 64200 </v>
      </c>
      <c r="D21" s="22" t="s">
        <v>3066</v>
      </c>
      <c r="E21" s="1">
        <v>41.3</v>
      </c>
      <c r="F21" s="1">
        <v>0</v>
      </c>
      <c r="G21" s="1">
        <v>0</v>
      </c>
      <c r="H21" s="1">
        <v>41.3</v>
      </c>
      <c r="L21" s="1" t="str" cm="1">
        <f t="array" ref="L21">_xlfn.XLOOKUP(TRUE,ISNUMBER(SEARCH(" "&amp;Municipality[Municipality]&amp;" ",El_unit[[#This Row],[Info sting]])),Municipality[Municipality],"")</f>
        <v/>
      </c>
      <c r="M21" s="1" t="str" cm="1">
        <f t="array" ref="M21">IF(El_unit[[#This Row],[Exact]]&lt;&gt;"","",_xlfn.XLOOKUP(TRUE,ISNUMBER(SEARCH(" "&amp;Municipality[Municipality]&amp;"n ",El_unit[[#This Row],[Info sting]])),Municipality[Municipality],""))</f>
        <v/>
      </c>
      <c r="N21" s="1" t="s">
        <v>2698</v>
      </c>
      <c r="O21" s="35"/>
      <c r="P21" s="1" t="s">
        <v>3075</v>
      </c>
      <c r="Q21" s="1" t="str">
        <f>_xlfn.TEXTJOIN("",TRUE,El_unit[[#This Row],[Exact]],El_unit[[#This Row],[Exact+n]],El_unit[[#This Row],[Copilot]])</f>
        <v>Närpiö</v>
      </c>
    </row>
    <row r="22" spans="1:17">
      <c r="A22" s="54" t="s">
        <v>1034</v>
      </c>
      <c r="B22" s="22" t="s">
        <v>1034</v>
      </c>
      <c r="C22" s="107" t="str" cm="1">
        <f t="array" ref="C22">" "&amp;LOWER(_xlfn.REDUCE(El_unit[[#This Row],[Location]],{",",".","(",")","/"},_xlfn.LAMBDA(_xlpm.txt,_xlpm.delim,SUBSTITUTE(_xlpm.txt,_xlpm.delim," "))))&amp;" "</f>
        <v xml:space="preserve"> björknäs kraftvärmeverk </v>
      </c>
      <c r="D22" s="22" t="s">
        <v>3067</v>
      </c>
      <c r="E22" s="1">
        <v>0</v>
      </c>
      <c r="F22" s="1">
        <v>0</v>
      </c>
      <c r="G22" s="1">
        <v>3.7</v>
      </c>
      <c r="H22" s="1">
        <v>3.7</v>
      </c>
      <c r="L22" s="1" t="str" cm="1">
        <f t="array" ref="L22">_xlfn.XLOOKUP(TRUE,ISNUMBER(SEARCH(" "&amp;Municipality[Municipality]&amp;" ",El_unit[[#This Row],[Info sting]])),Municipality[Municipality],"")</f>
        <v/>
      </c>
      <c r="M22" s="1" t="str" cm="1">
        <f t="array" ref="M22">IF(El_unit[[#This Row],[Exact]]&lt;&gt;"","",_xlfn.XLOOKUP(TRUE,ISNUMBER(SEARCH(" "&amp;Municipality[Municipality]&amp;"n ",El_unit[[#This Row],[Info sting]])),Municipality[Municipality],""))</f>
        <v/>
      </c>
      <c r="O22" s="35"/>
      <c r="Q22" s="1" t="str">
        <f>_xlfn.TEXTJOIN("",TRUE,El_unit[[#This Row],[Exact]],El_unit[[#This Row],[Exact+n]],El_unit[[#This Row],[Copilot]])</f>
        <v/>
      </c>
    </row>
    <row r="23" spans="1:17">
      <c r="A23" s="54" t="s">
        <v>416</v>
      </c>
      <c r="B23" s="22" t="s">
        <v>667</v>
      </c>
      <c r="C23" s="107" t="str" cm="1">
        <f t="array" ref="C23">" "&amp;LOWER(_xlfn.REDUCE(El_unit[[#This Row],[Location]],{",",".","(",")","/"},_xlfn.LAMBDA(_xlpm.txt,_xlpm.delim,SUBSTITUTE(_xlpm.txt,_xlpm.delim," "))))&amp;" "</f>
        <v xml:space="preserve"> teollisuuskatu 1  29200 harjavalta </v>
      </c>
      <c r="D23" s="22" t="s">
        <v>163</v>
      </c>
      <c r="E23" s="1">
        <v>3.06</v>
      </c>
      <c r="F23" s="1">
        <v>0</v>
      </c>
      <c r="G23" s="1">
        <v>0</v>
      </c>
      <c r="H23" s="1">
        <v>3.06</v>
      </c>
      <c r="L23" s="1" t="str" cm="1">
        <f t="array" ref="L23">_xlfn.XLOOKUP(TRUE,ISNUMBER(SEARCH(" "&amp;Municipality[Municipality]&amp;" ",El_unit[[#This Row],[Info sting]])),Municipality[Municipality],"")</f>
        <v>Harjavalta</v>
      </c>
      <c r="M23" s="1" t="str" cm="1">
        <f t="array" ref="M23">IF(El_unit[[#This Row],[Exact]]&lt;&gt;"","",_xlfn.XLOOKUP(TRUE,ISNUMBER(SEARCH(" "&amp;Municipality[Municipality]&amp;"n ",El_unit[[#This Row],[Info sting]])),Municipality[Municipality],""))</f>
        <v/>
      </c>
      <c r="O23" s="35"/>
      <c r="Q23" s="1" t="str">
        <f>_xlfn.TEXTJOIN("",TRUE,El_unit[[#This Row],[Exact]],El_unit[[#This Row],[Exact+n]],El_unit[[#This Row],[Copilot]])</f>
        <v>Harjavalta</v>
      </c>
    </row>
    <row r="24" spans="1:17">
      <c r="A24" s="54" t="s">
        <v>899</v>
      </c>
      <c r="B24" s="22" t="s">
        <v>967</v>
      </c>
      <c r="C24" s="107" t="str" cm="1">
        <f t="array" ref="C24">" "&amp;LOWER(_xlfn.REDUCE(El_unit[[#This Row],[Location]],{",",".","(",")","/"},_xlfn.LAMBDA(_xlpm.txt,_xlpm.delim,SUBSTITUTE(_xlpm.txt,_xlpm.delim," "))))&amp;" "</f>
        <v xml:space="preserve"> oulu  laanila </v>
      </c>
      <c r="D24" s="22" t="s">
        <v>3065</v>
      </c>
      <c r="E24" s="1">
        <v>0</v>
      </c>
      <c r="F24" s="1">
        <v>10</v>
      </c>
      <c r="G24" s="1">
        <v>0</v>
      </c>
      <c r="H24" s="1">
        <v>10</v>
      </c>
      <c r="I24" s="1" t="s">
        <v>1019</v>
      </c>
      <c r="J24" s="1" t="s">
        <v>1020</v>
      </c>
      <c r="K24" s="1" t="s">
        <v>1021</v>
      </c>
      <c r="L24" s="1" t="str" cm="1">
        <f t="array" ref="L24">_xlfn.XLOOKUP(TRUE,ISNUMBER(SEARCH(" "&amp;Municipality[Municipality]&amp;" ",El_unit[[#This Row],[Info sting]])),Municipality[Municipality],"")</f>
        <v>Oulu</v>
      </c>
      <c r="M24" s="1" t="str" cm="1">
        <f t="array" ref="M24">IF(El_unit[[#This Row],[Exact]]&lt;&gt;"","",_xlfn.XLOOKUP(TRUE,ISNUMBER(SEARCH(" "&amp;Municipality[Municipality]&amp;"n ",El_unit[[#This Row],[Info sting]])),Municipality[Municipality],""))</f>
        <v/>
      </c>
      <c r="O24" s="35"/>
      <c r="Q24" s="1" t="str">
        <f>_xlfn.TEXTJOIN("",TRUE,El_unit[[#This Row],[Exact]],El_unit[[#This Row],[Exact+n]],El_unit[[#This Row],[Copilot]])</f>
        <v>Oulu</v>
      </c>
    </row>
    <row r="25" spans="1:17">
      <c r="A25" s="54" t="s">
        <v>417</v>
      </c>
      <c r="B25" s="22" t="s">
        <v>668</v>
      </c>
      <c r="C25" s="107" t="str" cm="1">
        <f t="array" ref="C25">" "&amp;LOWER(_xlfn.REDUCE(El_unit[[#This Row],[Location]],{",",".","(",")","/"},_xlfn.LAMBDA(_xlpm.txt,_xlpm.delim,SUBSTITUTE(_xlpm.txt,_xlpm.delim," "))))&amp;" "</f>
        <v xml:space="preserve"> elkko  raahe </v>
      </c>
      <c r="D25" s="22" t="s">
        <v>3066</v>
      </c>
      <c r="E25" s="1">
        <v>6</v>
      </c>
      <c r="F25" s="1">
        <v>0</v>
      </c>
      <c r="G25" s="1">
        <v>0</v>
      </c>
      <c r="H25" s="1">
        <v>6</v>
      </c>
      <c r="L25" s="1" t="str" cm="1">
        <f t="array" ref="L25">_xlfn.XLOOKUP(TRUE,ISNUMBER(SEARCH(" "&amp;Municipality[Municipality]&amp;" ",El_unit[[#This Row],[Info sting]])),Municipality[Municipality],"")</f>
        <v>Raahe</v>
      </c>
      <c r="M25" s="1" t="str" cm="1">
        <f t="array" ref="M25">IF(El_unit[[#This Row],[Exact]]&lt;&gt;"","",_xlfn.XLOOKUP(TRUE,ISNUMBER(SEARCH(" "&amp;Municipality[Municipality]&amp;"n ",El_unit[[#This Row],[Info sting]])),Municipality[Municipality],""))</f>
        <v/>
      </c>
      <c r="O25" s="35"/>
      <c r="Q25" s="1" t="str">
        <f>_xlfn.TEXTJOIN("",TRUE,El_unit[[#This Row],[Exact]],El_unit[[#This Row],[Exact+n]],El_unit[[#This Row],[Copilot]])</f>
        <v>Raahe</v>
      </c>
    </row>
    <row r="26" spans="1:17">
      <c r="A26" s="54" t="s">
        <v>1035</v>
      </c>
      <c r="B26" s="22" t="s">
        <v>1035</v>
      </c>
      <c r="C26" s="107" t="str" cm="1">
        <f t="array" ref="C26">" "&amp;LOWER(_xlfn.REDUCE(El_unit[[#This Row],[Location]],{",",".","(",")","/"},_xlfn.LAMBDA(_xlpm.txt,_xlpm.delim,SUBSTITUTE(_xlpm.txt,_xlpm.delim," "))))&amp;" "</f>
        <v xml:space="preserve"> energia-tietola </v>
      </c>
      <c r="D26" s="22" t="s">
        <v>3067</v>
      </c>
      <c r="E26" s="1">
        <v>0</v>
      </c>
      <c r="F26" s="1">
        <v>0</v>
      </c>
      <c r="G26" s="1">
        <v>11.6</v>
      </c>
      <c r="H26" s="1">
        <v>11.6</v>
      </c>
      <c r="I26" s="1" t="s">
        <v>1023</v>
      </c>
      <c r="L26" s="1" t="str" cm="1">
        <f t="array" ref="L26">_xlfn.XLOOKUP(TRUE,ISNUMBER(SEARCH(" "&amp;Municipality[Municipality]&amp;" ",El_unit[[#This Row],[Info sting]])),Municipality[Municipality],"")</f>
        <v/>
      </c>
      <c r="M26" s="1" t="str" cm="1">
        <f t="array" ref="M26">IF(El_unit[[#This Row],[Exact]]&lt;&gt;"","",_xlfn.XLOOKUP(TRUE,ISNUMBER(SEARCH(" "&amp;Municipality[Municipality]&amp;"n ",El_unit[[#This Row],[Info sting]])),Municipality[Municipality],""))</f>
        <v/>
      </c>
      <c r="O26" s="35"/>
      <c r="Q26" s="1" t="str">
        <f>_xlfn.TEXTJOIN("",TRUE,El_unit[[#This Row],[Exact]],El_unit[[#This Row],[Exact+n]],El_unit[[#This Row],[Copilot]])</f>
        <v/>
      </c>
    </row>
    <row r="27" spans="1:17">
      <c r="A27" s="54" t="s">
        <v>192</v>
      </c>
      <c r="B27" s="22" t="s">
        <v>192</v>
      </c>
      <c r="C27" s="107" t="str" cm="1">
        <f t="array" ref="C27">" "&amp;LOWER(_xlfn.REDUCE(El_unit[[#This Row],[Location]],{",",".","(",")","/"},_xlfn.LAMBDA(_xlpm.txt,_xlpm.delim,SUBSTITUTE(_xlpm.txt,_xlpm.delim," "))))&amp;" "</f>
        <v xml:space="preserve"> finlayson ve </v>
      </c>
      <c r="D27" s="22" t="s">
        <v>3064</v>
      </c>
      <c r="E27" s="1">
        <v>4.1900000000000004</v>
      </c>
      <c r="F27" s="1">
        <v>0</v>
      </c>
      <c r="G27" s="1">
        <v>0</v>
      </c>
      <c r="H27" s="1">
        <v>4.1900000000000004</v>
      </c>
      <c r="L27" s="1" t="str" cm="1">
        <f t="array" ref="L27">_xlfn.XLOOKUP(TRUE,ISNUMBER(SEARCH(" "&amp;Municipality[Municipality]&amp;" ",El_unit[[#This Row],[Info sting]])),Municipality[Municipality],"")</f>
        <v/>
      </c>
      <c r="M27" s="1" t="str" cm="1">
        <f t="array" ref="M27">IF(El_unit[[#This Row],[Exact]]&lt;&gt;"","",_xlfn.XLOOKUP(TRUE,ISNUMBER(SEARCH(" "&amp;Municipality[Municipality]&amp;"n ",El_unit[[#This Row],[Info sting]])),Municipality[Municipality],""))</f>
        <v/>
      </c>
      <c r="N27" s="1" t="s">
        <v>2795</v>
      </c>
      <c r="O27" s="35" t="s">
        <v>3109</v>
      </c>
      <c r="Q27" s="1" t="str">
        <f>_xlfn.TEXTJOIN("",TRUE,El_unit[[#This Row],[Exact]],El_unit[[#This Row],[Exact+n]],El_unit[[#This Row],[Copilot]])</f>
        <v>Tampere</v>
      </c>
    </row>
    <row r="28" spans="1:17">
      <c r="A28" s="54" t="s">
        <v>418</v>
      </c>
      <c r="B28" s="22" t="s">
        <v>669</v>
      </c>
      <c r="C28" s="107" t="str" cm="1">
        <f t="array" ref="C28">" "&amp;LOWER(_xlfn.REDUCE(El_unit[[#This Row],[Location]],{",",".","(",")","/"},_xlfn.LAMBDA(_xlpm.txt,_xlpm.delim,SUBSTITUTE(_xlpm.txt,_xlpm.delim," "))))&amp;" "</f>
        <v xml:space="preserve"> varavoimalantie 6  30420 forssa
 </v>
      </c>
      <c r="D28" s="22" t="s">
        <v>3068</v>
      </c>
      <c r="E28" s="1">
        <v>352</v>
      </c>
      <c r="F28" s="1">
        <v>0</v>
      </c>
      <c r="G28" s="1">
        <v>0</v>
      </c>
      <c r="H28" s="1">
        <v>352</v>
      </c>
      <c r="I28" s="1" t="s">
        <v>1020</v>
      </c>
      <c r="L28" s="1" t="str" cm="1">
        <f t="array" ref="L28">_xlfn.XLOOKUP(TRUE,ISNUMBER(SEARCH(" "&amp;Municipality[Municipality]&amp;" ",El_unit[[#This Row],[Info sting]])),Municipality[Municipality],"")</f>
        <v/>
      </c>
      <c r="M28" s="1" t="str" cm="1">
        <f t="array" ref="M28">IF(El_unit[[#This Row],[Exact]]&lt;&gt;"","",_xlfn.XLOOKUP(TRUE,ISNUMBER(SEARCH(" "&amp;Municipality[Municipality]&amp;"n ",El_unit[[#This Row],[Info sting]])),Municipality[Municipality],""))</f>
        <v/>
      </c>
      <c r="N28" s="1" t="s">
        <v>983</v>
      </c>
      <c r="O28" s="35"/>
      <c r="P28" s="1" t="s">
        <v>3076</v>
      </c>
      <c r="Q28" s="1" t="str">
        <f>_xlfn.TEXTJOIN("",TRUE,El_unit[[#This Row],[Exact]],El_unit[[#This Row],[Exact+n]],El_unit[[#This Row],[Copilot]])</f>
        <v>Forssa</v>
      </c>
    </row>
    <row r="29" spans="1:17">
      <c r="A29" s="54" t="s">
        <v>419</v>
      </c>
      <c r="B29" s="22" t="s">
        <v>670</v>
      </c>
      <c r="C29" s="107" t="str" cm="1">
        <f t="array" ref="C29">" "&amp;LOWER(_xlfn.REDUCE(El_unit[[#This Row],[Location]],{",",".","(",")","/"},_xlfn.LAMBDA(_xlpm.txt,_xlpm.delim,SUBSTITUTE(_xlpm.txt,_xlpm.delim," "))))&amp;" "</f>
        <v xml:space="preserve"> haapajärven savinevan tuulivoima </v>
      </c>
      <c r="D29" s="22" t="s">
        <v>3066</v>
      </c>
      <c r="E29" s="1">
        <v>23.1</v>
      </c>
      <c r="F29" s="1">
        <v>0</v>
      </c>
      <c r="G29" s="1">
        <v>0</v>
      </c>
      <c r="H29" s="1">
        <v>23.1</v>
      </c>
      <c r="L29" s="1" t="str" cm="1">
        <f t="array" ref="L29">_xlfn.XLOOKUP(TRUE,ISNUMBER(SEARCH(" "&amp;Municipality[Municipality]&amp;" ",El_unit[[#This Row],[Info sting]])),Municipality[Municipality],"")</f>
        <v/>
      </c>
      <c r="M29" s="1" t="str" cm="1">
        <f t="array" ref="M29">IF(El_unit[[#This Row],[Exact]]&lt;&gt;"","",_xlfn.XLOOKUP(TRUE,ISNUMBER(SEARCH(" "&amp;Municipality[Municipality]&amp;"n ",El_unit[[#This Row],[Info sting]])),Municipality[Municipality],""))</f>
        <v/>
      </c>
      <c r="N29" s="1" t="s">
        <v>2519</v>
      </c>
      <c r="O29" s="35" t="s">
        <v>3110</v>
      </c>
      <c r="Q29" s="1" t="str">
        <f>_xlfn.TEXTJOIN("",TRUE,El_unit[[#This Row],[Exact]],El_unit[[#This Row],[Exact+n]],El_unit[[#This Row],[Copilot]])</f>
        <v>Haapajärvi</v>
      </c>
    </row>
    <row r="30" spans="1:17">
      <c r="A30" s="54" t="s">
        <v>420</v>
      </c>
      <c r="B30" s="22" t="s">
        <v>420</v>
      </c>
      <c r="C30" s="107" t="str" cm="1">
        <f t="array" ref="C30">" "&amp;LOWER(_xlfn.REDUCE(El_unit[[#This Row],[Location]],{",",".","(",")","/"},_xlfn.LAMBDA(_xlpm.txt,_xlpm.delim,SUBSTITUTE(_xlpm.txt,_xlpm.delim," "))))&amp;" "</f>
        <v xml:space="preserve"> haapajärvi sauviinmäki </v>
      </c>
      <c r="D30" s="22" t="s">
        <v>3066</v>
      </c>
      <c r="E30" s="1">
        <v>6.6</v>
      </c>
      <c r="F30" s="1">
        <v>0</v>
      </c>
      <c r="G30" s="1">
        <v>0</v>
      </c>
      <c r="H30" s="1">
        <v>6.6</v>
      </c>
      <c r="L30" s="1" t="str" cm="1">
        <f t="array" ref="L30">_xlfn.XLOOKUP(TRUE,ISNUMBER(SEARCH(" "&amp;Municipality[Municipality]&amp;" ",El_unit[[#This Row],[Info sting]])),Municipality[Municipality],"")</f>
        <v>Haapajärvi</v>
      </c>
      <c r="M30" s="1" t="str" cm="1">
        <f t="array" ref="M30">IF(El_unit[[#This Row],[Exact]]&lt;&gt;"","",_xlfn.XLOOKUP(TRUE,ISNUMBER(SEARCH(" "&amp;Municipality[Municipality]&amp;"n ",El_unit[[#This Row],[Info sting]])),Municipality[Municipality],""))</f>
        <v/>
      </c>
      <c r="O30" s="35"/>
      <c r="Q30" s="1" t="str">
        <f>_xlfn.TEXTJOIN("",TRUE,El_unit[[#This Row],[Exact]],El_unit[[#This Row],[Exact+n]],El_unit[[#This Row],[Copilot]])</f>
        <v>Haapajärvi</v>
      </c>
    </row>
    <row r="31" spans="1:17">
      <c r="A31" s="54" t="s">
        <v>193</v>
      </c>
      <c r="B31" s="22" t="s">
        <v>194</v>
      </c>
      <c r="C31" s="107" t="str" cm="1">
        <f t="array" ref="C31">" "&amp;LOWER(_xlfn.REDUCE(El_unit[[#This Row],[Location]],{",",".","(",")","/"},_xlfn.LAMBDA(_xlpm.txt,_xlpm.delim,SUBSTITUTE(_xlpm.txt,_xlpm.delim," "))))&amp;" "</f>
        <v xml:space="preserve"> haapakoski </v>
      </c>
      <c r="D31" s="22" t="s">
        <v>3064</v>
      </c>
      <c r="E31" s="1">
        <v>32.5</v>
      </c>
      <c r="F31" s="1">
        <v>0</v>
      </c>
      <c r="G31" s="1">
        <v>0</v>
      </c>
      <c r="H31" s="1">
        <v>32.5</v>
      </c>
      <c r="L31" s="1" t="str" cm="1">
        <f t="array" ref="L31">_xlfn.XLOOKUP(TRUE,ISNUMBER(SEARCH(" "&amp;Municipality[Municipality]&amp;" ",El_unit[[#This Row],[Info sting]])),Municipality[Municipality],"")</f>
        <v/>
      </c>
      <c r="M31" s="1" t="str" cm="1">
        <f t="array" ref="M31">IF(El_unit[[#This Row],[Exact]]&lt;&gt;"","",_xlfn.XLOOKUP(TRUE,ISNUMBER(SEARCH(" "&amp;Municipality[Municipality]&amp;"n ",El_unit[[#This Row],[Info sting]])),Municipality[Municipality],""))</f>
        <v/>
      </c>
      <c r="N31" s="1" t="s">
        <v>2848</v>
      </c>
      <c r="O31" s="35" t="s">
        <v>3111</v>
      </c>
      <c r="P31" s="1" t="s">
        <v>3128</v>
      </c>
      <c r="Q31" s="1" t="str">
        <f>_xlfn.TEXTJOIN("",TRUE,El_unit[[#This Row],[Exact]],El_unit[[#This Row],[Exact+n]],El_unit[[#This Row],[Copilot]])</f>
        <v>Yli-Ii</v>
      </c>
    </row>
    <row r="32" spans="1:17">
      <c r="A32" s="54" t="s">
        <v>421</v>
      </c>
      <c r="B32" s="22" t="s">
        <v>421</v>
      </c>
      <c r="C32" s="107" t="str" cm="1">
        <f t="array" ref="C32">" "&amp;LOWER(_xlfn.REDUCE(El_unit[[#This Row],[Location]],{",",".","(",")","/"},_xlfn.LAMBDA(_xlpm.txt,_xlpm.delim,SUBSTITUTE(_xlpm.txt,_xlpm.delim," "))))&amp;" "</f>
        <v xml:space="preserve"> haapalamminkangas saarijärvi </v>
      </c>
      <c r="D32" s="22" t="s">
        <v>3066</v>
      </c>
      <c r="E32" s="1">
        <v>22.8</v>
      </c>
      <c r="F32" s="1">
        <v>0</v>
      </c>
      <c r="G32" s="1">
        <v>0</v>
      </c>
      <c r="H32" s="1">
        <v>22.8</v>
      </c>
      <c r="L32" s="1" t="str" cm="1">
        <f t="array" ref="L32">_xlfn.XLOOKUP(TRUE,ISNUMBER(SEARCH(" "&amp;Municipality[Municipality]&amp;" ",El_unit[[#This Row],[Info sting]])),Municipality[Municipality],"")</f>
        <v>Saarijärvi</v>
      </c>
      <c r="M32" s="1" t="str" cm="1">
        <f t="array" ref="M32">IF(El_unit[[#This Row],[Exact]]&lt;&gt;"","",_xlfn.XLOOKUP(TRUE,ISNUMBER(SEARCH(" "&amp;Municipality[Municipality]&amp;"n ",El_unit[[#This Row],[Info sting]])),Municipality[Municipality],""))</f>
        <v/>
      </c>
      <c r="O32" s="35"/>
      <c r="Q32" s="1" t="str">
        <f>_xlfn.TEXTJOIN("",TRUE,El_unit[[#This Row],[Exact]],El_unit[[#This Row],[Exact+n]],El_unit[[#This Row],[Copilot]])</f>
        <v>Saarijärvi</v>
      </c>
    </row>
    <row r="33" spans="1:17">
      <c r="A33" s="54" t="s">
        <v>1036</v>
      </c>
      <c r="B33" s="22" t="s">
        <v>1091</v>
      </c>
      <c r="C33" s="107" t="str" cm="1">
        <f t="array" ref="C33">" "&amp;LOWER(_xlfn.REDUCE(El_unit[[#This Row],[Location]],{",",".","(",")","/"},_xlfn.LAMBDA(_xlpm.txt,_xlpm.delim,SUBSTITUTE(_xlpm.txt,_xlpm.delim," "))))&amp;" "</f>
        <v xml:space="preserve"> haapaniemen voimalaitos </v>
      </c>
      <c r="D33" s="22" t="s">
        <v>3067</v>
      </c>
      <c r="E33" s="1">
        <v>0</v>
      </c>
      <c r="F33" s="1">
        <v>0</v>
      </c>
      <c r="G33" s="1">
        <v>118.1</v>
      </c>
      <c r="H33" s="1">
        <v>118.1</v>
      </c>
      <c r="I33" s="1" t="s">
        <v>1015</v>
      </c>
      <c r="J33" s="1" t="s">
        <v>1017</v>
      </c>
      <c r="K33" s="1" t="s">
        <v>1022</v>
      </c>
      <c r="L33" s="1" t="str" cm="1">
        <f t="array" ref="L33">_xlfn.XLOOKUP(TRUE,ISNUMBER(SEARCH(" "&amp;Municipality[Municipality]&amp;" ",El_unit[[#This Row],[Info sting]])),Municipality[Municipality],"")</f>
        <v/>
      </c>
      <c r="M33" s="1" t="str" cm="1">
        <f t="array" ref="M33">IF(El_unit[[#This Row],[Exact]]&lt;&gt;"","",_xlfn.XLOOKUP(TRUE,ISNUMBER(SEARCH(" "&amp;Municipality[Municipality]&amp;"n ",El_unit[[#This Row],[Info sting]])),Municipality[Municipality],""))</f>
        <v/>
      </c>
      <c r="N33" s="1" t="s">
        <v>2620</v>
      </c>
      <c r="O33" s="35" t="s">
        <v>3168</v>
      </c>
      <c r="Q33" s="1" t="str">
        <f>_xlfn.TEXTJOIN("",TRUE,El_unit[[#This Row],[Exact]],El_unit[[#This Row],[Exact+n]],El_unit[[#This Row],[Copilot]])</f>
        <v>Kuopio</v>
      </c>
    </row>
    <row r="34" spans="1:17">
      <c r="A34" s="54" t="s">
        <v>900</v>
      </c>
      <c r="B34" s="22" t="s">
        <v>900</v>
      </c>
      <c r="C34" s="107" t="str" cm="1">
        <f t="array" ref="C34">" "&amp;LOWER(_xlfn.REDUCE(El_unit[[#This Row],[Location]],{",",".","(",")","/"},_xlfn.LAMBDA(_xlpm.txt,_xlpm.delim,SUBSTITUTE(_xlpm.txt,_xlpm.delim," "))))&amp;" "</f>
        <v xml:space="preserve"> haapavesi </v>
      </c>
      <c r="D34" s="22" t="s">
        <v>3065</v>
      </c>
      <c r="E34" s="1">
        <v>0</v>
      </c>
      <c r="F34" s="1">
        <v>2.7</v>
      </c>
      <c r="G34" s="1">
        <v>0</v>
      </c>
      <c r="H34" s="1">
        <v>2.7</v>
      </c>
      <c r="I34" s="1" t="s">
        <v>1016</v>
      </c>
      <c r="J34" s="1" t="s">
        <v>1022</v>
      </c>
      <c r="K34" s="1" t="s">
        <v>1015</v>
      </c>
      <c r="L34" s="1" t="str" cm="1">
        <f t="array" ref="L34">_xlfn.XLOOKUP(TRUE,ISNUMBER(SEARCH(" "&amp;Municipality[Municipality]&amp;" ",El_unit[[#This Row],[Info sting]])),Municipality[Municipality],"")</f>
        <v>Haapavesi</v>
      </c>
      <c r="M34" s="1" t="str" cm="1">
        <f t="array" ref="M34">IF(El_unit[[#This Row],[Exact]]&lt;&gt;"","",_xlfn.XLOOKUP(TRUE,ISNUMBER(SEARCH(" "&amp;Municipality[Municipality]&amp;"n ",El_unit[[#This Row],[Info sting]])),Municipality[Municipality],""))</f>
        <v/>
      </c>
      <c r="O34" s="35"/>
      <c r="Q34" s="1" t="str">
        <f>_xlfn.TEXTJOIN("",TRUE,El_unit[[#This Row],[Exact]],El_unit[[#This Row],[Exact+n]],El_unit[[#This Row],[Copilot]])</f>
        <v>Haapavesi</v>
      </c>
    </row>
    <row r="35" spans="1:17">
      <c r="A35" s="54" t="s">
        <v>422</v>
      </c>
      <c r="B35" s="22" t="s">
        <v>422</v>
      </c>
      <c r="C35" s="107" t="str" cm="1">
        <f t="array" ref="C35">" "&amp;LOWER(_xlfn.REDUCE(El_unit[[#This Row],[Location]],{",",".","(",")","/"},_xlfn.LAMBDA(_xlpm.txt,_xlpm.delim,SUBSTITUTE(_xlpm.txt,_xlpm.delim," "))))&amp;" "</f>
        <v xml:space="preserve"> hailikari </v>
      </c>
      <c r="D35" s="22" t="s">
        <v>3066</v>
      </c>
      <c r="E35" s="1">
        <v>3.1</v>
      </c>
      <c r="F35" s="1">
        <v>0</v>
      </c>
      <c r="G35" s="1">
        <v>0</v>
      </c>
      <c r="H35" s="1">
        <v>3.1</v>
      </c>
      <c r="L35" s="1" t="str" cm="1">
        <f t="array" ref="L35">_xlfn.XLOOKUP(TRUE,ISNUMBER(SEARCH(" "&amp;Municipality[Municipality]&amp;" ",El_unit[[#This Row],[Info sting]])),Municipality[Municipality],"")</f>
        <v/>
      </c>
      <c r="M35" s="1" t="str" cm="1">
        <f t="array" ref="M35">IF(El_unit[[#This Row],[Exact]]&lt;&gt;"","",_xlfn.XLOOKUP(TRUE,ISNUMBER(SEARCH(" "&amp;Municipality[Municipality]&amp;"n ",El_unit[[#This Row],[Info sting]])),Municipality[Municipality],""))</f>
        <v/>
      </c>
      <c r="N35" s="1" t="s">
        <v>968</v>
      </c>
      <c r="O35" s="35" t="s">
        <v>3112</v>
      </c>
      <c r="Q35" s="1" t="str">
        <f>_xlfn.TEXTJOIN("",TRUE,El_unit[[#This Row],[Exact]],El_unit[[#This Row],[Exact+n]],El_unit[[#This Row],[Copilot]])</f>
        <v>Hamina</v>
      </c>
    </row>
    <row r="36" spans="1:17">
      <c r="A36" s="54" t="s">
        <v>423</v>
      </c>
      <c r="B36" s="22" t="s">
        <v>423</v>
      </c>
      <c r="C36" s="107" t="str" cm="1">
        <f t="array" ref="C36">" "&amp;LOWER(_xlfn.REDUCE(El_unit[[#This Row],[Location]],{",",".","(",")","/"},_xlfn.LAMBDA(_xlpm.txt,_xlpm.delim,SUBSTITUTE(_xlpm.txt,_xlpm.delim," "))))&amp;" "</f>
        <v xml:space="preserve"> hallankangas kyyjärvi </v>
      </c>
      <c r="D36" s="22" t="s">
        <v>3066</v>
      </c>
      <c r="E36" s="1">
        <v>45.6</v>
      </c>
      <c r="F36" s="1">
        <v>0</v>
      </c>
      <c r="G36" s="1">
        <v>0</v>
      </c>
      <c r="H36" s="1">
        <v>45.6</v>
      </c>
      <c r="L36" s="1" t="str" cm="1">
        <f t="array" ref="L36">_xlfn.XLOOKUP(TRUE,ISNUMBER(SEARCH(" "&amp;Municipality[Municipality]&amp;" ",El_unit[[#This Row],[Info sting]])),Municipality[Municipality],"")</f>
        <v>Kyyjärvi</v>
      </c>
      <c r="M36" s="1" t="str" cm="1">
        <f t="array" ref="M36">IF(El_unit[[#This Row],[Exact]]&lt;&gt;"","",_xlfn.XLOOKUP(TRUE,ISNUMBER(SEARCH(" "&amp;Municipality[Municipality]&amp;"n ",El_unit[[#This Row],[Info sting]])),Municipality[Municipality],""))</f>
        <v/>
      </c>
      <c r="O36" s="35"/>
      <c r="Q36" s="1" t="str">
        <f>_xlfn.TEXTJOIN("",TRUE,El_unit[[#This Row],[Exact]],El_unit[[#This Row],[Exact+n]],El_unit[[#This Row],[Copilot]])</f>
        <v>Kyyjärvi</v>
      </c>
    </row>
    <row r="37" spans="1:17">
      <c r="A37" s="54" t="s">
        <v>424</v>
      </c>
      <c r="B37" s="22" t="s">
        <v>671</v>
      </c>
      <c r="C37" s="107" t="str" cm="1">
        <f t="array" ref="C37">" "&amp;LOWER(_xlfn.REDUCE(El_unit[[#This Row],[Location]],{",",".","(",")","/"},_xlfn.LAMBDA(_xlpm.txt,_xlpm.delim,SUBSTITUTE(_xlpm.txt,_xlpm.delim," "))))&amp;" "</f>
        <v xml:space="preserve"> halmekangas 1 </v>
      </c>
      <c r="D37" s="22" t="s">
        <v>3066</v>
      </c>
      <c r="E37" s="1">
        <v>38.5</v>
      </c>
      <c r="F37" s="1">
        <v>0</v>
      </c>
      <c r="G37" s="1">
        <v>0</v>
      </c>
      <c r="H37" s="1">
        <v>38.5</v>
      </c>
      <c r="L37" s="1" t="str" cm="1">
        <f t="array" ref="L37">_xlfn.XLOOKUP(TRUE,ISNUMBER(SEARCH(" "&amp;Municipality[Municipality]&amp;" ",El_unit[[#This Row],[Info sting]])),Municipality[Municipality],"")</f>
        <v/>
      </c>
      <c r="M37" s="1" t="str" cm="1">
        <f t="array" ref="M37">IF(El_unit[[#This Row],[Exact]]&lt;&gt;"","",_xlfn.XLOOKUP(TRUE,ISNUMBER(SEARCH(" "&amp;Municipality[Municipality]&amp;"n ",El_unit[[#This Row],[Info sting]])),Municipality[Municipality],""))</f>
        <v/>
      </c>
      <c r="N37" s="1" t="s">
        <v>2773</v>
      </c>
      <c r="O37" s="35" t="s">
        <v>3113</v>
      </c>
      <c r="Q37" s="1" t="str">
        <f>_xlfn.TEXTJOIN("",TRUE,El_unit[[#This Row],[Exact]],El_unit[[#This Row],[Exact+n]],El_unit[[#This Row],[Copilot]])</f>
        <v>Simo</v>
      </c>
    </row>
    <row r="38" spans="1:17">
      <c r="A38" s="54" t="s">
        <v>195</v>
      </c>
      <c r="B38" s="22" t="s">
        <v>196</v>
      </c>
      <c r="C38" s="107" t="str" cm="1">
        <f t="array" ref="C38">" "&amp;LOWER(_xlfn.REDUCE(El_unit[[#This Row],[Location]],{",",".","(",")","/"},_xlfn.LAMBDA(_xlpm.txt,_xlpm.delim,SUBSTITUTE(_xlpm.txt,_xlpm.delim," "))))&amp;" "</f>
        <v xml:space="preserve"> hamari  ylivieska </v>
      </c>
      <c r="D38" s="22" t="s">
        <v>3064</v>
      </c>
      <c r="E38" s="1">
        <v>2.5</v>
      </c>
      <c r="F38" s="1">
        <v>0</v>
      </c>
      <c r="G38" s="1">
        <v>0</v>
      </c>
      <c r="H38" s="1">
        <v>2.5</v>
      </c>
      <c r="L38" s="1" t="str" cm="1">
        <f t="array" ref="L38">_xlfn.XLOOKUP(TRUE,ISNUMBER(SEARCH(" "&amp;Municipality[Municipality]&amp;" ",El_unit[[#This Row],[Info sting]])),Municipality[Municipality],"")</f>
        <v>Ylivieska</v>
      </c>
      <c r="M38" s="1" t="str" cm="1">
        <f t="array" ref="M38">IF(El_unit[[#This Row],[Exact]]&lt;&gt;"","",_xlfn.XLOOKUP(TRUE,ISNUMBER(SEARCH(" "&amp;Municipality[Municipality]&amp;"n ",El_unit[[#This Row],[Info sting]])),Municipality[Municipality],""))</f>
        <v/>
      </c>
      <c r="O38" s="35"/>
      <c r="Q38" s="1" t="str">
        <f>_xlfn.TEXTJOIN("",TRUE,El_unit[[#This Row],[Exact]],El_unit[[#This Row],[Exact+n]],El_unit[[#This Row],[Copilot]])</f>
        <v>Ylivieska</v>
      </c>
    </row>
    <row r="39" spans="1:17">
      <c r="A39" s="54" t="s">
        <v>425</v>
      </c>
      <c r="B39" s="22" t="s">
        <v>425</v>
      </c>
      <c r="C39" s="107" t="str" cm="1">
        <f t="array" ref="C39">" "&amp;LOWER(_xlfn.REDUCE(El_unit[[#This Row],[Location]],{",",".","(",")","/"},_xlfn.LAMBDA(_xlpm.txt,_xlpm.delim,SUBSTITUTE(_xlpm.txt,_xlpm.delim," "))))&amp;" "</f>
        <v xml:space="preserve"> hamina  mäkelänkangas tv </v>
      </c>
      <c r="D39" s="22" t="s">
        <v>3066</v>
      </c>
      <c r="E39" s="1">
        <v>8</v>
      </c>
      <c r="F39" s="1">
        <v>0</v>
      </c>
      <c r="G39" s="1">
        <v>0</v>
      </c>
      <c r="H39" s="1">
        <v>8</v>
      </c>
      <c r="L39" s="1" t="str" cm="1">
        <f t="array" ref="L39">_xlfn.XLOOKUP(TRUE,ISNUMBER(SEARCH(" "&amp;Municipality[Municipality]&amp;" ",El_unit[[#This Row],[Info sting]])),Municipality[Municipality],"")</f>
        <v>Hamina</v>
      </c>
      <c r="M39" s="1" t="str" cm="1">
        <f t="array" ref="M39">IF(El_unit[[#This Row],[Exact]]&lt;&gt;"","",_xlfn.XLOOKUP(TRUE,ISNUMBER(SEARCH(" "&amp;Municipality[Municipality]&amp;"n ",El_unit[[#This Row],[Info sting]])),Municipality[Municipality],""))</f>
        <v/>
      </c>
      <c r="O39" s="35"/>
      <c r="Q39" s="1" t="str">
        <f>_xlfn.TEXTJOIN("",TRUE,El_unit[[#This Row],[Exact]],El_unit[[#This Row],[Exact+n]],El_unit[[#This Row],[Copilot]])</f>
        <v>Hamina</v>
      </c>
    </row>
    <row r="40" spans="1:17">
      <c r="A40" s="54" t="s">
        <v>901</v>
      </c>
      <c r="B40" s="22" t="s">
        <v>968</v>
      </c>
      <c r="C40" s="107" t="str" cm="1">
        <f t="array" ref="C40">" "&amp;LOWER(_xlfn.REDUCE(El_unit[[#This Row],[Location]],{",",".","(",")","/"},_xlfn.LAMBDA(_xlpm.txt,_xlpm.delim,SUBSTITUTE(_xlpm.txt,_xlpm.delim," "))))&amp;" "</f>
        <v xml:space="preserve"> hamina </v>
      </c>
      <c r="D40" s="22" t="s">
        <v>3065</v>
      </c>
      <c r="E40" s="1">
        <v>0</v>
      </c>
      <c r="F40" s="1">
        <v>1.5</v>
      </c>
      <c r="G40" s="1">
        <v>0</v>
      </c>
      <c r="H40" s="1">
        <v>1.5</v>
      </c>
      <c r="I40" s="1" t="s">
        <v>1023</v>
      </c>
      <c r="L40" s="1" t="str" cm="1">
        <f t="array" ref="L40">_xlfn.XLOOKUP(TRUE,ISNUMBER(SEARCH(" "&amp;Municipality[Municipality]&amp;" ",El_unit[[#This Row],[Info sting]])),Municipality[Municipality],"")</f>
        <v>Hamina</v>
      </c>
      <c r="M40" s="1" t="str" cm="1">
        <f t="array" ref="M40">IF(El_unit[[#This Row],[Exact]]&lt;&gt;"","",_xlfn.XLOOKUP(TRUE,ISNUMBER(SEARCH(" "&amp;Municipality[Municipality]&amp;"n ",El_unit[[#This Row],[Info sting]])),Municipality[Municipality],""))</f>
        <v/>
      </c>
      <c r="O40" s="35"/>
      <c r="Q40" s="1" t="str">
        <f>_xlfn.TEXTJOIN("",TRUE,El_unit[[#This Row],[Exact]],El_unit[[#This Row],[Exact+n]],El_unit[[#This Row],[Copilot]])</f>
        <v>Hamina</v>
      </c>
    </row>
    <row r="41" spans="1:17">
      <c r="A41" s="54" t="s">
        <v>197</v>
      </c>
      <c r="B41" s="22" t="s">
        <v>198</v>
      </c>
      <c r="C41" s="107" t="str" cm="1">
        <f t="array" ref="C41">" "&amp;LOWER(_xlfn.REDUCE(El_unit[[#This Row],[Location]],{",",".","(",")","/"},_xlfn.LAMBDA(_xlpm.txt,_xlpm.delim,SUBSTITUTE(_xlpm.txt,_xlpm.delim," "))))&amp;" "</f>
        <v xml:space="preserve"> evijärvi   hanhikoski </v>
      </c>
      <c r="D41" s="22" t="s">
        <v>3064</v>
      </c>
      <c r="E41" s="1">
        <v>1.5</v>
      </c>
      <c r="F41" s="1">
        <v>0</v>
      </c>
      <c r="G41" s="1">
        <v>0</v>
      </c>
      <c r="H41" s="1">
        <v>1.5</v>
      </c>
      <c r="L41" s="1" t="str" cm="1">
        <f t="array" ref="L41">_xlfn.XLOOKUP(TRUE,ISNUMBER(SEARCH(" "&amp;Municipality[Municipality]&amp;" ",El_unit[[#This Row],[Info sting]])),Municipality[Municipality],"")</f>
        <v>Evijärvi</v>
      </c>
      <c r="M41" s="1" t="str" cm="1">
        <f t="array" ref="M41">IF(El_unit[[#This Row],[Exact]]&lt;&gt;"","",_xlfn.XLOOKUP(TRUE,ISNUMBER(SEARCH(" "&amp;Municipality[Municipality]&amp;"n ",El_unit[[#This Row],[Info sting]])),Municipality[Municipality],""))</f>
        <v/>
      </c>
      <c r="O41" s="35"/>
      <c r="Q41" s="1" t="str">
        <f>_xlfn.TEXTJOIN("",TRUE,El_unit[[#This Row],[Exact]],El_unit[[#This Row],[Exact+n]],El_unit[[#This Row],[Copilot]])</f>
        <v>Evijärvi</v>
      </c>
    </row>
    <row r="42" spans="1:17">
      <c r="A42" s="54" t="s">
        <v>426</v>
      </c>
      <c r="B42" s="22" t="s">
        <v>672</v>
      </c>
      <c r="C42" s="107" t="str" cm="1">
        <f t="array" ref="C42">" "&amp;LOWER(_xlfn.REDUCE(El_unit[[#This Row],[Location]],{",",".","(",")","/"},_xlfn.LAMBDA(_xlpm.txt,_xlpm.delim,SUBSTITUTE(_xlpm.txt,_xlpm.delim," "))))&amp;" "</f>
        <v xml:space="preserve"> hankilanneva </v>
      </c>
      <c r="D42" s="22" t="s">
        <v>3066</v>
      </c>
      <c r="E42" s="1">
        <v>44.8</v>
      </c>
      <c r="F42" s="1">
        <v>0</v>
      </c>
      <c r="G42" s="1">
        <v>0</v>
      </c>
      <c r="H42" s="1">
        <v>44.8</v>
      </c>
      <c r="L42" s="1" t="str" cm="1">
        <f t="array" ref="L42">_xlfn.XLOOKUP(TRUE,ISNUMBER(SEARCH(" "&amp;Municipality[Municipality]&amp;" ",El_unit[[#This Row],[Info sting]])),Municipality[Municipality],"")</f>
        <v/>
      </c>
      <c r="M42" s="1" t="str" cm="1">
        <f t="array" ref="M42">IF(El_unit[[#This Row],[Exact]]&lt;&gt;"","",_xlfn.XLOOKUP(TRUE,ISNUMBER(SEARCH(" "&amp;Municipality[Municipality]&amp;"n ",El_unit[[#This Row],[Info sting]])),Municipality[Municipality],""))</f>
        <v/>
      </c>
      <c r="N42" s="1" t="s">
        <v>3102</v>
      </c>
      <c r="O42" s="35" t="s">
        <v>3114</v>
      </c>
      <c r="P42" s="1" t="s">
        <v>3129</v>
      </c>
      <c r="Q42" s="1" t="str">
        <f>_xlfn.TEXTJOIN("",TRUE,El_unit[[#This Row],[Exact]],El_unit[[#This Row],[Exact+n]],El_unit[[#This Row],[Copilot]])</f>
        <v>Haapavesi; Kärsämäki</v>
      </c>
    </row>
    <row r="43" spans="1:17">
      <c r="A43" s="54" t="s">
        <v>427</v>
      </c>
      <c r="B43" s="22" t="s">
        <v>427</v>
      </c>
      <c r="C43" s="107" t="str" cm="1">
        <f t="array" ref="C43">" "&amp;LOWER(_xlfn.REDUCE(El_unit[[#This Row],[Location]],{",",".","(",")","/"},_xlfn.LAMBDA(_xlpm.txt,_xlpm.delim,SUBSTITUTE(_xlpm.txt,_xlpm.delim," "))))&amp;" "</f>
        <v xml:space="preserve"> hanko  sändö tv 1-4 </v>
      </c>
      <c r="D43" s="22" t="s">
        <v>3066</v>
      </c>
      <c r="E43" s="1">
        <v>8</v>
      </c>
      <c r="F43" s="1">
        <v>0</v>
      </c>
      <c r="G43" s="1">
        <v>0</v>
      </c>
      <c r="H43" s="1">
        <v>8</v>
      </c>
      <c r="L43" s="1" t="str" cm="1">
        <f t="array" ref="L43">_xlfn.XLOOKUP(TRUE,ISNUMBER(SEARCH(" "&amp;Municipality[Municipality]&amp;" ",El_unit[[#This Row],[Info sting]])),Municipality[Municipality],"")</f>
        <v>Hanko</v>
      </c>
      <c r="M43" s="1" t="str" cm="1">
        <f t="array" ref="M43">IF(El_unit[[#This Row],[Exact]]&lt;&gt;"","",_xlfn.XLOOKUP(TRUE,ISNUMBER(SEARCH(" "&amp;Municipality[Municipality]&amp;"n ",El_unit[[#This Row],[Info sting]])),Municipality[Municipality],""))</f>
        <v/>
      </c>
      <c r="O43" s="35"/>
      <c r="Q43" s="1" t="str">
        <f>_xlfn.TEXTJOIN("",TRUE,El_unit[[#This Row],[Exact]],El_unit[[#This Row],[Exact+n]],El_unit[[#This Row],[Copilot]])</f>
        <v>Hanko</v>
      </c>
    </row>
    <row r="44" spans="1:17">
      <c r="A44" s="54" t="s">
        <v>1037</v>
      </c>
      <c r="B44" s="22" t="s">
        <v>1037</v>
      </c>
      <c r="C44" s="107" t="str" cm="1">
        <f t="array" ref="C44">" "&amp;LOWER(_xlfn.REDUCE(El_unit[[#This Row],[Location]],{",",".","(",")","/"},_xlfn.LAMBDA(_xlpm.txt,_xlpm.delim,SUBSTITUTE(_xlpm.txt,_xlpm.delim," "))))&amp;" "</f>
        <v xml:space="preserve"> harabacka </v>
      </c>
      <c r="D44" s="22" t="s">
        <v>3067</v>
      </c>
      <c r="E44" s="1">
        <v>0</v>
      </c>
      <c r="F44" s="1">
        <v>0</v>
      </c>
      <c r="G44" s="1">
        <v>9.6</v>
      </c>
      <c r="H44" s="1">
        <v>9.6</v>
      </c>
      <c r="I44" s="1" t="s">
        <v>1023</v>
      </c>
      <c r="J44" s="1" t="s">
        <v>1020</v>
      </c>
      <c r="L44" s="1" t="str" cm="1">
        <f t="array" ref="L44">_xlfn.XLOOKUP(TRUE,ISNUMBER(SEARCH(" "&amp;Municipality[Municipality]&amp;" ",El_unit[[#This Row],[Info sting]])),Municipality[Municipality],"")</f>
        <v/>
      </c>
      <c r="M44" s="1" t="str" cm="1">
        <f t="array" ref="M44">IF(El_unit[[#This Row],[Exact]]&lt;&gt;"","",_xlfn.XLOOKUP(TRUE,ISNUMBER(SEARCH(" "&amp;Municipality[Municipality]&amp;"n ",El_unit[[#This Row],[Info sting]])),Municipality[Municipality],""))</f>
        <v/>
      </c>
      <c r="O44" s="35"/>
      <c r="Q44" s="1" t="str">
        <f>_xlfn.TEXTJOIN("",TRUE,El_unit[[#This Row],[Exact]],El_unit[[#This Row],[Exact+n]],El_unit[[#This Row],[Copilot]])</f>
        <v/>
      </c>
    </row>
    <row r="45" spans="1:17">
      <c r="A45" s="54" t="s">
        <v>199</v>
      </c>
      <c r="B45" s="22" t="s">
        <v>200</v>
      </c>
      <c r="C45" s="107" t="str" cm="1">
        <f t="array" ref="C45">" "&amp;LOWER(_xlfn.REDUCE(El_unit[[#This Row],[Location]],{",",".","(",")","/"},_xlfn.LAMBDA(_xlpm.txt,_xlpm.delim,SUBSTITUTE(_xlpm.txt,_xlpm.delim," "))))&amp;" "</f>
        <v xml:space="preserve"> harjavallan voimalaitos </v>
      </c>
      <c r="D45" s="22" t="s">
        <v>3064</v>
      </c>
      <c r="E45" s="1">
        <v>105</v>
      </c>
      <c r="F45" s="1">
        <v>0</v>
      </c>
      <c r="G45" s="1">
        <v>0</v>
      </c>
      <c r="H45" s="1">
        <v>105</v>
      </c>
      <c r="L45" s="1" t="str" cm="1">
        <f t="array" ref="L45">_xlfn.XLOOKUP(TRUE,ISNUMBER(SEARCH(" "&amp;Municipality[Municipality]&amp;" ",El_unit[[#This Row],[Info sting]])),Municipality[Municipality],"")</f>
        <v/>
      </c>
      <c r="M45" s="1" t="str" cm="1">
        <f t="array" ref="M45">IF(El_unit[[#This Row],[Exact]]&lt;&gt;"","",_xlfn.XLOOKUP(TRUE,ISNUMBER(SEARCH(" "&amp;Municipality[Municipality]&amp;"n ",El_unit[[#This Row],[Info sting]])),Municipality[Municipality],""))</f>
        <v/>
      </c>
      <c r="N45" s="1" t="s">
        <v>199</v>
      </c>
      <c r="O45" s="35"/>
      <c r="P45" s="1" t="s">
        <v>3077</v>
      </c>
      <c r="Q45" s="1" t="str">
        <f>_xlfn.TEXTJOIN("",TRUE,El_unit[[#This Row],[Exact]],El_unit[[#This Row],[Exact+n]],El_unit[[#This Row],[Copilot]])</f>
        <v>Harjavalta</v>
      </c>
    </row>
    <row r="46" spans="1:17">
      <c r="A46" s="54" t="s">
        <v>199</v>
      </c>
      <c r="B46" s="22" t="s">
        <v>199</v>
      </c>
      <c r="C46" s="107" t="str" cm="1">
        <f t="array" ref="C46">" "&amp;LOWER(_xlfn.REDUCE(El_unit[[#This Row],[Location]],{",",".","(",")","/"},_xlfn.LAMBDA(_xlpm.txt,_xlpm.delim,SUBSTITUTE(_xlpm.txt,_xlpm.delim," "))))&amp;" "</f>
        <v xml:space="preserve"> harjavalta </v>
      </c>
      <c r="D46" s="22" t="s">
        <v>3068</v>
      </c>
      <c r="E46" s="1">
        <v>6.3</v>
      </c>
      <c r="F46" s="1">
        <v>0</v>
      </c>
      <c r="G46" s="1">
        <v>0</v>
      </c>
      <c r="H46" s="1">
        <v>6.3</v>
      </c>
      <c r="I46" s="1" t="s">
        <v>1017</v>
      </c>
      <c r="L46" s="1" t="str" cm="1">
        <f t="array" ref="L46">_xlfn.XLOOKUP(TRUE,ISNUMBER(SEARCH(" "&amp;Municipality[Municipality]&amp;" ",El_unit[[#This Row],[Info sting]])),Municipality[Municipality],"")</f>
        <v>Harjavalta</v>
      </c>
      <c r="M46" s="1" t="str" cm="1">
        <f t="array" ref="M46">IF(El_unit[[#This Row],[Exact]]&lt;&gt;"","",_xlfn.XLOOKUP(TRUE,ISNUMBER(SEARCH(" "&amp;Municipality[Municipality]&amp;"n ",El_unit[[#This Row],[Info sting]])),Municipality[Municipality],""))</f>
        <v/>
      </c>
      <c r="O46" s="35"/>
      <c r="Q46" s="1" t="str">
        <f>_xlfn.TEXTJOIN("",TRUE,El_unit[[#This Row],[Exact]],El_unit[[#This Row],[Exact+n]],El_unit[[#This Row],[Copilot]])</f>
        <v>Harjavalta</v>
      </c>
    </row>
    <row r="47" spans="1:17">
      <c r="A47" s="54" t="s">
        <v>201</v>
      </c>
      <c r="B47" s="22" t="s">
        <v>202</v>
      </c>
      <c r="C47" s="107" t="str" cm="1">
        <f t="array" ref="C47">" "&amp;LOWER(_xlfn.REDUCE(El_unit[[#This Row],[Location]],{",",".","(",")","/"},_xlfn.LAMBDA(_xlpm.txt,_xlpm.delim,SUBSTITUTE(_xlpm.txt,_xlpm.delim," "))))&amp;" "</f>
        <v xml:space="preserve"> hattar kraftverk </v>
      </c>
      <c r="D47" s="22" t="s">
        <v>3064</v>
      </c>
      <c r="E47" s="1">
        <v>1.1000000000000001</v>
      </c>
      <c r="F47" s="1">
        <v>0</v>
      </c>
      <c r="G47" s="1">
        <v>0</v>
      </c>
      <c r="H47" s="1">
        <v>1.1000000000000001</v>
      </c>
      <c r="L47" s="1" t="str" cm="1">
        <f t="array" ref="L47">_xlfn.XLOOKUP(TRUE,ISNUMBER(SEARCH(" "&amp;Municipality[Municipality]&amp;" ",El_unit[[#This Row],[Info sting]])),Municipality[Municipality],"")</f>
        <v/>
      </c>
      <c r="M47" s="1" t="str" cm="1">
        <f t="array" ref="M47">IF(El_unit[[#This Row],[Exact]]&lt;&gt;"","",_xlfn.XLOOKUP(TRUE,ISNUMBER(SEARCH(" "&amp;Municipality[Municipality]&amp;"n ",El_unit[[#This Row],[Info sting]])),Municipality[Municipality],""))</f>
        <v/>
      </c>
      <c r="O47" s="35"/>
      <c r="Q47" s="1" t="str">
        <f>_xlfn.TEXTJOIN("",TRUE,El_unit[[#This Row],[Exact]],El_unit[[#This Row],[Exact+n]],El_unit[[#This Row],[Copilot]])</f>
        <v/>
      </c>
    </row>
    <row r="48" spans="1:17">
      <c r="A48" s="54" t="s">
        <v>428</v>
      </c>
      <c r="B48" s="22" t="s">
        <v>428</v>
      </c>
      <c r="C48" s="107" t="str" cm="1">
        <f t="array" ref="C48">" "&amp;LOWER(_xlfn.REDUCE(El_unit[[#This Row],[Location]],{",",".","(",")","/"},_xlfn.LAMBDA(_xlpm.txt,_xlpm.delim,SUBSTITUTE(_xlpm.txt,_xlpm.delim," "))))&amp;" "</f>
        <v xml:space="preserve"> haukineva windfarm </v>
      </c>
      <c r="D48" s="22" t="s">
        <v>3066</v>
      </c>
      <c r="E48" s="1">
        <v>6.9</v>
      </c>
      <c r="F48" s="1">
        <v>0</v>
      </c>
      <c r="G48" s="1">
        <v>0</v>
      </c>
      <c r="H48" s="1">
        <v>6.9</v>
      </c>
      <c r="L48" s="1" t="str" cm="1">
        <f t="array" ref="L48">_xlfn.XLOOKUP(TRUE,ISNUMBER(SEARCH(" "&amp;Municipality[Municipality]&amp;" ",El_unit[[#This Row],[Info sting]])),Municipality[Municipality],"")</f>
        <v/>
      </c>
      <c r="M48" s="1" t="str" cm="1">
        <f t="array" ref="M48">IF(El_unit[[#This Row],[Exact]]&lt;&gt;"","",_xlfn.XLOOKUP(TRUE,ISNUMBER(SEARCH(" "&amp;Municipality[Municipality]&amp;"n ",El_unit[[#This Row],[Info sting]])),Municipality[Municipality],""))</f>
        <v/>
      </c>
      <c r="N48" s="1" t="s">
        <v>2623</v>
      </c>
      <c r="O48" s="35" t="s">
        <v>3115</v>
      </c>
      <c r="Q48" s="1" t="str">
        <f>_xlfn.TEXTJOIN("",TRUE,El_unit[[#This Row],[Exact]],El_unit[[#This Row],[Exact+n]],El_unit[[#This Row],[Copilot]])</f>
        <v>Kurikka</v>
      </c>
    </row>
    <row r="49" spans="1:17">
      <c r="A49" s="54" t="s">
        <v>429</v>
      </c>
      <c r="B49" s="22" t="s">
        <v>673</v>
      </c>
      <c r="C49" s="107" t="str" cm="1">
        <f t="array" ref="C49">" "&amp;LOWER(_xlfn.REDUCE(El_unit[[#This Row],[Location]],{",",".","(",")","/"},_xlfn.LAMBDA(_xlpm.txt,_xlpm.delim,SUBSTITUTE(_xlpm.txt,_xlpm.delim," "))))&amp;" "</f>
        <v xml:space="preserve"> närpiö  hedet h1-h18 </v>
      </c>
      <c r="D49" s="22" t="s">
        <v>3066</v>
      </c>
      <c r="E49" s="1">
        <v>79</v>
      </c>
      <c r="F49" s="1">
        <v>0</v>
      </c>
      <c r="G49" s="1">
        <v>0</v>
      </c>
      <c r="H49" s="1">
        <v>79</v>
      </c>
      <c r="L49" s="1" t="str" cm="1">
        <f t="array" ref="L49">_xlfn.XLOOKUP(TRUE,ISNUMBER(SEARCH(" "&amp;Municipality[Municipality]&amp;" ",El_unit[[#This Row],[Info sting]])),Municipality[Municipality],"")</f>
        <v>Närpiö</v>
      </c>
      <c r="M49" s="1" t="str" cm="1">
        <f t="array" ref="M49">IF(El_unit[[#This Row],[Exact]]&lt;&gt;"","",_xlfn.XLOOKUP(TRUE,ISNUMBER(SEARCH(" "&amp;Municipality[Municipality]&amp;"n ",El_unit[[#This Row],[Info sting]])),Municipality[Municipality],""))</f>
        <v/>
      </c>
      <c r="O49" s="35"/>
      <c r="Q49" s="1" t="str">
        <f>_xlfn.TEXTJOIN("",TRUE,El_unit[[#This Row],[Exact]],El_unit[[#This Row],[Exact+n]],El_unit[[#This Row],[Copilot]])</f>
        <v>Närpiö</v>
      </c>
    </row>
    <row r="50" spans="1:17">
      <c r="A50" s="54" t="s">
        <v>430</v>
      </c>
      <c r="B50" s="22" t="s">
        <v>430</v>
      </c>
      <c r="C50" s="107" t="str" cm="1">
        <f t="array" ref="C50">" "&amp;LOWER(_xlfn.REDUCE(El_unit[[#This Row],[Location]],{",",".","(",")","/"},_xlfn.LAMBDA(_xlpm.txt,_xlpm.delim,SUBSTITUTE(_xlpm.txt,_xlpm.delim," "))))&amp;" "</f>
        <v xml:space="preserve"> heinineva  lapua </v>
      </c>
      <c r="D50" s="22" t="s">
        <v>163</v>
      </c>
      <c r="E50" s="1">
        <v>35.200000000000003</v>
      </c>
      <c r="F50" s="1">
        <v>0</v>
      </c>
      <c r="G50" s="1">
        <v>0</v>
      </c>
      <c r="H50" s="1">
        <v>35.200000000000003</v>
      </c>
      <c r="L50" s="1" t="str" cm="1">
        <f t="array" ref="L50">_xlfn.XLOOKUP(TRUE,ISNUMBER(SEARCH(" "&amp;Municipality[Municipality]&amp;" ",El_unit[[#This Row],[Info sting]])),Municipality[Municipality],"")</f>
        <v>Lapua</v>
      </c>
      <c r="M50" s="1" t="str" cm="1">
        <f t="array" ref="M50">IF(El_unit[[#This Row],[Exact]]&lt;&gt;"","",_xlfn.XLOOKUP(TRUE,ISNUMBER(SEARCH(" "&amp;Municipality[Municipality]&amp;"n ",El_unit[[#This Row],[Info sting]])),Municipality[Municipality],""))</f>
        <v/>
      </c>
      <c r="O50" s="35"/>
      <c r="Q50" s="1" t="str">
        <f>_xlfn.TEXTJOIN("",TRUE,El_unit[[#This Row],[Exact]],El_unit[[#This Row],[Exact+n]],El_unit[[#This Row],[Copilot]])</f>
        <v>Lapua</v>
      </c>
    </row>
    <row r="51" spans="1:17">
      <c r="A51" s="54" t="s">
        <v>902</v>
      </c>
      <c r="B51" s="22" t="s">
        <v>969</v>
      </c>
      <c r="C51" s="107" t="str" cm="1">
        <f t="array" ref="C51">" "&amp;LOWER(_xlfn.REDUCE(El_unit[[#This Row],[Location]],{",",".","(",")","/"},_xlfn.LAMBDA(_xlpm.txt,_xlpm.delim,SUBSTITUTE(_xlpm.txt,_xlpm.delim," "))))&amp;" "</f>
        <v xml:space="preserve"> heinola vuorikatu 24 c </v>
      </c>
      <c r="D51" s="22" t="s">
        <v>3065</v>
      </c>
      <c r="E51" s="1">
        <v>0</v>
      </c>
      <c r="F51" s="1">
        <v>0</v>
      </c>
      <c r="G51" s="1">
        <v>0</v>
      </c>
      <c r="H51" s="1">
        <v>0</v>
      </c>
      <c r="I51" s="1" t="s">
        <v>1016</v>
      </c>
      <c r="J51" s="1" t="s">
        <v>1020</v>
      </c>
      <c r="K51" s="1" t="s">
        <v>1021</v>
      </c>
      <c r="L51" s="1" t="str" cm="1">
        <f t="array" ref="L51">_xlfn.XLOOKUP(TRUE,ISNUMBER(SEARCH(" "&amp;Municipality[Municipality]&amp;" ",El_unit[[#This Row],[Info sting]])),Municipality[Municipality],"")</f>
        <v>Heinola</v>
      </c>
      <c r="M51" s="1" t="str" cm="1">
        <f t="array" ref="M51">IF(El_unit[[#This Row],[Exact]]&lt;&gt;"","",_xlfn.XLOOKUP(TRUE,ISNUMBER(SEARCH(" "&amp;Municipality[Municipality]&amp;"n ",El_unit[[#This Row],[Info sting]])),Municipality[Municipality],""))</f>
        <v/>
      </c>
      <c r="O51" s="35"/>
      <c r="Q51" s="1" t="str">
        <f>_xlfn.TEXTJOIN("",TRUE,El_unit[[#This Row],[Exact]],El_unit[[#This Row],[Exact+n]],El_unit[[#This Row],[Copilot]])</f>
        <v>Heinola</v>
      </c>
    </row>
    <row r="52" spans="1:17">
      <c r="A52" s="54" t="s">
        <v>903</v>
      </c>
      <c r="B52" s="22" t="s">
        <v>970</v>
      </c>
      <c r="C52" s="107" t="str" cm="1">
        <f t="array" ref="C52">" "&amp;LOWER(_xlfn.REDUCE(El_unit[[#This Row],[Location]],{",",".","(",")","/"},_xlfn.LAMBDA(_xlpm.txt,_xlpm.delim,SUBSTITUTE(_xlpm.txt,_xlpm.delim," "))))&amp;" "</f>
        <v xml:space="preserve"> heinolan flutigtehdas </v>
      </c>
      <c r="D52" s="22" t="s">
        <v>3065</v>
      </c>
      <c r="E52" s="1">
        <v>0</v>
      </c>
      <c r="F52" s="1">
        <v>19</v>
      </c>
      <c r="G52" s="1">
        <v>0</v>
      </c>
      <c r="H52" s="1">
        <v>19</v>
      </c>
      <c r="I52" s="1" t="s">
        <v>1015</v>
      </c>
      <c r="J52" s="1" t="s">
        <v>1016</v>
      </c>
      <c r="K52" s="1" t="s">
        <v>1024</v>
      </c>
      <c r="L52" s="1" t="str" cm="1">
        <f t="array" ref="L52">_xlfn.XLOOKUP(TRUE,ISNUMBER(SEARCH(" "&amp;Municipality[Municipality]&amp;" ",El_unit[[#This Row],[Info sting]])),Municipality[Municipality],"")</f>
        <v>Heinolan</v>
      </c>
      <c r="M52" s="1" t="str" cm="1">
        <f t="array" ref="M52">IF(El_unit[[#This Row],[Exact]]&lt;&gt;"","",_xlfn.XLOOKUP(TRUE,ISNUMBER(SEARCH(" "&amp;Municipality[Municipality]&amp;"n ",El_unit[[#This Row],[Info sting]])),Municipality[Municipality],""))</f>
        <v/>
      </c>
      <c r="O52" s="35"/>
      <c r="Q52" s="1" t="str">
        <f>_xlfn.TEXTJOIN("",TRUE,El_unit[[#This Row],[Exact]],El_unit[[#This Row],[Exact+n]],El_unit[[#This Row],[Copilot]])</f>
        <v>Heinolan</v>
      </c>
    </row>
    <row r="53" spans="1:17">
      <c r="A53" s="54" t="s">
        <v>431</v>
      </c>
      <c r="B53" s="22" t="s">
        <v>674</v>
      </c>
      <c r="C53" s="107" t="str" cm="1">
        <f t="array" ref="C53">" "&amp;LOWER(_xlfn.REDUCE(El_unit[[#This Row],[Location]],{",",".","(",")","/"},_xlfn.LAMBDA(_xlpm.txt,_xlpm.delim,SUBSTITUTE(_xlpm.txt,_xlpm.delim," "))))&amp;" "</f>
        <v xml:space="preserve"> kannus </v>
      </c>
      <c r="D53" s="22" t="s">
        <v>163</v>
      </c>
      <c r="E53" s="1">
        <v>4</v>
      </c>
      <c r="F53" s="1">
        <v>0</v>
      </c>
      <c r="G53" s="1">
        <v>0</v>
      </c>
      <c r="H53" s="1">
        <v>4</v>
      </c>
      <c r="L53" s="1" t="str" cm="1">
        <f t="array" ref="L53">_xlfn.XLOOKUP(TRUE,ISNUMBER(SEARCH(" "&amp;Municipality[Municipality]&amp;" ",El_unit[[#This Row],[Info sting]])),Municipality[Municipality],"")</f>
        <v>Kannus</v>
      </c>
      <c r="M53" s="1" t="str" cm="1">
        <f t="array" ref="M53">IF(El_unit[[#This Row],[Exact]]&lt;&gt;"","",_xlfn.XLOOKUP(TRUE,ISNUMBER(SEARCH(" "&amp;Municipality[Municipality]&amp;"n ",El_unit[[#This Row],[Info sting]])),Municipality[Municipality],""))</f>
        <v/>
      </c>
      <c r="O53" s="35"/>
      <c r="Q53" s="1" t="str">
        <f>_xlfn.TEXTJOIN("",TRUE,El_unit[[#This Row],[Exact]],El_unit[[#This Row],[Exact+n]],El_unit[[#This Row],[Copilot]])</f>
        <v>Kannus</v>
      </c>
    </row>
    <row r="54" spans="1:17">
      <c r="A54" s="54" t="s">
        <v>203</v>
      </c>
      <c r="B54" s="22" t="s">
        <v>204</v>
      </c>
      <c r="C54" s="107" t="str" cm="1">
        <f t="array" ref="C54">" "&amp;LOWER(_xlfn.REDUCE(El_unit[[#This Row],[Location]],{",",".","(",")","/"},_xlfn.LAMBDA(_xlpm.txt,_xlpm.delim,SUBSTITUTE(_xlpm.txt,_xlpm.delim," "))))&amp;" "</f>
        <v xml:space="preserve"> äänekoski   hietamankoski </v>
      </c>
      <c r="D54" s="22" t="s">
        <v>3064</v>
      </c>
      <c r="E54" s="1">
        <v>6.7</v>
      </c>
      <c r="F54" s="1">
        <v>0</v>
      </c>
      <c r="G54" s="1">
        <v>0</v>
      </c>
      <c r="H54" s="1">
        <v>6.7</v>
      </c>
      <c r="L54" s="1" t="str" cm="1">
        <f t="array" ref="L54">_xlfn.XLOOKUP(TRUE,ISNUMBER(SEARCH(" "&amp;Municipality[Municipality]&amp;" ",El_unit[[#This Row],[Info sting]])),Municipality[Municipality],"")</f>
        <v>Äänekoski</v>
      </c>
      <c r="M54" s="1" t="str" cm="1">
        <f t="array" ref="M54">IF(El_unit[[#This Row],[Exact]]&lt;&gt;"","",_xlfn.XLOOKUP(TRUE,ISNUMBER(SEARCH(" "&amp;Municipality[Municipality]&amp;"n ",El_unit[[#This Row],[Info sting]])),Municipality[Municipality],""))</f>
        <v/>
      </c>
      <c r="O54" s="35"/>
      <c r="Q54" s="1" t="str">
        <f>_xlfn.TEXTJOIN("",TRUE,El_unit[[#This Row],[Exact]],El_unit[[#This Row],[Exact+n]],El_unit[[#This Row],[Copilot]])</f>
        <v>Äänekoski</v>
      </c>
    </row>
    <row r="55" spans="1:17">
      <c r="A55" s="54" t="s">
        <v>205</v>
      </c>
      <c r="B55" s="22" t="s">
        <v>206</v>
      </c>
      <c r="C55" s="107" t="str" cm="1">
        <f t="array" ref="C55">" "&amp;LOWER(_xlfn.REDUCE(El_unit[[#This Row],[Location]],{",",".","(",")","/"},_xlfn.LAMBDA(_xlpm.txt,_xlpm.delim,SUBSTITUTE(_xlpm.txt,_xlpm.delim," "))))&amp;" "</f>
        <v xml:space="preserve"> kannonkoski   hilmonkoski </v>
      </c>
      <c r="D55" s="22" t="s">
        <v>3064</v>
      </c>
      <c r="E55" s="1">
        <v>6.8</v>
      </c>
      <c r="F55" s="1">
        <v>0</v>
      </c>
      <c r="G55" s="1">
        <v>0</v>
      </c>
      <c r="H55" s="1">
        <v>6.8</v>
      </c>
      <c r="L55" s="1" t="str" cm="1">
        <f t="array" ref="L55">_xlfn.XLOOKUP(TRUE,ISNUMBER(SEARCH(" "&amp;Municipality[Municipality]&amp;" ",El_unit[[#This Row],[Info sting]])),Municipality[Municipality],"")</f>
        <v>Kannonkoski</v>
      </c>
      <c r="M55" s="1" t="str" cm="1">
        <f t="array" ref="M55">IF(El_unit[[#This Row],[Exact]]&lt;&gt;"","",_xlfn.XLOOKUP(TRUE,ISNUMBER(SEARCH(" "&amp;Municipality[Municipality]&amp;"n ",El_unit[[#This Row],[Info sting]])),Municipality[Municipality],""))</f>
        <v/>
      </c>
      <c r="O55" s="35"/>
      <c r="Q55" s="1" t="str">
        <f>_xlfn.TEXTJOIN("",TRUE,El_unit[[#This Row],[Exact]],El_unit[[#This Row],[Exact+n]],El_unit[[#This Row],[Copilot]])</f>
        <v>Kannonkoski</v>
      </c>
    </row>
    <row r="56" spans="1:17">
      <c r="A56" s="54" t="s">
        <v>432</v>
      </c>
      <c r="B56" s="22" t="s">
        <v>675</v>
      </c>
      <c r="C56" s="107" t="str" cm="1">
        <f t="array" ref="C56">" "&amp;LOWER(_xlfn.REDUCE(El_unit[[#This Row],[Location]],{",",".","(",")","/"},_xlfn.LAMBDA(_xlpm.txt,_xlpm.delim,SUBSTITUTE(_xlpm.txt,_xlpm.delim," "))))&amp;" "</f>
        <v xml:space="preserve"> merituulentie 11  pori </v>
      </c>
      <c r="D56" s="22" t="s">
        <v>3066</v>
      </c>
      <c r="E56" s="1">
        <v>2</v>
      </c>
      <c r="F56" s="1">
        <v>0</v>
      </c>
      <c r="G56" s="1">
        <v>0</v>
      </c>
      <c r="H56" s="1">
        <v>2</v>
      </c>
      <c r="L56" s="1" t="str" cm="1">
        <f t="array" ref="L56">_xlfn.XLOOKUP(TRUE,ISNUMBER(SEARCH(" "&amp;Municipality[Municipality]&amp;" ",El_unit[[#This Row],[Info sting]])),Municipality[Municipality],"")</f>
        <v>Pori</v>
      </c>
      <c r="M56" s="1" t="str" cm="1">
        <f t="array" ref="M56">IF(El_unit[[#This Row],[Exact]]&lt;&gt;"","",_xlfn.XLOOKUP(TRUE,ISNUMBER(SEARCH(" "&amp;Municipality[Municipality]&amp;"n ",El_unit[[#This Row],[Info sting]])),Municipality[Municipality],""))</f>
        <v/>
      </c>
      <c r="O56" s="35"/>
      <c r="Q56" s="1" t="str">
        <f>_xlfn.TEXTJOIN("",TRUE,El_unit[[#This Row],[Exact]],El_unit[[#This Row],[Exact+n]],El_unit[[#This Row],[Copilot]])</f>
        <v>Pori</v>
      </c>
    </row>
    <row r="57" spans="1:17">
      <c r="A57" s="54" t="s">
        <v>904</v>
      </c>
      <c r="B57" s="22" t="s">
        <v>971</v>
      </c>
      <c r="C57" s="107" t="str" cm="1">
        <f t="array" ref="C57">" "&amp;LOWER(_xlfn.REDUCE(El_unit[[#This Row],[Location]],{",",".","(",")","/"},_xlfn.LAMBDA(_xlpm.txt,_xlpm.delim,SUBSTITUTE(_xlpm.txt,_xlpm.delim," "))))&amp;" "</f>
        <v xml:space="preserve"> kouvola   hinkismäki </v>
      </c>
      <c r="D57" s="22" t="s">
        <v>3065</v>
      </c>
      <c r="E57" s="1">
        <v>0</v>
      </c>
      <c r="F57" s="1">
        <v>0</v>
      </c>
      <c r="G57" s="1">
        <v>45</v>
      </c>
      <c r="H57" s="1">
        <v>45</v>
      </c>
      <c r="I57" s="1" t="s">
        <v>1023</v>
      </c>
      <c r="J57" s="1" t="s">
        <v>1020</v>
      </c>
      <c r="L57" s="1" t="str" cm="1">
        <f t="array" ref="L57">_xlfn.XLOOKUP(TRUE,ISNUMBER(SEARCH(" "&amp;Municipality[Municipality]&amp;" ",El_unit[[#This Row],[Info sting]])),Municipality[Municipality],"")</f>
        <v>Kouvola</v>
      </c>
      <c r="M57" s="1" t="str" cm="1">
        <f t="array" ref="M57">IF(El_unit[[#This Row],[Exact]]&lt;&gt;"","",_xlfn.XLOOKUP(TRUE,ISNUMBER(SEARCH(" "&amp;Municipality[Municipality]&amp;"n ",El_unit[[#This Row],[Info sting]])),Municipality[Municipality],""))</f>
        <v/>
      </c>
      <c r="O57" s="35"/>
      <c r="Q57" s="1" t="str">
        <f>_xlfn.TEXTJOIN("",TRUE,El_unit[[#This Row],[Exact]],El_unit[[#This Row],[Exact+n]],El_unit[[#This Row],[Copilot]])</f>
        <v>Kouvola</v>
      </c>
    </row>
    <row r="58" spans="1:17">
      <c r="A58" s="54" t="s">
        <v>207</v>
      </c>
      <c r="B58" s="22" t="s">
        <v>208</v>
      </c>
      <c r="C58" s="107" t="str" cm="1">
        <f t="array" ref="C58">" "&amp;LOWER(_xlfn.REDUCE(El_unit[[#This Row],[Location]],{",",".","(",")","/"},_xlfn.LAMBDA(_xlpm.txt,_xlpm.delim,SUBSTITUTE(_xlpm.txt,_xlpm.delim," "))))&amp;" "</f>
        <v xml:space="preserve"> haapajärvi   hinkua </v>
      </c>
      <c r="D58" s="22" t="s">
        <v>3064</v>
      </c>
      <c r="E58" s="1">
        <v>6.3</v>
      </c>
      <c r="F58" s="1">
        <v>0</v>
      </c>
      <c r="G58" s="1">
        <v>0</v>
      </c>
      <c r="H58" s="1">
        <v>6.3</v>
      </c>
      <c r="L58" s="1" t="str" cm="1">
        <f t="array" ref="L58">_xlfn.XLOOKUP(TRUE,ISNUMBER(SEARCH(" "&amp;Municipality[Municipality]&amp;" ",El_unit[[#This Row],[Info sting]])),Municipality[Municipality],"")</f>
        <v>Haapajärvi</v>
      </c>
      <c r="M58" s="1" t="str" cm="1">
        <f t="array" ref="M58">IF(El_unit[[#This Row],[Exact]]&lt;&gt;"","",_xlfn.XLOOKUP(TRUE,ISNUMBER(SEARCH(" "&amp;Municipality[Municipality]&amp;"n ",El_unit[[#This Row],[Info sting]])),Municipality[Municipality],""))</f>
        <v/>
      </c>
      <c r="O58" s="35"/>
      <c r="Q58" s="1" t="str">
        <f>_xlfn.TEXTJOIN("",TRUE,El_unit[[#This Row],[Exact]],El_unit[[#This Row],[Exact+n]],El_unit[[#This Row],[Copilot]])</f>
        <v>Haapajärvi</v>
      </c>
    </row>
    <row r="59" spans="1:17">
      <c r="A59" s="54" t="s">
        <v>433</v>
      </c>
      <c r="B59" s="22" t="s">
        <v>676</v>
      </c>
      <c r="C59" s="107" t="str" cm="1">
        <f t="array" ref="C59">" "&amp;LOWER(_xlfn.REDUCE(El_unit[[#This Row],[Location]],{",",".","(",")","/"},_xlfn.LAMBDA(_xlpm.txt,_xlpm.delim,SUBSTITUTE(_xlpm.txt,_xlpm.delim," "))))&amp;" "</f>
        <v xml:space="preserve"> otavantie 23  52550 hirvensalmi </v>
      </c>
      <c r="D59" s="22" t="s">
        <v>163</v>
      </c>
      <c r="E59" s="1">
        <v>4.08</v>
      </c>
      <c r="F59" s="1">
        <v>0</v>
      </c>
      <c r="G59" s="1">
        <v>0</v>
      </c>
      <c r="H59" s="1">
        <v>4.08</v>
      </c>
      <c r="L59" s="1" t="str" cm="1">
        <f t="array" ref="L59">_xlfn.XLOOKUP(TRUE,ISNUMBER(SEARCH(" "&amp;Municipality[Municipality]&amp;" ",El_unit[[#This Row],[Info sting]])),Municipality[Municipality],"")</f>
        <v>Hirvensalmi</v>
      </c>
      <c r="M59" s="1" t="str" cm="1">
        <f t="array" ref="M59">IF(El_unit[[#This Row],[Exact]]&lt;&gt;"","",_xlfn.XLOOKUP(TRUE,ISNUMBER(SEARCH(" "&amp;Municipality[Municipality]&amp;"n ",El_unit[[#This Row],[Info sting]])),Municipality[Municipality],""))</f>
        <v/>
      </c>
      <c r="O59" s="35"/>
      <c r="Q59" s="1" t="str">
        <f>_xlfn.TEXTJOIN("",TRUE,El_unit[[#This Row],[Exact]],El_unit[[#This Row],[Exact+n]],El_unit[[#This Row],[Copilot]])</f>
        <v>Hirvensalmi</v>
      </c>
    </row>
    <row r="60" spans="1:17">
      <c r="A60" s="54" t="s">
        <v>209</v>
      </c>
      <c r="B60" s="22" t="s">
        <v>210</v>
      </c>
      <c r="C60" s="107" t="str" cm="1">
        <f t="array" ref="C60">" "&amp;LOWER(_xlfn.REDUCE(El_unit[[#This Row],[Location]],{",",".","(",")","/"},_xlfn.LAMBDA(_xlpm.txt,_xlpm.delim,SUBSTITUTE(_xlpm.txt,_xlpm.delim," "))))&amp;" "</f>
        <v xml:space="preserve"> nurmo   hirvikoski </v>
      </c>
      <c r="D60" s="22" t="s">
        <v>3064</v>
      </c>
      <c r="E60" s="1">
        <v>8.5</v>
      </c>
      <c r="F60" s="1">
        <v>0</v>
      </c>
      <c r="G60" s="1">
        <v>0</v>
      </c>
      <c r="H60" s="1">
        <v>8.5</v>
      </c>
      <c r="L60" s="1" t="str" cm="1">
        <f t="array" ref="L60">_xlfn.XLOOKUP(TRUE,ISNUMBER(SEARCH(" "&amp;Municipality[Municipality]&amp;" ",El_unit[[#This Row],[Info sting]])),Municipality[Municipality],"")</f>
        <v>Nurmo</v>
      </c>
      <c r="M60" s="1" t="str" cm="1">
        <f t="array" ref="M60">IF(El_unit[[#This Row],[Exact]]&lt;&gt;"","",_xlfn.XLOOKUP(TRUE,ISNUMBER(SEARCH(" "&amp;Municipality[Municipality]&amp;"n ",El_unit[[#This Row],[Info sting]])),Municipality[Municipality],""))</f>
        <v/>
      </c>
      <c r="O60" s="35"/>
      <c r="Q60" s="1" t="str">
        <f>_xlfn.TEXTJOIN("",TRUE,El_unit[[#This Row],[Exact]],El_unit[[#This Row],[Exact+n]],El_unit[[#This Row],[Copilot]])</f>
        <v>Nurmo</v>
      </c>
    </row>
    <row r="61" spans="1:17">
      <c r="A61" s="54" t="s">
        <v>434</v>
      </c>
      <c r="B61" s="22" t="s">
        <v>677</v>
      </c>
      <c r="C61" s="107" t="str" cm="1">
        <f t="array" ref="C61">" "&amp;LOWER(_xlfn.REDUCE(El_unit[[#This Row],[Location]],{",",".","(",")","/"},_xlfn.LAMBDA(_xlpm.txt,_xlpm.delim,SUBSTITUTE(_xlpm.txt,_xlpm.delim," "))))&amp;" "</f>
        <v xml:space="preserve"> hirvineva  liminka </v>
      </c>
      <c r="D61" s="22" t="s">
        <v>3066</v>
      </c>
      <c r="E61" s="1">
        <v>19.2</v>
      </c>
      <c r="F61" s="1">
        <v>0</v>
      </c>
      <c r="G61" s="1">
        <v>0</v>
      </c>
      <c r="H61" s="1">
        <v>19.2</v>
      </c>
      <c r="L61" s="1" t="str" cm="1">
        <f t="array" ref="L61">_xlfn.XLOOKUP(TRUE,ISNUMBER(SEARCH(" "&amp;Municipality[Municipality]&amp;" ",El_unit[[#This Row],[Info sting]])),Municipality[Municipality],"")</f>
        <v>Liminka</v>
      </c>
      <c r="M61" s="1" t="str" cm="1">
        <f t="array" ref="M61">IF(El_unit[[#This Row],[Exact]]&lt;&gt;"","",_xlfn.XLOOKUP(TRUE,ISNUMBER(SEARCH(" "&amp;Municipality[Municipality]&amp;"n ",El_unit[[#This Row],[Info sting]])),Municipality[Municipality],""))</f>
        <v/>
      </c>
      <c r="O61" s="35"/>
      <c r="Q61" s="1" t="str">
        <f>_xlfn.TEXTJOIN("",TRUE,El_unit[[#This Row],[Exact]],El_unit[[#This Row],[Exact+n]],El_unit[[#This Row],[Copilot]])</f>
        <v>Liminka</v>
      </c>
    </row>
    <row r="62" spans="1:17">
      <c r="A62" s="54" t="s">
        <v>435</v>
      </c>
      <c r="B62" s="22" t="s">
        <v>435</v>
      </c>
      <c r="C62" s="107" t="str" cm="1">
        <f t="array" ref="C62">" "&amp;LOWER(_xlfn.REDUCE(El_unit[[#This Row],[Location]],{",",".","(",")","/"},_xlfn.LAMBDA(_xlpm.txt,_xlpm.delim,SUBSTITUTE(_xlpm.txt,_xlpm.delim," "))))&amp;" "</f>
        <v xml:space="preserve"> hoikankangas  kajaanin sähkölaitos </v>
      </c>
      <c r="D62" s="22" t="s">
        <v>3068</v>
      </c>
      <c r="E62" s="1">
        <v>1.5</v>
      </c>
      <c r="F62" s="1">
        <v>0</v>
      </c>
      <c r="G62" s="1">
        <v>0</v>
      </c>
      <c r="H62" s="1">
        <v>1.5</v>
      </c>
      <c r="I62" s="1" t="s">
        <v>1032</v>
      </c>
      <c r="L62" s="1" t="str" cm="1">
        <f t="array" ref="L62">_xlfn.XLOOKUP(TRUE,ISNUMBER(SEARCH(" "&amp;Municipality[Municipality]&amp;" ",El_unit[[#This Row],[Info sting]])),Municipality[Municipality],"")</f>
        <v/>
      </c>
      <c r="M62" s="1" t="str" cm="1">
        <f t="array" ref="M62">IF(El_unit[[#This Row],[Exact]]&lt;&gt;"","",_xlfn.XLOOKUP(TRUE,ISNUMBER(SEARCH(" "&amp;Municipality[Municipality]&amp;"n ",El_unit[[#This Row],[Info sting]])),Municipality[Municipality],""))</f>
        <v>Kajaani</v>
      </c>
      <c r="O62" s="35"/>
      <c r="Q62" s="1" t="str">
        <f>_xlfn.TEXTJOIN("",TRUE,El_unit[[#This Row],[Exact]],El_unit[[#This Row],[Exact+n]],El_unit[[#This Row],[Copilot]])</f>
        <v>Kajaani</v>
      </c>
    </row>
    <row r="63" spans="1:17">
      <c r="A63" s="54" t="s">
        <v>1038</v>
      </c>
      <c r="B63" s="22" t="s">
        <v>1038</v>
      </c>
      <c r="C63" s="107" t="str" cm="1">
        <f t="array" ref="C63">" "&amp;LOWER(_xlfn.REDUCE(El_unit[[#This Row],[Location]],{",",".","(",")","/"},_xlfn.LAMBDA(_xlpm.txt,_xlpm.delim,SUBSTITUTE(_xlpm.txt,_xlpm.delim," "))))&amp;" "</f>
        <v xml:space="preserve"> hovinsaari </v>
      </c>
      <c r="D63" s="22" t="s">
        <v>3067</v>
      </c>
      <c r="E63" s="1">
        <v>0</v>
      </c>
      <c r="F63" s="1">
        <v>0</v>
      </c>
      <c r="G63" s="1">
        <v>45.5</v>
      </c>
      <c r="H63" s="1">
        <v>45.5</v>
      </c>
      <c r="K63" s="1" t="s">
        <v>1023</v>
      </c>
      <c r="L63" s="1" t="str" cm="1">
        <f t="array" ref="L63">_xlfn.XLOOKUP(TRUE,ISNUMBER(SEARCH(" "&amp;Municipality[Municipality]&amp;" ",El_unit[[#This Row],[Info sting]])),Municipality[Municipality],"")</f>
        <v/>
      </c>
      <c r="M63" s="1" t="str" cm="1">
        <f t="array" ref="M63">IF(El_unit[[#This Row],[Exact]]&lt;&gt;"","",_xlfn.XLOOKUP(TRUE,ISNUMBER(SEARCH(" "&amp;Municipality[Municipality]&amp;"n ",El_unit[[#This Row],[Info sting]])),Municipality[Municipality],""))</f>
        <v/>
      </c>
      <c r="N63" s="1" t="s">
        <v>924</v>
      </c>
      <c r="O63" s="35" t="s">
        <v>3169</v>
      </c>
      <c r="Q63" s="1" t="str">
        <f>_xlfn.TEXTJOIN("",TRUE,El_unit[[#This Row],[Exact]],El_unit[[#This Row],[Exact+n]],El_unit[[#This Row],[Copilot]])</f>
        <v>Kotka</v>
      </c>
    </row>
    <row r="64" spans="1:17">
      <c r="A64" s="54" t="s">
        <v>436</v>
      </c>
      <c r="B64" s="22" t="s">
        <v>436</v>
      </c>
      <c r="C64" s="107" t="str" cm="1">
        <f t="array" ref="C64">" "&amp;LOWER(_xlfn.REDUCE(El_unit[[#This Row],[Location]],{",",".","(",")","/"},_xlfn.LAMBDA(_xlpm.txt,_xlpm.delim,SUBSTITUTE(_xlpm.txt,_xlpm.delim," "))))&amp;" "</f>
        <v xml:space="preserve"> huikku hailuoto </v>
      </c>
      <c r="D64" s="22" t="s">
        <v>3066</v>
      </c>
      <c r="E64" s="1">
        <v>2</v>
      </c>
      <c r="F64" s="1">
        <v>0</v>
      </c>
      <c r="G64" s="1">
        <v>0</v>
      </c>
      <c r="H64" s="1">
        <v>2</v>
      </c>
      <c r="L64" s="1" t="str" cm="1">
        <f t="array" ref="L64">_xlfn.XLOOKUP(TRUE,ISNUMBER(SEARCH(" "&amp;Municipality[Municipality]&amp;" ",El_unit[[#This Row],[Info sting]])),Municipality[Municipality],"")</f>
        <v>Hailuoto</v>
      </c>
      <c r="M64" s="1" t="str" cm="1">
        <f t="array" ref="M64">IF(El_unit[[#This Row],[Exact]]&lt;&gt;"","",_xlfn.XLOOKUP(TRUE,ISNUMBER(SEARCH(" "&amp;Municipality[Municipality]&amp;"n ",El_unit[[#This Row],[Info sting]])),Municipality[Municipality],""))</f>
        <v/>
      </c>
      <c r="O64" s="35"/>
      <c r="Q64" s="1" t="str">
        <f>_xlfn.TEXTJOIN("",TRUE,El_unit[[#This Row],[Exact]],El_unit[[#This Row],[Exact+n]],El_unit[[#This Row],[Copilot]])</f>
        <v>Hailuoto</v>
      </c>
    </row>
    <row r="65" spans="1:17">
      <c r="A65" s="54" t="s">
        <v>437</v>
      </c>
      <c r="B65" s="22" t="s">
        <v>678</v>
      </c>
      <c r="C65" s="107" t="str" cm="1">
        <f t="array" ref="C65">" "&amp;LOWER(_xlfn.REDUCE(El_unit[[#This Row],[Location]],{",",".","(",")","/"},_xlfn.LAMBDA(_xlpm.txt,_xlpm.delim,SUBSTITUTE(_xlpm.txt,_xlpm.delim," "))))&amp;" "</f>
        <v xml:space="preserve"> pahkionvuori  huittinen </v>
      </c>
      <c r="D65" s="22" t="s">
        <v>3066</v>
      </c>
      <c r="E65" s="1">
        <v>3.6</v>
      </c>
      <c r="F65" s="1">
        <v>0</v>
      </c>
      <c r="G65" s="1">
        <v>0</v>
      </c>
      <c r="H65" s="1">
        <v>3.6</v>
      </c>
      <c r="L65" s="1" t="str" cm="1">
        <f t="array" ref="L65">_xlfn.XLOOKUP(TRUE,ISNUMBER(SEARCH(" "&amp;Municipality[Municipality]&amp;" ",El_unit[[#This Row],[Info sting]])),Municipality[Municipality],"")</f>
        <v>Huittinen</v>
      </c>
      <c r="M65" s="1" t="str" cm="1">
        <f t="array" ref="M65">IF(El_unit[[#This Row],[Exact]]&lt;&gt;"","",_xlfn.XLOOKUP(TRUE,ISNUMBER(SEARCH(" "&amp;Municipality[Municipality]&amp;"n ",El_unit[[#This Row],[Info sting]])),Municipality[Municipality],""))</f>
        <v/>
      </c>
      <c r="O65" s="35"/>
      <c r="Q65" s="1" t="str">
        <f>_xlfn.TEXTJOIN("",TRUE,El_unit[[#This Row],[Exact]],El_unit[[#This Row],[Exact+n]],El_unit[[#This Row],[Copilot]])</f>
        <v>Huittinen</v>
      </c>
    </row>
    <row r="66" spans="1:17">
      <c r="A66" s="54" t="s">
        <v>438</v>
      </c>
      <c r="B66" s="22" t="s">
        <v>679</v>
      </c>
      <c r="C66" s="107" t="str" cm="1">
        <f t="array" ref="C66">" "&amp;LOWER(_xlfn.REDUCE(El_unit[[#This Row],[Location]],{",",".","(",")","/"},_xlfn.LAMBDA(_xlpm.txt,_xlpm.delim,SUBSTITUTE(_xlpm.txt,_xlpm.delim," "))))&amp;" "</f>
        <v xml:space="preserve"> humppila-urjala  humppila-urjalan tuulipuisto </v>
      </c>
      <c r="D66" s="22" t="s">
        <v>3066</v>
      </c>
      <c r="E66" s="1">
        <v>25.8</v>
      </c>
      <c r="F66" s="1">
        <v>0</v>
      </c>
      <c r="G66" s="1">
        <v>0</v>
      </c>
      <c r="H66" s="1">
        <v>25.8</v>
      </c>
      <c r="L66" s="1" t="str" cm="1">
        <f t="array" ref="L66">_xlfn.XLOOKUP(TRUE,ISNUMBER(SEARCH(" "&amp;Municipality[Municipality]&amp;" ",El_unit[[#This Row],[Info sting]])),Municipality[Municipality],"")</f>
        <v/>
      </c>
      <c r="M66" s="1" t="str" cm="1">
        <f t="array" ref="M66">IF(El_unit[[#This Row],[Exact]]&lt;&gt;"","",_xlfn.XLOOKUP(TRUE,ISNUMBER(SEARCH(" "&amp;Municipality[Municipality]&amp;"n ",El_unit[[#This Row],[Info sting]])),Municipality[Municipality],""))</f>
        <v/>
      </c>
      <c r="N66" s="1" t="s">
        <v>3074</v>
      </c>
      <c r="O66" s="35"/>
      <c r="P66" s="1" t="s">
        <v>3078</v>
      </c>
      <c r="Q66" s="1" t="str">
        <f>_xlfn.TEXTJOIN("",TRUE,El_unit[[#This Row],[Exact]],El_unit[[#This Row],[Exact+n]],El_unit[[#This Row],[Copilot]])</f>
        <v>Humppila; Urjala</v>
      </c>
    </row>
    <row r="67" spans="1:17">
      <c r="A67" s="54" t="s">
        <v>439</v>
      </c>
      <c r="B67" s="22" t="s">
        <v>680</v>
      </c>
      <c r="C67" s="107" t="str" cm="1">
        <f t="array" ref="C67">" "&amp;LOWER(_xlfn.REDUCE(El_unit[[#This Row],[Location]],{",",".","(",")","/"},_xlfn.LAMBDA(_xlpm.txt,_xlpm.delim,SUBSTITUTE(_xlpm.txt,_xlpm.delim," "))))&amp;" "</f>
        <v xml:space="preserve"> huutokoski kt 1  2  3  4  5  6 </v>
      </c>
      <c r="D67" s="22" t="s">
        <v>3068</v>
      </c>
      <c r="E67" s="1">
        <v>180</v>
      </c>
      <c r="F67" s="1">
        <v>0</v>
      </c>
      <c r="G67" s="1">
        <v>0</v>
      </c>
      <c r="H67" s="1">
        <v>180</v>
      </c>
      <c r="I67" s="1" t="s">
        <v>1020</v>
      </c>
      <c r="L67" s="1" t="str" cm="1">
        <f t="array" ref="L67">_xlfn.XLOOKUP(TRUE,ISNUMBER(SEARCH(" "&amp;Municipality[Municipality]&amp;" ",El_unit[[#This Row],[Info sting]])),Municipality[Municipality],"")</f>
        <v/>
      </c>
      <c r="M67" s="1" t="str" cm="1">
        <f t="array" ref="M67">IF(El_unit[[#This Row],[Exact]]&lt;&gt;"","",_xlfn.XLOOKUP(TRUE,ISNUMBER(SEARCH(" "&amp;Municipality[Municipality]&amp;"n ",El_unit[[#This Row],[Info sting]])),Municipality[Municipality],""))</f>
        <v/>
      </c>
      <c r="O67" s="35"/>
      <c r="Q67" s="1" t="str">
        <f>_xlfn.TEXTJOIN("",TRUE,El_unit[[#This Row],[Exact]],El_unit[[#This Row],[Exact+n]],El_unit[[#This Row],[Copilot]])</f>
        <v/>
      </c>
    </row>
    <row r="68" spans="1:17">
      <c r="A68" s="54" t="s">
        <v>905</v>
      </c>
      <c r="B68" s="22" t="s">
        <v>905</v>
      </c>
      <c r="C68" s="107" t="str" cm="1">
        <f t="array" ref="C68">" "&amp;LOWER(_xlfn.REDUCE(El_unit[[#This Row],[Location]],{",",".","(",")","/"},_xlfn.LAMBDA(_xlpm.txt,_xlpm.delim,SUBSTITUTE(_xlpm.txt,_xlpm.delim," "))))&amp;" "</f>
        <v xml:space="preserve"> hyötyvoimalaitos </v>
      </c>
      <c r="D68" s="22" t="s">
        <v>3065</v>
      </c>
      <c r="E68" s="1">
        <v>0</v>
      </c>
      <c r="F68" s="1">
        <v>7</v>
      </c>
      <c r="G68" s="1">
        <v>0</v>
      </c>
      <c r="H68" s="1">
        <v>7</v>
      </c>
      <c r="J68" s="1" t="s">
        <v>1023</v>
      </c>
      <c r="L68" s="1" t="str" cm="1">
        <f t="array" ref="L68">_xlfn.XLOOKUP(TRUE,ISNUMBER(SEARCH(" "&amp;Municipality[Municipality]&amp;" ",El_unit[[#This Row],[Info sting]])),Municipality[Municipality],"")</f>
        <v/>
      </c>
      <c r="M68" s="1" t="str" cm="1">
        <f t="array" ref="M68">IF(El_unit[[#This Row],[Exact]]&lt;&gt;"","",_xlfn.XLOOKUP(TRUE,ISNUMBER(SEARCH(" "&amp;Municipality[Municipality]&amp;"n ",El_unit[[#This Row],[Info sting]])),Municipality[Municipality],""))</f>
        <v/>
      </c>
      <c r="N68" s="1" t="s">
        <v>924</v>
      </c>
      <c r="O68" s="35" t="s">
        <v>3170</v>
      </c>
      <c r="Q68" s="1" t="str">
        <f>_xlfn.TEXTJOIN("",TRUE,El_unit[[#This Row],[Exact]],El_unit[[#This Row],[Exact+n]],El_unit[[#This Row],[Copilot]])</f>
        <v>Kotka</v>
      </c>
    </row>
    <row r="69" spans="1:17">
      <c r="A69" s="54" t="s">
        <v>906</v>
      </c>
      <c r="B69" s="22" t="s">
        <v>972</v>
      </c>
      <c r="C69" s="107" t="str" cm="1">
        <f t="array" ref="C69">" "&amp;LOWER(_xlfn.REDUCE(El_unit[[#This Row],[Location]],{",",".","(",")","/"},_xlfn.LAMBDA(_xlpm.txt,_xlpm.delim,SUBSTITUTE(_xlpm.txt,_xlpm.delim," "))))&amp;" "</f>
        <v xml:space="preserve"> metsä board  kyron tehdasalue hämeenkyrö </v>
      </c>
      <c r="D69" s="22" t="s">
        <v>3065</v>
      </c>
      <c r="E69" s="1">
        <v>0</v>
      </c>
      <c r="F69" s="1">
        <v>20</v>
      </c>
      <c r="G69" s="1">
        <v>0</v>
      </c>
      <c r="H69" s="1">
        <v>20</v>
      </c>
      <c r="I69" s="1" t="s">
        <v>1022</v>
      </c>
      <c r="J69" s="1" t="s">
        <v>1023</v>
      </c>
      <c r="L69" s="1" t="str" cm="1">
        <f t="array" ref="L69">_xlfn.XLOOKUP(TRUE,ISNUMBER(SEARCH(" "&amp;Municipality[Municipality]&amp;" ",El_unit[[#This Row],[Info sting]])),Municipality[Municipality],"")</f>
        <v>Hämeenkyrö</v>
      </c>
      <c r="M69" s="1" t="str" cm="1">
        <f t="array" ref="M69">IF(El_unit[[#This Row],[Exact]]&lt;&gt;"","",_xlfn.XLOOKUP(TRUE,ISNUMBER(SEARCH(" "&amp;Municipality[Municipality]&amp;"n ",El_unit[[#This Row],[Info sting]])),Municipality[Municipality],""))</f>
        <v/>
      </c>
      <c r="O69" s="35"/>
      <c r="Q69" s="1" t="str">
        <f>_xlfn.TEXTJOIN("",TRUE,El_unit[[#This Row],[Exact]],El_unit[[#This Row],[Exact+n]],El_unit[[#This Row],[Copilot]])</f>
        <v>Hämeenkyrö</v>
      </c>
    </row>
    <row r="70" spans="1:17">
      <c r="A70" s="54" t="s">
        <v>211</v>
      </c>
      <c r="B70" s="22" t="s">
        <v>212</v>
      </c>
      <c r="C70" s="107" t="str" cm="1">
        <f t="array" ref="C70">" "&amp;LOWER(_xlfn.REDUCE(El_unit[[#This Row],[Location]],{",",".","(",")","/"},_xlfn.LAMBDA(_xlpm.txt,_xlpm.delim,SUBSTITUTE(_xlpm.txt,_xlpm.delim," "))))&amp;" "</f>
        <v xml:space="preserve"> kyröskoski </v>
      </c>
      <c r="D70" s="22" t="s">
        <v>3064</v>
      </c>
      <c r="E70" s="1">
        <v>12.9</v>
      </c>
      <c r="F70" s="1">
        <v>0</v>
      </c>
      <c r="G70" s="1">
        <v>0</v>
      </c>
      <c r="H70" s="1">
        <v>12.9</v>
      </c>
      <c r="L70" s="1" t="str" cm="1">
        <f t="array" ref="L70">_xlfn.XLOOKUP(TRUE,ISNUMBER(SEARCH(" "&amp;Municipality[Municipality]&amp;" ",El_unit[[#This Row],[Info sting]])),Municipality[Municipality],"")</f>
        <v/>
      </c>
      <c r="M70" s="1" t="str" cm="1">
        <f t="array" ref="M70">IF(El_unit[[#This Row],[Exact]]&lt;&gt;"","",_xlfn.XLOOKUP(TRUE,ISNUMBER(SEARCH(" "&amp;Municipality[Municipality]&amp;"n ",El_unit[[#This Row],[Info sting]])),Municipality[Municipality],""))</f>
        <v/>
      </c>
      <c r="N70" s="1" t="s">
        <v>2797</v>
      </c>
      <c r="O70" s="35"/>
      <c r="P70" s="1" t="s">
        <v>3079</v>
      </c>
      <c r="Q70" s="1" t="str">
        <f>_xlfn.TEXTJOIN("",TRUE,El_unit[[#This Row],[Exact]],El_unit[[#This Row],[Exact+n]],El_unit[[#This Row],[Copilot]])</f>
        <v>Hämeenkyrö</v>
      </c>
    </row>
    <row r="71" spans="1:17">
      <c r="A71" s="54" t="s">
        <v>1039</v>
      </c>
      <c r="B71" s="22" t="s">
        <v>1039</v>
      </c>
      <c r="C71" s="107" t="str" cm="1">
        <f t="array" ref="C71">" "&amp;LOWER(_xlfn.REDUCE(El_unit[[#This Row],[Location]],{",",".","(",")","/"},_xlfn.LAMBDA(_xlpm.txt,_xlpm.delim,SUBSTITUTE(_xlpm.txt,_xlpm.delim," "))))&amp;" "</f>
        <v xml:space="preserve"> hämeenlinna </v>
      </c>
      <c r="D71" s="22" t="s">
        <v>3067</v>
      </c>
      <c r="E71" s="1">
        <v>0</v>
      </c>
      <c r="F71" s="1">
        <v>0</v>
      </c>
      <c r="G71" s="1">
        <v>65</v>
      </c>
      <c r="H71" s="1">
        <v>65</v>
      </c>
      <c r="I71" s="1" t="s">
        <v>1022</v>
      </c>
      <c r="J71" s="1" t="s">
        <v>1015</v>
      </c>
      <c r="K71" s="1" t="s">
        <v>1023</v>
      </c>
      <c r="L71" s="1" t="str" cm="1">
        <f t="array" ref="L71">_xlfn.XLOOKUP(TRUE,ISNUMBER(SEARCH(" "&amp;Municipality[Municipality]&amp;" ",El_unit[[#This Row],[Info sting]])),Municipality[Municipality],"")</f>
        <v>Hämeenlinna</v>
      </c>
      <c r="M71" s="1" t="str" cm="1">
        <f t="array" ref="M71">IF(El_unit[[#This Row],[Exact]]&lt;&gt;"","",_xlfn.XLOOKUP(TRUE,ISNUMBER(SEARCH(" "&amp;Municipality[Municipality]&amp;"n ",El_unit[[#This Row],[Info sting]])),Municipality[Municipality],""))</f>
        <v/>
      </c>
      <c r="O71" s="35"/>
      <c r="Q71" s="1" t="str">
        <f>_xlfn.TEXTJOIN("",TRUE,El_unit[[#This Row],[Exact]],El_unit[[#This Row],[Exact+n]],El_unit[[#This Row],[Copilot]])</f>
        <v>Hämeenlinna</v>
      </c>
    </row>
    <row r="72" spans="1:17">
      <c r="A72" s="54" t="s">
        <v>440</v>
      </c>
      <c r="B72" s="22" t="s">
        <v>681</v>
      </c>
      <c r="C72" s="107" t="str" cm="1">
        <f t="array" ref="C72">" "&amp;LOWER(_xlfn.REDUCE(El_unit[[#This Row],[Location]],{",",".","(",")","/"},_xlfn.LAMBDA(_xlpm.txt,_xlpm.delim,SUBSTITUTE(_xlpm.txt,_xlpm.delim," "))))&amp;" "</f>
        <v xml:space="preserve"> högsara  kemiönsaari </v>
      </c>
      <c r="D72" s="22" t="s">
        <v>3066</v>
      </c>
      <c r="E72" s="1">
        <v>6</v>
      </c>
      <c r="F72" s="1">
        <v>0</v>
      </c>
      <c r="G72" s="1">
        <v>0</v>
      </c>
      <c r="H72" s="1">
        <v>6</v>
      </c>
      <c r="L72" s="1" t="str" cm="1">
        <f t="array" ref="L72">_xlfn.XLOOKUP(TRUE,ISNUMBER(SEARCH(" "&amp;Municipality[Municipality]&amp;" ",El_unit[[#This Row],[Info sting]])),Municipality[Municipality],"")</f>
        <v/>
      </c>
      <c r="M72" s="1" t="str" cm="1">
        <f t="array" ref="M72">IF(El_unit[[#This Row],[Exact]]&lt;&gt;"","",_xlfn.XLOOKUP(TRUE,ISNUMBER(SEARCH(" "&amp;Municipality[Municipality]&amp;"n ",El_unit[[#This Row],[Info sting]])),Municipality[Municipality],""))</f>
        <v/>
      </c>
      <c r="N72" s="1" t="s">
        <v>2500</v>
      </c>
      <c r="O72" s="35" t="s">
        <v>3145</v>
      </c>
      <c r="P72" s="1" t="s">
        <v>3146</v>
      </c>
      <c r="Q72" s="1" t="str">
        <f>_xlfn.TEXTJOIN("",TRUE,El_unit[[#This Row],[Exact]],El_unit[[#This Row],[Exact+n]],El_unit[[#This Row],[Copilot]])</f>
        <v>Dragsfjärd</v>
      </c>
    </row>
    <row r="73" spans="1:17">
      <c r="A73" s="54" t="s">
        <v>441</v>
      </c>
      <c r="B73" s="22" t="s">
        <v>682</v>
      </c>
      <c r="C73" s="107" t="str" cm="1">
        <f t="array" ref="C73">" "&amp;LOWER(_xlfn.REDUCE(El_unit[[#This Row],[Location]],{",",".","(",")","/"},_xlfn.LAMBDA(_xlpm.txt,_xlpm.delim,SUBSTITUTE(_xlpm.txt,_xlpm.delim," "))))&amp;" "</f>
        <v xml:space="preserve"> ii  kuivaniemi tuulivoima </v>
      </c>
      <c r="D73" s="22" t="s">
        <v>3066</v>
      </c>
      <c r="E73" s="1">
        <v>7</v>
      </c>
      <c r="F73" s="1">
        <v>0</v>
      </c>
      <c r="G73" s="1">
        <v>0</v>
      </c>
      <c r="H73" s="1">
        <v>7</v>
      </c>
      <c r="L73" s="1" t="str" cm="1">
        <f t="array" ref="L73">_xlfn.XLOOKUP(TRUE,ISNUMBER(SEARCH(" "&amp;Municipality[Municipality]&amp;" ",El_unit[[#This Row],[Info sting]])),Municipality[Municipality],"")</f>
        <v>Ii</v>
      </c>
      <c r="M73" s="1" t="str" cm="1">
        <f t="array" ref="M73">IF(El_unit[[#This Row],[Exact]]&lt;&gt;"","",_xlfn.XLOOKUP(TRUE,ISNUMBER(SEARCH(" "&amp;Municipality[Municipality]&amp;"n ",El_unit[[#This Row],[Info sting]])),Municipality[Municipality],""))</f>
        <v/>
      </c>
      <c r="O73" s="35"/>
      <c r="Q73" s="1" t="str">
        <f>_xlfn.TEXTJOIN("",TRUE,El_unit[[#This Row],[Exact]],El_unit[[#This Row],[Exact+n]],El_unit[[#This Row],[Copilot]])</f>
        <v>Ii</v>
      </c>
    </row>
    <row r="74" spans="1:17">
      <c r="A74" s="54" t="s">
        <v>442</v>
      </c>
      <c r="B74" s="22" t="s">
        <v>683</v>
      </c>
      <c r="C74" s="107" t="str" cm="1">
        <f t="array" ref="C74">" "&amp;LOWER(_xlfn.REDUCE(El_unit[[#This Row],[Location]],{",",".","(",")","/"},_xlfn.LAMBDA(_xlpm.txt,_xlpm.delim,SUBSTITUTE(_xlpm.txt,_xlpm.delim," "))))&amp;" "</f>
        <v xml:space="preserve"> ii olhava </v>
      </c>
      <c r="D74" s="22" t="s">
        <v>3066</v>
      </c>
      <c r="E74" s="1">
        <v>33.9</v>
      </c>
      <c r="F74" s="1">
        <v>0</v>
      </c>
      <c r="G74" s="1">
        <v>0</v>
      </c>
      <c r="H74" s="1">
        <v>33.9</v>
      </c>
      <c r="L74" s="1" t="str" cm="1">
        <f t="array" ref="L74">_xlfn.XLOOKUP(TRUE,ISNUMBER(SEARCH(" "&amp;Municipality[Municipality]&amp;" ",El_unit[[#This Row],[Info sting]])),Municipality[Municipality],"")</f>
        <v>Ii</v>
      </c>
      <c r="M74" s="1" t="str" cm="1">
        <f t="array" ref="M74">IF(El_unit[[#This Row],[Exact]]&lt;&gt;"","",_xlfn.XLOOKUP(TRUE,ISNUMBER(SEARCH(" "&amp;Municipality[Municipality]&amp;"n ",El_unit[[#This Row],[Info sting]])),Municipality[Municipality],""))</f>
        <v/>
      </c>
      <c r="O74" s="35"/>
      <c r="Q74" s="1" t="str">
        <f>_xlfn.TEXTJOIN("",TRUE,El_unit[[#This Row],[Exact]],El_unit[[#This Row],[Exact+n]],El_unit[[#This Row],[Copilot]])</f>
        <v>Ii</v>
      </c>
    </row>
    <row r="75" spans="1:17">
      <c r="A75" s="54" t="s">
        <v>443</v>
      </c>
      <c r="B75" s="22" t="s">
        <v>684</v>
      </c>
      <c r="C75" s="107" t="str" cm="1">
        <f t="array" ref="C75">" "&amp;LOWER(_xlfn.REDUCE(El_unit[[#This Row],[Location]],{",",".","(",")","/"},_xlfn.LAMBDA(_xlpm.txt,_xlpm.delim,SUBSTITUTE(_xlpm.txt,_xlpm.delim," "))))&amp;" "</f>
        <v xml:space="preserve"> viinamäki ii </v>
      </c>
      <c r="D75" s="22" t="s">
        <v>3066</v>
      </c>
      <c r="E75" s="1">
        <v>21</v>
      </c>
      <c r="F75" s="1">
        <v>0</v>
      </c>
      <c r="G75" s="1">
        <v>0</v>
      </c>
      <c r="H75" s="1">
        <v>21</v>
      </c>
      <c r="L75" s="1" t="str" cm="1">
        <f t="array" ref="L75">_xlfn.XLOOKUP(TRUE,ISNUMBER(SEARCH(" "&amp;Municipality[Municipality]&amp;" ",El_unit[[#This Row],[Info sting]])),Municipality[Municipality],"")</f>
        <v>Ii</v>
      </c>
      <c r="M75" s="1" t="str" cm="1">
        <f t="array" ref="M75">IF(El_unit[[#This Row],[Exact]]&lt;&gt;"","",_xlfn.XLOOKUP(TRUE,ISNUMBER(SEARCH(" "&amp;Municipality[Municipality]&amp;"n ",El_unit[[#This Row],[Info sting]])),Municipality[Municipality],""))</f>
        <v/>
      </c>
      <c r="O75" s="35"/>
      <c r="Q75" s="1" t="str">
        <f>_xlfn.TEXTJOIN("",TRUE,El_unit[[#This Row],[Exact]],El_unit[[#This Row],[Exact+n]],El_unit[[#This Row],[Copilot]])</f>
        <v>Ii</v>
      </c>
    </row>
    <row r="76" spans="1:17">
      <c r="A76" s="54" t="s">
        <v>1040</v>
      </c>
      <c r="B76" s="22" t="s">
        <v>1092</v>
      </c>
      <c r="C76" s="107" t="str" cm="1">
        <f t="array" ref="C76">" "&amp;LOWER(_xlfn.REDUCE(El_unit[[#This Row],[Location]],{",",".","(",")","/"},_xlfn.LAMBDA(_xlpm.txt,_xlpm.delim,SUBSTITUTE(_xlpm.txt,_xlpm.delim," "))))&amp;" "</f>
        <v xml:space="preserve"> iisalmi  energiakuja 3 </v>
      </c>
      <c r="D76" s="22" t="s">
        <v>3067</v>
      </c>
      <c r="E76" s="1">
        <v>0</v>
      </c>
      <c r="F76" s="1">
        <v>0</v>
      </c>
      <c r="G76" s="1">
        <v>15</v>
      </c>
      <c r="H76" s="1">
        <v>15</v>
      </c>
      <c r="I76" s="1" t="s">
        <v>1015</v>
      </c>
      <c r="J76" s="1" t="s">
        <v>1022</v>
      </c>
      <c r="K76" s="1" t="s">
        <v>1016</v>
      </c>
      <c r="L76" s="1" t="str" cm="1">
        <f t="array" ref="L76">_xlfn.XLOOKUP(TRUE,ISNUMBER(SEARCH(" "&amp;Municipality[Municipality]&amp;" ",El_unit[[#This Row],[Info sting]])),Municipality[Municipality],"")</f>
        <v>Iisalmi</v>
      </c>
      <c r="M76" s="1" t="str" cm="1">
        <f t="array" ref="M76">IF(El_unit[[#This Row],[Exact]]&lt;&gt;"","",_xlfn.XLOOKUP(TRUE,ISNUMBER(SEARCH(" "&amp;Municipality[Municipality]&amp;"n ",El_unit[[#This Row],[Info sting]])),Municipality[Municipality],""))</f>
        <v/>
      </c>
      <c r="O76" s="35"/>
      <c r="Q76" s="1" t="str">
        <f>_xlfn.TEXTJOIN("",TRUE,El_unit[[#This Row],[Exact]],El_unit[[#This Row],[Exact+n]],El_unit[[#This Row],[Copilot]])</f>
        <v>Iisalmi</v>
      </c>
    </row>
    <row r="77" spans="1:17">
      <c r="A77" s="54" t="s">
        <v>907</v>
      </c>
      <c r="B77" s="22" t="s">
        <v>973</v>
      </c>
      <c r="C77" s="107" t="str" cm="1">
        <f t="array" ref="C77">" "&amp;LOWER(_xlfn.REDUCE(El_unit[[#This Row],[Location]],{",",".","(",")","/"},_xlfn.LAMBDA(_xlpm.txt,_xlpm.delim,SUBSTITUTE(_xlpm.txt,_xlpm.delim," "))))&amp;" "</f>
        <v xml:space="preserve"> ikaalinen  moottorivoimalaitos </v>
      </c>
      <c r="D77" s="22" t="s">
        <v>3065</v>
      </c>
      <c r="E77" s="1">
        <v>0</v>
      </c>
      <c r="F77" s="1">
        <v>0</v>
      </c>
      <c r="G77" s="1">
        <v>6</v>
      </c>
      <c r="H77" s="1">
        <v>6</v>
      </c>
      <c r="I77" s="1" t="s">
        <v>1023</v>
      </c>
      <c r="L77" s="1" t="str" cm="1">
        <f t="array" ref="L77">_xlfn.XLOOKUP(TRUE,ISNUMBER(SEARCH(" "&amp;Municipality[Municipality]&amp;" ",El_unit[[#This Row],[Info sting]])),Municipality[Municipality],"")</f>
        <v>Ikaalinen</v>
      </c>
      <c r="M77" s="1" t="str" cm="1">
        <f t="array" ref="M77">IF(El_unit[[#This Row],[Exact]]&lt;&gt;"","",_xlfn.XLOOKUP(TRUE,ISNUMBER(SEARCH(" "&amp;Municipality[Municipality]&amp;"n ",El_unit[[#This Row],[Info sting]])),Municipality[Municipality],""))</f>
        <v/>
      </c>
      <c r="O77" s="35"/>
      <c r="Q77" s="1" t="str">
        <f>_xlfn.TEXTJOIN("",TRUE,El_unit[[#This Row],[Exact]],El_unit[[#This Row],[Exact+n]],El_unit[[#This Row],[Copilot]])</f>
        <v>Ikaalinen</v>
      </c>
    </row>
    <row r="78" spans="1:17">
      <c r="A78" s="54" t="s">
        <v>444</v>
      </c>
      <c r="B78" s="22" t="s">
        <v>444</v>
      </c>
      <c r="C78" s="107" t="str" cm="1">
        <f t="array" ref="C78">" "&amp;LOWER(_xlfn.REDUCE(El_unit[[#This Row],[Location]],{",",".","(",")","/"},_xlfn.LAMBDA(_xlpm.txt,_xlpm.delim,SUBSTITUTE(_xlpm.txt,_xlpm.delim," "))))&amp;" "</f>
        <v xml:space="preserve"> illevaara </v>
      </c>
      <c r="D78" s="22" t="s">
        <v>3066</v>
      </c>
      <c r="E78" s="1">
        <v>29.9</v>
      </c>
      <c r="F78" s="1">
        <v>0</v>
      </c>
      <c r="G78" s="1">
        <v>0</v>
      </c>
      <c r="H78" s="1">
        <v>29.9</v>
      </c>
      <c r="L78" s="1" t="str" cm="1">
        <f t="array" ref="L78">_xlfn.XLOOKUP(TRUE,ISNUMBER(SEARCH(" "&amp;Municipality[Municipality]&amp;" ",El_unit[[#This Row],[Info sting]])),Municipality[Municipality],"")</f>
        <v/>
      </c>
      <c r="M78" s="1" t="str" cm="1">
        <f t="array" ref="M78">IF(El_unit[[#This Row],[Exact]]&lt;&gt;"","",_xlfn.XLOOKUP(TRUE,ISNUMBER(SEARCH(" "&amp;Municipality[Municipality]&amp;"n ",El_unit[[#This Row],[Info sting]])),Municipality[Municipality],""))</f>
        <v/>
      </c>
      <c r="N78" s="1" t="s">
        <v>2538</v>
      </c>
      <c r="O78" s="35" t="s">
        <v>3116</v>
      </c>
      <c r="Q78" s="1" t="str">
        <f>_xlfn.TEXTJOIN("",TRUE,El_unit[[#This Row],[Exact]],El_unit[[#This Row],[Exact+n]],El_unit[[#This Row],[Copilot]])</f>
        <v>Hyrynsalmi</v>
      </c>
    </row>
    <row r="79" spans="1:17">
      <c r="A79" s="54" t="s">
        <v>445</v>
      </c>
      <c r="B79" s="22" t="s">
        <v>685</v>
      </c>
      <c r="C79" s="107" t="str" cm="1">
        <f t="array" ref="C79">" "&amp;LOWER(_xlfn.REDUCE(El_unit[[#This Row],[Location]],{",",".","(",")","/"},_xlfn.LAMBDA(_xlpm.txt,_xlpm.delim,SUBSTITUTE(_xlpm.txt,_xlpm.delim," "))))&amp;" "</f>
        <v xml:space="preserve"> voimalaitos 1 2 3 </v>
      </c>
      <c r="D79" s="22" t="s">
        <v>3066</v>
      </c>
      <c r="E79" s="1">
        <v>10.5</v>
      </c>
      <c r="F79" s="1">
        <v>0</v>
      </c>
      <c r="G79" s="1">
        <v>0</v>
      </c>
      <c r="H79" s="1">
        <v>10.5</v>
      </c>
      <c r="L79" s="1" t="str" cm="1">
        <f t="array" ref="L79">_xlfn.XLOOKUP(TRUE,ISNUMBER(SEARCH(" "&amp;Municipality[Municipality]&amp;" ",El_unit[[#This Row],[Info sting]])),Municipality[Municipality],"")</f>
        <v/>
      </c>
      <c r="M79" s="1" t="str" cm="1">
        <f t="array" ref="M79">IF(El_unit[[#This Row],[Exact]]&lt;&gt;"","",_xlfn.XLOOKUP(TRUE,ISNUMBER(SEARCH(" "&amp;Municipality[Municipality]&amp;"n ",El_unit[[#This Row],[Info sting]])),Municipality[Municipality],""))</f>
        <v/>
      </c>
      <c r="N79" s="1" t="s">
        <v>2648</v>
      </c>
      <c r="O79" s="35"/>
      <c r="P79" s="1" t="s">
        <v>3080</v>
      </c>
      <c r="Q79" s="1" t="str">
        <f>_xlfn.TEXTJOIN("",TRUE,El_unit[[#This Row],[Exact]],El_unit[[#This Row],[Exact+n]],El_unit[[#This Row],[Copilot]])</f>
        <v>Leppävirta</v>
      </c>
    </row>
    <row r="80" spans="1:17">
      <c r="A80" s="54" t="s">
        <v>908</v>
      </c>
      <c r="B80" s="22" t="s">
        <v>974</v>
      </c>
      <c r="C80" s="107" t="str" cm="1">
        <f t="array" ref="C80">" "&amp;LOWER(_xlfn.REDUCE(El_unit[[#This Row],[Location]],{",",".","(",")","/"},_xlfn.LAMBDA(_xlpm.txt,_xlpm.delim,SUBSTITUTE(_xlpm.txt,_xlpm.delim," "))))&amp;" "</f>
        <v xml:space="preserve"> ilomantsi </v>
      </c>
      <c r="D80" s="22" t="s">
        <v>3065</v>
      </c>
      <c r="E80" s="1">
        <v>0</v>
      </c>
      <c r="F80" s="1">
        <v>2.8</v>
      </c>
      <c r="G80" s="1">
        <v>0</v>
      </c>
      <c r="H80" s="1">
        <v>2.8</v>
      </c>
      <c r="I80" s="1" t="s">
        <v>1015</v>
      </c>
      <c r="J80" s="1" t="s">
        <v>1020</v>
      </c>
      <c r="K80" s="1" t="s">
        <v>1022</v>
      </c>
      <c r="L80" s="1" t="str" cm="1">
        <f t="array" ref="L80">_xlfn.XLOOKUP(TRUE,ISNUMBER(SEARCH(" "&amp;Municipality[Municipality]&amp;" ",El_unit[[#This Row],[Info sting]])),Municipality[Municipality],"")</f>
        <v>Ilomantsi</v>
      </c>
      <c r="M80" s="1" t="str" cm="1">
        <f t="array" ref="M80">IF(El_unit[[#This Row],[Exact]]&lt;&gt;"","",_xlfn.XLOOKUP(TRUE,ISNUMBER(SEARCH(" "&amp;Municipality[Municipality]&amp;"n ",El_unit[[#This Row],[Info sting]])),Municipality[Municipality],""))</f>
        <v/>
      </c>
      <c r="O80" s="35"/>
      <c r="Q80" s="1" t="str">
        <f>_xlfn.TEXTJOIN("",TRUE,El_unit[[#This Row],[Exact]],El_unit[[#This Row],[Exact+n]],El_unit[[#This Row],[Copilot]])</f>
        <v>Ilomantsi</v>
      </c>
    </row>
    <row r="81" spans="1:17">
      <c r="A81" s="54" t="s">
        <v>213</v>
      </c>
      <c r="B81" s="22" t="s">
        <v>213</v>
      </c>
      <c r="C81" s="107" t="str" cm="1">
        <f t="array" ref="C81">" "&amp;LOWER(_xlfn.REDUCE(El_unit[[#This Row],[Location]],{",",".","(",")","/"},_xlfn.LAMBDA(_xlpm.txt,_xlpm.delim,SUBSTITUTE(_xlpm.txt,_xlpm.delim," "))))&amp;" "</f>
        <v xml:space="preserve"> imatra </v>
      </c>
      <c r="D81" s="22" t="s">
        <v>3064</v>
      </c>
      <c r="E81" s="1">
        <v>192</v>
      </c>
      <c r="F81" s="1">
        <v>0</v>
      </c>
      <c r="G81" s="1">
        <v>0</v>
      </c>
      <c r="H81" s="1">
        <v>192</v>
      </c>
      <c r="L81" s="1" t="str" cm="1">
        <f t="array" ref="L81">_xlfn.XLOOKUP(TRUE,ISNUMBER(SEARCH(" "&amp;Municipality[Municipality]&amp;" ",El_unit[[#This Row],[Info sting]])),Municipality[Municipality],"")</f>
        <v>Imatra</v>
      </c>
      <c r="M81" s="1" t="str" cm="1">
        <f t="array" ref="M81">IF(El_unit[[#This Row],[Exact]]&lt;&gt;"","",_xlfn.XLOOKUP(TRUE,ISNUMBER(SEARCH(" "&amp;Municipality[Municipality]&amp;"n ",El_unit[[#This Row],[Info sting]])),Municipality[Municipality],""))</f>
        <v/>
      </c>
      <c r="O81" s="35"/>
      <c r="Q81" s="1" t="str">
        <f>_xlfn.TEXTJOIN("",TRUE,El_unit[[#This Row],[Exact]],El_unit[[#This Row],[Exact+n]],El_unit[[#This Row],[Copilot]])</f>
        <v>Imatra</v>
      </c>
    </row>
    <row r="82" spans="1:17">
      <c r="A82" s="54" t="s">
        <v>214</v>
      </c>
      <c r="B82" s="22" t="s">
        <v>215</v>
      </c>
      <c r="C82" s="107" t="str" cm="1">
        <f t="array" ref="C82">" "&amp;LOWER(_xlfn.REDUCE(El_unit[[#This Row],[Location]],{",",".","(",")","/"},_xlfn.LAMBDA(_xlpm.txt,_xlpm.delim,SUBSTITUTE(_xlpm.txt,_xlpm.delim," "))))&amp;" "</f>
        <v xml:space="preserve"> inkeroinen </v>
      </c>
      <c r="D82" s="22" t="s">
        <v>3064</v>
      </c>
      <c r="E82" s="1">
        <v>16.3</v>
      </c>
      <c r="F82" s="1">
        <v>0</v>
      </c>
      <c r="G82" s="1">
        <v>0</v>
      </c>
      <c r="H82" s="1">
        <v>16.3</v>
      </c>
      <c r="L82" s="1" t="str" cm="1">
        <f t="array" ref="L82">_xlfn.XLOOKUP(TRUE,ISNUMBER(SEARCH(" "&amp;Municipality[Municipality]&amp;" ",El_unit[[#This Row],[Info sting]])),Municipality[Municipality],"")</f>
        <v/>
      </c>
      <c r="M82" s="1" t="str" cm="1">
        <f t="array" ref="M82">IF(El_unit[[#This Row],[Exact]]&lt;&gt;"","",_xlfn.XLOOKUP(TRUE,ISNUMBER(SEARCH(" "&amp;Municipality[Municipality]&amp;"n ",El_unit[[#This Row],[Info sting]])),Municipality[Municipality],""))</f>
        <v/>
      </c>
      <c r="N82" s="1" t="s">
        <v>184</v>
      </c>
      <c r="O82" s="35" t="s">
        <v>3130</v>
      </c>
      <c r="P82" s="1" t="s">
        <v>3131</v>
      </c>
      <c r="Q82" s="1" t="str">
        <f>_xlfn.TEXTJOIN("",TRUE,El_unit[[#This Row],[Exact]],El_unit[[#This Row],[Exact+n]],El_unit[[#This Row],[Copilot]])</f>
        <v>Anjalankoski</v>
      </c>
    </row>
    <row r="83" spans="1:17">
      <c r="A83" s="54" t="s">
        <v>446</v>
      </c>
      <c r="B83" s="22" t="s">
        <v>686</v>
      </c>
      <c r="C83" s="107" t="str" cm="1">
        <f t="array" ref="C83">" "&amp;LOWER(_xlfn.REDUCE(El_unit[[#This Row],[Location]],{",",".","(",")","/"},_xlfn.LAMBDA(_xlpm.txt,_xlpm.delim,SUBSTITUTE(_xlpm.txt,_xlpm.delim," "))))&amp;" "</f>
        <v xml:space="preserve"> inkoo barösund tv </v>
      </c>
      <c r="D83" s="22" t="s">
        <v>3066</v>
      </c>
      <c r="E83" s="1">
        <v>2</v>
      </c>
      <c r="F83" s="1">
        <v>0</v>
      </c>
      <c r="G83" s="1">
        <v>0</v>
      </c>
      <c r="H83" s="1">
        <v>2</v>
      </c>
      <c r="L83" s="1" t="str" cm="1">
        <f t="array" ref="L83">_xlfn.XLOOKUP(TRUE,ISNUMBER(SEARCH(" "&amp;Municipality[Municipality]&amp;" ",El_unit[[#This Row],[Info sting]])),Municipality[Municipality],"")</f>
        <v>Inkoo</v>
      </c>
      <c r="M83" s="1" t="str" cm="1">
        <f t="array" ref="M83">IF(El_unit[[#This Row],[Exact]]&lt;&gt;"","",_xlfn.XLOOKUP(TRUE,ISNUMBER(SEARCH(" "&amp;Municipality[Municipality]&amp;"n ",El_unit[[#This Row],[Info sting]])),Municipality[Municipality],""))</f>
        <v/>
      </c>
      <c r="O83" s="35"/>
      <c r="Q83" s="1" t="str">
        <f>_xlfn.TEXTJOIN("",TRUE,El_unit[[#This Row],[Exact]],El_unit[[#This Row],[Exact+n]],El_unit[[#This Row],[Copilot]])</f>
        <v>Inkoo</v>
      </c>
    </row>
    <row r="84" spans="1:17">
      <c r="A84" s="54" t="s">
        <v>447</v>
      </c>
      <c r="B84" s="22" t="s">
        <v>687</v>
      </c>
      <c r="C84" s="107" t="str" cm="1">
        <f t="array" ref="C84">" "&amp;LOWER(_xlfn.REDUCE(El_unit[[#This Row],[Location]],{",",".","(",")","/"},_xlfn.LAMBDA(_xlpm.txt,_xlpm.delim,SUBSTITUTE(_xlpm.txt,_xlpm.delim," "))))&amp;" "</f>
        <v xml:space="preserve"> mukkulankatu 25  15240 lahti </v>
      </c>
      <c r="D84" s="22" t="s">
        <v>163</v>
      </c>
      <c r="E84" s="1">
        <v>2.31</v>
      </c>
      <c r="F84" s="1">
        <v>0</v>
      </c>
      <c r="G84" s="1">
        <v>0</v>
      </c>
      <c r="H84" s="1">
        <v>2.31</v>
      </c>
      <c r="L84" s="1" t="str" cm="1">
        <f t="array" ref="L84">_xlfn.XLOOKUP(TRUE,ISNUMBER(SEARCH(" "&amp;Municipality[Municipality]&amp;" ",El_unit[[#This Row],[Info sting]])),Municipality[Municipality],"")</f>
        <v>Lahti</v>
      </c>
      <c r="M84" s="1" t="str" cm="1">
        <f t="array" ref="M84">IF(El_unit[[#This Row],[Exact]]&lt;&gt;"","",_xlfn.XLOOKUP(TRUE,ISNUMBER(SEARCH(" "&amp;Municipality[Municipality]&amp;"n ",El_unit[[#This Row],[Info sting]])),Municipality[Municipality],""))</f>
        <v/>
      </c>
      <c r="O84" s="35"/>
      <c r="Q84" s="1" t="str">
        <f>_xlfn.TEXTJOIN("",TRUE,El_unit[[#This Row],[Exact]],El_unit[[#This Row],[Exact+n]],El_unit[[#This Row],[Copilot]])</f>
        <v>Lahti</v>
      </c>
    </row>
    <row r="85" spans="1:17">
      <c r="A85" s="54" t="s">
        <v>216</v>
      </c>
      <c r="B85" s="22" t="s">
        <v>217</v>
      </c>
      <c r="C85" s="107" t="str" cm="1">
        <f t="array" ref="C85">" "&amp;LOWER(_xlfn.REDUCE(El_unit[[#This Row],[Location]],{",",".","(",")","/"},_xlfn.LAMBDA(_xlpm.txt,_xlpm.delim,SUBSTITUTE(_xlpm.txt,_xlpm.delim," "))))&amp;" "</f>
        <v xml:space="preserve"> isohaara </v>
      </c>
      <c r="D85" s="22" t="s">
        <v>3064</v>
      </c>
      <c r="E85" s="1">
        <v>106</v>
      </c>
      <c r="F85" s="1">
        <v>0</v>
      </c>
      <c r="G85" s="1">
        <v>0</v>
      </c>
      <c r="H85" s="1">
        <v>106</v>
      </c>
      <c r="L85" s="1" t="str" cm="1">
        <f t="array" ref="L85">_xlfn.XLOOKUP(TRUE,ISNUMBER(SEARCH(" "&amp;Municipality[Municipality]&amp;" ",El_unit[[#This Row],[Info sting]])),Municipality[Municipality],"")</f>
        <v/>
      </c>
      <c r="M85" s="1" t="str" cm="1">
        <f t="array" ref="M85">IF(El_unit[[#This Row],[Exact]]&lt;&gt;"","",_xlfn.XLOOKUP(TRUE,ISNUMBER(SEARCH(" "&amp;Municipality[Municipality]&amp;"n ",El_unit[[#This Row],[Info sting]])),Municipality[Municipality],""))</f>
        <v/>
      </c>
      <c r="N85" s="1" t="s">
        <v>3132</v>
      </c>
      <c r="O85" s="35" t="s">
        <v>3133</v>
      </c>
      <c r="Q85" s="1" t="str">
        <f>_xlfn.TEXTJOIN("",TRUE,El_unit[[#This Row],[Exact]],El_unit[[#This Row],[Exact+n]],El_unit[[#This Row],[Copilot]])</f>
        <v>Kemi; Keminmaa</v>
      </c>
    </row>
    <row r="86" spans="1:17">
      <c r="A86" s="54" t="s">
        <v>448</v>
      </c>
      <c r="B86" s="22" t="s">
        <v>688</v>
      </c>
      <c r="C86" s="107" t="str" cm="1">
        <f t="array" ref="C86">" "&amp;LOWER(_xlfn.REDUCE(El_unit[[#This Row],[Location]],{",",".","(",")","/"},_xlfn.LAMBDA(_xlpm.txt,_xlpm.delim,SUBSTITUTE(_xlpm.txt,_xlpm.delim," "))))&amp;" "</f>
        <v xml:space="preserve"> ii  pohjois pohjanmaa </v>
      </c>
      <c r="D86" s="22" t="s">
        <v>3066</v>
      </c>
      <c r="E86" s="1">
        <v>29.5</v>
      </c>
      <c r="F86" s="1">
        <v>0</v>
      </c>
      <c r="G86" s="1">
        <v>0</v>
      </c>
      <c r="H86" s="1">
        <v>29.5</v>
      </c>
      <c r="L86" s="1" t="str" cm="1">
        <f t="array" ref="L86">_xlfn.XLOOKUP(TRUE,ISNUMBER(SEARCH(" "&amp;Municipality[Municipality]&amp;" ",El_unit[[#This Row],[Info sting]])),Municipality[Municipality],"")</f>
        <v>Ii</v>
      </c>
      <c r="M86" s="1" t="str" cm="1">
        <f t="array" ref="M86">IF(El_unit[[#This Row],[Exact]]&lt;&gt;"","",_xlfn.XLOOKUP(TRUE,ISNUMBER(SEARCH(" "&amp;Municipality[Municipality]&amp;"n ",El_unit[[#This Row],[Info sting]])),Municipality[Municipality],""))</f>
        <v/>
      </c>
      <c r="O86" s="35"/>
      <c r="Q86" s="1" t="str">
        <f>_xlfn.TEXTJOIN("",TRUE,El_unit[[#This Row],[Exact]],El_unit[[#This Row],[Exact+n]],El_unit[[#This Row],[Copilot]])</f>
        <v>Ii</v>
      </c>
    </row>
    <row r="87" spans="1:17">
      <c r="A87" s="54" t="s">
        <v>449</v>
      </c>
      <c r="B87" s="22" t="s">
        <v>659</v>
      </c>
      <c r="C87" s="107" t="str" cm="1">
        <f t="array" ref="C87">" "&amp;LOWER(_xlfn.REDUCE(El_unit[[#This Row],[Location]],{",",".","(",")","/"},_xlfn.LAMBDA(_xlpm.txt,_xlpm.delim,SUBSTITUTE(_xlpm.txt,_xlpm.delim," "))))&amp;" "</f>
        <v xml:space="preserve"> västervik </v>
      </c>
      <c r="D87" s="22" t="s">
        <v>3066</v>
      </c>
      <c r="E87" s="1">
        <v>31</v>
      </c>
      <c r="F87" s="1">
        <v>0</v>
      </c>
      <c r="G87" s="1">
        <v>0</v>
      </c>
      <c r="H87" s="1">
        <v>31</v>
      </c>
      <c r="L87" s="1" t="str" cm="1">
        <f t="array" ref="L87">_xlfn.XLOOKUP(TRUE,ISNUMBER(SEARCH(" "&amp;Municipality[Municipality]&amp;" ",El_unit[[#This Row],[Info sting]])),Municipality[Municipality],"")</f>
        <v/>
      </c>
      <c r="M87" s="1" t="str" cm="1">
        <f t="array" ref="M87">IF(El_unit[[#This Row],[Exact]]&lt;&gt;"","",_xlfn.XLOOKUP(TRUE,ISNUMBER(SEARCH(" "&amp;Municipality[Municipality]&amp;"n ",El_unit[[#This Row],[Info sting]])),Municipality[Municipality],""))</f>
        <v/>
      </c>
      <c r="N87" s="1" t="s">
        <v>2781</v>
      </c>
      <c r="O87" s="35" t="s">
        <v>3147</v>
      </c>
      <c r="Q87" s="1" t="str">
        <f>_xlfn.TEXTJOIN("",TRUE,El_unit[[#This Row],[Exact]],El_unit[[#This Row],[Exact+n]],El_unit[[#This Row],[Copilot]])</f>
        <v>Isojoki</v>
      </c>
    </row>
    <row r="88" spans="1:17">
      <c r="A88" s="54" t="s">
        <v>450</v>
      </c>
      <c r="B88" s="22" t="s">
        <v>450</v>
      </c>
      <c r="C88" s="107" t="str" cm="1">
        <f t="array" ref="C88">" "&amp;LOWER(_xlfn.REDUCE(El_unit[[#This Row],[Location]],{",",".","(",")","/"},_xlfn.LAMBDA(_xlpm.txt,_xlpm.delim,SUBSTITUTE(_xlpm.txt,_xlpm.delim," "))))&amp;" "</f>
        <v xml:space="preserve"> isonevan tuulipuisto </v>
      </c>
      <c r="D88" s="22" t="s">
        <v>3066</v>
      </c>
      <c r="E88" s="1">
        <v>126</v>
      </c>
      <c r="F88" s="1">
        <v>0</v>
      </c>
      <c r="G88" s="1">
        <v>0</v>
      </c>
      <c r="H88" s="1">
        <v>126</v>
      </c>
      <c r="L88" s="1" t="str" cm="1">
        <f t="array" ref="L88">_xlfn.XLOOKUP(TRUE,ISNUMBER(SEARCH(" "&amp;Municipality[Municipality]&amp;" ",El_unit[[#This Row],[Info sting]])),Municipality[Municipality],"")</f>
        <v/>
      </c>
      <c r="M88" s="1" t="str" cm="1">
        <f t="array" ref="M88">IF(El_unit[[#This Row],[Exact]]&lt;&gt;"","",_xlfn.XLOOKUP(TRUE,ISNUMBER(SEARCH(" "&amp;Municipality[Municipality]&amp;"n ",El_unit[[#This Row],[Info sting]])),Municipality[Municipality],""))</f>
        <v/>
      </c>
      <c r="N88" s="1" t="s">
        <v>2772</v>
      </c>
      <c r="O88" s="35" t="s">
        <v>3117</v>
      </c>
      <c r="Q88" s="1" t="str">
        <f>_xlfn.TEXTJOIN("",TRUE,El_unit[[#This Row],[Exact]],El_unit[[#This Row],[Exact+n]],El_unit[[#This Row],[Copilot]])</f>
        <v>Siikajoki</v>
      </c>
    </row>
    <row r="89" spans="1:17">
      <c r="A89" s="54" t="s">
        <v>451</v>
      </c>
      <c r="B89" s="22" t="s">
        <v>689</v>
      </c>
      <c r="C89" s="107" t="str" cm="1">
        <f t="array" ref="C89">" "&amp;LOWER(_xlfn.REDUCE(El_unit[[#This Row],[Location]],{",",".","(",")","/"},_xlfn.LAMBDA(_xlpm.txt,_xlpm.delim,SUBSTITUTE(_xlpm.txt,_xlpm.delim," "))))&amp;" "</f>
        <v xml:space="preserve"> isonnevanmäki  kauhava </v>
      </c>
      <c r="D89" s="22" t="s">
        <v>3066</v>
      </c>
      <c r="E89" s="1">
        <v>2.5</v>
      </c>
      <c r="F89" s="1">
        <v>0</v>
      </c>
      <c r="G89" s="1">
        <v>0</v>
      </c>
      <c r="H89" s="1">
        <v>2.5</v>
      </c>
      <c r="L89" s="1" t="str" cm="1">
        <f t="array" ref="L89">_xlfn.XLOOKUP(TRUE,ISNUMBER(SEARCH(" "&amp;Municipality[Municipality]&amp;" ",El_unit[[#This Row],[Info sting]])),Municipality[Municipality],"")</f>
        <v>Kauhava</v>
      </c>
      <c r="M89" s="1" t="str" cm="1">
        <f t="array" ref="M89">IF(El_unit[[#This Row],[Exact]]&lt;&gt;"","",_xlfn.XLOOKUP(TRUE,ISNUMBER(SEARCH(" "&amp;Municipality[Municipality]&amp;"n ",El_unit[[#This Row],[Info sting]])),Municipality[Municipality],""))</f>
        <v/>
      </c>
      <c r="O89" s="35"/>
      <c r="Q89" s="1" t="str">
        <f>_xlfn.TEXTJOIN("",TRUE,El_unit[[#This Row],[Exact]],El_unit[[#This Row],[Exact+n]],El_unit[[#This Row],[Copilot]])</f>
        <v>Kauhava</v>
      </c>
    </row>
    <row r="90" spans="1:17">
      <c r="A90" s="54" t="s">
        <v>218</v>
      </c>
      <c r="B90" s="22" t="s">
        <v>219</v>
      </c>
      <c r="C90" s="107" t="str" cm="1">
        <f t="array" ref="C90">" "&amp;LOWER(_xlfn.REDUCE(El_unit[[#This Row],[Location]],{",",".","(",")","/"},_xlfn.LAMBDA(_xlpm.txt,_xlpm.delim,SUBSTITUTE(_xlpm.txt,_xlpm.delim," "))))&amp;" "</f>
        <v xml:space="preserve"> niiles  myllykyläntie 440  61300 kurikka </v>
      </c>
      <c r="D90" s="22" t="s">
        <v>3064</v>
      </c>
      <c r="E90" s="1">
        <v>1</v>
      </c>
      <c r="F90" s="1">
        <v>0</v>
      </c>
      <c r="G90" s="1">
        <v>0</v>
      </c>
      <c r="H90" s="1">
        <v>1</v>
      </c>
      <c r="L90" s="1" t="str" cm="1">
        <f t="array" ref="L90">_xlfn.XLOOKUP(TRUE,ISNUMBER(SEARCH(" "&amp;Municipality[Municipality]&amp;" ",El_unit[[#This Row],[Info sting]])),Municipality[Municipality],"")</f>
        <v>Kurikka</v>
      </c>
      <c r="M90" s="1" t="str" cm="1">
        <f t="array" ref="M90">IF(El_unit[[#This Row],[Exact]]&lt;&gt;"","",_xlfn.XLOOKUP(TRUE,ISNUMBER(SEARCH(" "&amp;Municipality[Municipality]&amp;"n ",El_unit[[#This Row],[Info sting]])),Municipality[Municipality],""))</f>
        <v/>
      </c>
      <c r="O90" s="35"/>
      <c r="Q90" s="1" t="str">
        <f>_xlfn.TEXTJOIN("",TRUE,El_unit[[#This Row],[Exact]],El_unit[[#This Row],[Exact+n]],El_unit[[#This Row],[Copilot]])</f>
        <v>Kurikka</v>
      </c>
    </row>
    <row r="91" spans="1:17">
      <c r="A91" s="54" t="s">
        <v>452</v>
      </c>
      <c r="B91" s="22" t="s">
        <v>452</v>
      </c>
      <c r="C91" s="107" t="str" cm="1">
        <f t="array" ref="C91">" "&amp;LOWER(_xlfn.REDUCE(El_unit[[#This Row],[Location]],{",",".","(",")","/"},_xlfn.LAMBDA(_xlpm.txt,_xlpm.delim,SUBSTITUTE(_xlpm.txt,_xlpm.delim," "))))&amp;" "</f>
        <v xml:space="preserve"> jeppo windfarm </v>
      </c>
      <c r="D91" s="22" t="s">
        <v>3066</v>
      </c>
      <c r="E91" s="1">
        <v>6.9</v>
      </c>
      <c r="F91" s="1">
        <v>0</v>
      </c>
      <c r="G91" s="1">
        <v>0</v>
      </c>
      <c r="H91" s="1">
        <v>6.9</v>
      </c>
      <c r="L91" s="1" t="str" cm="1">
        <f t="array" ref="L91">_xlfn.XLOOKUP(TRUE,ISNUMBER(SEARCH(" "&amp;Municipality[Municipality]&amp;" ",El_unit[[#This Row],[Info sting]])),Municipality[Municipality],"")</f>
        <v/>
      </c>
      <c r="M91" s="1" t="str" cm="1">
        <f t="array" ref="M91">IF(El_unit[[#This Row],[Exact]]&lt;&gt;"","",_xlfn.XLOOKUP(TRUE,ISNUMBER(SEARCH(" "&amp;Municipality[Municipality]&amp;"n ",El_unit[[#This Row],[Info sting]])),Municipality[Municipality],""))</f>
        <v/>
      </c>
      <c r="N91" s="1" t="s">
        <v>2697</v>
      </c>
      <c r="O91" s="35" t="s">
        <v>3118</v>
      </c>
      <c r="Q91" s="1" t="str">
        <f>_xlfn.TEXTJOIN("",TRUE,El_unit[[#This Row],[Exact]],El_unit[[#This Row],[Exact+n]],El_unit[[#This Row],[Copilot]])</f>
        <v>Uusikaarlepyy</v>
      </c>
    </row>
    <row r="92" spans="1:17">
      <c r="A92" s="54" t="s">
        <v>1041</v>
      </c>
      <c r="B92" s="22" t="s">
        <v>1093</v>
      </c>
      <c r="C92" s="107" t="str" cm="1">
        <f t="array" ref="C92">" "&amp;LOWER(_xlfn.REDUCE(El_unit[[#This Row],[Location]],{",",".","(",")","/"},_xlfn.LAMBDA(_xlpm.txt,_xlpm.delim,SUBSTITUTE(_xlpm.txt,_xlpm.delim," "))))&amp;" "</f>
        <v xml:space="preserve"> joensuu  iiksenvaarantie 2 </v>
      </c>
      <c r="D92" s="22" t="s">
        <v>3067</v>
      </c>
      <c r="E92" s="1">
        <v>0</v>
      </c>
      <c r="F92" s="1">
        <v>0</v>
      </c>
      <c r="G92" s="1">
        <v>47</v>
      </c>
      <c r="H92" s="1">
        <v>47</v>
      </c>
      <c r="I92" s="1" t="s">
        <v>1015</v>
      </c>
      <c r="J92" s="1" t="s">
        <v>1022</v>
      </c>
      <c r="K92" s="1" t="s">
        <v>1016</v>
      </c>
      <c r="L92" s="1" t="str" cm="1">
        <f t="array" ref="L92">_xlfn.XLOOKUP(TRUE,ISNUMBER(SEARCH(" "&amp;Municipality[Municipality]&amp;" ",El_unit[[#This Row],[Info sting]])),Municipality[Municipality],"")</f>
        <v>Joensuu</v>
      </c>
      <c r="M92" s="1" t="str" cm="1">
        <f t="array" ref="M92">IF(El_unit[[#This Row],[Exact]]&lt;&gt;"","",_xlfn.XLOOKUP(TRUE,ISNUMBER(SEARCH(" "&amp;Municipality[Municipality]&amp;"n ",El_unit[[#This Row],[Info sting]])),Municipality[Municipality],""))</f>
        <v/>
      </c>
      <c r="O92" s="35"/>
      <c r="Q92" s="1" t="str">
        <f>_xlfn.TEXTJOIN("",TRUE,El_unit[[#This Row],[Exact]],El_unit[[#This Row],[Exact+n]],El_unit[[#This Row],[Copilot]])</f>
        <v>Joensuu</v>
      </c>
    </row>
    <row r="93" spans="1:17">
      <c r="A93" s="54" t="s">
        <v>453</v>
      </c>
      <c r="B93" s="22" t="s">
        <v>453</v>
      </c>
      <c r="C93" s="107" t="str" cm="1">
        <f t="array" ref="C93">" "&amp;LOWER(_xlfn.REDUCE(El_unit[[#This Row],[Location]],{",",".","(",")","/"},_xlfn.LAMBDA(_xlpm.txt,_xlpm.delim,SUBSTITUTE(_xlpm.txt,_xlpm.delim," "))))&amp;" "</f>
        <v xml:space="preserve"> jokelan tuulipuisto 1 </v>
      </c>
      <c r="D93" s="22" t="s">
        <v>3066</v>
      </c>
      <c r="E93" s="1">
        <v>12</v>
      </c>
      <c r="F93" s="1">
        <v>0</v>
      </c>
      <c r="G93" s="1">
        <v>0</v>
      </c>
      <c r="H93" s="1">
        <v>12</v>
      </c>
      <c r="L93" s="1" t="str" cm="1">
        <f t="array" ref="L93">_xlfn.XLOOKUP(TRUE,ISNUMBER(SEARCH(" "&amp;Municipality[Municipality]&amp;" ",El_unit[[#This Row],[Info sting]])),Municipality[Municipality],"")</f>
        <v/>
      </c>
      <c r="M93" s="1" t="str" cm="1">
        <f t="array" ref="M93">IF(El_unit[[#This Row],[Exact]]&lt;&gt;"","",_xlfn.XLOOKUP(TRUE,ISNUMBER(SEARCH(" "&amp;Municipality[Municipality]&amp;"n ",El_unit[[#This Row],[Info sting]])),Municipality[Municipality],""))</f>
        <v/>
      </c>
      <c r="N93" s="1" t="s">
        <v>2562</v>
      </c>
      <c r="O93" s="35" t="s">
        <v>3148</v>
      </c>
      <c r="Q93" s="1" t="str">
        <f>_xlfn.TEXTJOIN("",TRUE,El_unit[[#This Row],[Exact]],El_unit[[#This Row],[Exact+n]],El_unit[[#This Row],[Copilot]])</f>
        <v>Kalajoki</v>
      </c>
    </row>
    <row r="94" spans="1:17">
      <c r="A94" s="54" t="s">
        <v>454</v>
      </c>
      <c r="B94" s="22" t="s">
        <v>454</v>
      </c>
      <c r="C94" s="107" t="str" cm="1">
        <f t="array" ref="C94">" "&amp;LOWER(_xlfn.REDUCE(El_unit[[#This Row],[Location]],{",",".","(",")","/"},_xlfn.LAMBDA(_xlpm.txt,_xlpm.delim,SUBSTITUTE(_xlpm.txt,_xlpm.delim," "))))&amp;" "</f>
        <v xml:space="preserve"> jokelan tuulipuisto 2 </v>
      </c>
      <c r="D94" s="22" t="s">
        <v>3066</v>
      </c>
      <c r="E94" s="1">
        <v>12</v>
      </c>
      <c r="F94" s="1">
        <v>0</v>
      </c>
      <c r="G94" s="1">
        <v>0</v>
      </c>
      <c r="H94" s="1">
        <v>12</v>
      </c>
      <c r="L94" s="1" t="str" cm="1">
        <f t="array" ref="L94">_xlfn.XLOOKUP(TRUE,ISNUMBER(SEARCH(" "&amp;Municipality[Municipality]&amp;" ",El_unit[[#This Row],[Info sting]])),Municipality[Municipality],"")</f>
        <v/>
      </c>
      <c r="M94" s="1" t="str" cm="1">
        <f t="array" ref="M94">IF(El_unit[[#This Row],[Exact]]&lt;&gt;"","",_xlfn.XLOOKUP(TRUE,ISNUMBER(SEARCH(" "&amp;Municipality[Municipality]&amp;"n ",El_unit[[#This Row],[Info sting]])),Municipality[Municipality],""))</f>
        <v/>
      </c>
      <c r="N94" s="1" t="s">
        <v>2562</v>
      </c>
      <c r="O94" s="35" t="s">
        <v>3148</v>
      </c>
      <c r="Q94" s="1" t="str">
        <f>_xlfn.TEXTJOIN("",TRUE,El_unit[[#This Row],[Exact]],El_unit[[#This Row],[Exact+n]],El_unit[[#This Row],[Copilot]])</f>
        <v>Kalajoki</v>
      </c>
    </row>
    <row r="95" spans="1:17">
      <c r="A95" s="54" t="s">
        <v>455</v>
      </c>
      <c r="B95" s="22" t="s">
        <v>455</v>
      </c>
      <c r="C95" s="107" t="str" cm="1">
        <f t="array" ref="C95">" "&amp;LOWER(_xlfn.REDUCE(El_unit[[#This Row],[Location]],{",",".","(",")","/"},_xlfn.LAMBDA(_xlpm.txt,_xlpm.delim,SUBSTITUTE(_xlpm.txt,_xlpm.delim," "))))&amp;" "</f>
        <v xml:space="preserve"> jokelan tuulipuisto 3 </v>
      </c>
      <c r="D95" s="22" t="s">
        <v>3066</v>
      </c>
      <c r="E95" s="1">
        <v>12</v>
      </c>
      <c r="F95" s="1">
        <v>0</v>
      </c>
      <c r="G95" s="1">
        <v>0</v>
      </c>
      <c r="H95" s="1">
        <v>12</v>
      </c>
      <c r="L95" s="1" t="str" cm="1">
        <f t="array" ref="L95">_xlfn.XLOOKUP(TRUE,ISNUMBER(SEARCH(" "&amp;Municipality[Municipality]&amp;" ",El_unit[[#This Row],[Info sting]])),Municipality[Municipality],"")</f>
        <v/>
      </c>
      <c r="M95" s="1" t="str" cm="1">
        <f t="array" ref="M95">IF(El_unit[[#This Row],[Exact]]&lt;&gt;"","",_xlfn.XLOOKUP(TRUE,ISNUMBER(SEARCH(" "&amp;Municipality[Municipality]&amp;"n ",El_unit[[#This Row],[Info sting]])),Municipality[Municipality],""))</f>
        <v/>
      </c>
      <c r="N95" s="1" t="s">
        <v>2562</v>
      </c>
      <c r="O95" s="35" t="s">
        <v>3148</v>
      </c>
      <c r="Q95" s="1" t="str">
        <f>_xlfn.TEXTJOIN("",TRUE,El_unit[[#This Row],[Exact]],El_unit[[#This Row],[Exact+n]],El_unit[[#This Row],[Copilot]])</f>
        <v>Kalajoki</v>
      </c>
    </row>
    <row r="96" spans="1:17">
      <c r="A96" s="54" t="s">
        <v>456</v>
      </c>
      <c r="B96" s="22" t="s">
        <v>690</v>
      </c>
      <c r="C96" s="107" t="str" cm="1">
        <f t="array" ref="C96">" "&amp;LOWER(_xlfn.REDUCE(El_unit[[#This Row],[Location]],{",",".","(",")","/"},_xlfn.LAMBDA(_xlpm.txt,_xlpm.delim,SUBSTITUTE(_xlpm.txt,_xlpm.delim," "))))&amp;" "</f>
        <v xml:space="preserve"> joroinen </v>
      </c>
      <c r="D96" s="22" t="s">
        <v>163</v>
      </c>
      <c r="E96" s="1">
        <v>4.9000000000000004</v>
      </c>
      <c r="F96" s="1">
        <v>0</v>
      </c>
      <c r="G96" s="1">
        <v>0</v>
      </c>
      <c r="H96" s="1">
        <v>4.9000000000000004</v>
      </c>
      <c r="L96" s="1" t="str" cm="1">
        <f t="array" ref="L96">_xlfn.XLOOKUP(TRUE,ISNUMBER(SEARCH(" "&amp;Municipality[Municipality]&amp;" ",El_unit[[#This Row],[Info sting]])),Municipality[Municipality],"")</f>
        <v>Joroinen</v>
      </c>
      <c r="M96" s="1" t="str" cm="1">
        <f t="array" ref="M96">IF(El_unit[[#This Row],[Exact]]&lt;&gt;"","",_xlfn.XLOOKUP(TRUE,ISNUMBER(SEARCH(" "&amp;Municipality[Municipality]&amp;"n ",El_unit[[#This Row],[Info sting]])),Municipality[Municipality],""))</f>
        <v/>
      </c>
      <c r="O96" s="35"/>
      <c r="Q96" s="1" t="str">
        <f>_xlfn.TEXTJOIN("",TRUE,El_unit[[#This Row],[Exact]],El_unit[[#This Row],[Exact+n]],El_unit[[#This Row],[Copilot]])</f>
        <v>Joroinen</v>
      </c>
    </row>
    <row r="97" spans="1:17">
      <c r="A97" s="54" t="s">
        <v>457</v>
      </c>
      <c r="B97" s="22" t="s">
        <v>691</v>
      </c>
      <c r="C97" s="107" t="str" cm="1">
        <f t="array" ref="C97">" "&amp;LOWER(_xlfn.REDUCE(El_unit[[#This Row],[Location]],{",",".","(",")","/"},_xlfn.LAMBDA(_xlpm.txt,_xlpm.delim,SUBSTITUTE(_xlpm.txt,_xlpm.delim," "))))&amp;" "</f>
        <v xml:space="preserve"> joukhaisselän tuulipuisto  sodankylä </v>
      </c>
      <c r="D97" s="22" t="s">
        <v>3066</v>
      </c>
      <c r="E97" s="1">
        <v>27</v>
      </c>
      <c r="F97" s="1">
        <v>0</v>
      </c>
      <c r="G97" s="1">
        <v>0</v>
      </c>
      <c r="H97" s="1">
        <v>27</v>
      </c>
      <c r="L97" s="1" t="str" cm="1">
        <f t="array" ref="L97">_xlfn.XLOOKUP(TRUE,ISNUMBER(SEARCH(" "&amp;Municipality[Municipality]&amp;" ",El_unit[[#This Row],[Info sting]])),Municipality[Municipality],"")</f>
        <v>Sodankylä</v>
      </c>
      <c r="M97" s="1" t="str" cm="1">
        <f t="array" ref="M97">IF(El_unit[[#This Row],[Exact]]&lt;&gt;"","",_xlfn.XLOOKUP(TRUE,ISNUMBER(SEARCH(" "&amp;Municipality[Municipality]&amp;"n ",El_unit[[#This Row],[Info sting]])),Municipality[Municipality],""))</f>
        <v/>
      </c>
      <c r="O97" s="35"/>
      <c r="Q97" s="1" t="str">
        <f>_xlfn.TEXTJOIN("",TRUE,El_unit[[#This Row],[Exact]],El_unit[[#This Row],[Exact+n]],El_unit[[#This Row],[Copilot]])</f>
        <v>Sodankylä</v>
      </c>
    </row>
    <row r="98" spans="1:17">
      <c r="A98" s="54" t="s">
        <v>909</v>
      </c>
      <c r="B98" s="22" t="s">
        <v>975</v>
      </c>
      <c r="C98" s="107" t="str" cm="1">
        <f t="array" ref="C98">" "&amp;LOWER(_xlfn.REDUCE(El_unit[[#This Row],[Location]],{",",".","(",")","/"},_xlfn.LAMBDA(_xlpm.txt,_xlpm.delim,SUBSTITUTE(_xlpm.txt,_xlpm.delim," "))))&amp;" "</f>
        <v xml:space="preserve"> metsä fibre joutsenon tehdas </v>
      </c>
      <c r="D98" s="22" t="s">
        <v>3065</v>
      </c>
      <c r="E98" s="1">
        <v>0</v>
      </c>
      <c r="F98" s="1">
        <v>85</v>
      </c>
      <c r="G98" s="1">
        <v>0</v>
      </c>
      <c r="H98" s="1">
        <v>85</v>
      </c>
      <c r="I98" s="1" t="s">
        <v>1024</v>
      </c>
      <c r="J98" s="1" t="s">
        <v>1023</v>
      </c>
      <c r="L98" s="1" t="str" cm="1">
        <f t="array" ref="L98">_xlfn.XLOOKUP(TRUE,ISNUMBER(SEARCH(" "&amp;Municipality[Municipality]&amp;" ",El_unit[[#This Row],[Info sting]])),Municipality[Municipality],"")</f>
        <v/>
      </c>
      <c r="M98" s="1" t="str" cm="1">
        <f t="array" ref="M98">IF(El_unit[[#This Row],[Exact]]&lt;&gt;"","",_xlfn.XLOOKUP(TRUE,ISNUMBER(SEARCH(" "&amp;Municipality[Municipality]&amp;"n ",El_unit[[#This Row],[Info sting]])),Municipality[Municipality],""))</f>
        <v>Joutseno</v>
      </c>
      <c r="O98" s="35"/>
      <c r="Q98" s="1" t="str">
        <f>_xlfn.TEXTJOIN("",TRUE,El_unit[[#This Row],[Exact]],El_unit[[#This Row],[Exact+n]],El_unit[[#This Row],[Copilot]])</f>
        <v>Joutseno</v>
      </c>
    </row>
    <row r="99" spans="1:17">
      <c r="A99" s="54" t="s">
        <v>909</v>
      </c>
      <c r="B99" s="22" t="s">
        <v>909</v>
      </c>
      <c r="C99" s="107" t="str" cm="1">
        <f t="array" ref="C99">" "&amp;LOWER(_xlfn.REDUCE(El_unit[[#This Row],[Location]],{",",".","(",")","/"},_xlfn.LAMBDA(_xlpm.txt,_xlpm.delim,SUBSTITUTE(_xlpm.txt,_xlpm.delim," "))))&amp;" "</f>
        <v xml:space="preserve"> joutseno </v>
      </c>
      <c r="D99" s="22" t="s">
        <v>3065</v>
      </c>
      <c r="E99" s="1">
        <v>0</v>
      </c>
      <c r="F99" s="1">
        <v>3.9</v>
      </c>
      <c r="G99" s="1">
        <v>0</v>
      </c>
      <c r="H99" s="1">
        <v>3.9</v>
      </c>
      <c r="I99" s="1" t="s">
        <v>1025</v>
      </c>
      <c r="L99" s="1" t="str" cm="1">
        <f t="array" ref="L99">_xlfn.XLOOKUP(TRUE,ISNUMBER(SEARCH(" "&amp;Municipality[Municipality]&amp;" ",El_unit[[#This Row],[Info sting]])),Municipality[Municipality],"")</f>
        <v>Joutseno</v>
      </c>
      <c r="M99" s="1" t="str" cm="1">
        <f t="array" ref="M99">IF(El_unit[[#This Row],[Exact]]&lt;&gt;"","",_xlfn.XLOOKUP(TRUE,ISNUMBER(SEARCH(" "&amp;Municipality[Municipality]&amp;"n ",El_unit[[#This Row],[Info sting]])),Municipality[Municipality],""))</f>
        <v/>
      </c>
      <c r="O99" s="35"/>
      <c r="Q99" s="1" t="str">
        <f>_xlfn.TEXTJOIN("",TRUE,El_unit[[#This Row],[Exact]],El_unit[[#This Row],[Exact+n]],El_unit[[#This Row],[Copilot]])</f>
        <v>Joutseno</v>
      </c>
    </row>
    <row r="100" spans="1:17">
      <c r="A100" s="54" t="s">
        <v>458</v>
      </c>
      <c r="B100" s="22" t="s">
        <v>458</v>
      </c>
      <c r="C100" s="107" t="str" cm="1">
        <f t="array" ref="C100">" "&amp;LOWER(_xlfn.REDUCE(El_unit[[#This Row],[Location]],{",",".","(",")","/"},_xlfn.LAMBDA(_xlpm.txt,_xlpm.delim,SUBSTITUTE(_xlpm.txt,_xlpm.delim," "))))&amp;" "</f>
        <v xml:space="preserve"> jouttikallio wind oy </v>
      </c>
      <c r="D100" s="22" t="s">
        <v>3066</v>
      </c>
      <c r="E100" s="1">
        <v>20.7</v>
      </c>
      <c r="F100" s="1">
        <v>0</v>
      </c>
      <c r="G100" s="1">
        <v>0</v>
      </c>
      <c r="H100" s="1">
        <v>20.7</v>
      </c>
      <c r="L100" s="1" t="str" cm="1">
        <f t="array" ref="L100">_xlfn.XLOOKUP(TRUE,ISNUMBER(SEARCH(" "&amp;Municipality[Municipality]&amp;" ",El_unit[[#This Row],[Info sting]])),Municipality[Municipality],"")</f>
        <v/>
      </c>
      <c r="M100" s="1" t="str" cm="1">
        <f t="array" ref="M100">IF(El_unit[[#This Row],[Exact]]&lt;&gt;"","",_xlfn.XLOOKUP(TRUE,ISNUMBER(SEARCH(" "&amp;Municipality[Municipality]&amp;"n ",El_unit[[#This Row],[Info sting]])),Municipality[Municipality],""))</f>
        <v/>
      </c>
      <c r="N100" s="1" t="s">
        <v>1053</v>
      </c>
      <c r="O100" s="35" t="s">
        <v>3149</v>
      </c>
      <c r="Q100" s="1" t="str">
        <f>_xlfn.TEXTJOIN("",TRUE,El_unit[[#This Row],[Exact]],El_unit[[#This Row],[Exact+n]],El_unit[[#This Row],[Copilot]])</f>
        <v>Lapua</v>
      </c>
    </row>
    <row r="101" spans="1:17">
      <c r="A101" s="54" t="s">
        <v>220</v>
      </c>
      <c r="B101" s="22" t="s">
        <v>221</v>
      </c>
      <c r="C101" s="107" t="str" cm="1">
        <f t="array" ref="C101">" "&amp;LOWER(_xlfn.REDUCE(El_unit[[#This Row],[Location]],{",",".","(",")","/"},_xlfn.LAMBDA(_xlpm.txt,_xlpm.delim,SUBSTITUTE(_xlpm.txt,_xlpm.delim," "))))&amp;" "</f>
        <v xml:space="preserve"> juankoski  juankoskentie 7a </v>
      </c>
      <c r="D101" s="22" t="s">
        <v>3064</v>
      </c>
      <c r="E101" s="1">
        <v>5.5</v>
      </c>
      <c r="F101" s="1">
        <v>0</v>
      </c>
      <c r="G101" s="1">
        <v>0</v>
      </c>
      <c r="H101" s="1">
        <v>5.5</v>
      </c>
      <c r="L101" s="1" t="str" cm="1">
        <f t="array" ref="L101">_xlfn.XLOOKUP(TRUE,ISNUMBER(SEARCH(" "&amp;Municipality[Municipality]&amp;" ",El_unit[[#This Row],[Info sting]])),Municipality[Municipality],"")</f>
        <v>Juankoski</v>
      </c>
      <c r="M101" s="1" t="str" cm="1">
        <f t="array" ref="M101">IF(El_unit[[#This Row],[Exact]]&lt;&gt;"","",_xlfn.XLOOKUP(TRUE,ISNUMBER(SEARCH(" "&amp;Municipality[Municipality]&amp;"n ",El_unit[[#This Row],[Info sting]])),Municipality[Municipality],""))</f>
        <v/>
      </c>
      <c r="O101" s="35"/>
      <c r="Q101" s="1" t="str">
        <f>_xlfn.TEXTJOIN("",TRUE,El_unit[[#This Row],[Exact]],El_unit[[#This Row],[Exact+n]],El_unit[[#This Row],[Copilot]])</f>
        <v>Juankoski</v>
      </c>
    </row>
    <row r="102" spans="1:17">
      <c r="A102" s="54" t="s">
        <v>222</v>
      </c>
      <c r="B102" s="22" t="s">
        <v>223</v>
      </c>
      <c r="C102" s="107" t="str" cm="1">
        <f t="array" ref="C102">" "&amp;LOWER(_xlfn.REDUCE(El_unit[[#This Row],[Location]],{",",".","(",")","/"},_xlfn.LAMBDA(_xlpm.txt,_xlpm.delim,SUBSTITUTE(_xlpm.txt,_xlpm.delim," "))))&amp;" "</f>
        <v xml:space="preserve"> jumisko </v>
      </c>
      <c r="D102" s="22" t="s">
        <v>3064</v>
      </c>
      <c r="E102" s="1">
        <v>26</v>
      </c>
      <c r="F102" s="1">
        <v>0</v>
      </c>
      <c r="G102" s="1">
        <v>0</v>
      </c>
      <c r="H102" s="1">
        <v>26</v>
      </c>
      <c r="L102" s="1" t="str" cm="1">
        <f t="array" ref="L102">_xlfn.XLOOKUP(TRUE,ISNUMBER(SEARCH(" "&amp;Municipality[Municipality]&amp;" ",El_unit[[#This Row],[Info sting]])),Municipality[Municipality],"")</f>
        <v/>
      </c>
      <c r="M102" s="1" t="str" cm="1">
        <f t="array" ref="M102">IF(El_unit[[#This Row],[Exact]]&lt;&gt;"","",_xlfn.XLOOKUP(TRUE,ISNUMBER(SEARCH(" "&amp;Municipality[Municipality]&amp;"n ",El_unit[[#This Row],[Info sting]])),Municipality[Municipality],""))</f>
        <v/>
      </c>
      <c r="O102" s="35"/>
      <c r="Q102" s="1" t="str">
        <f>_xlfn.TEXTJOIN("",TRUE,El_unit[[#This Row],[Exact]],El_unit[[#This Row],[Exact+n]],El_unit[[#This Row],[Copilot]])</f>
        <v/>
      </c>
    </row>
    <row r="103" spans="1:17">
      <c r="A103" s="54" t="s">
        <v>224</v>
      </c>
      <c r="B103" s="22" t="s">
        <v>225</v>
      </c>
      <c r="C103" s="107" t="str" cm="1">
        <f t="array" ref="C103">" "&amp;LOWER(_xlfn.REDUCE(El_unit[[#This Row],[Location]],{",",".","(",")","/"},_xlfn.LAMBDA(_xlpm.txt,_xlpm.delim,SUBSTITUTE(_xlpm.txt,_xlpm.delim," "))))&amp;" "</f>
        <v xml:space="preserve"> juntola  kauppilantie 28  21530 paimio </v>
      </c>
      <c r="D103" s="22" t="s">
        <v>3064</v>
      </c>
      <c r="E103" s="1">
        <v>1.8</v>
      </c>
      <c r="F103" s="1">
        <v>0</v>
      </c>
      <c r="G103" s="1">
        <v>0</v>
      </c>
      <c r="H103" s="1">
        <v>1.8</v>
      </c>
      <c r="L103" s="1" t="str" cm="1">
        <f t="array" ref="L103">_xlfn.XLOOKUP(TRUE,ISNUMBER(SEARCH(" "&amp;Municipality[Municipality]&amp;" ",El_unit[[#This Row],[Info sting]])),Municipality[Municipality],"")</f>
        <v>Paimio</v>
      </c>
      <c r="M103" s="1" t="str" cm="1">
        <f t="array" ref="M103">IF(El_unit[[#This Row],[Exact]]&lt;&gt;"","",_xlfn.XLOOKUP(TRUE,ISNUMBER(SEARCH(" "&amp;Municipality[Municipality]&amp;"n ",El_unit[[#This Row],[Info sting]])),Municipality[Municipality],""))</f>
        <v/>
      </c>
      <c r="O103" s="35"/>
      <c r="Q103" s="1" t="str">
        <f>_xlfn.TEXTJOIN("",TRUE,El_unit[[#This Row],[Exact]],El_unit[[#This Row],[Exact+n]],El_unit[[#This Row],[Copilot]])</f>
        <v>Paimio</v>
      </c>
    </row>
    <row r="104" spans="1:17">
      <c r="A104" s="54" t="s">
        <v>226</v>
      </c>
      <c r="B104" s="22" t="s">
        <v>226</v>
      </c>
      <c r="C104" s="107" t="str" cm="1">
        <f t="array" ref="C104">" "&amp;LOWER(_xlfn.REDUCE(El_unit[[#This Row],[Location]],{",",".","(",")","/"},_xlfn.LAMBDA(_xlpm.txt,_xlpm.delim,SUBSTITUTE(_xlpm.txt,_xlpm.delim," "))))&amp;" "</f>
        <v xml:space="preserve"> juotas </v>
      </c>
      <c r="D104" s="22" t="s">
        <v>3064</v>
      </c>
      <c r="E104" s="1">
        <v>3.7</v>
      </c>
      <c r="F104" s="1">
        <v>0</v>
      </c>
      <c r="G104" s="1">
        <v>0</v>
      </c>
      <c r="H104" s="1">
        <v>3.7</v>
      </c>
      <c r="L104" s="1" t="str" cm="1">
        <f t="array" ref="L104">_xlfn.XLOOKUP(TRUE,ISNUMBER(SEARCH(" "&amp;Municipality[Municipality]&amp;" ",El_unit[[#This Row],[Info sting]])),Municipality[Municipality],"")</f>
        <v/>
      </c>
      <c r="M104" s="1" t="str" cm="1">
        <f t="array" ref="M104">IF(El_unit[[#This Row],[Exact]]&lt;&gt;"","",_xlfn.XLOOKUP(TRUE,ISNUMBER(SEARCH(" "&amp;Municipality[Municipality]&amp;"n ",El_unit[[#This Row],[Info sting]])),Municipality[Municipality],""))</f>
        <v/>
      </c>
      <c r="O104" s="35"/>
      <c r="Q104" s="1" t="str">
        <f>_xlfn.TEXTJOIN("",TRUE,El_unit[[#This Row],[Exact]],El_unit[[#This Row],[Exact+n]],El_unit[[#This Row],[Copilot]])</f>
        <v/>
      </c>
    </row>
    <row r="105" spans="1:17">
      <c r="A105" s="54" t="s">
        <v>459</v>
      </c>
      <c r="B105" s="22" t="s">
        <v>692</v>
      </c>
      <c r="C105" s="107" t="str" cm="1">
        <f t="array" ref="C105">" "&amp;LOWER(_xlfn.REDUCE(El_unit[[#This Row],[Location]],{",",".","(",")","/"},_xlfn.LAMBDA(_xlpm.txt,_xlpm.delim,SUBSTITUTE(_xlpm.txt,_xlpm.delim," "))))&amp;" "</f>
        <v xml:space="preserve"> vasannevantie 508  85100 kalajoki </v>
      </c>
      <c r="D105" s="22" t="s">
        <v>163</v>
      </c>
      <c r="E105" s="1">
        <v>10</v>
      </c>
      <c r="F105" s="1">
        <v>0</v>
      </c>
      <c r="G105" s="1">
        <v>0</v>
      </c>
      <c r="H105" s="1">
        <v>10</v>
      </c>
      <c r="L105" s="1" t="str" cm="1">
        <f t="array" ref="L105">_xlfn.XLOOKUP(TRUE,ISNUMBER(SEARCH(" "&amp;Municipality[Municipality]&amp;" ",El_unit[[#This Row],[Info sting]])),Municipality[Municipality],"")</f>
        <v>Kalajoki</v>
      </c>
      <c r="M105" s="1" t="str" cm="1">
        <f t="array" ref="M105">IF(El_unit[[#This Row],[Exact]]&lt;&gt;"","",_xlfn.XLOOKUP(TRUE,ISNUMBER(SEARCH(" "&amp;Municipality[Municipality]&amp;"n ",El_unit[[#This Row],[Info sting]])),Municipality[Municipality],""))</f>
        <v/>
      </c>
      <c r="O105" s="35"/>
      <c r="Q105" s="1" t="str">
        <f>_xlfn.TEXTJOIN("",TRUE,El_unit[[#This Row],[Exact]],El_unit[[#This Row],[Exact+n]],El_unit[[#This Row],[Copilot]])</f>
        <v>Kalajoki</v>
      </c>
    </row>
    <row r="106" spans="1:17">
      <c r="A106" s="54" t="s">
        <v>460</v>
      </c>
      <c r="B106" s="22" t="s">
        <v>693</v>
      </c>
      <c r="C106" s="107" t="str" cm="1">
        <f t="array" ref="C106">" "&amp;LOWER(_xlfn.REDUCE(El_unit[[#This Row],[Location]],{",",".","(",")","/"},_xlfn.LAMBDA(_xlpm.txt,_xlpm.delim,SUBSTITUTE(_xlpm.txt,_xlpm.delim," "))))&amp;" "</f>
        <v xml:space="preserve"> kalajoki  juurakko </v>
      </c>
      <c r="D106" s="22" t="s">
        <v>3066</v>
      </c>
      <c r="E106" s="1">
        <v>39.9</v>
      </c>
      <c r="F106" s="1">
        <v>0</v>
      </c>
      <c r="G106" s="1">
        <v>0</v>
      </c>
      <c r="H106" s="1">
        <v>39.9</v>
      </c>
      <c r="L106" s="1" t="str" cm="1">
        <f t="array" ref="L106">_xlfn.XLOOKUP(TRUE,ISNUMBER(SEARCH(" "&amp;Municipality[Municipality]&amp;" ",El_unit[[#This Row],[Info sting]])),Municipality[Municipality],"")</f>
        <v>Kalajoki</v>
      </c>
      <c r="M106" s="1" t="str" cm="1">
        <f t="array" ref="M106">IF(El_unit[[#This Row],[Exact]]&lt;&gt;"","",_xlfn.XLOOKUP(TRUE,ISNUMBER(SEARCH(" "&amp;Municipality[Municipality]&amp;"n ",El_unit[[#This Row],[Info sting]])),Municipality[Municipality],""))</f>
        <v/>
      </c>
      <c r="O106" s="35"/>
      <c r="Q106" s="1" t="str">
        <f>_xlfn.TEXTJOIN("",TRUE,El_unit[[#This Row],[Exact]],El_unit[[#This Row],[Exact+n]],El_unit[[#This Row],[Copilot]])</f>
        <v>Kalajoki</v>
      </c>
    </row>
    <row r="107" spans="1:17">
      <c r="A107" s="54" t="s">
        <v>227</v>
      </c>
      <c r="B107" s="22" t="s">
        <v>228</v>
      </c>
      <c r="C107" s="107" t="str" cm="1">
        <f t="array" ref="C107">" "&amp;LOWER(_xlfn.REDUCE(El_unit[[#This Row],[Location]],{",",".","(",")","/"},_xlfn.LAMBDA(_xlpm.txt,_xlpm.delim,SUBSTITUTE(_xlpm.txt,_xlpm.delim," "))))&amp;" "</f>
        <v xml:space="preserve"> juva  alikulmantie 15  21450 tarvasjoki </v>
      </c>
      <c r="D107" s="22" t="s">
        <v>3064</v>
      </c>
      <c r="E107" s="1">
        <v>1.4</v>
      </c>
      <c r="F107" s="1">
        <v>0</v>
      </c>
      <c r="G107" s="1">
        <v>0</v>
      </c>
      <c r="H107" s="1">
        <v>1.4</v>
      </c>
      <c r="L107" s="1" t="str" cm="1">
        <f t="array" ref="L107">_xlfn.XLOOKUP(TRUE,ISNUMBER(SEARCH(" "&amp;Municipality[Municipality]&amp;" ",El_unit[[#This Row],[Info sting]])),Municipality[Municipality],"")</f>
        <v>Juva</v>
      </c>
      <c r="M107" s="1" t="str" cm="1">
        <f t="array" ref="M107">IF(El_unit[[#This Row],[Exact]]&lt;&gt;"","",_xlfn.XLOOKUP(TRUE,ISNUMBER(SEARCH(" "&amp;Municipality[Municipality]&amp;"n ",El_unit[[#This Row],[Info sting]])),Municipality[Municipality],""))</f>
        <v/>
      </c>
      <c r="O107" s="35"/>
      <c r="Q107" s="1" t="str">
        <f>_xlfn.TEXTJOIN("",TRUE,El_unit[[#This Row],[Exact]],El_unit[[#This Row],[Exact+n]],El_unit[[#This Row],[Copilot]])</f>
        <v>Juva</v>
      </c>
    </row>
    <row r="108" spans="1:17">
      <c r="A108" s="54" t="s">
        <v>461</v>
      </c>
      <c r="B108" s="22" t="s">
        <v>694</v>
      </c>
      <c r="C108" s="107" t="str" cm="1">
        <f t="array" ref="C108">" "&amp;LOWER(_xlfn.REDUCE(El_unit[[#This Row],[Location]],{",",".","(",")","/"},_xlfn.LAMBDA(_xlpm.txt,_xlpm.delim,SUBSTITUTE(_xlpm.txt,_xlpm.delim," "))))&amp;" "</f>
        <v xml:space="preserve"> kuljuntie 60  51900 juva </v>
      </c>
      <c r="D108" s="22" t="s">
        <v>163</v>
      </c>
      <c r="E108" s="1">
        <v>4</v>
      </c>
      <c r="F108" s="1">
        <v>0</v>
      </c>
      <c r="G108" s="1">
        <v>0</v>
      </c>
      <c r="H108" s="1">
        <v>4</v>
      </c>
      <c r="L108" s="1" t="str" cm="1">
        <f t="array" ref="L108">_xlfn.XLOOKUP(TRUE,ISNUMBER(SEARCH(" "&amp;Municipality[Municipality]&amp;" ",El_unit[[#This Row],[Info sting]])),Municipality[Municipality],"")</f>
        <v>Juva</v>
      </c>
      <c r="M108" s="1" t="str" cm="1">
        <f t="array" ref="M108">IF(El_unit[[#This Row],[Exact]]&lt;&gt;"","",_xlfn.XLOOKUP(TRUE,ISNUMBER(SEARCH(" "&amp;Municipality[Municipality]&amp;"n ",El_unit[[#This Row],[Info sting]])),Municipality[Municipality],""))</f>
        <v/>
      </c>
      <c r="O108" s="35"/>
      <c r="Q108" s="1" t="str">
        <f>_xlfn.TEXTJOIN("",TRUE,El_unit[[#This Row],[Exact]],El_unit[[#This Row],[Exact+n]],El_unit[[#This Row],[Copilot]])</f>
        <v>Juva</v>
      </c>
    </row>
    <row r="109" spans="1:17">
      <c r="A109" s="54" t="s">
        <v>229</v>
      </c>
      <c r="B109" s="22" t="s">
        <v>229</v>
      </c>
      <c r="C109" s="107" t="str" cm="1">
        <f t="array" ref="C109">" "&amp;LOWER(_xlfn.REDUCE(El_unit[[#This Row],[Location]],{",",".","(",")","/"},_xlfn.LAMBDA(_xlpm.txt,_xlpm.delim,SUBSTITUTE(_xlpm.txt,_xlpm.delim," "))))&amp;" "</f>
        <v xml:space="preserve"> jylhämä </v>
      </c>
      <c r="D109" s="22" t="s">
        <v>3064</v>
      </c>
      <c r="E109" s="1">
        <v>55</v>
      </c>
      <c r="F109" s="1">
        <v>0</v>
      </c>
      <c r="G109" s="1">
        <v>0</v>
      </c>
      <c r="H109" s="1">
        <v>55</v>
      </c>
      <c r="L109" s="1" t="str" cm="1">
        <f t="array" ref="L109">_xlfn.XLOOKUP(TRUE,ISNUMBER(SEARCH(" "&amp;Municipality[Municipality]&amp;" ",El_unit[[#This Row],[Info sting]])),Municipality[Municipality],"")</f>
        <v/>
      </c>
      <c r="M109" s="1" t="str" cm="1">
        <f t="array" ref="M109">IF(El_unit[[#This Row],[Exact]]&lt;&gt;"","",_xlfn.XLOOKUP(TRUE,ISNUMBER(SEARCH(" "&amp;Municipality[Municipality]&amp;"n ",El_unit[[#This Row],[Info sting]])),Municipality[Municipality],""))</f>
        <v/>
      </c>
      <c r="N109" s="1" t="s">
        <v>2819</v>
      </c>
      <c r="O109" s="35" t="s">
        <v>3134</v>
      </c>
      <c r="Q109" s="1" t="str">
        <f>_xlfn.TEXTJOIN("",TRUE,El_unit[[#This Row],[Exact]],El_unit[[#This Row],[Exact+n]],El_unit[[#This Row],[Copilot]])</f>
        <v>Vaala</v>
      </c>
    </row>
    <row r="110" spans="1:17">
      <c r="A110" s="54" t="s">
        <v>462</v>
      </c>
      <c r="B110" s="22" t="s">
        <v>462</v>
      </c>
      <c r="C110" s="107" t="str" cm="1">
        <f t="array" ref="C110">" "&amp;LOWER(_xlfn.REDUCE(El_unit[[#This Row],[Location]],{",",".","(",")","/"},_xlfn.LAMBDA(_xlpm.txt,_xlpm.delim,SUBSTITUTE(_xlpm.txt,_xlpm.delim," "))))&amp;" "</f>
        <v xml:space="preserve"> jäkäläkangas </v>
      </c>
      <c r="D110" s="22" t="s">
        <v>3066</v>
      </c>
      <c r="E110" s="1">
        <v>30</v>
      </c>
      <c r="F110" s="1">
        <v>0</v>
      </c>
      <c r="G110" s="1">
        <v>0</v>
      </c>
      <c r="H110" s="1">
        <v>30</v>
      </c>
      <c r="L110" s="1" t="str" cm="1">
        <f t="array" ref="L110">_xlfn.XLOOKUP(TRUE,ISNUMBER(SEARCH(" "&amp;Municipality[Municipality]&amp;" ",El_unit[[#This Row],[Info sting]])),Municipality[Municipality],"")</f>
        <v/>
      </c>
      <c r="M110" s="1" t="str" cm="1">
        <f t="array" ref="M110">IF(El_unit[[#This Row],[Exact]]&lt;&gt;"","",_xlfn.XLOOKUP(TRUE,ISNUMBER(SEARCH(" "&amp;Municipality[Municipality]&amp;"n ",El_unit[[#This Row],[Info sting]])),Municipality[Municipality],""))</f>
        <v/>
      </c>
      <c r="N110" s="1" t="s">
        <v>2575</v>
      </c>
      <c r="O110" s="35" t="s">
        <v>3119</v>
      </c>
      <c r="Q110" s="1" t="str">
        <f>_xlfn.TEXTJOIN("",TRUE,El_unit[[#This Row],[Exact]],El_unit[[#This Row],[Exact+n]],El_unit[[#This Row],[Copilot]])</f>
        <v>Karvia</v>
      </c>
    </row>
    <row r="111" spans="1:17">
      <c r="A111" s="54" t="s">
        <v>910</v>
      </c>
      <c r="B111" s="22" t="s">
        <v>976</v>
      </c>
      <c r="C111" s="107" t="str" cm="1">
        <f t="array" ref="C111">" "&amp;LOWER(_xlfn.REDUCE(El_unit[[#This Row],[Location]],{",",".","(",")","/"},_xlfn.LAMBDA(_xlpm.txt,_xlpm.delim,SUBSTITUTE(_xlpm.txt,_xlpm.delim," "))))&amp;" "</f>
        <v xml:space="preserve"> jämsänkosken tehtaan voimalaitos </v>
      </c>
      <c r="D111" s="22" t="s">
        <v>3065</v>
      </c>
      <c r="E111" s="1">
        <v>0</v>
      </c>
      <c r="F111" s="1">
        <v>43</v>
      </c>
      <c r="G111" s="1">
        <v>0</v>
      </c>
      <c r="H111" s="1">
        <v>43</v>
      </c>
      <c r="L111" s="1" t="str" cm="1">
        <f t="array" ref="L111">_xlfn.XLOOKUP(TRUE,ISNUMBER(SEARCH(" "&amp;Municipality[Municipality]&amp;" ",El_unit[[#This Row],[Info sting]])),Municipality[Municipality],"")</f>
        <v/>
      </c>
      <c r="M111" s="1" t="str" cm="1">
        <f t="array" ref="M111">IF(El_unit[[#This Row],[Exact]]&lt;&gt;"","",_xlfn.XLOOKUP(TRUE,ISNUMBER(SEARCH(" "&amp;Municipality[Municipality]&amp;"n ",El_unit[[#This Row],[Info sting]])),Municipality[Municipality],""))</f>
        <v/>
      </c>
      <c r="N111" s="1" t="s">
        <v>2557</v>
      </c>
      <c r="O111" s="35" t="s">
        <v>3171</v>
      </c>
      <c r="P111" s="1" t="s">
        <v>3172</v>
      </c>
      <c r="Q111" s="1" t="str">
        <f>_xlfn.TEXTJOIN("",TRUE,El_unit[[#This Row],[Exact]],El_unit[[#This Row],[Exact+n]],El_unit[[#This Row],[Copilot]])</f>
        <v>Jämsä</v>
      </c>
    </row>
    <row r="112" spans="1:17">
      <c r="A112" s="54" t="s">
        <v>911</v>
      </c>
      <c r="B112" s="22" t="s">
        <v>977</v>
      </c>
      <c r="C112" s="107" t="str" cm="1">
        <f t="array" ref="C112">" "&amp;LOWER(_xlfn.REDUCE(El_unit[[#This Row],[Location]],{",",".","(",")","/"},_xlfn.LAMBDA(_xlpm.txt,_xlpm.delim,SUBSTITUTE(_xlpm.txt,_xlpm.delim," "))))&amp;" "</f>
        <v xml:space="preserve"> koskisen oy  järvelän levyteollisuus </v>
      </c>
      <c r="D112" s="22" t="s">
        <v>3065</v>
      </c>
      <c r="E112" s="1">
        <v>0</v>
      </c>
      <c r="F112" s="1">
        <v>1.6</v>
      </c>
      <c r="G112" s="1">
        <v>0</v>
      </c>
      <c r="H112" s="1">
        <v>1.6</v>
      </c>
      <c r="I112" s="1" t="s">
        <v>1016</v>
      </c>
      <c r="J112" s="1" t="s">
        <v>1022</v>
      </c>
      <c r="K112" s="1" t="s">
        <v>1017</v>
      </c>
      <c r="L112" s="1" t="str" cm="1">
        <f t="array" ref="L112">_xlfn.XLOOKUP(TRUE,ISNUMBER(SEARCH(" "&amp;Municipality[Municipality]&amp;" ",El_unit[[#This Row],[Info sting]])),Municipality[Municipality],"")</f>
        <v/>
      </c>
      <c r="M112" s="1" t="str" cm="1">
        <f t="array" ref="M112">IF(El_unit[[#This Row],[Exact]]&lt;&gt;"","",_xlfn.XLOOKUP(TRUE,ISNUMBER(SEARCH(" "&amp;Municipality[Municipality]&amp;"n ",El_unit[[#This Row],[Info sting]])),Municipality[Municipality],""))</f>
        <v/>
      </c>
      <c r="O112" s="35"/>
      <c r="Q112" s="1" t="str">
        <f>_xlfn.TEXTJOIN("",TRUE,El_unit[[#This Row],[Exact]],El_unit[[#This Row],[Exact+n]],El_unit[[#This Row],[Copilot]])</f>
        <v/>
      </c>
    </row>
    <row r="113" spans="1:17">
      <c r="A113" s="54" t="s">
        <v>1042</v>
      </c>
      <c r="B113" s="22" t="s">
        <v>1094</v>
      </c>
      <c r="C113" s="107" t="str" cm="1">
        <f t="array" ref="C113">" "&amp;LOWER(_xlfn.REDUCE(El_unit[[#This Row],[Location]],{",",".","(",")","/"},_xlfn.LAMBDA(_xlpm.txt,_xlpm.delim,SUBSTITUTE(_xlpm.txt,_xlpm.delim," "))))&amp;" "</f>
        <v xml:space="preserve"> voimalankatu  04430 järvenpää </v>
      </c>
      <c r="D113" s="22" t="s">
        <v>3067</v>
      </c>
      <c r="E113" s="1">
        <v>0</v>
      </c>
      <c r="F113" s="1">
        <v>0</v>
      </c>
      <c r="G113" s="1">
        <v>23.8</v>
      </c>
      <c r="H113" s="1">
        <v>23.8</v>
      </c>
      <c r="I113" s="1" t="s">
        <v>1022</v>
      </c>
      <c r="L113" s="1" t="str" cm="1">
        <f t="array" ref="L113">_xlfn.XLOOKUP(TRUE,ISNUMBER(SEARCH(" "&amp;Municipality[Municipality]&amp;" ",El_unit[[#This Row],[Info sting]])),Municipality[Municipality],"")</f>
        <v>Järvenpää</v>
      </c>
      <c r="M113" s="1" t="str" cm="1">
        <f t="array" ref="M113">IF(El_unit[[#This Row],[Exact]]&lt;&gt;"","",_xlfn.XLOOKUP(TRUE,ISNUMBER(SEARCH(" "&amp;Municipality[Municipality]&amp;"n ",El_unit[[#This Row],[Info sting]])),Municipality[Municipality],""))</f>
        <v/>
      </c>
      <c r="O113" s="35"/>
      <c r="Q113" s="1" t="str">
        <f>_xlfn.TEXTJOIN("",TRUE,El_unit[[#This Row],[Exact]],El_unit[[#This Row],[Exact+n]],El_unit[[#This Row],[Copilot]])</f>
        <v>Järvenpää</v>
      </c>
    </row>
    <row r="114" spans="1:17">
      <c r="A114" s="54" t="s">
        <v>230</v>
      </c>
      <c r="B114" s="22" t="s">
        <v>230</v>
      </c>
      <c r="C114" s="107" t="str" cm="1">
        <f t="array" ref="C114">" "&amp;LOWER(_xlfn.REDUCE(El_unit[[#This Row],[Location]],{",",".","(",")","/"},_xlfn.LAMBDA(_xlpm.txt,_xlpm.delim,SUBSTITUTE(_xlpm.txt,_xlpm.delim," "))))&amp;" "</f>
        <v xml:space="preserve"> kaaranneskoski </v>
      </c>
      <c r="D114" s="22" t="s">
        <v>3064</v>
      </c>
      <c r="E114" s="1">
        <v>2.8</v>
      </c>
      <c r="F114" s="1">
        <v>0</v>
      </c>
      <c r="G114" s="1">
        <v>0</v>
      </c>
      <c r="H114" s="1">
        <v>2.8</v>
      </c>
      <c r="L114" s="1" t="str" cm="1">
        <f t="array" ref="L114">_xlfn.XLOOKUP(TRUE,ISNUMBER(SEARCH(" "&amp;Municipality[Municipality]&amp;" ",El_unit[[#This Row],[Info sting]])),Municipality[Municipality],"")</f>
        <v/>
      </c>
      <c r="M114" s="1" t="str" cm="1">
        <f t="array" ref="M114">IF(El_unit[[#This Row],[Exact]]&lt;&gt;"","",_xlfn.XLOOKUP(TRUE,ISNUMBER(SEARCH(" "&amp;Municipality[Municipality]&amp;"n ",El_unit[[#This Row],[Info sting]])),Municipality[Municipality],""))</f>
        <v/>
      </c>
      <c r="N114" s="1" t="s">
        <v>2714</v>
      </c>
      <c r="O114" s="35" t="s">
        <v>3120</v>
      </c>
      <c r="Q114" s="1" t="str">
        <f>_xlfn.TEXTJOIN("",TRUE,El_unit[[#This Row],[Exact]],El_unit[[#This Row],[Exact+n]],El_unit[[#This Row],[Copilot]])</f>
        <v>Pello</v>
      </c>
    </row>
    <row r="115" spans="1:17">
      <c r="A115" s="54" t="s">
        <v>231</v>
      </c>
      <c r="B115" s="22" t="s">
        <v>231</v>
      </c>
      <c r="C115" s="107" t="str" cm="1">
        <f t="array" ref="C115">" "&amp;LOWER(_xlfn.REDUCE(El_unit[[#This Row],[Location]],{",",".","(",")","/"},_xlfn.LAMBDA(_xlpm.txt,_xlpm.delim,SUBSTITUTE(_xlpm.txt,_xlpm.delim," "))))&amp;" "</f>
        <v xml:space="preserve"> kaarni </v>
      </c>
      <c r="D115" s="22" t="s">
        <v>3064</v>
      </c>
      <c r="E115" s="1">
        <v>1.2</v>
      </c>
      <c r="F115" s="1">
        <v>0</v>
      </c>
      <c r="G115" s="1">
        <v>0</v>
      </c>
      <c r="H115" s="1">
        <v>1.2</v>
      </c>
      <c r="L115" s="1" t="str" cm="1">
        <f t="array" ref="L115">_xlfn.XLOOKUP(TRUE,ISNUMBER(SEARCH(" "&amp;Municipality[Municipality]&amp;" ",El_unit[[#This Row],[Info sting]])),Municipality[Municipality],"")</f>
        <v/>
      </c>
      <c r="M115" s="1" t="str" cm="1">
        <f t="array" ref="M115">IF(El_unit[[#This Row],[Exact]]&lt;&gt;"","",_xlfn.XLOOKUP(TRUE,ISNUMBER(SEARCH(" "&amp;Municipality[Municipality]&amp;"n ",El_unit[[#This Row],[Info sting]])),Municipality[Municipality],""))</f>
        <v/>
      </c>
      <c r="O115" s="35"/>
      <c r="Q115" s="1" t="str">
        <f>_xlfn.TEXTJOIN("",TRUE,El_unit[[#This Row],[Exact]],El_unit[[#This Row],[Exact+n]],El_unit[[#This Row],[Copilot]])</f>
        <v/>
      </c>
    </row>
    <row r="116" spans="1:17">
      <c r="A116" s="54" t="s">
        <v>232</v>
      </c>
      <c r="B116" s="22" t="s">
        <v>233</v>
      </c>
      <c r="C116" s="107" t="str" cm="1">
        <f t="array" ref="C116">" "&amp;LOWER(_xlfn.REDUCE(El_unit[[#This Row],[Location]],{",",".","(",")","/"},_xlfn.LAMBDA(_xlpm.txt,_xlpm.delim,SUBSTITUTE(_xlpm.txt,_xlpm.delim," "))))&amp;" "</f>
        <v xml:space="preserve"> kaihua i ja ii </v>
      </c>
      <c r="D116" s="22" t="s">
        <v>3064</v>
      </c>
      <c r="E116" s="1">
        <v>5.4</v>
      </c>
      <c r="F116" s="1">
        <v>0</v>
      </c>
      <c r="G116" s="1">
        <v>0</v>
      </c>
      <c r="H116" s="1">
        <v>5.4</v>
      </c>
      <c r="L116" s="1" t="str" cm="1">
        <f t="array" ref="L116">_xlfn.XLOOKUP(TRUE,ISNUMBER(SEARCH(" "&amp;Municipality[Municipality]&amp;" ",El_unit[[#This Row],[Info sting]])),Municipality[Municipality],"")</f>
        <v>Ii</v>
      </c>
      <c r="M116" s="1" t="str" cm="1">
        <f t="array" ref="M116">IF(El_unit[[#This Row],[Exact]]&lt;&gt;"","",_xlfn.XLOOKUP(TRUE,ISNUMBER(SEARCH(" "&amp;Municipality[Municipality]&amp;"n ",El_unit[[#This Row],[Info sting]])),Municipality[Municipality],""))</f>
        <v/>
      </c>
      <c r="O116" s="35"/>
      <c r="Q116" s="1" t="str">
        <f>_xlfn.TEXTJOIN("",TRUE,El_unit[[#This Row],[Exact]],El_unit[[#This Row],[Exact+n]],El_unit[[#This Row],[Copilot]])</f>
        <v>Ii</v>
      </c>
    </row>
    <row r="117" spans="1:17">
      <c r="A117" s="54" t="s">
        <v>912</v>
      </c>
      <c r="B117" s="22" t="s">
        <v>978</v>
      </c>
      <c r="C117" s="107" t="str" cm="1">
        <f t="array" ref="C117">" "&amp;LOWER(_xlfn.REDUCE(El_unit[[#This Row],[Location]],{",",".","(",")","/"},_xlfn.LAMBDA(_xlpm.txt,_xlpm.delim,SUBSTITUTE(_xlpm.txt,_xlpm.delim," "))))&amp;" "</f>
        <v xml:space="preserve"> kaipola vp3 </v>
      </c>
      <c r="D117" s="22" t="s">
        <v>3065</v>
      </c>
      <c r="E117" s="1">
        <v>0</v>
      </c>
      <c r="F117" s="1">
        <v>25</v>
      </c>
      <c r="G117" s="1">
        <v>0</v>
      </c>
      <c r="H117" s="1">
        <v>25</v>
      </c>
      <c r="I117" s="1" t="s">
        <v>1019</v>
      </c>
      <c r="J117" s="1" t="s">
        <v>1026</v>
      </c>
      <c r="K117" s="1" t="s">
        <v>1016</v>
      </c>
      <c r="L117" s="1" t="str" cm="1">
        <f t="array" ref="L117">_xlfn.XLOOKUP(TRUE,ISNUMBER(SEARCH(" "&amp;Municipality[Municipality]&amp;" ",El_unit[[#This Row],[Info sting]])),Municipality[Municipality],"")</f>
        <v/>
      </c>
      <c r="M117" s="1" t="str" cm="1">
        <f t="array" ref="M117">IF(El_unit[[#This Row],[Exact]]&lt;&gt;"","",_xlfn.XLOOKUP(TRUE,ISNUMBER(SEARCH(" "&amp;Municipality[Municipality]&amp;"n ",El_unit[[#This Row],[Info sting]])),Municipality[Municipality],""))</f>
        <v/>
      </c>
      <c r="N117" s="1" t="s">
        <v>2557</v>
      </c>
      <c r="O117" s="35" t="s">
        <v>3173</v>
      </c>
      <c r="Q117" s="1" t="str">
        <f>_xlfn.TEXTJOIN("",TRUE,El_unit[[#This Row],[Exact]],El_unit[[#This Row],[Exact+n]],El_unit[[#This Row],[Copilot]])</f>
        <v>Jämsä</v>
      </c>
    </row>
    <row r="118" spans="1:17">
      <c r="A118" s="54" t="s">
        <v>234</v>
      </c>
      <c r="B118" s="22" t="s">
        <v>234</v>
      </c>
      <c r="C118" s="107" t="str" cm="1">
        <f t="array" ref="C118">" "&amp;LOWER(_xlfn.REDUCE(El_unit[[#This Row],[Location]],{",",".","(",")","/"},_xlfn.LAMBDA(_xlpm.txt,_xlpm.delim,SUBSTITUTE(_xlpm.txt,_xlpm.delim," "))))&amp;" "</f>
        <v xml:space="preserve"> kaitfors </v>
      </c>
      <c r="D118" s="22" t="s">
        <v>3064</v>
      </c>
      <c r="E118" s="1">
        <v>7.6</v>
      </c>
      <c r="F118" s="1">
        <v>0</v>
      </c>
      <c r="G118" s="1">
        <v>0</v>
      </c>
      <c r="H118" s="1">
        <v>7.6</v>
      </c>
      <c r="L118" s="1" t="str" cm="1">
        <f t="array" ref="L118">_xlfn.XLOOKUP(TRUE,ISNUMBER(SEARCH(" "&amp;Municipality[Municipality]&amp;" ",El_unit[[#This Row],[Info sting]])),Municipality[Municipality],"")</f>
        <v/>
      </c>
      <c r="M118" s="1" t="str" cm="1">
        <f t="array" ref="M118">IF(El_unit[[#This Row],[Exact]]&lt;&gt;"","",_xlfn.XLOOKUP(TRUE,ISNUMBER(SEARCH(" "&amp;Municipality[Municipality]&amp;"n ",El_unit[[#This Row],[Info sting]])),Municipality[Municipality],""))</f>
        <v/>
      </c>
      <c r="O118" s="35"/>
      <c r="Q118" s="1" t="str">
        <f>_xlfn.TEXTJOIN("",TRUE,El_unit[[#This Row],[Exact]],El_unit[[#This Row],[Exact+n]],El_unit[[#This Row],[Copilot]])</f>
        <v/>
      </c>
    </row>
    <row r="119" spans="1:17">
      <c r="A119" s="54" t="s">
        <v>463</v>
      </c>
      <c r="B119" s="22" t="s">
        <v>463</v>
      </c>
      <c r="C119" s="107" t="str" cm="1">
        <f t="array" ref="C119">" "&amp;LOWER(_xlfn.REDUCE(El_unit[[#This Row],[Location]],{",",".","(",")","/"},_xlfn.LAMBDA(_xlpm.txt,_xlpm.delim,SUBSTITUTE(_xlpm.txt,_xlpm.delim," "))))&amp;" "</f>
        <v xml:space="preserve"> kalajoki läntinen </v>
      </c>
      <c r="D119" s="22" t="s">
        <v>3066</v>
      </c>
      <c r="E119" s="1">
        <v>79.8</v>
      </c>
      <c r="F119" s="1">
        <v>0</v>
      </c>
      <c r="G119" s="1">
        <v>0</v>
      </c>
      <c r="H119" s="1">
        <v>79.8</v>
      </c>
      <c r="L119" s="1" t="str" cm="1">
        <f t="array" ref="L119">_xlfn.XLOOKUP(TRUE,ISNUMBER(SEARCH(" "&amp;Municipality[Municipality]&amp;" ",El_unit[[#This Row],[Info sting]])),Municipality[Municipality],"")</f>
        <v>Kalajoki</v>
      </c>
      <c r="M119" s="1" t="str" cm="1">
        <f t="array" ref="M119">IF(El_unit[[#This Row],[Exact]]&lt;&gt;"","",_xlfn.XLOOKUP(TRUE,ISNUMBER(SEARCH(" "&amp;Municipality[Municipality]&amp;"n ",El_unit[[#This Row],[Info sting]])),Municipality[Municipality],""))</f>
        <v/>
      </c>
      <c r="O119" s="35"/>
      <c r="Q119" s="1" t="str">
        <f>_xlfn.TEXTJOIN("",TRUE,El_unit[[#This Row],[Exact]],El_unit[[#This Row],[Exact+n]],El_unit[[#This Row],[Copilot]])</f>
        <v>Kalajoki</v>
      </c>
    </row>
    <row r="120" spans="1:17">
      <c r="A120" s="54" t="s">
        <v>235</v>
      </c>
      <c r="B120" s="22" t="s">
        <v>236</v>
      </c>
      <c r="C120" s="107" t="str" cm="1">
        <f t="array" ref="C120">" "&amp;LOWER(_xlfn.REDUCE(El_unit[[#This Row],[Location]],{",",".","(",")","/"},_xlfn.LAMBDA(_xlpm.txt,_xlpm.delim,SUBSTITUTE(_xlpm.txt,_xlpm.delim," "))))&amp;" "</f>
        <v xml:space="preserve"> kalajärvi  seinäjoki </v>
      </c>
      <c r="D120" s="22" t="s">
        <v>3064</v>
      </c>
      <c r="E120" s="1">
        <v>1.8</v>
      </c>
      <c r="F120" s="1">
        <v>0</v>
      </c>
      <c r="G120" s="1">
        <v>0</v>
      </c>
      <c r="H120" s="1">
        <v>1.8</v>
      </c>
      <c r="L120" s="1" t="str" cm="1">
        <f t="array" ref="L120">_xlfn.XLOOKUP(TRUE,ISNUMBER(SEARCH(" "&amp;Municipality[Municipality]&amp;" ",El_unit[[#This Row],[Info sting]])),Municipality[Municipality],"")</f>
        <v>Seinäjoki</v>
      </c>
      <c r="M120" s="1" t="str" cm="1">
        <f t="array" ref="M120">IF(El_unit[[#This Row],[Exact]]&lt;&gt;"","",_xlfn.XLOOKUP(TRUE,ISNUMBER(SEARCH(" "&amp;Municipality[Municipality]&amp;"n ",El_unit[[#This Row],[Info sting]])),Municipality[Municipality],""))</f>
        <v/>
      </c>
      <c r="O120" s="35"/>
      <c r="Q120" s="1" t="str">
        <f>_xlfn.TEXTJOIN("",TRUE,El_unit[[#This Row],[Exact]],El_unit[[#This Row],[Exact+n]],El_unit[[#This Row],[Copilot]])</f>
        <v>Seinäjoki</v>
      </c>
    </row>
    <row r="121" spans="1:17">
      <c r="A121" s="54" t="s">
        <v>464</v>
      </c>
      <c r="B121" s="22" t="s">
        <v>695</v>
      </c>
      <c r="C121" s="107" t="str" cm="1">
        <f t="array" ref="C121">" "&amp;LOWER(_xlfn.REDUCE(El_unit[[#This Row],[Location]],{",",".","(",")","/"},_xlfn.LAMBDA(_xlpm.txt,_xlpm.delim,SUBSTITUTE(_xlpm.txt,_xlpm.delim," "))))&amp;" "</f>
        <v xml:space="preserve"> råskogsvägen 390  närpes </v>
      </c>
      <c r="D121" s="22" t="s">
        <v>3066</v>
      </c>
      <c r="E121" s="1">
        <v>90.3</v>
      </c>
      <c r="F121" s="1">
        <v>0</v>
      </c>
      <c r="G121" s="1">
        <v>0</v>
      </c>
      <c r="H121" s="1">
        <v>90.3</v>
      </c>
      <c r="L121" s="1" t="str" cm="1">
        <f t="array" ref="L121">_xlfn.XLOOKUP(TRUE,ISNUMBER(SEARCH(" "&amp;Municipality[Municipality]&amp;" ",El_unit[[#This Row],[Info sting]])),Municipality[Municipality],"")</f>
        <v/>
      </c>
      <c r="M121" s="1" t="str" cm="1">
        <f t="array" ref="M121">IF(El_unit[[#This Row],[Exact]]&lt;&gt;"","",_xlfn.XLOOKUP(TRUE,ISNUMBER(SEARCH(" "&amp;Municipality[Municipality]&amp;"n ",El_unit[[#This Row],[Info sting]])),Municipality[Municipality],""))</f>
        <v/>
      </c>
      <c r="N121" s="1" t="s">
        <v>2698</v>
      </c>
      <c r="O121" s="35" t="s">
        <v>3150</v>
      </c>
      <c r="Q121" s="1" t="str">
        <f>_xlfn.TEXTJOIN("",TRUE,El_unit[[#This Row],[Exact]],El_unit[[#This Row],[Exact+n]],El_unit[[#This Row],[Copilot]])</f>
        <v>Närpiö</v>
      </c>
    </row>
    <row r="122" spans="1:17">
      <c r="A122" s="54" t="s">
        <v>465</v>
      </c>
      <c r="B122" s="22" t="s">
        <v>696</v>
      </c>
      <c r="C122" s="107" t="str" cm="1">
        <f t="array" ref="C122">" "&amp;LOWER(_xlfn.REDUCE(El_unit[[#This Row],[Location]],{",",".","(",")","/"},_xlfn.LAMBDA(_xlpm.txt,_xlpm.delim,SUBSTITUTE(_xlpm.txt,_xlpm.delim," "))))&amp;" "</f>
        <v xml:space="preserve"> kalistantie 11  66300 kurikka </v>
      </c>
      <c r="D122" s="22" t="s">
        <v>3066</v>
      </c>
      <c r="E122" s="1">
        <v>158.65</v>
      </c>
      <c r="F122" s="1">
        <v>0</v>
      </c>
      <c r="G122" s="1">
        <v>0</v>
      </c>
      <c r="H122" s="1">
        <v>158.65</v>
      </c>
      <c r="L122" s="1" t="str" cm="1">
        <f t="array" ref="L122">_xlfn.XLOOKUP(TRUE,ISNUMBER(SEARCH(" "&amp;Municipality[Municipality]&amp;" ",El_unit[[#This Row],[Info sting]])),Municipality[Municipality],"")</f>
        <v>Kurikka</v>
      </c>
      <c r="M122" s="1" t="str" cm="1">
        <f t="array" ref="M122">IF(El_unit[[#This Row],[Exact]]&lt;&gt;"","",_xlfn.XLOOKUP(TRUE,ISNUMBER(SEARCH(" "&amp;Municipality[Municipality]&amp;"n ",El_unit[[#This Row],[Info sting]])),Municipality[Municipality],""))</f>
        <v/>
      </c>
      <c r="O122" s="35"/>
      <c r="Q122" s="1" t="str">
        <f>_xlfn.TEXTJOIN("",TRUE,El_unit[[#This Row],[Exact]],El_unit[[#This Row],[Exact+n]],El_unit[[#This Row],[Copilot]])</f>
        <v>Kurikka</v>
      </c>
    </row>
    <row r="123" spans="1:17">
      <c r="A123" s="54" t="s">
        <v>237</v>
      </c>
      <c r="B123" s="22" t="s">
        <v>237</v>
      </c>
      <c r="C123" s="107" t="str" cm="1">
        <f t="array" ref="C123">" "&amp;LOWER(_xlfn.REDUCE(El_unit[[#This Row],[Location]],{",",".","(",")","/"},_xlfn.LAMBDA(_xlpm.txt,_xlpm.delim,SUBSTITUTE(_xlpm.txt,_xlpm.delim," "))))&amp;" "</f>
        <v xml:space="preserve"> kallioinen </v>
      </c>
      <c r="D123" s="22" t="s">
        <v>3064</v>
      </c>
      <c r="E123" s="1">
        <v>12</v>
      </c>
      <c r="F123" s="1">
        <v>0</v>
      </c>
      <c r="G123" s="1">
        <v>0</v>
      </c>
      <c r="H123" s="1">
        <v>12</v>
      </c>
      <c r="L123" s="1" t="str" cm="1">
        <f t="array" ref="L123">_xlfn.XLOOKUP(TRUE,ISNUMBER(SEARCH(" "&amp;Municipality[Municipality]&amp;" ",El_unit[[#This Row],[Info sting]])),Municipality[Municipality],"")</f>
        <v/>
      </c>
      <c r="M123" s="1" t="str" cm="1">
        <f t="array" ref="M123">IF(El_unit[[#This Row],[Exact]]&lt;&gt;"","",_xlfn.XLOOKUP(TRUE,ISNUMBER(SEARCH(" "&amp;Municipality[Municipality]&amp;"n ",El_unit[[#This Row],[Info sting]])),Municipality[Municipality],""))</f>
        <v/>
      </c>
      <c r="O123" s="35"/>
      <c r="Q123" s="1" t="str">
        <f>_xlfn.TEXTJOIN("",TRUE,El_unit[[#This Row],[Exact]],El_unit[[#This Row],[Exact+n]],El_unit[[#This Row],[Copilot]])</f>
        <v/>
      </c>
    </row>
    <row r="124" spans="1:17">
      <c r="A124" s="54" t="s">
        <v>239</v>
      </c>
      <c r="B124" s="22" t="s">
        <v>239</v>
      </c>
      <c r="C124" s="107" t="str" cm="1">
        <f t="array" ref="C124">" "&amp;LOWER(_xlfn.REDUCE(El_unit[[#This Row],[Location]],{",",".","(",")","/"},_xlfn.LAMBDA(_xlpm.txt,_xlpm.delim,SUBSTITUTE(_xlpm.txt,_xlpm.delim," "))))&amp;" "</f>
        <v xml:space="preserve"> kaltimo </v>
      </c>
      <c r="D124" s="22" t="s">
        <v>3064</v>
      </c>
      <c r="E124" s="1">
        <v>32</v>
      </c>
      <c r="F124" s="1">
        <v>0</v>
      </c>
      <c r="G124" s="1">
        <v>0</v>
      </c>
      <c r="H124" s="1">
        <v>32</v>
      </c>
      <c r="L124" s="1" t="str" cm="1">
        <f t="array" ref="L124">_xlfn.XLOOKUP(TRUE,ISNUMBER(SEARCH(" "&amp;Municipality[Municipality]&amp;" ",El_unit[[#This Row],[Info sting]])),Municipality[Municipality],"")</f>
        <v/>
      </c>
      <c r="M124" s="1" t="str" cm="1">
        <f t="array" ref="M124">IF(El_unit[[#This Row],[Exact]]&lt;&gt;"","",_xlfn.XLOOKUP(TRUE,ISNUMBER(SEARCH(" "&amp;Municipality[Municipality]&amp;"n ",El_unit[[#This Row],[Info sting]])),Municipality[Municipality],""))</f>
        <v/>
      </c>
      <c r="N124" s="1" t="s">
        <v>2504</v>
      </c>
      <c r="O124" s="35" t="s">
        <v>3135</v>
      </c>
      <c r="Q124" s="1" t="str">
        <f>_xlfn.TEXTJOIN("",TRUE,El_unit[[#This Row],[Exact]],El_unit[[#This Row],[Exact+n]],El_unit[[#This Row],[Copilot]])</f>
        <v>Eno</v>
      </c>
    </row>
    <row r="125" spans="1:17">
      <c r="A125" s="54" t="s">
        <v>466</v>
      </c>
      <c r="B125" s="22" t="s">
        <v>466</v>
      </c>
      <c r="C125" s="107" t="str" cm="1">
        <f t="array" ref="C125">" "&amp;LOWER(_xlfn.REDUCE(El_unit[[#This Row],[Location]],{",",".","(",")","/"},_xlfn.LAMBDA(_xlpm.txt,_xlpm.delim,SUBSTITUTE(_xlpm.txt,_xlpm.delim," "))))&amp;" "</f>
        <v xml:space="preserve"> kankaanpää </v>
      </c>
      <c r="D125" s="22" t="s">
        <v>3068</v>
      </c>
      <c r="E125" s="1">
        <v>1</v>
      </c>
      <c r="F125" s="1">
        <v>0</v>
      </c>
      <c r="G125" s="1">
        <v>6</v>
      </c>
      <c r="H125" s="1">
        <v>7</v>
      </c>
      <c r="I125" s="1" t="s">
        <v>1020</v>
      </c>
      <c r="L125" s="1" t="str" cm="1">
        <f t="array" ref="L125">_xlfn.XLOOKUP(TRUE,ISNUMBER(SEARCH(" "&amp;Municipality[Municipality]&amp;" ",El_unit[[#This Row],[Info sting]])),Municipality[Municipality],"")</f>
        <v>Kankaanpää</v>
      </c>
      <c r="M125" s="1" t="str" cm="1">
        <f t="array" ref="M125">IF(El_unit[[#This Row],[Exact]]&lt;&gt;"","",_xlfn.XLOOKUP(TRUE,ISNUMBER(SEARCH(" "&amp;Municipality[Municipality]&amp;"n ",El_unit[[#This Row],[Info sting]])),Municipality[Municipality],""))</f>
        <v/>
      </c>
      <c r="O125" s="35"/>
      <c r="Q125" s="1" t="str">
        <f>_xlfn.TEXTJOIN("",TRUE,El_unit[[#This Row],[Exact]],El_unit[[#This Row],[Exact+n]],El_unit[[#This Row],[Copilot]])</f>
        <v>Kankaanpää</v>
      </c>
    </row>
    <row r="126" spans="1:17">
      <c r="A126" s="54" t="s">
        <v>467</v>
      </c>
      <c r="B126" s="22" t="s">
        <v>467</v>
      </c>
      <c r="C126" s="107" t="str" cm="1">
        <f t="array" ref="C126">" "&amp;LOWER(_xlfn.REDUCE(El_unit[[#This Row],[Location]],{",",".","(",")","/"},_xlfn.LAMBDA(_xlpm.txt,_xlpm.delim,SUBSTITUTE(_xlpm.txt,_xlpm.delim," "))))&amp;" "</f>
        <v xml:space="preserve"> kankaanpäänmäki </v>
      </c>
      <c r="D126" s="22" t="s">
        <v>3066</v>
      </c>
      <c r="E126" s="1">
        <v>7.5</v>
      </c>
      <c r="F126" s="1">
        <v>0</v>
      </c>
      <c r="G126" s="1">
        <v>0</v>
      </c>
      <c r="H126" s="1">
        <v>7.5</v>
      </c>
      <c r="L126" s="1" t="str" cm="1">
        <f t="array" ref="L126">_xlfn.XLOOKUP(TRUE,ISNUMBER(SEARCH(" "&amp;Municipality[Municipality]&amp;" ",El_unit[[#This Row],[Info sting]])),Municipality[Municipality],"")</f>
        <v/>
      </c>
      <c r="M126" s="1" t="str" cm="1">
        <f t="array" ref="M126">IF(El_unit[[#This Row],[Exact]]&lt;&gt;"","",_xlfn.XLOOKUP(TRUE,ISNUMBER(SEARCH(" "&amp;Municipality[Municipality]&amp;"n ",El_unit[[#This Row],[Info sting]])),Municipality[Municipality],""))</f>
        <v/>
      </c>
      <c r="N126" s="1" t="s">
        <v>2720</v>
      </c>
      <c r="O126" s="35" t="s">
        <v>3121</v>
      </c>
      <c r="Q126" s="1" t="str">
        <f>_xlfn.TEXTJOIN("",TRUE,El_unit[[#This Row],[Exact]],El_unit[[#This Row],[Exact+n]],El_unit[[#This Row],[Copilot]])</f>
        <v>Peräseinäjoki</v>
      </c>
    </row>
    <row r="127" spans="1:17">
      <c r="A127" s="54" t="s">
        <v>468</v>
      </c>
      <c r="B127" s="22" t="s">
        <v>468</v>
      </c>
      <c r="C127" s="107" t="str" cm="1">
        <f t="array" ref="C127">" "&amp;LOWER(_xlfn.REDUCE(El_unit[[#This Row],[Location]],{",",".","(",")","/"},_xlfn.LAMBDA(_xlpm.txt,_xlpm.delim,SUBSTITUTE(_xlpm.txt,_xlpm.delim," "))))&amp;" "</f>
        <v xml:space="preserve"> kantti </v>
      </c>
      <c r="D127" s="22" t="s">
        <v>3066</v>
      </c>
      <c r="E127" s="1">
        <v>24</v>
      </c>
      <c r="F127" s="1">
        <v>0</v>
      </c>
      <c r="G127" s="1">
        <v>0</v>
      </c>
      <c r="H127" s="1">
        <v>24</v>
      </c>
      <c r="L127" s="1" t="str" cm="1">
        <f t="array" ref="L127">_xlfn.XLOOKUP(TRUE,ISNUMBER(SEARCH(" "&amp;Municipality[Municipality]&amp;" ",El_unit[[#This Row],[Info sting]])),Municipality[Municipality],"")</f>
        <v/>
      </c>
      <c r="M127" s="1" t="str" cm="1">
        <f t="array" ref="M127">IF(El_unit[[#This Row],[Exact]]&lt;&gt;"","",_xlfn.XLOOKUP(TRUE,ISNUMBER(SEARCH(" "&amp;Municipality[Municipality]&amp;"n ",El_unit[[#This Row],[Info sting]])),Municipality[Municipality],""))</f>
        <v/>
      </c>
      <c r="N127" s="1" t="s">
        <v>2575</v>
      </c>
      <c r="O127" s="35" t="s">
        <v>3122</v>
      </c>
      <c r="Q127" s="1" t="str">
        <f>_xlfn.TEXTJOIN("",TRUE,El_unit[[#This Row],[Exact]],El_unit[[#This Row],[Exact+n]],El_unit[[#This Row],[Copilot]])</f>
        <v>Karvia</v>
      </c>
    </row>
    <row r="128" spans="1:17">
      <c r="A128" s="54" t="s">
        <v>469</v>
      </c>
      <c r="B128" s="22" t="s">
        <v>469</v>
      </c>
      <c r="C128" s="107" t="str" cm="1">
        <f t="array" ref="C128">" "&amp;LOWER(_xlfn.REDUCE(El_unit[[#This Row],[Location]],{",",".","(",")","/"},_xlfn.LAMBDA(_xlpm.txt,_xlpm.delim,SUBSTITUTE(_xlpm.txt,_xlpm.delim," "))))&amp;" "</f>
        <v xml:space="preserve"> kantvik </v>
      </c>
      <c r="D128" s="22" t="s">
        <v>3068</v>
      </c>
      <c r="E128" s="1">
        <v>1.25</v>
      </c>
      <c r="F128" s="1">
        <v>0</v>
      </c>
      <c r="G128" s="1">
        <v>0</v>
      </c>
      <c r="H128" s="1">
        <v>1.25</v>
      </c>
      <c r="I128" s="1" t="s">
        <v>1020</v>
      </c>
      <c r="L128" s="1" t="str" cm="1">
        <f t="array" ref="L128">_xlfn.XLOOKUP(TRUE,ISNUMBER(SEARCH(" "&amp;Municipality[Municipality]&amp;" ",El_unit[[#This Row],[Info sting]])),Municipality[Municipality],"")</f>
        <v/>
      </c>
      <c r="M128" s="1" t="str" cm="1">
        <f t="array" ref="M128">IF(El_unit[[#This Row],[Exact]]&lt;&gt;"","",_xlfn.XLOOKUP(TRUE,ISNUMBER(SEARCH(" "&amp;Municipality[Municipality]&amp;"n ",El_unit[[#This Row],[Info sting]])),Municipality[Municipality],""))</f>
        <v/>
      </c>
      <c r="O128" s="35"/>
      <c r="Q128" s="1" t="str">
        <f>_xlfn.TEXTJOIN("",TRUE,El_unit[[#This Row],[Exact]],El_unit[[#This Row],[Exact+n]],El_unit[[#This Row],[Copilot]])</f>
        <v/>
      </c>
    </row>
    <row r="129" spans="1:17">
      <c r="A129" s="54" t="s">
        <v>470</v>
      </c>
      <c r="B129" s="22" t="s">
        <v>470</v>
      </c>
      <c r="C129" s="107" t="str" cm="1">
        <f t="array" ref="C129">" "&amp;LOWER(_xlfn.REDUCE(El_unit[[#This Row],[Location]],{",",".","(",")","/"},_xlfn.LAMBDA(_xlpm.txt,_xlpm.delim,SUBSTITUTE(_xlpm.txt,_xlpm.delim," "))))&amp;" "</f>
        <v xml:space="preserve"> karhukankaan ja navettakankaan tuulipuisto  siikajoki </v>
      </c>
      <c r="D129" s="22" t="s">
        <v>3066</v>
      </c>
      <c r="E129" s="1">
        <v>235.6</v>
      </c>
      <c r="F129" s="1">
        <v>0</v>
      </c>
      <c r="G129" s="1">
        <v>0</v>
      </c>
      <c r="H129" s="1">
        <v>235.6</v>
      </c>
      <c r="L129" s="1" t="str" cm="1">
        <f t="array" ref="L129">_xlfn.XLOOKUP(TRUE,ISNUMBER(SEARCH(" "&amp;Municipality[Municipality]&amp;" ",El_unit[[#This Row],[Info sting]])),Municipality[Municipality],"")</f>
        <v>Siikajoki</v>
      </c>
      <c r="M129" s="1" t="str" cm="1">
        <f t="array" ref="M129">IF(El_unit[[#This Row],[Exact]]&lt;&gt;"","",_xlfn.XLOOKUP(TRUE,ISNUMBER(SEARCH(" "&amp;Municipality[Municipality]&amp;"n ",El_unit[[#This Row],[Info sting]])),Municipality[Municipality],""))</f>
        <v/>
      </c>
      <c r="O129" s="35"/>
      <c r="Q129" s="1" t="str">
        <f>_xlfn.TEXTJOIN("",TRUE,El_unit[[#This Row],[Exact]],El_unit[[#This Row],[Exact+n]],El_unit[[#This Row],[Copilot]])</f>
        <v>Siikajoki</v>
      </c>
    </row>
    <row r="130" spans="1:17">
      <c r="A130" s="54" t="s">
        <v>471</v>
      </c>
      <c r="B130" s="22" t="s">
        <v>471</v>
      </c>
      <c r="C130" s="107" t="str" cm="1">
        <f t="array" ref="C130">" "&amp;LOWER(_xlfn.REDUCE(El_unit[[#This Row],[Location]],{",",".","(",")","/"},_xlfn.LAMBDA(_xlpm.txt,_xlpm.delim,SUBSTITUTE(_xlpm.txt,_xlpm.delim," "))))&amp;" "</f>
        <v xml:space="preserve"> karhunnevankankaan tuulipuisto </v>
      </c>
      <c r="D130" s="22" t="s">
        <v>3066</v>
      </c>
      <c r="E130" s="1">
        <v>188.1</v>
      </c>
      <c r="F130" s="1">
        <v>0</v>
      </c>
      <c r="G130" s="1">
        <v>0</v>
      </c>
      <c r="H130" s="1">
        <v>188.1</v>
      </c>
      <c r="L130" s="1" t="str" cm="1">
        <f t="array" ref="L130">_xlfn.XLOOKUP(TRUE,ISNUMBER(SEARCH(" "&amp;Municipality[Municipality]&amp;" ",El_unit[[#This Row],[Info sting]])),Municipality[Municipality],"")</f>
        <v/>
      </c>
      <c r="M130" s="1" t="str" cm="1">
        <f t="array" ref="M130">IF(El_unit[[#This Row],[Exact]]&lt;&gt;"","",_xlfn.XLOOKUP(TRUE,ISNUMBER(SEARCH(" "&amp;Municipality[Municipality]&amp;"n ",El_unit[[#This Row],[Info sting]])),Municipality[Municipality],""))</f>
        <v/>
      </c>
      <c r="N130" s="1" t="s">
        <v>590</v>
      </c>
      <c r="O130" s="35" t="s">
        <v>3123</v>
      </c>
      <c r="Q130" s="1" t="str">
        <f>_xlfn.TEXTJOIN("",TRUE,El_unit[[#This Row],[Exact]],El_unit[[#This Row],[Exact+n]],El_unit[[#This Row],[Copilot]])</f>
        <v>Pyhäjoki</v>
      </c>
    </row>
    <row r="131" spans="1:17">
      <c r="A131" s="54" t="s">
        <v>472</v>
      </c>
      <c r="B131" s="22" t="s">
        <v>472</v>
      </c>
      <c r="C131" s="107" t="str" cm="1">
        <f t="array" ref="C131">" "&amp;LOWER(_xlfn.REDUCE(El_unit[[#This Row],[Location]],{",",".","(",")","/"},_xlfn.LAMBDA(_xlpm.txt,_xlpm.delim,SUBSTITUTE(_xlpm.txt,_xlpm.delim," "))))&amp;" "</f>
        <v xml:space="preserve"> karhusaaren tuulivoimapuisto </v>
      </c>
      <c r="D131" s="22" t="s">
        <v>3066</v>
      </c>
      <c r="E131" s="1">
        <v>3.45</v>
      </c>
      <c r="F131" s="1">
        <v>0</v>
      </c>
      <c r="G131" s="1">
        <v>0</v>
      </c>
      <c r="H131" s="1">
        <v>3.45</v>
      </c>
      <c r="L131" s="1" t="str" cm="1">
        <f t="array" ref="L131">_xlfn.XLOOKUP(TRUE,ISNUMBER(SEARCH(" "&amp;Municipality[Municipality]&amp;" ",El_unit[[#This Row],[Info sting]])),Municipality[Municipality],"")</f>
        <v/>
      </c>
      <c r="M131" s="1" t="str" cm="1">
        <f t="array" ref="M131">IF(El_unit[[#This Row],[Exact]]&lt;&gt;"","",_xlfn.XLOOKUP(TRUE,ISNUMBER(SEARCH(" "&amp;Municipality[Municipality]&amp;"n ",El_unit[[#This Row],[Info sting]])),Municipality[Municipality],""))</f>
        <v/>
      </c>
      <c r="O131" s="35"/>
      <c r="Q131" s="1" t="str">
        <f>_xlfn.TEXTJOIN("",TRUE,El_unit[[#This Row],[Exact]],El_unit[[#This Row],[Exact+n]],El_unit[[#This Row],[Copilot]])</f>
        <v/>
      </c>
    </row>
    <row r="132" spans="1:17">
      <c r="A132" s="54" t="s">
        <v>240</v>
      </c>
      <c r="B132" s="22" t="s">
        <v>241</v>
      </c>
      <c r="C132" s="107" t="str" cm="1">
        <f t="array" ref="C132">" "&amp;LOWER(_xlfn.REDUCE(El_unit[[#This Row],[Location]],{",",".","(",")","/"},_xlfn.LAMBDA(_xlpm.txt,_xlpm.delim,SUBSTITUTE(_xlpm.txt,_xlpm.delim," "))))&amp;" "</f>
        <v xml:space="preserve"> juankoski  pohjolantie 10 </v>
      </c>
      <c r="D132" s="22" t="s">
        <v>3064</v>
      </c>
      <c r="E132" s="1">
        <v>4.5</v>
      </c>
      <c r="F132" s="1">
        <v>0</v>
      </c>
      <c r="G132" s="1">
        <v>0</v>
      </c>
      <c r="H132" s="1">
        <v>4.5</v>
      </c>
      <c r="L132" s="1" t="str" cm="1">
        <f t="array" ref="L132">_xlfn.XLOOKUP(TRUE,ISNUMBER(SEARCH(" "&amp;Municipality[Municipality]&amp;" ",El_unit[[#This Row],[Info sting]])),Municipality[Municipality],"")</f>
        <v>Juankoski</v>
      </c>
      <c r="M132" s="1" t="str" cm="1">
        <f t="array" ref="M132">IF(El_unit[[#This Row],[Exact]]&lt;&gt;"","",_xlfn.XLOOKUP(TRUE,ISNUMBER(SEARCH(" "&amp;Municipality[Municipality]&amp;"n ",El_unit[[#This Row],[Info sting]])),Municipality[Municipality],""))</f>
        <v/>
      </c>
      <c r="O132" s="35"/>
      <c r="Q132" s="1" t="str">
        <f>_xlfn.TEXTJOIN("",TRUE,El_unit[[#This Row],[Exact]],El_unit[[#This Row],[Exact+n]],El_unit[[#This Row],[Copilot]])</f>
        <v>Juankoski</v>
      </c>
    </row>
    <row r="133" spans="1:17">
      <c r="A133" s="54" t="s">
        <v>473</v>
      </c>
      <c r="B133" s="22" t="s">
        <v>697</v>
      </c>
      <c r="C133" s="107" t="str" cm="1">
        <f t="array" ref="C133">" "&amp;LOWER(_xlfn.REDUCE(El_unit[[#This Row],[Location]],{",",".","(",")","/"},_xlfn.LAMBDA(_xlpm.txt,_xlpm.delim,SUBSTITUTE(_xlpm.txt,_xlpm.delim," "))))&amp;" "</f>
        <v xml:space="preserve"> rautakatu 7 naantali </v>
      </c>
      <c r="D133" s="22" t="s">
        <v>3068</v>
      </c>
      <c r="E133" s="1">
        <v>1.1000000000000001</v>
      </c>
      <c r="F133" s="1">
        <v>0</v>
      </c>
      <c r="G133" s="1">
        <v>0</v>
      </c>
      <c r="H133" s="1">
        <v>1.1000000000000001</v>
      </c>
      <c r="I133" s="1" t="s">
        <v>1020</v>
      </c>
      <c r="J133" s="1" t="s">
        <v>1020</v>
      </c>
      <c r="L133" s="1" t="str" cm="1">
        <f t="array" ref="L133">_xlfn.XLOOKUP(TRUE,ISNUMBER(SEARCH(" "&amp;Municipality[Municipality]&amp;" ",El_unit[[#This Row],[Info sting]])),Municipality[Municipality],"")</f>
        <v>Naantali</v>
      </c>
      <c r="M133" s="1" t="str" cm="1">
        <f t="array" ref="M133">IF(El_unit[[#This Row],[Exact]]&lt;&gt;"","",_xlfn.XLOOKUP(TRUE,ISNUMBER(SEARCH(" "&amp;Municipality[Municipality]&amp;"n ",El_unit[[#This Row],[Info sting]])),Municipality[Municipality],""))</f>
        <v/>
      </c>
      <c r="O133" s="35"/>
      <c r="Q133" s="1" t="str">
        <f>_xlfn.TEXTJOIN("",TRUE,El_unit[[#This Row],[Exact]],El_unit[[#This Row],[Exact+n]],El_unit[[#This Row],[Copilot]])</f>
        <v>Naantali</v>
      </c>
    </row>
    <row r="134" spans="1:17">
      <c r="A134" s="54" t="s">
        <v>913</v>
      </c>
      <c r="B134" s="22" t="s">
        <v>979</v>
      </c>
      <c r="C134" s="107" t="str" cm="1">
        <f t="array" ref="C134">" "&amp;LOWER(_xlfn.REDUCE(El_unit[[#This Row],[Location]],{",",".","(",")","/"},_xlfn.LAMBDA(_xlpm.txt,_xlpm.delim,SUBSTITUTE(_xlpm.txt,_xlpm.delim," "))))&amp;" "</f>
        <v xml:space="preserve"> metsä fibre kaskisten tehdas </v>
      </c>
      <c r="D134" s="22" t="s">
        <v>3065</v>
      </c>
      <c r="E134" s="1">
        <v>0</v>
      </c>
      <c r="F134" s="1">
        <v>0</v>
      </c>
      <c r="G134" s="1">
        <v>0</v>
      </c>
      <c r="H134" s="1">
        <v>0</v>
      </c>
      <c r="I134" s="1" t="s">
        <v>1024</v>
      </c>
      <c r="J134" s="1" t="s">
        <v>1017</v>
      </c>
      <c r="K134" s="1" t="s">
        <v>1016</v>
      </c>
      <c r="L134" s="1" t="str" cm="1">
        <f t="array" ref="L134">_xlfn.XLOOKUP(TRUE,ISNUMBER(SEARCH(" "&amp;Municipality[Municipality]&amp;" ",El_unit[[#This Row],[Info sting]])),Municipality[Municipality],"")</f>
        <v/>
      </c>
      <c r="M134" s="1" t="str" cm="1">
        <f t="array" ref="M134">IF(El_unit[[#This Row],[Exact]]&lt;&gt;"","",_xlfn.XLOOKUP(TRUE,ISNUMBER(SEARCH(" "&amp;Municipality[Municipality]&amp;"n ",El_unit[[#This Row],[Info sting]])),Municipality[Municipality],""))</f>
        <v/>
      </c>
      <c r="N134" s="1" t="s">
        <v>2576</v>
      </c>
      <c r="O134" s="35"/>
      <c r="P134" s="1" t="s">
        <v>3081</v>
      </c>
      <c r="Q134" s="1" t="str">
        <f>_xlfn.TEXTJOIN("",TRUE,El_unit[[#This Row],[Exact]],El_unit[[#This Row],[Exact+n]],El_unit[[#This Row],[Copilot]])</f>
        <v>Kaskinen</v>
      </c>
    </row>
    <row r="135" spans="1:17">
      <c r="A135" s="54" t="s">
        <v>242</v>
      </c>
      <c r="B135" s="22" t="s">
        <v>242</v>
      </c>
      <c r="C135" s="107" t="str" cm="1">
        <f t="array" ref="C135">" "&amp;LOWER(_xlfn.REDUCE(El_unit[[#This Row],[Location]],{",",".","(",")","/"},_xlfn.LAMBDA(_xlpm.txt,_xlpm.delim,SUBSTITUTE(_xlpm.txt,_xlpm.delim," "))))&amp;" "</f>
        <v xml:space="preserve"> katerma </v>
      </c>
      <c r="D135" s="22" t="s">
        <v>3064</v>
      </c>
      <c r="E135" s="1">
        <v>11.5</v>
      </c>
      <c r="F135" s="1">
        <v>0</v>
      </c>
      <c r="G135" s="1">
        <v>0</v>
      </c>
      <c r="H135" s="1">
        <v>11.5</v>
      </c>
      <c r="L135" s="1" t="str" cm="1">
        <f t="array" ref="L135">_xlfn.XLOOKUP(TRUE,ISNUMBER(SEARCH(" "&amp;Municipality[Municipality]&amp;" ",El_unit[[#This Row],[Info sting]])),Municipality[Municipality],"")</f>
        <v/>
      </c>
      <c r="M135" s="1" t="str" cm="1">
        <f t="array" ref="M135">IF(El_unit[[#This Row],[Exact]]&lt;&gt;"","",_xlfn.XLOOKUP(TRUE,ISNUMBER(SEARCH(" "&amp;Municipality[Municipality]&amp;"n ",El_unit[[#This Row],[Info sting]])),Municipality[Municipality],""))</f>
        <v/>
      </c>
      <c r="N135" s="1" t="s">
        <v>987</v>
      </c>
      <c r="O135" s="35" t="s">
        <v>3136</v>
      </c>
      <c r="Q135" s="1" t="str">
        <f>_xlfn.TEXTJOIN("",TRUE,El_unit[[#This Row],[Exact]],El_unit[[#This Row],[Exact+n]],El_unit[[#This Row],[Copilot]])</f>
        <v>Kuhmo</v>
      </c>
    </row>
    <row r="136" spans="1:17">
      <c r="A136" s="54" t="s">
        <v>243</v>
      </c>
      <c r="B136" s="22" t="s">
        <v>243</v>
      </c>
      <c r="C136" s="107" t="str" cm="1">
        <f t="array" ref="C136">" "&amp;LOWER(_xlfn.REDUCE(El_unit[[#This Row],[Location]],{",",".","(",")","/"},_xlfn.LAMBDA(_xlpm.txt,_xlpm.delim,SUBSTITUTE(_xlpm.txt,_xlpm.delim," "))))&amp;" "</f>
        <v xml:space="preserve"> kattilakoski </v>
      </c>
      <c r="D136" s="22" t="s">
        <v>3064</v>
      </c>
      <c r="E136" s="1">
        <v>2.1</v>
      </c>
      <c r="F136" s="1">
        <v>0</v>
      </c>
      <c r="G136" s="1">
        <v>0</v>
      </c>
      <c r="H136" s="1">
        <v>2.1</v>
      </c>
      <c r="L136" s="1" t="str" cm="1">
        <f t="array" ref="L136">_xlfn.XLOOKUP(TRUE,ISNUMBER(SEARCH(" "&amp;Municipality[Municipality]&amp;" ",El_unit[[#This Row],[Info sting]])),Municipality[Municipality],"")</f>
        <v/>
      </c>
      <c r="M136" s="1" t="str" cm="1">
        <f t="array" ref="M136">IF(El_unit[[#This Row],[Exact]]&lt;&gt;"","",_xlfn.XLOOKUP(TRUE,ISNUMBER(SEARCH(" "&amp;Municipality[Municipality]&amp;"n ",El_unit[[#This Row],[Info sting]])),Municipality[Municipality],""))</f>
        <v/>
      </c>
      <c r="N136" s="1" t="s">
        <v>2511</v>
      </c>
      <c r="O136" s="35" t="s">
        <v>3124</v>
      </c>
      <c r="Q136" s="1" t="str">
        <f>_xlfn.TEXTJOIN("",TRUE,El_unit[[#This Row],[Exact]],El_unit[[#This Row],[Exact+n]],El_unit[[#This Row],[Copilot]])</f>
        <v>Evijärvi</v>
      </c>
    </row>
    <row r="137" spans="1:17">
      <c r="A137" s="54" t="s">
        <v>474</v>
      </c>
      <c r="B137" s="22" t="s">
        <v>474</v>
      </c>
      <c r="C137" s="107" t="str" cm="1">
        <f t="array" ref="C137">" "&amp;LOWER(_xlfn.REDUCE(El_unit[[#This Row],[Location]],{",",".","(",")","/"},_xlfn.LAMBDA(_xlpm.txt,_xlpm.delim,SUBSTITUTE(_xlpm.txt,_xlpm.delim," "))))&amp;" "</f>
        <v xml:space="preserve"> kaukanen </v>
      </c>
      <c r="D137" s="22" t="s">
        <v>3066</v>
      </c>
      <c r="E137" s="1">
        <v>48</v>
      </c>
      <c r="F137" s="1">
        <v>0</v>
      </c>
      <c r="G137" s="1">
        <v>0</v>
      </c>
      <c r="H137" s="1">
        <v>48</v>
      </c>
      <c r="L137" s="1" t="str" cm="1">
        <f t="array" ref="L137">_xlfn.XLOOKUP(TRUE,ISNUMBER(SEARCH(" "&amp;Municipality[Municipality]&amp;" ",El_unit[[#This Row],[Info sting]])),Municipality[Municipality],"")</f>
        <v/>
      </c>
      <c r="M137" s="1" t="str" cm="1">
        <f t="array" ref="M137">IF(El_unit[[#This Row],[Exact]]&lt;&gt;"","",_xlfn.XLOOKUP(TRUE,ISNUMBER(SEARCH(" "&amp;Municipality[Municipality]&amp;"n ",El_unit[[#This Row],[Info sting]])),Municipality[Municipality],""))</f>
        <v/>
      </c>
      <c r="N137" s="1" t="s">
        <v>674</v>
      </c>
      <c r="O137" s="35" t="s">
        <v>3151</v>
      </c>
      <c r="Q137" s="1" t="str">
        <f>_xlfn.TEXTJOIN("",TRUE,El_unit[[#This Row],[Exact]],El_unit[[#This Row],[Exact+n]],El_unit[[#This Row],[Copilot]])</f>
        <v>Kannus</v>
      </c>
    </row>
    <row r="138" spans="1:17">
      <c r="A138" s="54" t="s">
        <v>914</v>
      </c>
      <c r="B138" s="22" t="s">
        <v>980</v>
      </c>
      <c r="C138" s="107" t="str" cm="1">
        <f t="array" ref="C138">" "&amp;LOWER(_xlfn.REDUCE(El_unit[[#This Row],[Location]],{",",".","(",")","/"},_xlfn.LAMBDA(_xlpm.txt,_xlpm.delim,SUBSTITUTE(_xlpm.txt,_xlpm.delim," "))))&amp;" "</f>
        <v xml:space="preserve"> lappeenranta </v>
      </c>
      <c r="D138" s="22" t="s">
        <v>3065</v>
      </c>
      <c r="E138" s="1">
        <v>0</v>
      </c>
      <c r="F138" s="1">
        <v>67.3</v>
      </c>
      <c r="G138" s="1">
        <v>0</v>
      </c>
      <c r="H138" s="1">
        <v>67.3</v>
      </c>
      <c r="I138" s="1" t="s">
        <v>1024</v>
      </c>
      <c r="J138" s="1" t="s">
        <v>1023</v>
      </c>
      <c r="L138" s="1" t="str" cm="1">
        <f t="array" ref="L138">_xlfn.XLOOKUP(TRUE,ISNUMBER(SEARCH(" "&amp;Municipality[Municipality]&amp;" ",El_unit[[#This Row],[Info sting]])),Municipality[Municipality],"")</f>
        <v>Lappeenranta</v>
      </c>
      <c r="M138" s="1" t="str" cm="1">
        <f t="array" ref="M138">IF(El_unit[[#This Row],[Exact]]&lt;&gt;"","",_xlfn.XLOOKUP(TRUE,ISNUMBER(SEARCH(" "&amp;Municipality[Municipality]&amp;"n ",El_unit[[#This Row],[Info sting]])),Municipality[Municipality],""))</f>
        <v/>
      </c>
      <c r="O138" s="35"/>
      <c r="Q138" s="1" t="str">
        <f>_xlfn.TEXTJOIN("",TRUE,El_unit[[#This Row],[Exact]],El_unit[[#This Row],[Exact+n]],El_unit[[#This Row],[Copilot]])</f>
        <v>Lappeenranta</v>
      </c>
    </row>
    <row r="139" spans="1:17">
      <c r="A139" s="54" t="s">
        <v>915</v>
      </c>
      <c r="B139" s="22" t="s">
        <v>915</v>
      </c>
      <c r="C139" s="107" t="str" cm="1">
        <f t="array" ref="C139">" "&amp;LOWER(_xlfn.REDUCE(El_unit[[#This Row],[Location]],{",",".","(",")","/"},_xlfn.LAMBDA(_xlpm.txt,_xlpm.delim,SUBSTITUTE(_xlpm.txt,_xlpm.delim," "))))&amp;" "</f>
        <v xml:space="preserve"> kaukopää </v>
      </c>
      <c r="D139" s="22" t="s">
        <v>3065</v>
      </c>
      <c r="E139" s="1">
        <v>0</v>
      </c>
      <c r="F139" s="1">
        <v>134</v>
      </c>
      <c r="G139" s="1">
        <v>0</v>
      </c>
      <c r="H139" s="1">
        <v>134</v>
      </c>
      <c r="I139" s="1" t="s">
        <v>1024</v>
      </c>
      <c r="J139" s="1" t="s">
        <v>1016</v>
      </c>
      <c r="K139" s="1" t="s">
        <v>1023</v>
      </c>
      <c r="L139" s="1" t="str" cm="1">
        <f t="array" ref="L139">_xlfn.XLOOKUP(TRUE,ISNUMBER(SEARCH(" "&amp;Municipality[Municipality]&amp;" ",El_unit[[#This Row],[Info sting]])),Municipality[Municipality],"")</f>
        <v/>
      </c>
      <c r="M139" s="1" t="str" cm="1">
        <f t="array" ref="M139">IF(El_unit[[#This Row],[Exact]]&lt;&gt;"","",_xlfn.XLOOKUP(TRUE,ISNUMBER(SEARCH(" "&amp;Municipality[Municipality]&amp;"n ",El_unit[[#This Row],[Info sting]])),Municipality[Municipality],""))</f>
        <v/>
      </c>
      <c r="N139" s="1" t="s">
        <v>213</v>
      </c>
      <c r="O139" s="35" t="s">
        <v>3174</v>
      </c>
      <c r="Q139" s="1" t="str">
        <f>_xlfn.TEXTJOIN("",TRUE,El_unit[[#This Row],[Exact]],El_unit[[#This Row],[Exact+n]],El_unit[[#This Row],[Copilot]])</f>
        <v>Imatra</v>
      </c>
    </row>
    <row r="140" spans="1:17">
      <c r="A140" s="54" t="s">
        <v>916</v>
      </c>
      <c r="B140" s="22" t="s">
        <v>981</v>
      </c>
      <c r="C140" s="107" t="str" cm="1">
        <f t="array" ref="C140">" "&amp;LOWER(_xlfn.REDUCE(El_unit[[#This Row],[Location]],{",",".","(",")","/"},_xlfn.LAMBDA(_xlpm.txt,_xlpm.delim,SUBSTITUTE(_xlpm.txt,_xlpm.delim," "))))&amp;" "</f>
        <v xml:space="preserve"> kauttuan voimalaitos </v>
      </c>
      <c r="D140" s="22" t="s">
        <v>3065</v>
      </c>
      <c r="E140" s="1">
        <v>0</v>
      </c>
      <c r="F140" s="1">
        <v>19</v>
      </c>
      <c r="G140" s="1">
        <v>0</v>
      </c>
      <c r="H140" s="1">
        <v>19</v>
      </c>
      <c r="I140" s="1" t="s">
        <v>1015</v>
      </c>
      <c r="L140" s="1" t="str" cm="1">
        <f t="array" ref="L140">_xlfn.XLOOKUP(TRUE,ISNUMBER(SEARCH(" "&amp;Municipality[Municipality]&amp;" ",El_unit[[#This Row],[Info sting]])),Municipality[Municipality],"")</f>
        <v/>
      </c>
      <c r="M140" s="1" t="str" cm="1">
        <f t="array" ref="M140">IF(El_unit[[#This Row],[Exact]]&lt;&gt;"","",_xlfn.XLOOKUP(TRUE,ISNUMBER(SEARCH(" "&amp;Municipality[Municipality]&amp;"n ",El_unit[[#This Row],[Info sting]])),Municipality[Municipality],""))</f>
        <v/>
      </c>
      <c r="N140" s="1" t="s">
        <v>2509</v>
      </c>
      <c r="O140" s="35" t="s">
        <v>3175</v>
      </c>
      <c r="Q140" s="1" t="str">
        <f>_xlfn.TEXTJOIN("",TRUE,El_unit[[#This Row],[Exact]],El_unit[[#This Row],[Exact+n]],El_unit[[#This Row],[Copilot]])</f>
        <v>Eura</v>
      </c>
    </row>
    <row r="141" spans="1:17">
      <c r="A141" s="54" t="s">
        <v>917</v>
      </c>
      <c r="B141" s="22" t="s">
        <v>917</v>
      </c>
      <c r="C141" s="107" t="str" cm="1">
        <f t="array" ref="C141">" "&amp;LOWER(_xlfn.REDUCE(El_unit[[#This Row],[Location]],{",",".","(",")","/"},_xlfn.LAMBDA(_xlpm.txt,_xlpm.delim,SUBSTITUTE(_xlpm.txt,_xlpm.delim," "))))&amp;" "</f>
        <v xml:space="preserve"> kavo </v>
      </c>
      <c r="D141" s="22" t="s">
        <v>3065</v>
      </c>
      <c r="E141" s="1">
        <v>0</v>
      </c>
      <c r="F141" s="1">
        <v>79.2</v>
      </c>
      <c r="G141" s="1">
        <v>0</v>
      </c>
      <c r="H141" s="1">
        <v>79.2</v>
      </c>
      <c r="I141" s="1" t="s">
        <v>1015</v>
      </c>
      <c r="J141" s="1" t="s">
        <v>1016</v>
      </c>
      <c r="K141" s="1" t="s">
        <v>1022</v>
      </c>
      <c r="L141" s="1" t="str" cm="1">
        <f t="array" ref="L141">_xlfn.XLOOKUP(TRUE,ISNUMBER(SEARCH(" "&amp;Municipality[Municipality]&amp;" ",El_unit[[#This Row],[Info sting]])),Municipality[Municipality],"")</f>
        <v/>
      </c>
      <c r="M141" s="1" t="str" cm="1">
        <f t="array" ref="M141">IF(El_unit[[#This Row],[Exact]]&lt;&gt;"","",_xlfn.XLOOKUP(TRUE,ISNUMBER(SEARCH(" "&amp;Municipality[Municipality]&amp;"n ",El_unit[[#This Row],[Info sting]])),Municipality[Municipality],""))</f>
        <v/>
      </c>
      <c r="O141" s="35"/>
      <c r="Q141" s="1" t="str">
        <f>_xlfn.TEXTJOIN("",TRUE,El_unit[[#This Row],[Exact]],El_unit[[#This Row],[Exact+n]],El_unit[[#This Row],[Copilot]])</f>
        <v/>
      </c>
    </row>
    <row r="142" spans="1:17">
      <c r="A142" s="54" t="s">
        <v>1043</v>
      </c>
      <c r="B142" s="22" t="s">
        <v>1095</v>
      </c>
      <c r="C142" s="107" t="str" cm="1">
        <f t="array" ref="C142">" "&amp;LOWER(_xlfn.REDUCE(El_unit[[#This Row],[Location]],{",",".","(",")","/"},_xlfn.LAMBDA(_xlpm.txt,_xlpm.delim,SUBSTITUTE(_xlpm.txt,_xlpm.delim," "))))&amp;" "</f>
        <v xml:space="preserve"> keljonrannantie 276 </v>
      </c>
      <c r="D142" s="22" t="s">
        <v>3067</v>
      </c>
      <c r="E142" s="1">
        <v>0</v>
      </c>
      <c r="F142" s="1">
        <v>0</v>
      </c>
      <c r="G142" s="1">
        <v>190</v>
      </c>
      <c r="H142" s="1">
        <v>190</v>
      </c>
      <c r="I142" s="1" t="s">
        <v>1015</v>
      </c>
      <c r="J142" s="1" t="s">
        <v>1022</v>
      </c>
      <c r="K142" s="1" t="s">
        <v>1016</v>
      </c>
      <c r="L142" s="1" t="str" cm="1">
        <f t="array" ref="L142">_xlfn.XLOOKUP(TRUE,ISNUMBER(SEARCH(" "&amp;Municipality[Municipality]&amp;" ",El_unit[[#This Row],[Info sting]])),Municipality[Municipality],"")</f>
        <v/>
      </c>
      <c r="M142" s="1" t="str" cm="1">
        <f t="array" ref="M142">IF(El_unit[[#This Row],[Exact]]&lt;&gt;"","",_xlfn.XLOOKUP(TRUE,ISNUMBER(SEARCH(" "&amp;Municipality[Municipality]&amp;"n ",El_unit[[#This Row],[Info sting]])),Municipality[Municipality],""))</f>
        <v/>
      </c>
      <c r="N142" s="1" t="s">
        <v>2555</v>
      </c>
      <c r="O142" s="35" t="s">
        <v>3176</v>
      </c>
      <c r="Q142" s="1" t="str">
        <f>_xlfn.TEXTJOIN("",TRUE,El_unit[[#This Row],[Exact]],El_unit[[#This Row],[Exact+n]],El_unit[[#This Row],[Copilot]])</f>
        <v>Jyväskylä</v>
      </c>
    </row>
    <row r="143" spans="1:17">
      <c r="A143" s="54" t="s">
        <v>475</v>
      </c>
      <c r="B143" s="22" t="s">
        <v>475</v>
      </c>
      <c r="C143" s="107" t="str" cm="1">
        <f t="array" ref="C143">" "&amp;LOWER(_xlfn.REDUCE(El_unit[[#This Row],[Location]],{",",".","(",")","/"},_xlfn.LAMBDA(_xlpm.txt,_xlpm.delim,SUBSTITUTE(_xlpm.txt,_xlpm.delim," "))))&amp;" "</f>
        <v xml:space="preserve"> kellosaari </v>
      </c>
      <c r="D143" s="22" t="s">
        <v>3068</v>
      </c>
      <c r="E143" s="1">
        <v>118</v>
      </c>
      <c r="F143" s="1">
        <v>0</v>
      </c>
      <c r="G143" s="1">
        <v>0</v>
      </c>
      <c r="H143" s="1">
        <v>118</v>
      </c>
      <c r="I143" s="1" t="s">
        <v>1020</v>
      </c>
      <c r="L143" s="1" t="str" cm="1">
        <f t="array" ref="L143">_xlfn.XLOOKUP(TRUE,ISNUMBER(SEARCH(" "&amp;Municipality[Municipality]&amp;" ",El_unit[[#This Row],[Info sting]])),Municipality[Municipality],"")</f>
        <v/>
      </c>
      <c r="M143" s="1" t="str" cm="1">
        <f t="array" ref="M143">IF(El_unit[[#This Row],[Exact]]&lt;&gt;"","",_xlfn.XLOOKUP(TRUE,ISNUMBER(SEARCH(" "&amp;Municipality[Municipality]&amp;"n ",El_unit[[#This Row],[Info sting]])),Municipality[Municipality],""))</f>
        <v/>
      </c>
      <c r="O143" s="35"/>
      <c r="Q143" s="1" t="str">
        <f>_xlfn.TEXTJOIN("",TRUE,El_unit[[#This Row],[Exact]],El_unit[[#This Row],[Exact+n]],El_unit[[#This Row],[Copilot]])</f>
        <v/>
      </c>
    </row>
    <row r="144" spans="1:17">
      <c r="A144" s="54" t="s">
        <v>244</v>
      </c>
      <c r="B144" s="22" t="s">
        <v>244</v>
      </c>
      <c r="C144" s="107" t="str" cm="1">
        <f t="array" ref="C144">" "&amp;LOWER(_xlfn.REDUCE(El_unit[[#This Row],[Location]],{",",".","(",")","/"},_xlfn.LAMBDA(_xlpm.txt,_xlpm.delim,SUBSTITUTE(_xlpm.txt,_xlpm.delim," "))))&amp;" "</f>
        <v xml:space="preserve"> keltti </v>
      </c>
      <c r="D144" s="22" t="s">
        <v>3064</v>
      </c>
      <c r="E144" s="1">
        <v>19.100000000000001</v>
      </c>
      <c r="F144" s="1">
        <v>0</v>
      </c>
      <c r="G144" s="1">
        <v>0</v>
      </c>
      <c r="H144" s="1">
        <v>19.100000000000001</v>
      </c>
      <c r="L144" s="1" t="str" cm="1">
        <f t="array" ref="L144">_xlfn.XLOOKUP(TRUE,ISNUMBER(SEARCH(" "&amp;Municipality[Municipality]&amp;" ",El_unit[[#This Row],[Info sting]])),Municipality[Municipality],"")</f>
        <v/>
      </c>
      <c r="M144" s="1" t="str" cm="1">
        <f t="array" ref="M144">IF(El_unit[[#This Row],[Exact]]&lt;&gt;"","",_xlfn.XLOOKUP(TRUE,ISNUMBER(SEARCH(" "&amp;Municipality[Municipality]&amp;"n ",El_unit[[#This Row],[Info sting]])),Municipality[Municipality],""))</f>
        <v/>
      </c>
      <c r="N144" s="1" t="s">
        <v>2612</v>
      </c>
      <c r="O144" s="35" t="s">
        <v>3137</v>
      </c>
      <c r="Q144" s="1" t="str">
        <f>_xlfn.TEXTJOIN("",TRUE,El_unit[[#This Row],[Exact]],El_unit[[#This Row],[Exact+n]],El_unit[[#This Row],[Copilot]])</f>
        <v>Kouvola</v>
      </c>
    </row>
    <row r="145" spans="1:17">
      <c r="A145" s="54" t="s">
        <v>245</v>
      </c>
      <c r="B145" s="22" t="s">
        <v>245</v>
      </c>
      <c r="C145" s="107" t="str" cm="1">
        <f t="array" ref="C145">" "&amp;LOWER(_xlfn.REDUCE(El_unit[[#This Row],[Location]],{",",".","(",")","/"},_xlfn.LAMBDA(_xlpm.txt,_xlpm.delim,SUBSTITUTE(_xlpm.txt,_xlpm.delim," "))))&amp;" "</f>
        <v xml:space="preserve"> kelukoski </v>
      </c>
      <c r="D145" s="22" t="s">
        <v>3064</v>
      </c>
      <c r="E145" s="1">
        <v>10.6</v>
      </c>
      <c r="F145" s="1">
        <v>0</v>
      </c>
      <c r="G145" s="1">
        <v>0</v>
      </c>
      <c r="H145" s="1">
        <v>10.6</v>
      </c>
      <c r="L145" s="1" t="str" cm="1">
        <f t="array" ref="L145">_xlfn.XLOOKUP(TRUE,ISNUMBER(SEARCH(" "&amp;Municipality[Municipality]&amp;" ",El_unit[[#This Row],[Info sting]])),Municipality[Municipality],"")</f>
        <v/>
      </c>
      <c r="M145" s="1" t="str" cm="1">
        <f t="array" ref="M145">IF(El_unit[[#This Row],[Exact]]&lt;&gt;"","",_xlfn.XLOOKUP(TRUE,ISNUMBER(SEARCH(" "&amp;Municipality[Municipality]&amp;"n ",El_unit[[#This Row],[Info sting]])),Municipality[Municipality],""))</f>
        <v/>
      </c>
      <c r="N145" s="1" t="s">
        <v>2775</v>
      </c>
      <c r="O145" s="35" t="s">
        <v>3130</v>
      </c>
      <c r="Q145" s="1" t="str">
        <f>_xlfn.TEXTJOIN("",TRUE,El_unit[[#This Row],[Exact]],El_unit[[#This Row],[Exact+n]],El_unit[[#This Row],[Copilot]])</f>
        <v>Sodankylä</v>
      </c>
    </row>
    <row r="146" spans="1:17">
      <c r="A146" s="54" t="s">
        <v>918</v>
      </c>
      <c r="B146" s="22" t="s">
        <v>982</v>
      </c>
      <c r="C146" s="107" t="str" cm="1">
        <f t="array" ref="C146">" "&amp;LOWER(_xlfn.REDUCE(El_unit[[#This Row],[Location]],{",",".","(",")","/"},_xlfn.LAMBDA(_xlpm.txt,_xlpm.delim,SUBSTITUTE(_xlpm.txt,_xlpm.delim," "))))&amp;" "</f>
        <v xml:space="preserve"> metsä fibre kemin tehdas </v>
      </c>
      <c r="D146" s="22" t="s">
        <v>3065</v>
      </c>
      <c r="E146" s="1">
        <v>0</v>
      </c>
      <c r="F146" s="1">
        <v>0</v>
      </c>
      <c r="G146" s="1">
        <v>0</v>
      </c>
      <c r="H146" s="1">
        <v>0</v>
      </c>
      <c r="I146" s="1" t="s">
        <v>1024</v>
      </c>
      <c r="J146" s="1" t="s">
        <v>1016</v>
      </c>
      <c r="K146" s="1" t="s">
        <v>1017</v>
      </c>
      <c r="L146" s="1" t="str" cm="1">
        <f t="array" ref="L146">_xlfn.XLOOKUP(TRUE,ISNUMBER(SEARCH(" "&amp;Municipality[Municipality]&amp;" ",El_unit[[#This Row],[Info sting]])),Municipality[Municipality],"")</f>
        <v/>
      </c>
      <c r="M146" s="1" t="str" cm="1">
        <f t="array" ref="M146">IF(El_unit[[#This Row],[Exact]]&lt;&gt;"","",_xlfn.XLOOKUP(TRUE,ISNUMBER(SEARCH(" "&amp;Municipality[Municipality]&amp;"n ",El_unit[[#This Row],[Info sting]])),Municipality[Municipality],""))</f>
        <v>Kemi</v>
      </c>
      <c r="O146" s="35"/>
      <c r="Q146" s="1" t="str">
        <f>_xlfn.TEXTJOIN("",TRUE,El_unit[[#This Row],[Exact]],El_unit[[#This Row],[Exact+n]],El_unit[[#This Row],[Copilot]])</f>
        <v>Kemi</v>
      </c>
    </row>
    <row r="147" spans="1:17">
      <c r="A147" s="54" t="s">
        <v>476</v>
      </c>
      <c r="B147" s="22" t="s">
        <v>698</v>
      </c>
      <c r="C147" s="107" t="str" cm="1">
        <f t="array" ref="C147">" "&amp;LOWER(_xlfn.REDUCE(El_unit[[#This Row],[Location]],{",",".","(",")","/"},_xlfn.LAMBDA(_xlpm.txt,_xlpm.delim,SUBSTITUTE(_xlpm.txt,_xlpm.delim," "))))&amp;" "</f>
        <v xml:space="preserve"> kemi ajos sumituuli </v>
      </c>
      <c r="D147" s="22" t="s">
        <v>3066</v>
      </c>
      <c r="E147" s="1">
        <v>2</v>
      </c>
      <c r="F147" s="1">
        <v>0</v>
      </c>
      <c r="G147" s="1">
        <v>0</v>
      </c>
      <c r="H147" s="1">
        <v>2</v>
      </c>
      <c r="L147" s="1" t="str" cm="1">
        <f t="array" ref="L147">_xlfn.XLOOKUP(TRUE,ISNUMBER(SEARCH(" "&amp;Municipality[Municipality]&amp;" ",El_unit[[#This Row],[Info sting]])),Municipality[Municipality],"")</f>
        <v>Kemi</v>
      </c>
      <c r="M147" s="1" t="str" cm="1">
        <f t="array" ref="M147">IF(El_unit[[#This Row],[Exact]]&lt;&gt;"","",_xlfn.XLOOKUP(TRUE,ISNUMBER(SEARCH(" "&amp;Municipality[Municipality]&amp;"n ",El_unit[[#This Row],[Info sting]])),Municipality[Municipality],""))</f>
        <v/>
      </c>
      <c r="O147" s="35"/>
      <c r="Q147" s="1" t="str">
        <f>_xlfn.TEXTJOIN("",TRUE,El_unit[[#This Row],[Exact]],El_unit[[#This Row],[Exact+n]],El_unit[[#This Row],[Copilot]])</f>
        <v>Kemi</v>
      </c>
    </row>
    <row r="148" spans="1:17">
      <c r="A148" s="54" t="s">
        <v>1044</v>
      </c>
      <c r="B148" s="22" t="s">
        <v>1044</v>
      </c>
      <c r="C148" s="107" t="str" cm="1">
        <f t="array" ref="C148">" "&amp;LOWER(_xlfn.REDUCE(El_unit[[#This Row],[Location]],{",",".","(",")","/"},_xlfn.LAMBDA(_xlpm.txt,_xlpm.delim,SUBSTITUTE(_xlpm.txt,_xlpm.delim," "))))&amp;" "</f>
        <v xml:space="preserve"> kemijärvi </v>
      </c>
      <c r="D148" s="22" t="s">
        <v>3067</v>
      </c>
      <c r="E148" s="1">
        <v>0</v>
      </c>
      <c r="F148" s="1">
        <v>0</v>
      </c>
      <c r="G148" s="1">
        <v>4</v>
      </c>
      <c r="H148" s="1">
        <v>4</v>
      </c>
      <c r="I148" s="1" t="s">
        <v>1022</v>
      </c>
      <c r="J148" s="1" t="s">
        <v>1015</v>
      </c>
      <c r="K148" s="1" t="s">
        <v>1016</v>
      </c>
      <c r="L148" s="1" t="str" cm="1">
        <f t="array" ref="L148">_xlfn.XLOOKUP(TRUE,ISNUMBER(SEARCH(" "&amp;Municipality[Municipality]&amp;" ",El_unit[[#This Row],[Info sting]])),Municipality[Municipality],"")</f>
        <v>Kemijärvi</v>
      </c>
      <c r="M148" s="1" t="str" cm="1">
        <f t="array" ref="M148">IF(El_unit[[#This Row],[Exact]]&lt;&gt;"","",_xlfn.XLOOKUP(TRUE,ISNUMBER(SEARCH(" "&amp;Municipality[Municipality]&amp;"n ",El_unit[[#This Row],[Info sting]])),Municipality[Municipality],""))</f>
        <v/>
      </c>
      <c r="O148" s="35"/>
      <c r="Q148" s="1" t="str">
        <f>_xlfn.TEXTJOIN("",TRUE,El_unit[[#This Row],[Exact]],El_unit[[#This Row],[Exact+n]],El_unit[[#This Row],[Copilot]])</f>
        <v>Kemijärvi</v>
      </c>
    </row>
    <row r="149" spans="1:17">
      <c r="A149" s="54" t="s">
        <v>919</v>
      </c>
      <c r="B149" s="22" t="s">
        <v>918</v>
      </c>
      <c r="C149" s="107" t="str" cm="1">
        <f t="array" ref="C149">" "&amp;LOWER(_xlfn.REDUCE(El_unit[[#This Row],[Location]],{",",".","(",")","/"},_xlfn.LAMBDA(_xlpm.txt,_xlpm.delim,SUBSTITUTE(_xlpm.txt,_xlpm.delim," "))))&amp;" "</f>
        <v xml:space="preserve"> kemi </v>
      </c>
      <c r="D149" s="22" t="s">
        <v>3065</v>
      </c>
      <c r="E149" s="1">
        <v>0</v>
      </c>
      <c r="F149" s="1">
        <v>228</v>
      </c>
      <c r="G149" s="1">
        <v>0</v>
      </c>
      <c r="H149" s="1">
        <v>228</v>
      </c>
      <c r="I149" s="1" t="s">
        <v>1024</v>
      </c>
      <c r="J149" s="1" t="s">
        <v>1027</v>
      </c>
      <c r="L149" s="1" t="str" cm="1">
        <f t="array" ref="L149">_xlfn.XLOOKUP(TRUE,ISNUMBER(SEARCH(" "&amp;Municipality[Municipality]&amp;" ",El_unit[[#This Row],[Info sting]])),Municipality[Municipality],"")</f>
        <v>Kemi</v>
      </c>
      <c r="M149" s="1" t="str" cm="1">
        <f t="array" ref="M149">IF(El_unit[[#This Row],[Exact]]&lt;&gt;"","",_xlfn.XLOOKUP(TRUE,ISNUMBER(SEARCH(" "&amp;Municipality[Municipality]&amp;"n ",El_unit[[#This Row],[Info sting]])),Municipality[Municipality],""))</f>
        <v/>
      </c>
      <c r="O149" s="35"/>
      <c r="Q149" s="1" t="str">
        <f>_xlfn.TEXTJOIN("",TRUE,El_unit[[#This Row],[Exact]],El_unit[[#This Row],[Exact+n]],El_unit[[#This Row],[Copilot]])</f>
        <v>Kemi</v>
      </c>
    </row>
    <row r="150" spans="1:17">
      <c r="A150" s="54" t="s">
        <v>1045</v>
      </c>
      <c r="B150" s="22" t="s">
        <v>1096</v>
      </c>
      <c r="C150" s="107" t="str" cm="1">
        <f t="array" ref="C150">" "&amp;LOWER(_xlfn.REDUCE(El_unit[[#This Row],[Location]],{",",".","(",")","/"},_xlfn.LAMBDA(_xlpm.txt,_xlpm.delim,SUBSTITUTE(_xlpm.txt,_xlpm.delim," "))))&amp;" "</f>
        <v xml:space="preserve"> alikeravan voimalaitos </v>
      </c>
      <c r="D150" s="22" t="s">
        <v>3067</v>
      </c>
      <c r="E150" s="1">
        <v>0</v>
      </c>
      <c r="F150" s="1">
        <v>0</v>
      </c>
      <c r="G150" s="1">
        <v>3.7</v>
      </c>
      <c r="H150" s="1">
        <v>3.7</v>
      </c>
      <c r="I150" s="1" t="s">
        <v>1023</v>
      </c>
      <c r="L150" s="1" t="str" cm="1">
        <f t="array" ref="L150">_xlfn.XLOOKUP(TRUE,ISNUMBER(SEARCH(" "&amp;Municipality[Municipality]&amp;" ",El_unit[[#This Row],[Info sting]])),Municipality[Municipality],"")</f>
        <v/>
      </c>
      <c r="M150" s="1" t="str" cm="1">
        <f t="array" ref="M150">IF(El_unit[[#This Row],[Exact]]&lt;&gt;"","",_xlfn.XLOOKUP(TRUE,ISNUMBER(SEARCH(" "&amp;Municipality[Municipality]&amp;"n ",El_unit[[#This Row],[Info sting]])),Municipality[Municipality],""))</f>
        <v/>
      </c>
      <c r="N150" s="1" t="s">
        <v>1045</v>
      </c>
      <c r="O150" s="35"/>
      <c r="P150" s="1" t="s">
        <v>3082</v>
      </c>
      <c r="Q150" s="1" t="str">
        <f>_xlfn.TEXTJOIN("",TRUE,El_unit[[#This Row],[Exact]],El_unit[[#This Row],[Exact+n]],El_unit[[#This Row],[Copilot]])</f>
        <v>Kerava</v>
      </c>
    </row>
    <row r="151" spans="1:17">
      <c r="A151" s="54" t="s">
        <v>1045</v>
      </c>
      <c r="B151" s="22" t="s">
        <v>1097</v>
      </c>
      <c r="C151" s="107" t="str" cm="1">
        <f t="array" ref="C151">" "&amp;LOWER(_xlfn.REDUCE(El_unit[[#This Row],[Location]],{",",".","(",")","/"},_xlfn.LAMBDA(_xlpm.txt,_xlpm.delim,SUBSTITUTE(_xlpm.txt,_xlpm.delim," "))))&amp;" "</f>
        <v xml:space="preserve"> 04260 kerava  alikeravantie 83 </v>
      </c>
      <c r="D151" s="22" t="s">
        <v>3067</v>
      </c>
      <c r="E151" s="1">
        <v>0</v>
      </c>
      <c r="F151" s="1">
        <v>0</v>
      </c>
      <c r="G151" s="1">
        <v>19.04</v>
      </c>
      <c r="H151" s="1">
        <v>19.04</v>
      </c>
      <c r="I151" s="1" t="s">
        <v>1022</v>
      </c>
      <c r="J151" s="1" t="s">
        <v>1016</v>
      </c>
      <c r="K151" s="1" t="s">
        <v>1128</v>
      </c>
      <c r="L151" s="1" t="str" cm="1">
        <f t="array" ref="L151">_xlfn.XLOOKUP(TRUE,ISNUMBER(SEARCH(" "&amp;Municipality[Municipality]&amp;" ",El_unit[[#This Row],[Info sting]])),Municipality[Municipality],"")</f>
        <v>Kerava</v>
      </c>
      <c r="M151" s="1" t="str" cm="1">
        <f t="array" ref="M151">IF(El_unit[[#This Row],[Exact]]&lt;&gt;"","",_xlfn.XLOOKUP(TRUE,ISNUMBER(SEARCH(" "&amp;Municipality[Municipality]&amp;"n ",El_unit[[#This Row],[Info sting]])),Municipality[Municipality],""))</f>
        <v/>
      </c>
      <c r="O151" s="35"/>
      <c r="Q151" s="1" t="str">
        <f>_xlfn.TEXTJOIN("",TRUE,El_unit[[#This Row],[Exact]],El_unit[[#This Row],[Exact+n]],El_unit[[#This Row],[Copilot]])</f>
        <v>Kerava</v>
      </c>
    </row>
    <row r="152" spans="1:17">
      <c r="A152" s="54" t="s">
        <v>477</v>
      </c>
      <c r="B152" s="22" t="s">
        <v>477</v>
      </c>
      <c r="C152" s="107" t="str" cm="1">
        <f t="array" ref="C152">" "&amp;LOWER(_xlfn.REDUCE(El_unit[[#This Row],[Location]],{",",".","(",")","/"},_xlfn.LAMBDA(_xlpm.txt,_xlpm.delim,SUBSTITUTE(_xlpm.txt,_xlpm.delim," "))))&amp;" "</f>
        <v xml:space="preserve"> keso </v>
      </c>
      <c r="D152" s="22" t="s">
        <v>3066</v>
      </c>
      <c r="E152" s="1">
        <v>42</v>
      </c>
      <c r="F152" s="1">
        <v>0</v>
      </c>
      <c r="G152" s="1">
        <v>0</v>
      </c>
      <c r="H152" s="1">
        <v>42</v>
      </c>
      <c r="L152" s="1" t="str" cm="1">
        <f t="array" ref="L152">_xlfn.XLOOKUP(TRUE,ISNUMBER(SEARCH(" "&amp;Municipality[Municipality]&amp;" ",El_unit[[#This Row],[Info sting]])),Municipality[Municipality],"")</f>
        <v/>
      </c>
      <c r="M152" s="1" t="str" cm="1">
        <f t="array" ref="M152">IF(El_unit[[#This Row],[Exact]]&lt;&gt;"","",_xlfn.XLOOKUP(TRUE,ISNUMBER(SEARCH(" "&amp;Municipality[Municipality]&amp;"n ",El_unit[[#This Row],[Info sting]])),Municipality[Municipality],""))</f>
        <v/>
      </c>
      <c r="N152" s="1" t="s">
        <v>900</v>
      </c>
      <c r="O152" s="35" t="s">
        <v>3152</v>
      </c>
      <c r="Q152" s="1" t="str">
        <f>_xlfn.TEXTJOIN("",TRUE,El_unit[[#This Row],[Exact]],El_unit[[#This Row],[Exact+n]],El_unit[[#This Row],[Copilot]])</f>
        <v>Haapavesi</v>
      </c>
    </row>
    <row r="153" spans="1:17">
      <c r="A153" s="54" t="s">
        <v>246</v>
      </c>
      <c r="B153" s="22" t="s">
        <v>247</v>
      </c>
      <c r="C153" s="107" t="str" cm="1">
        <f t="array" ref="C153">" "&amp;LOWER(_xlfn.REDUCE(El_unit[[#This Row],[Location]],{",",".","(",")","/"},_xlfn.LAMBDA(_xlpm.txt,_xlpm.delim,SUBSTITUTE(_xlpm.txt,_xlpm.delim," "))))&amp;" "</f>
        <v xml:space="preserve"> kierikki </v>
      </c>
      <c r="D153" s="22" t="s">
        <v>3064</v>
      </c>
      <c r="E153" s="1">
        <v>38</v>
      </c>
      <c r="F153" s="1">
        <v>0</v>
      </c>
      <c r="G153" s="1">
        <v>0</v>
      </c>
      <c r="H153" s="1">
        <v>38</v>
      </c>
      <c r="L153" s="1" t="str" cm="1">
        <f t="array" ref="L153">_xlfn.XLOOKUP(TRUE,ISNUMBER(SEARCH(" "&amp;Municipality[Municipality]&amp;" ",El_unit[[#This Row],[Info sting]])),Municipality[Municipality],"")</f>
        <v/>
      </c>
      <c r="M153" s="1" t="str" cm="1">
        <f t="array" ref="M153">IF(El_unit[[#This Row],[Exact]]&lt;&gt;"","",_xlfn.XLOOKUP(TRUE,ISNUMBER(SEARCH(" "&amp;Municipality[Municipality]&amp;"n ",El_unit[[#This Row],[Info sting]])),Municipality[Municipality],""))</f>
        <v/>
      </c>
      <c r="O153" s="35"/>
      <c r="Q153" s="1" t="str">
        <f>_xlfn.TEXTJOIN("",TRUE,El_unit[[#This Row],[Exact]],El_unit[[#This Row],[Exact+n]],El_unit[[#This Row],[Copilot]])</f>
        <v/>
      </c>
    </row>
    <row r="154" spans="1:17">
      <c r="A154" s="54" t="s">
        <v>920</v>
      </c>
      <c r="B154" s="22" t="s">
        <v>983</v>
      </c>
      <c r="C154" s="107" t="str" cm="1">
        <f t="array" ref="C154">" "&amp;LOWER(_xlfn.REDUCE(El_unit[[#This Row],[Location]],{",",".","(",")","/"},_xlfn.LAMBDA(_xlpm.txt,_xlpm.delim,SUBSTITUTE(_xlpm.txt,_xlpm.delim," "))))&amp;" "</f>
        <v xml:space="preserve"> forssa </v>
      </c>
      <c r="D154" s="22" t="s">
        <v>3065</v>
      </c>
      <c r="E154" s="1">
        <v>0</v>
      </c>
      <c r="F154" s="1">
        <v>13.5</v>
      </c>
      <c r="G154" s="1">
        <v>0</v>
      </c>
      <c r="H154" s="1">
        <v>13.5</v>
      </c>
      <c r="I154" s="1" t="s">
        <v>1022</v>
      </c>
      <c r="J154" s="1" t="s">
        <v>1019</v>
      </c>
      <c r="K154" s="1" t="s">
        <v>1016</v>
      </c>
      <c r="L154" s="1" t="str" cm="1">
        <f t="array" ref="L154">_xlfn.XLOOKUP(TRUE,ISNUMBER(SEARCH(" "&amp;Municipality[Municipality]&amp;" ",El_unit[[#This Row],[Info sting]])),Municipality[Municipality],"")</f>
        <v>Forssa</v>
      </c>
      <c r="M154" s="1" t="str" cm="1">
        <f t="array" ref="M154">IF(El_unit[[#This Row],[Exact]]&lt;&gt;"","",_xlfn.XLOOKUP(TRUE,ISNUMBER(SEARCH(" "&amp;Municipality[Municipality]&amp;"n ",El_unit[[#This Row],[Info sting]])),Municipality[Municipality],""))</f>
        <v/>
      </c>
      <c r="O154" s="35"/>
      <c r="Q154" s="1" t="str">
        <f>_xlfn.TEXTJOIN("",TRUE,El_unit[[#This Row],[Exact]],El_unit[[#This Row],[Exact+n]],El_unit[[#This Row],[Copilot]])</f>
        <v>Forssa</v>
      </c>
    </row>
    <row r="155" spans="1:17">
      <c r="A155" s="54" t="s">
        <v>248</v>
      </c>
      <c r="B155" s="22" t="s">
        <v>248</v>
      </c>
      <c r="C155" s="107" t="str" cm="1">
        <f t="array" ref="C155">" "&amp;LOWER(_xlfn.REDUCE(El_unit[[#This Row],[Location]],{",",".","(",")","/"},_xlfn.LAMBDA(_xlpm.txt,_xlpm.delim,SUBSTITUTE(_xlpm.txt,_xlpm.delim," "))))&amp;" "</f>
        <v xml:space="preserve"> killinkoski </v>
      </c>
      <c r="D155" s="22" t="s">
        <v>3064</v>
      </c>
      <c r="E155" s="1">
        <v>4.5</v>
      </c>
      <c r="F155" s="1">
        <v>0</v>
      </c>
      <c r="G155" s="1">
        <v>0</v>
      </c>
      <c r="H155" s="1">
        <v>4.5</v>
      </c>
      <c r="L155" s="1" t="str" cm="1">
        <f t="array" ref="L155">_xlfn.XLOOKUP(TRUE,ISNUMBER(SEARCH(" "&amp;Municipality[Municipality]&amp;" ",El_unit[[#This Row],[Info sting]])),Municipality[Municipality],"")</f>
        <v/>
      </c>
      <c r="M155" s="1" t="str" cm="1">
        <f t="array" ref="M155">IF(El_unit[[#This Row],[Exact]]&lt;&gt;"","",_xlfn.XLOOKUP(TRUE,ISNUMBER(SEARCH(" "&amp;Municipality[Municipality]&amp;"n ",El_unit[[#This Row],[Info sting]])),Municipality[Municipality],""))</f>
        <v/>
      </c>
      <c r="O155" s="35"/>
      <c r="Q155" s="1" t="str">
        <f>_xlfn.TEXTJOIN("",TRUE,El_unit[[#This Row],[Exact]],El_unit[[#This Row],[Exact+n]],El_unit[[#This Row],[Copilot]])</f>
        <v/>
      </c>
    </row>
    <row r="156" spans="1:17">
      <c r="A156" s="54" t="s">
        <v>921</v>
      </c>
      <c r="B156" s="22" t="s">
        <v>984</v>
      </c>
      <c r="C156" s="107" t="str" cm="1">
        <f t="array" ref="C156">" "&amp;LOWER(_xlfn.REDUCE(El_unit[[#This Row],[Location]],{",",".","(",")","/"},_xlfn.LAMBDA(_xlpm.txt,_xlpm.delim,SUBSTITUTE(_xlpm.txt,_xlpm.delim," "))))&amp;" "</f>
        <v xml:space="preserve"> porvoo </v>
      </c>
      <c r="D156" s="22" t="s">
        <v>3065</v>
      </c>
      <c r="E156" s="1">
        <v>2</v>
      </c>
      <c r="F156" s="1">
        <v>39</v>
      </c>
      <c r="G156" s="1">
        <v>0</v>
      </c>
      <c r="H156" s="1">
        <v>41</v>
      </c>
      <c r="I156" s="1" t="s">
        <v>1017</v>
      </c>
      <c r="J156" s="1" t="s">
        <v>1017</v>
      </c>
      <c r="K156" s="1" t="s">
        <v>1023</v>
      </c>
      <c r="L156" s="1" t="str" cm="1">
        <f t="array" ref="L156">_xlfn.XLOOKUP(TRUE,ISNUMBER(SEARCH(" "&amp;Municipality[Municipality]&amp;" ",El_unit[[#This Row],[Info sting]])),Municipality[Municipality],"")</f>
        <v>Porvoo</v>
      </c>
      <c r="M156" s="1" t="str" cm="1">
        <f t="array" ref="M156">IF(El_unit[[#This Row],[Exact]]&lt;&gt;"","",_xlfn.XLOOKUP(TRUE,ISNUMBER(SEARCH(" "&amp;Municipality[Municipality]&amp;"n ",El_unit[[#This Row],[Info sting]])),Municipality[Municipality],""))</f>
        <v/>
      </c>
      <c r="O156" s="35"/>
      <c r="Q156" s="1" t="str">
        <f>_xlfn.TEXTJOIN("",TRUE,El_unit[[#This Row],[Exact]],El_unit[[#This Row],[Exact+n]],El_unit[[#This Row],[Copilot]])</f>
        <v>Porvoo</v>
      </c>
    </row>
    <row r="157" spans="1:17">
      <c r="A157" s="54" t="s">
        <v>249</v>
      </c>
      <c r="B157" s="22" t="s">
        <v>250</v>
      </c>
      <c r="C157" s="107" t="str" cm="1">
        <f t="array" ref="C157">" "&amp;LOWER(_xlfn.REDUCE(El_unit[[#This Row],[Location]],{",",".","(",")","/"},_xlfn.LAMBDA(_xlpm.txt,_xlpm.delim,SUBSTITUTE(_xlpm.txt,_xlpm.delim," "))))&amp;" "</f>
        <v xml:space="preserve"> sonkajärvi  kiltuantie 1129 a  jyrkkä </v>
      </c>
      <c r="D157" s="22" t="s">
        <v>3064</v>
      </c>
      <c r="E157" s="1">
        <v>5.6</v>
      </c>
      <c r="F157" s="1">
        <v>0</v>
      </c>
      <c r="G157" s="1">
        <v>0</v>
      </c>
      <c r="H157" s="1">
        <v>5.6</v>
      </c>
      <c r="L157" s="1" t="str" cm="1">
        <f t="array" ref="L157">_xlfn.XLOOKUP(TRUE,ISNUMBER(SEARCH(" "&amp;Municipality[Municipality]&amp;" ",El_unit[[#This Row],[Info sting]])),Municipality[Municipality],"")</f>
        <v>Sonkajärvi</v>
      </c>
      <c r="M157" s="1" t="str" cm="1">
        <f t="array" ref="M157">IF(El_unit[[#This Row],[Exact]]&lt;&gt;"","",_xlfn.XLOOKUP(TRUE,ISNUMBER(SEARCH(" "&amp;Municipality[Municipality]&amp;"n ",El_unit[[#This Row],[Info sting]])),Municipality[Municipality],""))</f>
        <v/>
      </c>
      <c r="O157" s="35"/>
      <c r="Q157" s="1" t="str">
        <f>_xlfn.TEXTJOIN("",TRUE,El_unit[[#This Row],[Exact]],El_unit[[#This Row],[Exact+n]],El_unit[[#This Row],[Copilot]])</f>
        <v>Sonkajärvi</v>
      </c>
    </row>
    <row r="158" spans="1:17">
      <c r="A158" s="54" t="s">
        <v>478</v>
      </c>
      <c r="B158" s="22" t="s">
        <v>478</v>
      </c>
      <c r="C158" s="107" t="str" cm="1">
        <f t="array" ref="C158">" "&amp;LOWER(_xlfn.REDUCE(El_unit[[#This Row],[Location]],{",",".","(",")","/"},_xlfn.LAMBDA(_xlpm.txt,_xlpm.delim,SUBSTITUTE(_xlpm.txt,_xlpm.delim," "))))&amp;" "</f>
        <v xml:space="preserve"> kinnula hautakangas </v>
      </c>
      <c r="D158" s="22" t="s">
        <v>3066</v>
      </c>
      <c r="E158" s="1">
        <v>45.6</v>
      </c>
      <c r="F158" s="1">
        <v>0</v>
      </c>
      <c r="G158" s="1">
        <v>0</v>
      </c>
      <c r="H158" s="1">
        <v>45.6</v>
      </c>
      <c r="L158" s="1" t="str" cm="1">
        <f t="array" ref="L158">_xlfn.XLOOKUP(TRUE,ISNUMBER(SEARCH(" "&amp;Municipality[Municipality]&amp;" ",El_unit[[#This Row],[Info sting]])),Municipality[Municipality],"")</f>
        <v>Kinnula</v>
      </c>
      <c r="M158" s="1" t="str" cm="1">
        <f t="array" ref="M158">IF(El_unit[[#This Row],[Exact]]&lt;&gt;"","",_xlfn.XLOOKUP(TRUE,ISNUMBER(SEARCH(" "&amp;Municipality[Municipality]&amp;"n ",El_unit[[#This Row],[Info sting]])),Municipality[Municipality],""))</f>
        <v/>
      </c>
      <c r="O158" s="35"/>
      <c r="Q158" s="1" t="str">
        <f>_xlfn.TEXTJOIN("",TRUE,El_unit[[#This Row],[Exact]],El_unit[[#This Row],[Exact+n]],El_unit[[#This Row],[Copilot]])</f>
        <v>Kinnula</v>
      </c>
    </row>
    <row r="159" spans="1:17">
      <c r="A159" s="54" t="s">
        <v>251</v>
      </c>
      <c r="B159" s="22" t="s">
        <v>251</v>
      </c>
      <c r="C159" s="107" t="str" cm="1">
        <f t="array" ref="C159">" "&amp;LOWER(_xlfn.REDUCE(El_unit[[#This Row],[Location]],{",",".","(",")","/"},_xlfn.LAMBDA(_xlpm.txt,_xlpm.delim,SUBSTITUTE(_xlpm.txt,_xlpm.delim," "))))&amp;" "</f>
        <v xml:space="preserve"> kirakkaköngäs </v>
      </c>
      <c r="D159" s="22" t="s">
        <v>3064</v>
      </c>
      <c r="E159" s="1">
        <v>1</v>
      </c>
      <c r="F159" s="1">
        <v>0</v>
      </c>
      <c r="G159" s="1">
        <v>0</v>
      </c>
      <c r="H159" s="1">
        <v>1</v>
      </c>
      <c r="L159" s="1" t="str" cm="1">
        <f t="array" ref="L159">_xlfn.XLOOKUP(TRUE,ISNUMBER(SEARCH(" "&amp;Municipality[Municipality]&amp;" ",El_unit[[#This Row],[Info sting]])),Municipality[Municipality],"")</f>
        <v/>
      </c>
      <c r="M159" s="1" t="str" cm="1">
        <f t="array" ref="M159">IF(El_unit[[#This Row],[Exact]]&lt;&gt;"","",_xlfn.XLOOKUP(TRUE,ISNUMBER(SEARCH(" "&amp;Municipality[Municipality]&amp;"n ",El_unit[[#This Row],[Info sting]])),Municipality[Municipality],""))</f>
        <v/>
      </c>
      <c r="O159" s="35"/>
      <c r="Q159" s="1" t="str">
        <f>_xlfn.TEXTJOIN("",TRUE,El_unit[[#This Row],[Exact]],El_unit[[#This Row],[Exact+n]],El_unit[[#This Row],[Copilot]])</f>
        <v/>
      </c>
    </row>
    <row r="160" spans="1:17">
      <c r="A160" s="54" t="s">
        <v>479</v>
      </c>
      <c r="B160" s="22" t="s">
        <v>699</v>
      </c>
      <c r="C160" s="107" t="str" cm="1">
        <f t="array" ref="C160">" "&amp;LOWER(_xlfn.REDUCE(El_unit[[#This Row],[Location]],{",",".","(",")","/"},_xlfn.LAMBDA(_xlpm.txt,_xlpm.delim,SUBSTITUTE(_xlpm.txt,_xlpm.delim," "))))&amp;" "</f>
        <v xml:space="preserve"> kirkkokallio </v>
      </c>
      <c r="D160" s="22" t="s">
        <v>3066</v>
      </c>
      <c r="E160" s="1">
        <v>21.6</v>
      </c>
      <c r="F160" s="1">
        <v>0</v>
      </c>
      <c r="G160" s="1">
        <v>0</v>
      </c>
      <c r="H160" s="1">
        <v>21.6</v>
      </c>
      <c r="L160" s="1" t="str" cm="1">
        <f t="array" ref="L160">_xlfn.XLOOKUP(TRUE,ISNUMBER(SEARCH(" "&amp;Municipality[Municipality]&amp;" ",El_unit[[#This Row],[Info sting]])),Municipality[Municipality],"")</f>
        <v/>
      </c>
      <c r="M160" s="1" t="str" cm="1">
        <f t="array" ref="M160">IF(El_unit[[#This Row],[Exact]]&lt;&gt;"","",_xlfn.XLOOKUP(TRUE,ISNUMBER(SEARCH(" "&amp;Municipality[Municipality]&amp;"n ",El_unit[[#This Row],[Info sting]])),Municipality[Municipality],""))</f>
        <v/>
      </c>
      <c r="N160" s="1" t="s">
        <v>2535</v>
      </c>
      <c r="O160" s="35"/>
      <c r="P160" s="1" t="s">
        <v>3083</v>
      </c>
      <c r="Q160" s="1" t="str">
        <f>_xlfn.TEXTJOIN("",TRUE,El_unit[[#This Row],[Exact]],El_unit[[#This Row],[Exact+n]],El_unit[[#This Row],[Copilot]])</f>
        <v>Honkajoki</v>
      </c>
    </row>
    <row r="161" spans="1:17">
      <c r="A161" s="54" t="s">
        <v>922</v>
      </c>
      <c r="B161" s="22" t="s">
        <v>985</v>
      </c>
      <c r="C161" s="107" t="str" cm="1">
        <f t="array" ref="C161">" "&amp;LOWER(_xlfn.REDUCE(El_unit[[#This Row],[Location]],{",",".","(",")","/"},_xlfn.LAMBDA(_xlpm.txt,_xlpm.delim,SUBSTITUTE(_xlpm.txt,_xlpm.delim," "))))&amp;" "</f>
        <v xml:space="preserve"> kirkniemi  kirkniemen voimalaitos </v>
      </c>
      <c r="D161" s="22" t="s">
        <v>3065</v>
      </c>
      <c r="E161" s="1">
        <v>0</v>
      </c>
      <c r="F161" s="1">
        <v>128</v>
      </c>
      <c r="G161" s="1">
        <v>0</v>
      </c>
      <c r="H161" s="1">
        <v>128</v>
      </c>
      <c r="I161" s="1" t="s">
        <v>1023</v>
      </c>
      <c r="J161" s="1" t="s">
        <v>1020</v>
      </c>
      <c r="L161" s="1" t="str" cm="1">
        <f t="array" ref="L161">_xlfn.XLOOKUP(TRUE,ISNUMBER(SEARCH(" "&amp;Municipality[Municipality]&amp;" ",El_unit[[#This Row],[Info sting]])),Municipality[Municipality],"")</f>
        <v/>
      </c>
      <c r="M161" s="1" t="str" cm="1">
        <f t="array" ref="M161">IF(El_unit[[#This Row],[Exact]]&lt;&gt;"","",_xlfn.XLOOKUP(TRUE,ISNUMBER(SEARCH(" "&amp;Municipality[Municipality]&amp;"n ",El_unit[[#This Row],[Info sting]])),Municipality[Municipality],""))</f>
        <v/>
      </c>
      <c r="O161" s="35"/>
      <c r="Q161" s="1" t="str">
        <f>_xlfn.TEXTJOIN("",TRUE,El_unit[[#This Row],[Exact]],El_unit[[#This Row],[Exact+n]],El_unit[[#This Row],[Copilot]])</f>
        <v/>
      </c>
    </row>
    <row r="162" spans="1:17">
      <c r="A162" s="54" t="s">
        <v>252</v>
      </c>
      <c r="B162" s="22" t="s">
        <v>253</v>
      </c>
      <c r="C162" s="107" t="str" cm="1">
        <f t="array" ref="C162">" "&amp;LOWER(_xlfn.REDUCE(El_unit[[#This Row],[Location]],{",",".","(",")","/"},_xlfn.LAMBDA(_xlpm.txt,_xlpm.delim,SUBSTITUTE(_xlpm.txt,_xlpm.delim," "))))&amp;" "</f>
        <v xml:space="preserve"> hirvensalmi  kissakoski </v>
      </c>
      <c r="D162" s="22" t="s">
        <v>3064</v>
      </c>
      <c r="E162" s="1">
        <v>1.6</v>
      </c>
      <c r="F162" s="1">
        <v>0</v>
      </c>
      <c r="G162" s="1">
        <v>0</v>
      </c>
      <c r="H162" s="1">
        <v>1.6</v>
      </c>
      <c r="L162" s="1" t="str" cm="1">
        <f t="array" ref="L162">_xlfn.XLOOKUP(TRUE,ISNUMBER(SEARCH(" "&amp;Municipality[Municipality]&amp;" ",El_unit[[#This Row],[Info sting]])),Municipality[Municipality],"")</f>
        <v>Hirvensalmi</v>
      </c>
      <c r="M162" s="1" t="str" cm="1">
        <f t="array" ref="M162">IF(El_unit[[#This Row],[Exact]]&lt;&gt;"","",_xlfn.XLOOKUP(TRUE,ISNUMBER(SEARCH(" "&amp;Municipality[Municipality]&amp;"n ",El_unit[[#This Row],[Info sting]])),Municipality[Municipality],""))</f>
        <v/>
      </c>
      <c r="O162" s="35"/>
      <c r="Q162" s="1" t="str">
        <f>_xlfn.TEXTJOIN("",TRUE,El_unit[[#This Row],[Exact]],El_unit[[#This Row],[Exact+n]],El_unit[[#This Row],[Copilot]])</f>
        <v>Hirvensalmi</v>
      </c>
    </row>
    <row r="163" spans="1:17">
      <c r="A163" s="54" t="s">
        <v>480</v>
      </c>
      <c r="B163" s="22" t="s">
        <v>700</v>
      </c>
      <c r="C163" s="107" t="str" cm="1">
        <f t="array" ref="C163">" "&amp;LOWER(_xlfn.REDUCE(El_unit[[#This Row],[Location]],{",",".","(",")","/"},_xlfn.LAMBDA(_xlpm.txt,_xlpm.delim,SUBSTITUTE(_xlpm.txt,_xlpm.delim," "))))&amp;" "</f>
        <v xml:space="preserve"> kivivaara-peuravaaran tuulivoimapuisto 1 </v>
      </c>
      <c r="D163" s="22" t="s">
        <v>3066</v>
      </c>
      <c r="E163" s="1">
        <v>39</v>
      </c>
      <c r="F163" s="1">
        <v>0</v>
      </c>
      <c r="G163" s="1">
        <v>0</v>
      </c>
      <c r="H163" s="1">
        <v>39</v>
      </c>
      <c r="L163" s="1" t="str" cm="1">
        <f t="array" ref="L163">_xlfn.XLOOKUP(TRUE,ISNUMBER(SEARCH(" "&amp;Municipality[Municipality]&amp;" ",El_unit[[#This Row],[Info sting]])),Municipality[Municipality],"")</f>
        <v/>
      </c>
      <c r="M163" s="1" t="str" cm="1">
        <f t="array" ref="M163">IF(El_unit[[#This Row],[Exact]]&lt;&gt;"","",_xlfn.XLOOKUP(TRUE,ISNUMBER(SEARCH(" "&amp;Municipality[Municipality]&amp;"n ",El_unit[[#This Row],[Info sting]])),Municipality[Municipality],""))</f>
        <v/>
      </c>
      <c r="O163" s="35"/>
      <c r="Q163" s="1" t="str">
        <f>_xlfn.TEXTJOIN("",TRUE,El_unit[[#This Row],[Exact]],El_unit[[#This Row],[Exact+n]],El_unit[[#This Row],[Copilot]])</f>
        <v/>
      </c>
    </row>
    <row r="164" spans="1:17">
      <c r="A164" s="54" t="s">
        <v>481</v>
      </c>
      <c r="B164" s="22" t="s">
        <v>481</v>
      </c>
      <c r="C164" s="107" t="str" cm="1">
        <f t="array" ref="C164">" "&amp;LOWER(_xlfn.REDUCE(El_unit[[#This Row],[Location]],{",",".","(",")","/"},_xlfn.LAMBDA(_xlpm.txt,_xlpm.delim,SUBSTITUTE(_xlpm.txt,_xlpm.delim," "))))&amp;" "</f>
        <v xml:space="preserve"> kivivaara-peuravaara 2a </v>
      </c>
      <c r="D164" s="22" t="s">
        <v>3066</v>
      </c>
      <c r="E164" s="1">
        <v>18</v>
      </c>
      <c r="F164" s="1">
        <v>0</v>
      </c>
      <c r="G164" s="1">
        <v>0</v>
      </c>
      <c r="H164" s="1">
        <v>18</v>
      </c>
      <c r="L164" s="1" t="str" cm="1">
        <f t="array" ref="L164">_xlfn.XLOOKUP(TRUE,ISNUMBER(SEARCH(" "&amp;Municipality[Municipality]&amp;" ",El_unit[[#This Row],[Info sting]])),Municipality[Municipality],"")</f>
        <v/>
      </c>
      <c r="M164" s="1" t="str" cm="1">
        <f t="array" ref="M164">IF(El_unit[[#This Row],[Exact]]&lt;&gt;"","",_xlfn.XLOOKUP(TRUE,ISNUMBER(SEARCH(" "&amp;Municipality[Municipality]&amp;"n ",El_unit[[#This Row],[Info sting]])),Municipality[Municipality],""))</f>
        <v/>
      </c>
      <c r="N164" s="1" t="s">
        <v>3153</v>
      </c>
      <c r="O164" s="35" t="s">
        <v>3154</v>
      </c>
      <c r="P164" s="1" t="s">
        <v>3155</v>
      </c>
      <c r="Q164" s="1" t="str">
        <f>_xlfn.TEXTJOIN("",TRUE,El_unit[[#This Row],[Exact]],El_unit[[#This Row],[Exact+n]],El_unit[[#This Row],[Copilot]])</f>
        <v>Hyrynsalmi; Suomussalmi</v>
      </c>
    </row>
    <row r="165" spans="1:17">
      <c r="A165" s="54" t="s">
        <v>482</v>
      </c>
      <c r="B165" s="22" t="s">
        <v>482</v>
      </c>
      <c r="C165" s="107" t="str" cm="1">
        <f t="array" ref="C165">" "&amp;LOWER(_xlfn.REDUCE(El_unit[[#This Row],[Location]],{",",".","(",")","/"},_xlfn.LAMBDA(_xlpm.txt,_xlpm.delim,SUBSTITUTE(_xlpm.txt,_xlpm.delim," "))))&amp;" "</f>
        <v xml:space="preserve"> kivivaara-peuravaaran tuulivoimapuisto 3 </v>
      </c>
      <c r="D165" s="22" t="s">
        <v>3066</v>
      </c>
      <c r="E165" s="1">
        <v>33</v>
      </c>
      <c r="F165" s="1">
        <v>0</v>
      </c>
      <c r="G165" s="1">
        <v>0</v>
      </c>
      <c r="H165" s="1">
        <v>33</v>
      </c>
      <c r="L165" s="1" t="str" cm="1">
        <f t="array" ref="L165">_xlfn.XLOOKUP(TRUE,ISNUMBER(SEARCH(" "&amp;Municipality[Municipality]&amp;" ",El_unit[[#This Row],[Info sting]])),Municipality[Municipality],"")</f>
        <v/>
      </c>
      <c r="M165" s="1" t="str" cm="1">
        <f t="array" ref="M165">IF(El_unit[[#This Row],[Exact]]&lt;&gt;"","",_xlfn.XLOOKUP(TRUE,ISNUMBER(SEARCH(" "&amp;Municipality[Municipality]&amp;"n ",El_unit[[#This Row],[Info sting]])),Municipality[Municipality],""))</f>
        <v/>
      </c>
      <c r="N165" s="1" t="s">
        <v>3153</v>
      </c>
      <c r="O165" s="35" t="s">
        <v>3154</v>
      </c>
      <c r="P165" s="1" t="s">
        <v>3155</v>
      </c>
      <c r="Q165" s="1" t="str">
        <f>_xlfn.TEXTJOIN("",TRUE,El_unit[[#This Row],[Exact]],El_unit[[#This Row],[Exact+n]],El_unit[[#This Row],[Copilot]])</f>
        <v>Hyrynsalmi; Suomussalmi</v>
      </c>
    </row>
    <row r="166" spans="1:17">
      <c r="A166" s="54" t="s">
        <v>254</v>
      </c>
      <c r="B166" s="22" t="s">
        <v>254</v>
      </c>
      <c r="C166" s="107" t="str" cm="1">
        <f t="array" ref="C166">" "&amp;LOWER(_xlfn.REDUCE(El_unit[[#This Row],[Location]],{",",".","(",")","/"},_xlfn.LAMBDA(_xlpm.txt,_xlpm.delim,SUBSTITUTE(_xlpm.txt,_xlpm.delim," "))))&amp;" "</f>
        <v xml:space="preserve"> klåsarö </v>
      </c>
      <c r="D166" s="22" t="s">
        <v>3064</v>
      </c>
      <c r="E166" s="1">
        <v>4.5</v>
      </c>
      <c r="F166" s="1">
        <v>0</v>
      </c>
      <c r="G166" s="1">
        <v>0</v>
      </c>
      <c r="H166" s="1">
        <v>4.5</v>
      </c>
      <c r="L166" s="1" t="str" cm="1">
        <f t="array" ref="L166">_xlfn.XLOOKUP(TRUE,ISNUMBER(SEARCH(" "&amp;Municipality[Municipality]&amp;" ",El_unit[[#This Row],[Info sting]])),Municipality[Municipality],"")</f>
        <v/>
      </c>
      <c r="M166" s="1" t="str" cm="1">
        <f t="array" ref="M166">IF(El_unit[[#This Row],[Exact]]&lt;&gt;"","",_xlfn.XLOOKUP(TRUE,ISNUMBER(SEARCH(" "&amp;Municipality[Municipality]&amp;"n ",El_unit[[#This Row],[Info sting]])),Municipality[Municipality],""))</f>
        <v/>
      </c>
      <c r="N166" s="1" t="s">
        <v>2740</v>
      </c>
      <c r="O166" s="35" t="s">
        <v>3125</v>
      </c>
      <c r="Q166" s="1" t="str">
        <f>_xlfn.TEXTJOIN("",TRUE,El_unit[[#This Row],[Exact]],El_unit[[#This Row],[Exact+n]],El_unit[[#This Row],[Copilot]])</f>
        <v>Pyhtää</v>
      </c>
    </row>
    <row r="167" spans="1:17">
      <c r="A167" s="54" t="s">
        <v>483</v>
      </c>
      <c r="B167" s="22" t="s">
        <v>483</v>
      </c>
      <c r="C167" s="107" t="str" cm="1">
        <f t="array" ref="C167">" "&amp;LOWER(_xlfn.REDUCE(El_unit[[#This Row],[Location]],{",",".","(",")","/"},_xlfn.LAMBDA(_xlpm.txt,_xlpm.delim,SUBSTITUTE(_xlpm.txt,_xlpm.delim," "))))&amp;" "</f>
        <v xml:space="preserve"> koirakari </v>
      </c>
      <c r="D167" s="22" t="s">
        <v>3066</v>
      </c>
      <c r="E167" s="1">
        <v>3.1</v>
      </c>
      <c r="F167" s="1">
        <v>0</v>
      </c>
      <c r="G167" s="1">
        <v>0</v>
      </c>
      <c r="H167" s="1">
        <v>3.1</v>
      </c>
      <c r="L167" s="1" t="str" cm="1">
        <f t="array" ref="L167">_xlfn.XLOOKUP(TRUE,ISNUMBER(SEARCH(" "&amp;Municipality[Municipality]&amp;" ",El_unit[[#This Row],[Info sting]])),Municipality[Municipality],"")</f>
        <v/>
      </c>
      <c r="M167" s="1" t="str" cm="1">
        <f t="array" ref="M167">IF(El_unit[[#This Row],[Exact]]&lt;&gt;"","",_xlfn.XLOOKUP(TRUE,ISNUMBER(SEARCH(" "&amp;Municipality[Municipality]&amp;"n ",El_unit[[#This Row],[Info sting]])),Municipality[Municipality],""))</f>
        <v/>
      </c>
      <c r="N167" s="1" t="s">
        <v>968</v>
      </c>
      <c r="O167" s="35" t="s">
        <v>3156</v>
      </c>
      <c r="Q167" s="1" t="str">
        <f>_xlfn.TEXTJOIN("",TRUE,El_unit[[#This Row],[Exact]],El_unit[[#This Row],[Exact+n]],El_unit[[#This Row],[Copilot]])</f>
        <v>Hamina</v>
      </c>
    </row>
    <row r="168" spans="1:17">
      <c r="A168" s="54" t="s">
        <v>484</v>
      </c>
      <c r="B168" s="22" t="s">
        <v>484</v>
      </c>
      <c r="C168" s="107" t="str" cm="1">
        <f t="array" ref="C168">" "&amp;LOWER(_xlfn.REDUCE(El_unit[[#This Row],[Location]],{",",".","(",")","/"},_xlfn.LAMBDA(_xlpm.txt,_xlpm.delim,SUBSTITUTE(_xlpm.txt,_xlpm.delim," "))))&amp;" "</f>
        <v xml:space="preserve"> koiramäki  karstula </v>
      </c>
      <c r="D168" s="22" t="s">
        <v>3066</v>
      </c>
      <c r="E168" s="1">
        <v>28.9</v>
      </c>
      <c r="F168" s="1">
        <v>0</v>
      </c>
      <c r="G168" s="1">
        <v>0</v>
      </c>
      <c r="H168" s="1">
        <v>28.9</v>
      </c>
      <c r="L168" s="1" t="str" cm="1">
        <f t="array" ref="L168">_xlfn.XLOOKUP(TRUE,ISNUMBER(SEARCH(" "&amp;Municipality[Municipality]&amp;" ",El_unit[[#This Row],[Info sting]])),Municipality[Municipality],"")</f>
        <v>Karstula</v>
      </c>
      <c r="M168" s="1" t="str" cm="1">
        <f t="array" ref="M168">IF(El_unit[[#This Row],[Exact]]&lt;&gt;"","",_xlfn.XLOOKUP(TRUE,ISNUMBER(SEARCH(" "&amp;Municipality[Municipality]&amp;"n ",El_unit[[#This Row],[Info sting]])),Municipality[Municipality],""))</f>
        <v/>
      </c>
      <c r="O168" s="35"/>
      <c r="Q168" s="1" t="str">
        <f>_xlfn.TEXTJOIN("",TRUE,El_unit[[#This Row],[Exact]],El_unit[[#This Row],[Exact+n]],El_unit[[#This Row],[Copilot]])</f>
        <v>Karstula</v>
      </c>
    </row>
    <row r="169" spans="1:17">
      <c r="A169" s="54" t="s">
        <v>255</v>
      </c>
      <c r="B169" s="22" t="s">
        <v>256</v>
      </c>
      <c r="C169" s="107" t="str" cm="1">
        <f t="array" ref="C169">" "&amp;LOWER(_xlfn.REDUCE(El_unit[[#This Row],[Location]],{",",".","(",")","/"},_xlfn.LAMBDA(_xlpm.txt,_xlpm.delim,SUBSTITUTE(_xlpm.txt,_xlpm.delim," "))))&amp;" "</f>
        <v xml:space="preserve"> koivukosken voimalaitos kotka </v>
      </c>
      <c r="D169" s="22" t="s">
        <v>3064</v>
      </c>
      <c r="E169" s="1">
        <v>1.8</v>
      </c>
      <c r="F169" s="1">
        <v>0</v>
      </c>
      <c r="G169" s="1">
        <v>0</v>
      </c>
      <c r="H169" s="1">
        <v>1.8</v>
      </c>
      <c r="L169" s="1" t="str" cm="1">
        <f t="array" ref="L169">_xlfn.XLOOKUP(TRUE,ISNUMBER(SEARCH(" "&amp;Municipality[Municipality]&amp;" ",El_unit[[#This Row],[Info sting]])),Municipality[Municipality],"")</f>
        <v>Kotka</v>
      </c>
      <c r="M169" s="1" t="str" cm="1">
        <f t="array" ref="M169">IF(El_unit[[#This Row],[Exact]]&lt;&gt;"","",_xlfn.XLOOKUP(TRUE,ISNUMBER(SEARCH(" "&amp;Municipality[Municipality]&amp;"n ",El_unit[[#This Row],[Info sting]])),Municipality[Municipality],""))</f>
        <v/>
      </c>
      <c r="O169" s="35"/>
      <c r="Q169" s="1" t="str">
        <f>_xlfn.TEXTJOIN("",TRUE,El_unit[[#This Row],[Exact]],El_unit[[#This Row],[Exact+n]],El_unit[[#This Row],[Copilot]])</f>
        <v>Kotka</v>
      </c>
    </row>
    <row r="170" spans="1:17">
      <c r="A170" s="54" t="s">
        <v>257</v>
      </c>
      <c r="B170" s="22" t="s">
        <v>257</v>
      </c>
      <c r="C170" s="107" t="str" cm="1">
        <f t="array" ref="C170">" "&amp;LOWER(_xlfn.REDUCE(El_unit[[#This Row],[Location]],{",",".","(",")","/"},_xlfn.LAMBDA(_xlpm.txt,_xlpm.delim,SUBSTITUTE(_xlpm.txt,_xlpm.delim," "))))&amp;" "</f>
        <v xml:space="preserve"> koivukoski 1 ja 2 </v>
      </c>
      <c r="D170" s="22" t="s">
        <v>3064</v>
      </c>
      <c r="E170" s="1">
        <v>2.63</v>
      </c>
      <c r="F170" s="1">
        <v>0</v>
      </c>
      <c r="G170" s="1">
        <v>0</v>
      </c>
      <c r="H170" s="1">
        <v>2.63</v>
      </c>
      <c r="L170" s="1" t="str" cm="1">
        <f t="array" ref="L170">_xlfn.XLOOKUP(TRUE,ISNUMBER(SEARCH(" "&amp;Municipality[Municipality]&amp;" ",El_unit[[#This Row],[Info sting]])),Municipality[Municipality],"")</f>
        <v/>
      </c>
      <c r="M170" s="1" t="str" cm="1">
        <f t="array" ref="M170">IF(El_unit[[#This Row],[Exact]]&lt;&gt;"","",_xlfn.XLOOKUP(TRUE,ISNUMBER(SEARCH(" "&amp;Municipality[Municipality]&amp;"n ",El_unit[[#This Row],[Info sting]])),Municipality[Municipality],""))</f>
        <v/>
      </c>
      <c r="N170" s="1" t="s">
        <v>924</v>
      </c>
      <c r="O170" s="35"/>
      <c r="P170" s="1" t="s">
        <v>3084</v>
      </c>
      <c r="Q170" s="1" t="str">
        <f>_xlfn.TEXTJOIN("",TRUE,El_unit[[#This Row],[Exact]],El_unit[[#This Row],[Exact+n]],El_unit[[#This Row],[Copilot]])</f>
        <v>Kotka</v>
      </c>
    </row>
    <row r="171" spans="1:17">
      <c r="A171" s="54" t="s">
        <v>258</v>
      </c>
      <c r="B171" s="22" t="s">
        <v>258</v>
      </c>
      <c r="C171" s="107" t="str" cm="1">
        <f t="array" ref="C171">" "&amp;LOWER(_xlfn.REDUCE(El_unit[[#This Row],[Location]],{",",".","(",")","/"},_xlfn.LAMBDA(_xlpm.txt,_xlpm.delim,SUBSTITUTE(_xlpm.txt,_xlpm.delim," "))))&amp;" "</f>
        <v xml:space="preserve"> koivukoski 3 </v>
      </c>
      <c r="D171" s="22" t="s">
        <v>3064</v>
      </c>
      <c r="E171" s="1">
        <v>24.3</v>
      </c>
      <c r="F171" s="1">
        <v>0</v>
      </c>
      <c r="G171" s="1">
        <v>0</v>
      </c>
      <c r="H171" s="1">
        <v>24.3</v>
      </c>
      <c r="L171" s="1" t="str" cm="1">
        <f t="array" ref="L171">_xlfn.XLOOKUP(TRUE,ISNUMBER(SEARCH(" "&amp;Municipality[Municipality]&amp;" ",El_unit[[#This Row],[Info sting]])),Municipality[Municipality],"")</f>
        <v/>
      </c>
      <c r="M171" s="1" t="str" cm="1">
        <f t="array" ref="M171">IF(El_unit[[#This Row],[Exact]]&lt;&gt;"","",_xlfn.XLOOKUP(TRUE,ISNUMBER(SEARCH(" "&amp;Municipality[Municipality]&amp;"n ",El_unit[[#This Row],[Info sting]])),Municipality[Municipality],""))</f>
        <v/>
      </c>
      <c r="N171" s="1" t="s">
        <v>924</v>
      </c>
      <c r="O171" s="35"/>
      <c r="P171" s="1" t="s">
        <v>3084</v>
      </c>
      <c r="Q171" s="1" t="str">
        <f>_xlfn.TEXTJOIN("",TRUE,El_unit[[#This Row],[Exact]],El_unit[[#This Row],[Exact+n]],El_unit[[#This Row],[Copilot]])</f>
        <v>Kotka</v>
      </c>
    </row>
    <row r="172" spans="1:17">
      <c r="A172" s="54" t="s">
        <v>923</v>
      </c>
      <c r="B172" s="22" t="s">
        <v>986</v>
      </c>
      <c r="C172" s="107" t="str" cm="1">
        <f t="array" ref="C172">" "&amp;LOWER(_xlfn.REDUCE(El_unit[[#This Row],[Location]],{",",".","(",")","/"},_xlfn.LAMBDA(_xlpm.txt,_xlpm.delim,SUBSTITUTE(_xlpm.txt,_xlpm.delim," "))))&amp;" "</f>
        <v xml:space="preserve"> voimalaitos power  ent  kokkolan voimalaitos  </v>
      </c>
      <c r="D172" s="22" t="s">
        <v>3065</v>
      </c>
      <c r="E172" s="1">
        <v>0</v>
      </c>
      <c r="F172" s="1">
        <v>27</v>
      </c>
      <c r="G172" s="1">
        <v>0</v>
      </c>
      <c r="H172" s="1">
        <v>27</v>
      </c>
      <c r="I172" s="1" t="s">
        <v>1015</v>
      </c>
      <c r="J172" s="1" t="s">
        <v>1022</v>
      </c>
      <c r="K172" s="1" t="s">
        <v>1016</v>
      </c>
      <c r="L172" s="1" t="str" cm="1">
        <f t="array" ref="L172">_xlfn.XLOOKUP(TRUE,ISNUMBER(SEARCH(" "&amp;Municipality[Municipality]&amp;" ",El_unit[[#This Row],[Info sting]])),Municipality[Municipality],"")</f>
        <v/>
      </c>
      <c r="M172" s="1" t="str" cm="1">
        <f t="array" ref="M172">IF(El_unit[[#This Row],[Exact]]&lt;&gt;"","",_xlfn.XLOOKUP(TRUE,ISNUMBER(SEARCH(" "&amp;Municipality[Municipality]&amp;"n ",El_unit[[#This Row],[Info sting]])),Municipality[Municipality],""))</f>
        <v>Kokkola</v>
      </c>
      <c r="O172" s="35"/>
      <c r="Q172" s="1" t="str">
        <f>_xlfn.TEXTJOIN("",TRUE,El_unit[[#This Row],[Exact]],El_unit[[#This Row],[Exact+n]],El_unit[[#This Row],[Copilot]])</f>
        <v>Kokkola</v>
      </c>
    </row>
    <row r="173" spans="1:17">
      <c r="A173" s="54" t="s">
        <v>923</v>
      </c>
      <c r="B173" s="22" t="s">
        <v>1098</v>
      </c>
      <c r="C173" s="107" t="str" cm="1">
        <f t="array" ref="C173">" "&amp;LOWER(_xlfn.REDUCE(El_unit[[#This Row],[Location]],{",",".","(",")","/"},_xlfn.LAMBDA(_xlpm.txt,_xlpm.delim,SUBSTITUTE(_xlpm.txt,_xlpm.delim," "))))&amp;" "</f>
        <v xml:space="preserve"> voimalaitos voima </v>
      </c>
      <c r="D173" s="22" t="s">
        <v>3067</v>
      </c>
      <c r="E173" s="1">
        <v>0</v>
      </c>
      <c r="F173" s="1">
        <v>0</v>
      </c>
      <c r="G173" s="1">
        <v>19.5</v>
      </c>
      <c r="H173" s="1">
        <v>19.5</v>
      </c>
      <c r="I173" s="1" t="s">
        <v>1016</v>
      </c>
      <c r="J173" s="1" t="s">
        <v>1022</v>
      </c>
      <c r="K173" s="1" t="s">
        <v>1015</v>
      </c>
      <c r="L173" s="1" t="str" cm="1">
        <f t="array" ref="L173">_xlfn.XLOOKUP(TRUE,ISNUMBER(SEARCH(" "&amp;Municipality[Municipality]&amp;" ",El_unit[[#This Row],[Info sting]])),Municipality[Municipality],"")</f>
        <v/>
      </c>
      <c r="M173" s="1" t="str" cm="1">
        <f t="array" ref="M173">IF(El_unit[[#This Row],[Exact]]&lt;&gt;"","",_xlfn.XLOOKUP(TRUE,ISNUMBER(SEARCH(" "&amp;Municipality[Municipality]&amp;"n ",El_unit[[#This Row],[Info sting]])),Municipality[Municipality],""))</f>
        <v/>
      </c>
      <c r="N173" s="1" t="s">
        <v>923</v>
      </c>
      <c r="O173" s="35"/>
      <c r="P173" s="1" t="s">
        <v>3085</v>
      </c>
      <c r="Q173" s="1" t="str">
        <f>_xlfn.TEXTJOIN("",TRUE,El_unit[[#This Row],[Exact]],El_unit[[#This Row],[Exact+n]],El_unit[[#This Row],[Copilot]])</f>
        <v>Kokkola</v>
      </c>
    </row>
    <row r="174" spans="1:17">
      <c r="A174" s="54" t="s">
        <v>485</v>
      </c>
      <c r="B174" s="22" t="s">
        <v>701</v>
      </c>
      <c r="C174" s="107" t="str" cm="1">
        <f t="array" ref="C174">" "&amp;LOWER(_xlfn.REDUCE(El_unit[[#This Row],[Location]],{",",".","(",")","/"},_xlfn.LAMBDA(_xlpm.txt,_xlpm.delim,SUBSTITUTE(_xlpm.txt,_xlpm.delim," "))))&amp;" "</f>
        <v xml:space="preserve"> kokkoneva </v>
      </c>
      <c r="D174" s="22" t="s">
        <v>3066</v>
      </c>
      <c r="E174" s="1">
        <v>43.2</v>
      </c>
      <c r="F174" s="1">
        <v>0</v>
      </c>
      <c r="G174" s="1">
        <v>0</v>
      </c>
      <c r="H174" s="1">
        <v>43.2</v>
      </c>
      <c r="L174" s="1" t="str" cm="1">
        <f t="array" ref="L174">_xlfn.XLOOKUP(TRUE,ISNUMBER(SEARCH(" "&amp;Municipality[Municipality]&amp;" ",El_unit[[#This Row],[Info sting]])),Municipality[Municipality],"")</f>
        <v/>
      </c>
      <c r="M174" s="1" t="str" cm="1">
        <f t="array" ref="M174">IF(El_unit[[#This Row],[Exact]]&lt;&gt;"","",_xlfn.XLOOKUP(TRUE,ISNUMBER(SEARCH(" "&amp;Municipality[Municipality]&amp;"n ",El_unit[[#This Row],[Info sting]])),Municipality[Municipality],""))</f>
        <v/>
      </c>
      <c r="N174" s="1" t="s">
        <v>3157</v>
      </c>
      <c r="O174" s="35" t="s">
        <v>3158</v>
      </c>
      <c r="Q174" s="1" t="str">
        <f>_xlfn.TEXTJOIN("",TRUE,El_unit[[#This Row],[Exact]],El_unit[[#This Row],[Exact+n]],El_unit[[#This Row],[Copilot]])</f>
        <v>Siikalatva</v>
      </c>
    </row>
    <row r="175" spans="1:17">
      <c r="A175" s="54" t="s">
        <v>259</v>
      </c>
      <c r="B175" s="22" t="s">
        <v>259</v>
      </c>
      <c r="C175" s="107" t="str" cm="1">
        <f t="array" ref="C175">" "&amp;LOWER(_xlfn.REDUCE(El_unit[[#This Row],[Location]],{",",".","(",")","/"},_xlfn.LAMBDA(_xlpm.txt,_xlpm.delim,SUBSTITUTE(_xlpm.txt,_xlpm.delim," "))))&amp;" "</f>
        <v xml:space="preserve"> kokkosniva </v>
      </c>
      <c r="D175" s="22" t="s">
        <v>3064</v>
      </c>
      <c r="E175" s="1">
        <v>26</v>
      </c>
      <c r="F175" s="1">
        <v>0</v>
      </c>
      <c r="G175" s="1">
        <v>0</v>
      </c>
      <c r="H175" s="1">
        <v>26</v>
      </c>
      <c r="L175" s="1" t="str" cm="1">
        <f t="array" ref="L175">_xlfn.XLOOKUP(TRUE,ISNUMBER(SEARCH(" "&amp;Municipality[Municipality]&amp;" ",El_unit[[#This Row],[Info sting]])),Municipality[Municipality],"")</f>
        <v/>
      </c>
      <c r="M175" s="1" t="str" cm="1">
        <f t="array" ref="M175">IF(El_unit[[#This Row],[Exact]]&lt;&gt;"","",_xlfn.XLOOKUP(TRUE,ISNUMBER(SEARCH(" "&amp;Municipality[Municipality]&amp;"n ",El_unit[[#This Row],[Info sting]])),Municipality[Municipality],""))</f>
        <v/>
      </c>
      <c r="N175" s="1" t="s">
        <v>2713</v>
      </c>
      <c r="O175" s="35" t="s">
        <v>3130</v>
      </c>
      <c r="Q175" s="1" t="str">
        <f>_xlfn.TEXTJOIN("",TRUE,El_unit[[#This Row],[Exact]],El_unit[[#This Row],[Exact+n]],El_unit[[#This Row],[Copilot]])</f>
        <v>Pelkosenniemi</v>
      </c>
    </row>
    <row r="176" spans="1:17">
      <c r="A176" s="54" t="s">
        <v>260</v>
      </c>
      <c r="B176" s="22" t="s">
        <v>261</v>
      </c>
      <c r="C176" s="107" t="str" cm="1">
        <f t="array" ref="C176">" "&amp;LOWER(_xlfn.REDUCE(El_unit[[#This Row],[Location]],{",",".","(",")","/"},_xlfn.LAMBDA(_xlpm.txt,_xlpm.delim,SUBSTITUTE(_xlpm.txt,_xlpm.delim," "))))&amp;" "</f>
        <v xml:space="preserve"> kolsin voimalaitos kokemäki </v>
      </c>
      <c r="D176" s="22" t="s">
        <v>3064</v>
      </c>
      <c r="E176" s="1">
        <v>45</v>
      </c>
      <c r="F176" s="1">
        <v>0</v>
      </c>
      <c r="G176" s="1">
        <v>0</v>
      </c>
      <c r="H176" s="1">
        <v>45</v>
      </c>
      <c r="L176" s="1" t="str" cm="1">
        <f t="array" ref="L176">_xlfn.XLOOKUP(TRUE,ISNUMBER(SEARCH(" "&amp;Municipality[Municipality]&amp;" ",El_unit[[#This Row],[Info sting]])),Municipality[Municipality],"")</f>
        <v>Kokemäki</v>
      </c>
      <c r="M176" s="1" t="str" cm="1">
        <f t="array" ref="M176">IF(El_unit[[#This Row],[Exact]]&lt;&gt;"","",_xlfn.XLOOKUP(TRUE,ISNUMBER(SEARCH(" "&amp;Municipality[Municipality]&amp;"n ",El_unit[[#This Row],[Info sting]])),Municipality[Municipality],""))</f>
        <v/>
      </c>
      <c r="O176" s="35"/>
      <c r="Q176" s="1" t="str">
        <f>_xlfn.TEXTJOIN("",TRUE,El_unit[[#This Row],[Exact]],El_unit[[#This Row],[Exact+n]],El_unit[[#This Row],[Copilot]])</f>
        <v>Kokemäki</v>
      </c>
    </row>
    <row r="177" spans="1:17">
      <c r="A177" s="54" t="s">
        <v>1046</v>
      </c>
      <c r="B177" s="22" t="s">
        <v>1099</v>
      </c>
      <c r="C177" s="107" t="str" cm="1">
        <f t="array" ref="C177">" "&amp;LOWER(_xlfn.REDUCE(El_unit[[#This Row],[Location]],{",",".","(",")","/"},_xlfn.LAMBDA(_xlpm.txt,_xlpm.delim,SUBSTITUTE(_xlpm.txt,_xlpm.delim," "))))&amp;" "</f>
        <v xml:space="preserve"> koneharju koneharjunkatu  lahti </v>
      </c>
      <c r="D177" s="22" t="s">
        <v>3067</v>
      </c>
      <c r="E177" s="1">
        <v>0</v>
      </c>
      <c r="F177" s="1">
        <v>0</v>
      </c>
      <c r="G177" s="1">
        <v>4.5999999999999996</v>
      </c>
      <c r="H177" s="1">
        <v>4.5999999999999996</v>
      </c>
      <c r="I177" s="1" t="s">
        <v>1023</v>
      </c>
      <c r="J177" s="1" t="s">
        <v>1020</v>
      </c>
      <c r="L177" s="1" t="str" cm="1">
        <f t="array" ref="L177">_xlfn.XLOOKUP(TRUE,ISNUMBER(SEARCH(" "&amp;Municipality[Municipality]&amp;" ",El_unit[[#This Row],[Info sting]])),Municipality[Municipality],"")</f>
        <v>Lahti</v>
      </c>
      <c r="M177" s="1" t="str" cm="1">
        <f t="array" ref="M177">IF(El_unit[[#This Row],[Exact]]&lt;&gt;"","",_xlfn.XLOOKUP(TRUE,ISNUMBER(SEARCH(" "&amp;Municipality[Municipality]&amp;"n ",El_unit[[#This Row],[Info sting]])),Municipality[Municipality],""))</f>
        <v/>
      </c>
      <c r="O177" s="35"/>
      <c r="Q177" s="1" t="str">
        <f>_xlfn.TEXTJOIN("",TRUE,El_unit[[#This Row],[Exact]],El_unit[[#This Row],[Exact+n]],El_unit[[#This Row],[Copilot]])</f>
        <v>Lahti</v>
      </c>
    </row>
    <row r="178" spans="1:17">
      <c r="A178" s="54" t="s">
        <v>486</v>
      </c>
      <c r="B178" s="22" t="s">
        <v>702</v>
      </c>
      <c r="C178" s="107" t="str" cm="1">
        <f t="array" ref="C178">" "&amp;LOWER(_xlfn.REDUCE(El_unit[[#This Row],[Location]],{",",".","(",")","/"},_xlfn.LAMBDA(_xlpm.txt,_xlpm.delim,SUBSTITUTE(_xlpm.txt,_xlpm.delim," "))))&amp;" "</f>
        <v xml:space="preserve"> konttisuo  soini </v>
      </c>
      <c r="D178" s="22" t="s">
        <v>3066</v>
      </c>
      <c r="E178" s="1">
        <v>29.96</v>
      </c>
      <c r="F178" s="1">
        <v>0</v>
      </c>
      <c r="G178" s="1">
        <v>0</v>
      </c>
      <c r="H178" s="1">
        <v>29.96</v>
      </c>
      <c r="L178" s="1" t="str" cm="1">
        <f t="array" ref="L178">_xlfn.XLOOKUP(TRUE,ISNUMBER(SEARCH(" "&amp;Municipality[Municipality]&amp;" ",El_unit[[#This Row],[Info sting]])),Municipality[Municipality],"")</f>
        <v>Soini</v>
      </c>
      <c r="M178" s="1" t="str" cm="1">
        <f t="array" ref="M178">IF(El_unit[[#This Row],[Exact]]&lt;&gt;"","",_xlfn.XLOOKUP(TRUE,ISNUMBER(SEARCH(" "&amp;Municipality[Municipality]&amp;"n ",El_unit[[#This Row],[Info sting]])),Municipality[Municipality],""))</f>
        <v/>
      </c>
      <c r="O178" s="35"/>
      <c r="Q178" s="1" t="str">
        <f>_xlfn.TEXTJOIN("",TRUE,El_unit[[#This Row],[Exact]],El_unit[[#This Row],[Exact+n]],El_unit[[#This Row],[Copilot]])</f>
        <v>Soini</v>
      </c>
    </row>
    <row r="179" spans="1:17">
      <c r="A179" s="54" t="s">
        <v>487</v>
      </c>
      <c r="B179" s="22" t="s">
        <v>487</v>
      </c>
      <c r="C179" s="107" t="str" cm="1">
        <f t="array" ref="C179">" "&amp;LOWER(_xlfn.REDUCE(El_unit[[#This Row],[Location]],{",",".","(",")","/"},_xlfn.LAMBDA(_xlpm.txt,_xlpm.delim,SUBSTITUTE(_xlpm.txt,_xlpm.delim," "))))&amp;" "</f>
        <v xml:space="preserve"> kooninkallio </v>
      </c>
      <c r="D179" s="22" t="s">
        <v>3066</v>
      </c>
      <c r="E179" s="1">
        <v>27</v>
      </c>
      <c r="F179" s="1">
        <v>0</v>
      </c>
      <c r="G179" s="1">
        <v>0</v>
      </c>
      <c r="H179" s="1">
        <v>27</v>
      </c>
      <c r="L179" s="1" t="str" cm="1">
        <f t="array" ref="L179">_xlfn.XLOOKUP(TRUE,ISNUMBER(SEARCH(" "&amp;Municipality[Municipality]&amp;" ",El_unit[[#This Row],[Info sting]])),Municipality[Municipality],"")</f>
        <v/>
      </c>
      <c r="M179" s="1" t="str" cm="1">
        <f t="array" ref="M179">IF(El_unit[[#This Row],[Exact]]&lt;&gt;"","",_xlfn.XLOOKUP(TRUE,ISNUMBER(SEARCH(" "&amp;Municipality[Municipality]&amp;"n ",El_unit[[#This Row],[Info sting]])),Municipality[Municipality],""))</f>
        <v/>
      </c>
      <c r="N179" s="1" t="s">
        <v>466</v>
      </c>
      <c r="O179" s="35" t="s">
        <v>3159</v>
      </c>
      <c r="Q179" s="1" t="str">
        <f>_xlfn.TEXTJOIN("",TRUE,El_unit[[#This Row],[Exact]],El_unit[[#This Row],[Exact+n]],El_unit[[#This Row],[Copilot]])</f>
        <v>Kankaanpää</v>
      </c>
    </row>
    <row r="180" spans="1:17">
      <c r="A180" s="54" t="s">
        <v>488</v>
      </c>
      <c r="B180" s="22" t="s">
        <v>703</v>
      </c>
      <c r="C180" s="107" t="str" cm="1">
        <f t="array" ref="C180">" "&amp;LOWER(_xlfn.REDUCE(El_unit[[#This Row],[Location]],{",",".","(",")","/"},_xlfn.LAMBDA(_xlpm.txt,_xlpm.delim,SUBSTITUTE(_xlpm.txt,_xlpm.delim," "))))&amp;" "</f>
        <v xml:space="preserve"> korkeakangas karstula </v>
      </c>
      <c r="D180" s="22" t="s">
        <v>3066</v>
      </c>
      <c r="E180" s="1">
        <v>43.2</v>
      </c>
      <c r="F180" s="1">
        <v>0</v>
      </c>
      <c r="G180" s="1">
        <v>0</v>
      </c>
      <c r="H180" s="1">
        <v>43.2</v>
      </c>
      <c r="L180" s="1" t="str" cm="1">
        <f t="array" ref="L180">_xlfn.XLOOKUP(TRUE,ISNUMBER(SEARCH(" "&amp;Municipality[Municipality]&amp;" ",El_unit[[#This Row],[Info sting]])),Municipality[Municipality],"")</f>
        <v>Karstula</v>
      </c>
      <c r="M180" s="1" t="str" cm="1">
        <f t="array" ref="M180">IF(El_unit[[#This Row],[Exact]]&lt;&gt;"","",_xlfn.XLOOKUP(TRUE,ISNUMBER(SEARCH(" "&amp;Municipality[Municipality]&amp;"n ",El_unit[[#This Row],[Info sting]])),Municipality[Municipality],""))</f>
        <v/>
      </c>
      <c r="O180" s="35"/>
      <c r="Q180" s="1" t="str">
        <f>_xlfn.TEXTJOIN("",TRUE,El_unit[[#This Row],[Exact]],El_unit[[#This Row],[Exact+n]],El_unit[[#This Row],[Copilot]])</f>
        <v>Karstula</v>
      </c>
    </row>
    <row r="181" spans="1:17">
      <c r="A181" s="54" t="s">
        <v>262</v>
      </c>
      <c r="B181" s="22" t="s">
        <v>263</v>
      </c>
      <c r="C181" s="107" t="str" cm="1">
        <f t="array" ref="C181">" "&amp;LOWER(_xlfn.REDUCE(El_unit[[#This Row],[Location]],{",",".","(",")","/"},_xlfn.LAMBDA(_xlpm.txt,_xlpm.delim,SUBSTITUTE(_xlpm.txt,_xlpm.delim," "))))&amp;" "</f>
        <v xml:space="preserve"> korkeakosken voimalaitos kotka </v>
      </c>
      <c r="D181" s="22" t="s">
        <v>3064</v>
      </c>
      <c r="E181" s="1">
        <v>10</v>
      </c>
      <c r="F181" s="1">
        <v>0</v>
      </c>
      <c r="G181" s="1">
        <v>0</v>
      </c>
      <c r="H181" s="1">
        <v>10</v>
      </c>
      <c r="L181" s="1" t="str" cm="1">
        <f t="array" ref="L181">_xlfn.XLOOKUP(TRUE,ISNUMBER(SEARCH(" "&amp;Municipality[Municipality]&amp;" ",El_unit[[#This Row],[Info sting]])),Municipality[Municipality],"")</f>
        <v>Kotka</v>
      </c>
      <c r="M181" s="1" t="str" cm="1">
        <f t="array" ref="M181">IF(El_unit[[#This Row],[Exact]]&lt;&gt;"","",_xlfn.XLOOKUP(TRUE,ISNUMBER(SEARCH(" "&amp;Municipality[Municipality]&amp;"n ",El_unit[[#This Row],[Info sting]])),Municipality[Municipality],""))</f>
        <v/>
      </c>
      <c r="O181" s="35"/>
      <c r="Q181" s="1" t="str">
        <f>_xlfn.TEXTJOIN("",TRUE,El_unit[[#This Row],[Exact]],El_unit[[#This Row],[Exact+n]],El_unit[[#This Row],[Copilot]])</f>
        <v>Kotka</v>
      </c>
    </row>
    <row r="182" spans="1:17">
      <c r="A182" s="54" t="s">
        <v>489</v>
      </c>
      <c r="B182" s="22" t="s">
        <v>704</v>
      </c>
      <c r="C182" s="107" t="str" cm="1">
        <f t="array" ref="C182">" "&amp;LOWER(_xlfn.REDUCE(El_unit[[#This Row],[Location]],{",",".","(",")","/"},_xlfn.LAMBDA(_xlpm.txt,_xlpm.delim,SUBSTITUTE(_xlpm.txt,_xlpm.delim," "))))&amp;" "</f>
        <v xml:space="preserve"> korpilevonmäki </v>
      </c>
      <c r="D182" s="22" t="s">
        <v>3066</v>
      </c>
      <c r="E182" s="1">
        <v>19.200000000000003</v>
      </c>
      <c r="F182" s="1">
        <v>0</v>
      </c>
      <c r="G182" s="1">
        <v>0</v>
      </c>
      <c r="H182" s="1">
        <v>19.200000000000003</v>
      </c>
      <c r="L182" s="1" t="str" cm="1">
        <f t="array" ref="L182">_xlfn.XLOOKUP(TRUE,ISNUMBER(SEARCH(" "&amp;Municipality[Municipality]&amp;" ",El_unit[[#This Row],[Info sting]])),Municipality[Municipality],"")</f>
        <v/>
      </c>
      <c r="M182" s="1" t="str" cm="1">
        <f t="array" ref="M182">IF(El_unit[[#This Row],[Exact]]&lt;&gt;"","",_xlfn.XLOOKUP(TRUE,ISNUMBER(SEARCH(" "&amp;Municipality[Municipality]&amp;"n ",El_unit[[#This Row],[Info sting]])),Municipality[Municipality],""))</f>
        <v/>
      </c>
      <c r="N182" s="1" t="s">
        <v>947</v>
      </c>
      <c r="O182" s="35" t="s">
        <v>3160</v>
      </c>
      <c r="Q182" s="1" t="str">
        <f>_xlfn.TEXTJOIN("",TRUE,El_unit[[#This Row],[Exact]],El_unit[[#This Row],[Exact+n]],El_unit[[#This Row],[Copilot]])</f>
        <v>Säkylä</v>
      </c>
    </row>
    <row r="183" spans="1:17">
      <c r="A183" s="54" t="s">
        <v>1047</v>
      </c>
      <c r="B183" s="22" t="s">
        <v>1047</v>
      </c>
      <c r="C183" s="107" t="str" cm="1">
        <f t="array" ref="C183">" "&amp;LOWER(_xlfn.REDUCE(El_unit[[#This Row],[Location]],{",",".","(",")","/"},_xlfn.LAMBDA(_xlpm.txt,_xlpm.delim,SUBSTITUTE(_xlpm.txt,_xlpm.delim," "))))&amp;" "</f>
        <v xml:space="preserve"> korvenmäen ekovoimalaitos </v>
      </c>
      <c r="D183" s="22" t="s">
        <v>3067</v>
      </c>
      <c r="E183" s="1">
        <v>0</v>
      </c>
      <c r="F183" s="1">
        <v>0</v>
      </c>
      <c r="G183" s="1">
        <v>9.6</v>
      </c>
      <c r="H183" s="1">
        <v>9.6</v>
      </c>
      <c r="I183" s="1" t="s">
        <v>1026</v>
      </c>
      <c r="J183" s="1" t="s">
        <v>1020</v>
      </c>
      <c r="L183" s="1" t="str" cm="1">
        <f t="array" ref="L183">_xlfn.XLOOKUP(TRUE,ISNUMBER(SEARCH(" "&amp;Municipality[Municipality]&amp;" ",El_unit[[#This Row],[Info sting]])),Municipality[Municipality],"")</f>
        <v/>
      </c>
      <c r="M183" s="1" t="str" cm="1">
        <f t="array" ref="M183">IF(El_unit[[#This Row],[Exact]]&lt;&gt;"","",_xlfn.XLOOKUP(TRUE,ISNUMBER(SEARCH(" "&amp;Municipality[Municipality]&amp;"n ",El_unit[[#This Row],[Info sting]])),Municipality[Municipality],""))</f>
        <v/>
      </c>
      <c r="O183" s="35"/>
      <c r="Q183" s="1" t="str">
        <f>_xlfn.TEXTJOIN("",TRUE,El_unit[[#This Row],[Exact]],El_unit[[#This Row],[Exact+n]],El_unit[[#This Row],[Copilot]])</f>
        <v/>
      </c>
    </row>
    <row r="184" spans="1:17">
      <c r="A184" s="54" t="s">
        <v>490</v>
      </c>
      <c r="B184" s="22" t="s">
        <v>705</v>
      </c>
      <c r="C184" s="107" t="str" cm="1">
        <f t="array" ref="C184">" "&amp;LOWER(_xlfn.REDUCE(El_unit[[#This Row],[Location]],{",",".","(",")","/"},_xlfn.LAMBDA(_xlpm.txt,_xlpm.delim,SUBSTITUTE(_xlpm.txt,_xlpm.delim," "))))&amp;" "</f>
        <v xml:space="preserve"> koskensaaren voimalaitos </v>
      </c>
      <c r="D184" s="22" t="s">
        <v>3068</v>
      </c>
      <c r="E184" s="1">
        <v>1.2</v>
      </c>
      <c r="F184" s="1">
        <v>0</v>
      </c>
      <c r="G184" s="1">
        <v>0</v>
      </c>
      <c r="H184" s="1">
        <v>1.2</v>
      </c>
      <c r="I184" s="1" t="s">
        <v>1020</v>
      </c>
      <c r="L184" s="1" t="str" cm="1">
        <f t="array" ref="L184">_xlfn.XLOOKUP(TRUE,ISNUMBER(SEARCH(" "&amp;Municipality[Municipality]&amp;" ",El_unit[[#This Row],[Info sting]])),Municipality[Municipality],"")</f>
        <v/>
      </c>
      <c r="M184" s="1" t="str" cm="1">
        <f t="array" ref="M184">IF(El_unit[[#This Row],[Exact]]&lt;&gt;"","",_xlfn.XLOOKUP(TRUE,ISNUMBER(SEARCH(" "&amp;Municipality[Municipality]&amp;"n ",El_unit[[#This Row],[Info sting]])),Municipality[Municipality],""))</f>
        <v/>
      </c>
      <c r="O184" s="35"/>
      <c r="Q184" s="1" t="str">
        <f>_xlfn.TEXTJOIN("",TRUE,El_unit[[#This Row],[Exact]],El_unit[[#This Row],[Exact+n]],El_unit[[#This Row],[Copilot]])</f>
        <v/>
      </c>
    </row>
    <row r="185" spans="1:17">
      <c r="A185" s="54" t="s">
        <v>264</v>
      </c>
      <c r="B185" s="22" t="s">
        <v>265</v>
      </c>
      <c r="C185" s="107" t="str" cm="1">
        <f t="array" ref="C185">" "&amp;LOWER(_xlfn.REDUCE(El_unit[[#This Row],[Location]],{",",".","(",")","/"},_xlfn.LAMBDA(_xlpm.txt,_xlpm.delim,SUBSTITUTE(_xlpm.txt,_xlpm.delim," "))))&amp;" "</f>
        <v xml:space="preserve"> koskenvarren vesivoimalaitos </v>
      </c>
      <c r="D185" s="22" t="s">
        <v>3064</v>
      </c>
      <c r="E185" s="1">
        <v>0.9</v>
      </c>
      <c r="F185" s="1">
        <v>0</v>
      </c>
      <c r="G185" s="1">
        <v>0</v>
      </c>
      <c r="H185" s="1">
        <v>0.9</v>
      </c>
      <c r="L185" s="1" t="str" cm="1">
        <f t="array" ref="L185">_xlfn.XLOOKUP(TRUE,ISNUMBER(SEARCH(" "&amp;Municipality[Municipality]&amp;" ",El_unit[[#This Row],[Info sting]])),Municipality[Municipality],"")</f>
        <v/>
      </c>
      <c r="M185" s="1" t="str" cm="1">
        <f t="array" ref="M185">IF(El_unit[[#This Row],[Exact]]&lt;&gt;"","",_xlfn.XLOOKUP(TRUE,ISNUMBER(SEARCH(" "&amp;Municipality[Municipality]&amp;"n ",El_unit[[#This Row],[Info sting]])),Municipality[Municipality],""))</f>
        <v/>
      </c>
      <c r="O185" s="35"/>
      <c r="Q185" s="1" t="str">
        <f>_xlfn.TEXTJOIN("",TRUE,El_unit[[#This Row],[Exact]],El_unit[[#This Row],[Exact+n]],El_unit[[#This Row],[Copilot]])</f>
        <v/>
      </c>
    </row>
    <row r="186" spans="1:17">
      <c r="A186" s="54" t="s">
        <v>924</v>
      </c>
      <c r="B186" s="22" t="s">
        <v>924</v>
      </c>
      <c r="C186" s="107" t="str" cm="1">
        <f t="array" ref="C186">" "&amp;LOWER(_xlfn.REDUCE(El_unit[[#This Row],[Location]],{",",".","(",")","/"},_xlfn.LAMBDA(_xlpm.txt,_xlpm.delim,SUBSTITUTE(_xlpm.txt,_xlpm.delim," "))))&amp;" "</f>
        <v xml:space="preserve"> kotka </v>
      </c>
      <c r="D186" s="22" t="s">
        <v>3065</v>
      </c>
      <c r="E186" s="1">
        <v>0</v>
      </c>
      <c r="F186" s="1">
        <v>72</v>
      </c>
      <c r="G186" s="1">
        <v>0</v>
      </c>
      <c r="H186" s="1">
        <v>72</v>
      </c>
      <c r="I186" s="1" t="s">
        <v>1024</v>
      </c>
      <c r="J186" s="1" t="s">
        <v>1023</v>
      </c>
      <c r="L186" s="1" t="str" cm="1">
        <f t="array" ref="L186">_xlfn.XLOOKUP(TRUE,ISNUMBER(SEARCH(" "&amp;Municipality[Municipality]&amp;" ",El_unit[[#This Row],[Info sting]])),Municipality[Municipality],"")</f>
        <v>Kotka</v>
      </c>
      <c r="M186" s="1" t="str" cm="1">
        <f t="array" ref="M186">IF(El_unit[[#This Row],[Exact]]&lt;&gt;"","",_xlfn.XLOOKUP(TRUE,ISNUMBER(SEARCH(" "&amp;Municipality[Municipality]&amp;"n ",El_unit[[#This Row],[Info sting]])),Municipality[Municipality],""))</f>
        <v/>
      </c>
      <c r="O186" s="35"/>
      <c r="Q186" s="1" t="str">
        <f>_xlfn.TEXTJOIN("",TRUE,El_unit[[#This Row],[Exact]],El_unit[[#This Row],[Exact+n]],El_unit[[#This Row],[Copilot]])</f>
        <v>Kotka</v>
      </c>
    </row>
    <row r="187" spans="1:17">
      <c r="A187" s="54" t="s">
        <v>491</v>
      </c>
      <c r="B187" s="22" t="s">
        <v>706</v>
      </c>
      <c r="C187" s="107" t="str" cm="1">
        <f t="array" ref="C187">" "&amp;LOWER(_xlfn.REDUCE(El_unit[[#This Row],[Location]],{",",".","(",")","/"},_xlfn.LAMBDA(_xlpm.txt,_xlpm.delim,SUBSTITUTE(_xlpm.txt,_xlpm.delim," "))))&amp;" "</f>
        <v xml:space="preserve"> kristiinankaupunki kt 1  2 </v>
      </c>
      <c r="D187" s="22" t="s">
        <v>3068</v>
      </c>
      <c r="E187" s="1">
        <v>60</v>
      </c>
      <c r="F187" s="1">
        <v>0</v>
      </c>
      <c r="G187" s="1">
        <v>0</v>
      </c>
      <c r="H187" s="1">
        <v>60</v>
      </c>
      <c r="I187" s="1" t="s">
        <v>1020</v>
      </c>
      <c r="L187" s="1" t="str" cm="1">
        <f t="array" ref="L187">_xlfn.XLOOKUP(TRUE,ISNUMBER(SEARCH(" "&amp;Municipality[Municipality]&amp;" ",El_unit[[#This Row],[Info sting]])),Municipality[Municipality],"")</f>
        <v>Kristiinankaupunki</v>
      </c>
      <c r="M187" s="1" t="str" cm="1">
        <f t="array" ref="M187">IF(El_unit[[#This Row],[Exact]]&lt;&gt;"","",_xlfn.XLOOKUP(TRUE,ISNUMBER(SEARCH(" "&amp;Municipality[Municipality]&amp;"n ",El_unit[[#This Row],[Info sting]])),Municipality[Municipality],""))</f>
        <v/>
      </c>
      <c r="O187" s="35"/>
      <c r="Q187" s="1" t="str">
        <f>_xlfn.TEXTJOIN("",TRUE,El_unit[[#This Row],[Exact]],El_unit[[#This Row],[Exact+n]],El_unit[[#This Row],[Copilot]])</f>
        <v>Kristiinankaupunki</v>
      </c>
    </row>
    <row r="188" spans="1:17">
      <c r="A188" s="54" t="s">
        <v>492</v>
      </c>
      <c r="B188" s="22" t="s">
        <v>707</v>
      </c>
      <c r="C188" s="107" t="str" cm="1">
        <f t="array" ref="C188">" "&amp;LOWER(_xlfn.REDUCE(El_unit[[#This Row],[Location]],{",",".","(",")","/"},_xlfn.LAMBDA(_xlpm.txt,_xlpm.delim,SUBSTITUTE(_xlpm.txt,_xlpm.delim," "))))&amp;" "</f>
        <v xml:space="preserve"> kröpuln  uusikaarlepyy </v>
      </c>
      <c r="D188" s="22" t="s">
        <v>3066</v>
      </c>
      <c r="E188" s="1">
        <v>29.5</v>
      </c>
      <c r="F188" s="1">
        <v>0</v>
      </c>
      <c r="G188" s="1">
        <v>0</v>
      </c>
      <c r="H188" s="1">
        <v>29.5</v>
      </c>
      <c r="L188" s="1" t="str" cm="1">
        <f t="array" ref="L188">_xlfn.XLOOKUP(TRUE,ISNUMBER(SEARCH(" "&amp;Municipality[Municipality]&amp;" ",El_unit[[#This Row],[Info sting]])),Municipality[Municipality],"")</f>
        <v>Uusikaarlepyy</v>
      </c>
      <c r="M188" s="1" t="str" cm="1">
        <f t="array" ref="M188">IF(El_unit[[#This Row],[Exact]]&lt;&gt;"","",_xlfn.XLOOKUP(TRUE,ISNUMBER(SEARCH(" "&amp;Municipality[Municipality]&amp;"n ",El_unit[[#This Row],[Info sting]])),Municipality[Municipality],""))</f>
        <v/>
      </c>
      <c r="O188" s="35"/>
      <c r="Q188" s="1" t="str">
        <f>_xlfn.TEXTJOIN("",TRUE,El_unit[[#This Row],[Exact]],El_unit[[#This Row],[Exact+n]],El_unit[[#This Row],[Copilot]])</f>
        <v>Uusikaarlepyy</v>
      </c>
    </row>
    <row r="189" spans="1:17">
      <c r="A189" s="54" t="s">
        <v>266</v>
      </c>
      <c r="B189" s="22" t="s">
        <v>267</v>
      </c>
      <c r="C189" s="107" t="str" cm="1">
        <f t="array" ref="C189">" "&amp;LOWER(_xlfn.REDUCE(El_unit[[#This Row],[Location]],{",",".","(",")","/"},_xlfn.LAMBDA(_xlpm.txt,_xlpm.delim,SUBSTITUTE(_xlpm.txt,_xlpm.delim," "))))&amp;" "</f>
        <v xml:space="preserve"> kuhankoski  koskentie 76  41340 laukaa </v>
      </c>
      <c r="D189" s="22" t="s">
        <v>3064</v>
      </c>
      <c r="E189" s="1">
        <v>8</v>
      </c>
      <c r="F189" s="1">
        <v>0</v>
      </c>
      <c r="G189" s="1">
        <v>0</v>
      </c>
      <c r="H189" s="1">
        <v>8</v>
      </c>
      <c r="L189" s="1" t="str" cm="1">
        <f t="array" ref="L189">_xlfn.XLOOKUP(TRUE,ISNUMBER(SEARCH(" "&amp;Municipality[Municipality]&amp;" ",El_unit[[#This Row],[Info sting]])),Municipality[Municipality],"")</f>
        <v>Laukaa</v>
      </c>
      <c r="M189" s="1" t="str" cm="1">
        <f t="array" ref="M189">IF(El_unit[[#This Row],[Exact]]&lt;&gt;"","",_xlfn.XLOOKUP(TRUE,ISNUMBER(SEARCH(" "&amp;Municipality[Municipality]&amp;"n ",El_unit[[#This Row],[Info sting]])),Municipality[Municipality],""))</f>
        <v/>
      </c>
      <c r="O189" s="35"/>
      <c r="Q189" s="1" t="str">
        <f>_xlfn.TEXTJOIN("",TRUE,El_unit[[#This Row],[Exact]],El_unit[[#This Row],[Exact+n]],El_unit[[#This Row],[Copilot]])</f>
        <v>Laukaa</v>
      </c>
    </row>
    <row r="190" spans="1:17">
      <c r="A190" s="54" t="s">
        <v>925</v>
      </c>
      <c r="B190" s="22" t="s">
        <v>987</v>
      </c>
      <c r="C190" s="107" t="str" cm="1">
        <f t="array" ref="C190">" "&amp;LOWER(_xlfn.REDUCE(El_unit[[#This Row],[Location]],{",",".","(",")","/"},_xlfn.LAMBDA(_xlpm.txt,_xlpm.delim,SUBSTITUTE(_xlpm.txt,_xlpm.delim," "))))&amp;" "</f>
        <v xml:space="preserve"> kuhmo </v>
      </c>
      <c r="D190" s="22" t="s">
        <v>3065</v>
      </c>
      <c r="E190" s="1">
        <v>0</v>
      </c>
      <c r="F190" s="1">
        <v>4</v>
      </c>
      <c r="G190" s="1">
        <v>0</v>
      </c>
      <c r="H190" s="1">
        <v>4</v>
      </c>
      <c r="I190" s="1" t="s">
        <v>1016</v>
      </c>
      <c r="J190" s="1" t="s">
        <v>1016</v>
      </c>
      <c r="K190" s="1" t="s">
        <v>1015</v>
      </c>
      <c r="L190" s="1" t="str" cm="1">
        <f t="array" ref="L190">_xlfn.XLOOKUP(TRUE,ISNUMBER(SEARCH(" "&amp;Municipality[Municipality]&amp;" ",El_unit[[#This Row],[Info sting]])),Municipality[Municipality],"")</f>
        <v>Kuhmo</v>
      </c>
      <c r="M190" s="1" t="str" cm="1">
        <f t="array" ref="M190">IF(El_unit[[#This Row],[Exact]]&lt;&gt;"","",_xlfn.XLOOKUP(TRUE,ISNUMBER(SEARCH(" "&amp;Municipality[Municipality]&amp;"n ",El_unit[[#This Row],[Info sting]])),Municipality[Municipality],""))</f>
        <v/>
      </c>
      <c r="O190" s="35"/>
      <c r="Q190" s="1" t="str">
        <f>_xlfn.TEXTJOIN("",TRUE,El_unit[[#This Row],[Exact]],El_unit[[#This Row],[Exact+n]],El_unit[[#This Row],[Copilot]])</f>
        <v>Kuhmo</v>
      </c>
    </row>
    <row r="191" spans="1:17">
      <c r="A191" s="54" t="s">
        <v>926</v>
      </c>
      <c r="B191" s="22" t="s">
        <v>988</v>
      </c>
      <c r="C191" s="107" t="str" cm="1">
        <f t="array" ref="C191">" "&amp;LOWER(_xlfn.REDUCE(El_unit[[#This Row],[Location]],{",",".","(",")","/"},_xlfn.LAMBDA(_xlpm.txt,_xlpm.delim,SUBSTITUTE(_xlpm.txt,_xlpm.delim," "))))&amp;" "</f>
        <v xml:space="preserve"> vaneritehtaankatu 1 suolahti </v>
      </c>
      <c r="D191" s="22" t="s">
        <v>3065</v>
      </c>
      <c r="E191" s="1">
        <v>0</v>
      </c>
      <c r="F191" s="1">
        <v>1.9</v>
      </c>
      <c r="G191" s="1">
        <v>0.6</v>
      </c>
      <c r="H191" s="1">
        <v>2.5</v>
      </c>
      <c r="I191" s="1" t="s">
        <v>1016</v>
      </c>
      <c r="L191" s="1" t="str" cm="1">
        <f t="array" ref="L191">_xlfn.XLOOKUP(TRUE,ISNUMBER(SEARCH(" "&amp;Municipality[Municipality]&amp;" ",El_unit[[#This Row],[Info sting]])),Municipality[Municipality],"")</f>
        <v>Suolahti</v>
      </c>
      <c r="M191" s="1" t="str" cm="1">
        <f t="array" ref="M191">IF(El_unit[[#This Row],[Exact]]&lt;&gt;"","",_xlfn.XLOOKUP(TRUE,ISNUMBER(SEARCH(" "&amp;Municipality[Municipality]&amp;"n ",El_unit[[#This Row],[Info sting]])),Municipality[Municipality],""))</f>
        <v/>
      </c>
      <c r="O191" s="35"/>
      <c r="Q191" s="1" t="str">
        <f>_xlfn.TEXTJOIN("",TRUE,El_unit[[#This Row],[Exact]],El_unit[[#This Row],[Exact+n]],El_unit[[#This Row],[Copilot]])</f>
        <v>Suolahti</v>
      </c>
    </row>
    <row r="192" spans="1:17">
      <c r="A192" s="54" t="s">
        <v>268</v>
      </c>
      <c r="B192" s="22" t="s">
        <v>269</v>
      </c>
      <c r="C192" s="107" t="str" cm="1">
        <f t="array" ref="C192">" "&amp;LOWER(_xlfn.REDUCE(El_unit[[#This Row],[Location]],{",",".","(",")","/"},_xlfn.LAMBDA(_xlpm.txt,_xlpm.delim,SUBSTITUTE(_xlpm.txt,_xlpm.delim," "))))&amp;" "</f>
        <v xml:space="preserve"> nurmes  kuokkastenkoski </v>
      </c>
      <c r="D192" s="22" t="s">
        <v>3064</v>
      </c>
      <c r="E192" s="1">
        <v>2</v>
      </c>
      <c r="F192" s="1">
        <v>0</v>
      </c>
      <c r="G192" s="1">
        <v>0</v>
      </c>
      <c r="H192" s="1">
        <v>2</v>
      </c>
      <c r="L192" s="1" t="str" cm="1">
        <f t="array" ref="L192">_xlfn.XLOOKUP(TRUE,ISNUMBER(SEARCH(" "&amp;Municipality[Municipality]&amp;" ",El_unit[[#This Row],[Info sting]])),Municipality[Municipality],"")</f>
        <v>Nurmes</v>
      </c>
      <c r="M192" s="1" t="str" cm="1">
        <f t="array" ref="M192">IF(El_unit[[#This Row],[Exact]]&lt;&gt;"","",_xlfn.XLOOKUP(TRUE,ISNUMBER(SEARCH(" "&amp;Municipality[Municipality]&amp;"n ",El_unit[[#This Row],[Info sting]])),Municipality[Municipality],""))</f>
        <v/>
      </c>
      <c r="O192" s="35"/>
      <c r="Q192" s="1" t="str">
        <f>_xlfn.TEXTJOIN("",TRUE,El_unit[[#This Row],[Exact]],El_unit[[#This Row],[Exact+n]],El_unit[[#This Row],[Copilot]])</f>
        <v>Nurmes</v>
      </c>
    </row>
    <row r="193" spans="1:17">
      <c r="A193" s="54" t="s">
        <v>493</v>
      </c>
      <c r="B193" s="22" t="s">
        <v>708</v>
      </c>
      <c r="C193" s="107" t="str" cm="1">
        <f t="array" ref="C193">" "&amp;LOWER(_xlfn.REDUCE(El_unit[[#This Row],[Location]],{",",".","(",")","/"},_xlfn.LAMBDA(_xlpm.txt,_xlpm.delim,SUBSTITUTE(_xlpm.txt,_xlpm.delim," "))))&amp;" "</f>
        <v xml:space="preserve"> kuolavaara-keulakkopää </v>
      </c>
      <c r="D193" s="22" t="s">
        <v>3066</v>
      </c>
      <c r="E193" s="1">
        <v>51</v>
      </c>
      <c r="F193" s="1">
        <v>0</v>
      </c>
      <c r="G193" s="1">
        <v>0</v>
      </c>
      <c r="H193" s="1">
        <v>51</v>
      </c>
      <c r="L193" s="1" t="str" cm="1">
        <f t="array" ref="L193">_xlfn.XLOOKUP(TRUE,ISNUMBER(SEARCH(" "&amp;Municipality[Municipality]&amp;" ",El_unit[[#This Row],[Info sting]])),Municipality[Municipality],"")</f>
        <v/>
      </c>
      <c r="M193" s="1" t="str" cm="1">
        <f t="array" ref="M193">IF(El_unit[[#This Row],[Exact]]&lt;&gt;"","",_xlfn.XLOOKUP(TRUE,ISNUMBER(SEARCH(" "&amp;Municipality[Municipality]&amp;"n ",El_unit[[#This Row],[Info sting]])),Municipality[Municipality],""))</f>
        <v/>
      </c>
      <c r="N193" s="1" t="s">
        <v>3161</v>
      </c>
      <c r="O193" s="35" t="s">
        <v>3162</v>
      </c>
      <c r="Q193" s="1" t="str">
        <f>_xlfn.TEXTJOIN("",TRUE,El_unit[[#This Row],[Exact]],El_unit[[#This Row],[Exact+n]],El_unit[[#This Row],[Copilot]])</f>
        <v>Kittilä; Sodankylä</v>
      </c>
    </row>
    <row r="194" spans="1:17">
      <c r="A194" s="54" t="s">
        <v>927</v>
      </c>
      <c r="B194" s="22" t="s">
        <v>989</v>
      </c>
      <c r="C194" s="107" t="str" cm="1">
        <f t="array" ref="C194">" "&amp;LOWER(_xlfn.REDUCE(El_unit[[#This Row],[Location]],{",",".","(",")","/"},_xlfn.LAMBDA(_xlpm.txt,_xlpm.delim,SUBSTITUTE(_xlpm.txt,_xlpm.delim," "))))&amp;" "</f>
        <v xml:space="preserve"> savon sellu vastapainevoimalaitos </v>
      </c>
      <c r="D194" s="22" t="s">
        <v>3065</v>
      </c>
      <c r="E194" s="1">
        <v>0</v>
      </c>
      <c r="F194" s="1">
        <v>20.5</v>
      </c>
      <c r="G194" s="1">
        <v>0</v>
      </c>
      <c r="H194" s="1">
        <v>20.5</v>
      </c>
      <c r="I194" s="1" t="s">
        <v>1024</v>
      </c>
      <c r="J194" s="1" t="s">
        <v>1015</v>
      </c>
      <c r="K194" s="1" t="s">
        <v>1016</v>
      </c>
      <c r="L194" s="1" t="str" cm="1">
        <f t="array" ref="L194">_xlfn.XLOOKUP(TRUE,ISNUMBER(SEARCH(" "&amp;Municipality[Municipality]&amp;" ",El_unit[[#This Row],[Info sting]])),Municipality[Municipality],"")</f>
        <v/>
      </c>
      <c r="M194" s="1" t="str" cm="1">
        <f t="array" ref="M194">IF(El_unit[[#This Row],[Exact]]&lt;&gt;"","",_xlfn.XLOOKUP(TRUE,ISNUMBER(SEARCH(" "&amp;Municipality[Municipality]&amp;"n ",El_unit[[#This Row],[Info sting]])),Municipality[Municipality],""))</f>
        <v/>
      </c>
      <c r="N194" s="1" t="s">
        <v>2620</v>
      </c>
      <c r="O194" s="35"/>
      <c r="P194" s="1" t="s">
        <v>3086</v>
      </c>
      <c r="Q194" s="1" t="str">
        <f>_xlfn.TEXTJOIN("",TRUE,El_unit[[#This Row],[Exact]],El_unit[[#This Row],[Exact+n]],El_unit[[#This Row],[Copilot]])</f>
        <v>Kuopio</v>
      </c>
    </row>
    <row r="195" spans="1:17">
      <c r="A195" s="54" t="s">
        <v>270</v>
      </c>
      <c r="B195" s="22" t="s">
        <v>270</v>
      </c>
      <c r="C195" s="107" t="str" cm="1">
        <f t="array" ref="C195">" "&amp;LOWER(_xlfn.REDUCE(El_unit[[#This Row],[Location]],{",",".","(",")","/"},_xlfn.LAMBDA(_xlpm.txt,_xlpm.delim,SUBSTITUTE(_xlpm.txt,_xlpm.delim," "))))&amp;" "</f>
        <v xml:space="preserve"> kurittukoski </v>
      </c>
      <c r="D195" s="22" t="s">
        <v>3064</v>
      </c>
      <c r="E195" s="1">
        <v>15</v>
      </c>
      <c r="F195" s="1">
        <v>0</v>
      </c>
      <c r="G195" s="1">
        <v>0</v>
      </c>
      <c r="H195" s="1">
        <v>15</v>
      </c>
      <c r="L195" s="1" t="str" cm="1">
        <f t="array" ref="L195">_xlfn.XLOOKUP(TRUE,ISNUMBER(SEARCH(" "&amp;Municipality[Municipality]&amp;" ",El_unit[[#This Row],[Info sting]])),Municipality[Municipality],"")</f>
        <v/>
      </c>
      <c r="M195" s="1" t="str" cm="1">
        <f t="array" ref="M195">IF(El_unit[[#This Row],[Exact]]&lt;&gt;"","",_xlfn.XLOOKUP(TRUE,ISNUMBER(SEARCH(" "&amp;Municipality[Municipality]&amp;"n ",El_unit[[#This Row],[Info sting]])),Municipality[Municipality],""))</f>
        <v/>
      </c>
      <c r="N195" s="1" t="s">
        <v>2775</v>
      </c>
      <c r="O195" s="35" t="s">
        <v>3130</v>
      </c>
      <c r="Q195" s="1" t="str">
        <f>_xlfn.TEXTJOIN("",TRUE,El_unit[[#This Row],[Exact]],El_unit[[#This Row],[Exact+n]],El_unit[[#This Row],[Copilot]])</f>
        <v>Sodankylä</v>
      </c>
    </row>
    <row r="196" spans="1:17">
      <c r="A196" s="54" t="s">
        <v>271</v>
      </c>
      <c r="B196" s="22" t="s">
        <v>271</v>
      </c>
      <c r="C196" s="107" t="str" cm="1">
        <f t="array" ref="C196">" "&amp;LOWER(_xlfn.REDUCE(El_unit[[#This Row],[Location]],{",",".","(",")","/"},_xlfn.LAMBDA(_xlpm.txt,_xlpm.delim,SUBSTITUTE(_xlpm.txt,_xlpm.delim," "))))&amp;" "</f>
        <v xml:space="preserve"> kurkiaska </v>
      </c>
      <c r="D196" s="22" t="s">
        <v>3064</v>
      </c>
      <c r="E196" s="1">
        <v>26.6</v>
      </c>
      <c r="F196" s="1">
        <v>0</v>
      </c>
      <c r="G196" s="1">
        <v>0</v>
      </c>
      <c r="H196" s="1">
        <v>26.6</v>
      </c>
      <c r="L196" s="1" t="str" cm="1">
        <f t="array" ref="L196">_xlfn.XLOOKUP(TRUE,ISNUMBER(SEARCH(" "&amp;Municipality[Municipality]&amp;" ",El_unit[[#This Row],[Info sting]])),Municipality[Municipality],"")</f>
        <v/>
      </c>
      <c r="M196" s="1" t="str" cm="1">
        <f t="array" ref="M196">IF(El_unit[[#This Row],[Exact]]&lt;&gt;"","",_xlfn.XLOOKUP(TRUE,ISNUMBER(SEARCH(" "&amp;Municipality[Municipality]&amp;"n ",El_unit[[#This Row],[Info sting]])),Municipality[Municipality],""))</f>
        <v/>
      </c>
      <c r="N196" s="1" t="s">
        <v>2775</v>
      </c>
      <c r="O196" s="35" t="s">
        <v>3130</v>
      </c>
      <c r="Q196" s="1" t="str">
        <f>_xlfn.TEXTJOIN("",TRUE,El_unit[[#This Row],[Exact]],El_unit[[#This Row],[Exact+n]],El_unit[[#This Row],[Copilot]])</f>
        <v>Sodankylä</v>
      </c>
    </row>
    <row r="197" spans="1:17">
      <c r="A197" s="54" t="s">
        <v>272</v>
      </c>
      <c r="B197" s="22" t="s">
        <v>273</v>
      </c>
      <c r="C197" s="107" t="str" cm="1">
        <f t="array" ref="C197">" "&amp;LOWER(_xlfn.REDUCE(El_unit[[#This Row],[Location]],{",",".","(",")","/"},_xlfn.LAMBDA(_xlpm.txt,_xlpm.delim,SUBSTITUTE(_xlpm.txt,_xlpm.delim," "))))&amp;" "</f>
        <v xml:space="preserve"> kontiolahti  kuurna </v>
      </c>
      <c r="D197" s="22" t="s">
        <v>3064</v>
      </c>
      <c r="E197" s="1">
        <v>21.2</v>
      </c>
      <c r="F197" s="1">
        <v>0</v>
      </c>
      <c r="G197" s="1">
        <v>0</v>
      </c>
      <c r="H197" s="1">
        <v>21.2</v>
      </c>
      <c r="L197" s="1" t="str" cm="1">
        <f t="array" ref="L197">_xlfn.XLOOKUP(TRUE,ISNUMBER(SEARCH(" "&amp;Municipality[Municipality]&amp;" ",El_unit[[#This Row],[Info sting]])),Municipality[Municipality],"")</f>
        <v>Kontiolahti</v>
      </c>
      <c r="M197" s="1" t="str" cm="1">
        <f t="array" ref="M197">IF(El_unit[[#This Row],[Exact]]&lt;&gt;"","",_xlfn.XLOOKUP(TRUE,ISNUMBER(SEARCH(" "&amp;Municipality[Municipality]&amp;"n ",El_unit[[#This Row],[Info sting]])),Municipality[Municipality],""))</f>
        <v/>
      </c>
      <c r="O197" s="35"/>
      <c r="Q197" s="1" t="str">
        <f>_xlfn.TEXTJOIN("",TRUE,El_unit[[#This Row],[Exact]],El_unit[[#This Row],[Exact+n]],El_unit[[#This Row],[Copilot]])</f>
        <v>Kontiolahti</v>
      </c>
    </row>
    <row r="198" spans="1:17">
      <c r="A198" s="54" t="s">
        <v>494</v>
      </c>
      <c r="B198" s="22" t="s">
        <v>494</v>
      </c>
      <c r="C198" s="107" t="str" cm="1">
        <f t="array" ref="C198">" "&amp;LOWER(_xlfn.REDUCE(El_unit[[#This Row],[Location]],{",",".","(",")","/"},_xlfn.LAMBDA(_xlpm.txt,_xlpm.delim,SUBSTITUTE(_xlpm.txt,_xlpm.delim," "))))&amp;" "</f>
        <v xml:space="preserve"> kuuronkallion tuulipuisto </v>
      </c>
      <c r="D198" s="22" t="s">
        <v>3066</v>
      </c>
      <c r="E198" s="1">
        <v>58.8</v>
      </c>
      <c r="F198" s="1">
        <v>0</v>
      </c>
      <c r="G198" s="1">
        <v>0</v>
      </c>
      <c r="H198" s="1">
        <v>58.8</v>
      </c>
      <c r="L198" s="1" t="str" cm="1">
        <f t="array" ref="L198">_xlfn.XLOOKUP(TRUE,ISNUMBER(SEARCH(" "&amp;Municipality[Municipality]&amp;" ",El_unit[[#This Row],[Info sting]])),Municipality[Municipality],"")</f>
        <v/>
      </c>
      <c r="M198" s="1" t="str" cm="1">
        <f t="array" ref="M198">IF(El_unit[[#This Row],[Exact]]&lt;&gt;"","",_xlfn.XLOOKUP(TRUE,ISNUMBER(SEARCH(" "&amp;Municipality[Municipality]&amp;"n ",El_unit[[#This Row],[Info sting]])),Municipality[Municipality],""))</f>
        <v/>
      </c>
      <c r="N198" s="1" t="s">
        <v>674</v>
      </c>
      <c r="O198" s="35" t="s">
        <v>3163</v>
      </c>
      <c r="Q198" s="1" t="str">
        <f>_xlfn.TEXTJOIN("",TRUE,El_unit[[#This Row],[Exact]],El_unit[[#This Row],[Exact+n]],El_unit[[#This Row],[Copilot]])</f>
        <v>Kannus</v>
      </c>
    </row>
    <row r="199" spans="1:17">
      <c r="A199" s="54" t="s">
        <v>1048</v>
      </c>
      <c r="B199" s="22" t="s">
        <v>1100</v>
      </c>
      <c r="C199" s="107" t="str" cm="1">
        <f t="array" ref="C199">" "&amp;LOWER(_xlfn.REDUCE(El_unit[[#This Row],[Location]],{",",".","(",")","/"},_xlfn.LAMBDA(_xlpm.txt,_xlpm.delim,SUBSTITUTE(_xlpm.txt,_xlpm.delim," "))))&amp;" "</f>
        <v xml:space="preserve"> kuusamon voimalaitos </v>
      </c>
      <c r="D199" s="22" t="s">
        <v>3067</v>
      </c>
      <c r="E199" s="1">
        <v>0</v>
      </c>
      <c r="F199" s="1">
        <v>0</v>
      </c>
      <c r="G199" s="1">
        <v>6</v>
      </c>
      <c r="H199" s="1">
        <v>6</v>
      </c>
      <c r="I199" s="1" t="s">
        <v>1016</v>
      </c>
      <c r="J199" s="1" t="s">
        <v>1015</v>
      </c>
      <c r="L199" s="1" t="str" cm="1">
        <f t="array" ref="L199">_xlfn.XLOOKUP(TRUE,ISNUMBER(SEARCH(" "&amp;Municipality[Municipality]&amp;" ",El_unit[[#This Row],[Info sting]])),Municipality[Municipality],"")</f>
        <v/>
      </c>
      <c r="M199" s="1" t="str" cm="1">
        <f t="array" ref="M199">IF(El_unit[[#This Row],[Exact]]&lt;&gt;"","",_xlfn.XLOOKUP(TRUE,ISNUMBER(SEARCH(" "&amp;Municipality[Municipality]&amp;"n ",El_unit[[#This Row],[Info sting]])),Municipality[Municipality],""))</f>
        <v>Kuusamo</v>
      </c>
      <c r="O199" s="35"/>
      <c r="Q199" s="1" t="str">
        <f>_xlfn.TEXTJOIN("",TRUE,El_unit[[#This Row],[Exact]],El_unit[[#This Row],[Exact+n]],El_unit[[#This Row],[Copilot]])</f>
        <v>Kuusamo</v>
      </c>
    </row>
    <row r="200" spans="1:17">
      <c r="A200" s="54" t="s">
        <v>928</v>
      </c>
      <c r="B200" s="22" t="s">
        <v>238</v>
      </c>
      <c r="C200" s="107" t="str" cm="1">
        <f t="array" ref="C200">" "&amp;LOWER(_xlfn.REDUCE(El_unit[[#This Row],[Location]],{",",".","(",")","/"},_xlfn.LAMBDA(_xlpm.txt,_xlpm.delim,SUBSTITUTE(_xlpm.txt,_xlpm.delim," "))))&amp;" "</f>
        <v xml:space="preserve"> kuusankoski </v>
      </c>
      <c r="D200" s="22" t="s">
        <v>3065</v>
      </c>
      <c r="E200" s="1">
        <v>0</v>
      </c>
      <c r="F200" s="1">
        <v>76</v>
      </c>
      <c r="G200" s="1">
        <v>0</v>
      </c>
      <c r="H200" s="1">
        <v>76</v>
      </c>
      <c r="I200" s="1" t="s">
        <v>1016</v>
      </c>
      <c r="J200" s="1" t="s">
        <v>1023</v>
      </c>
      <c r="K200" s="1" t="s">
        <v>1017</v>
      </c>
      <c r="L200" s="1" t="str" cm="1">
        <f t="array" ref="L200">_xlfn.XLOOKUP(TRUE,ISNUMBER(SEARCH(" "&amp;Municipality[Municipality]&amp;" ",El_unit[[#This Row],[Info sting]])),Municipality[Municipality],"")</f>
        <v>Kuusankoski</v>
      </c>
      <c r="M200" s="1" t="str" cm="1">
        <f t="array" ref="M200">IF(El_unit[[#This Row],[Exact]]&lt;&gt;"","",_xlfn.XLOOKUP(TRUE,ISNUMBER(SEARCH(" "&amp;Municipality[Municipality]&amp;"n ",El_unit[[#This Row],[Info sting]])),Municipality[Municipality],""))</f>
        <v/>
      </c>
      <c r="O200" s="35"/>
      <c r="Q200" s="1" t="str">
        <f>_xlfn.TEXTJOIN("",TRUE,El_unit[[#This Row],[Exact]],El_unit[[#This Row],[Exact+n]],El_unit[[#This Row],[Copilot]])</f>
        <v>Kuusankoski</v>
      </c>
    </row>
    <row r="201" spans="1:17">
      <c r="A201" s="54" t="s">
        <v>274</v>
      </c>
      <c r="B201" s="22" t="s">
        <v>238</v>
      </c>
      <c r="C201" s="107" t="str" cm="1">
        <f t="array" ref="C201">" "&amp;LOWER(_xlfn.REDUCE(El_unit[[#This Row],[Location]],{",",".","(",")","/"},_xlfn.LAMBDA(_xlpm.txt,_xlpm.delim,SUBSTITUTE(_xlpm.txt,_xlpm.delim," "))))&amp;" "</f>
        <v xml:space="preserve"> kuusankoski </v>
      </c>
      <c r="D201" s="22" t="s">
        <v>3064</v>
      </c>
      <c r="E201" s="1">
        <v>30</v>
      </c>
      <c r="F201" s="1">
        <v>0</v>
      </c>
      <c r="G201" s="1">
        <v>0</v>
      </c>
      <c r="H201" s="1">
        <v>30</v>
      </c>
      <c r="L201" s="1" t="str" cm="1">
        <f t="array" ref="L201">_xlfn.XLOOKUP(TRUE,ISNUMBER(SEARCH(" "&amp;Municipality[Municipality]&amp;" ",El_unit[[#This Row],[Info sting]])),Municipality[Municipality],"")</f>
        <v>Kuusankoski</v>
      </c>
      <c r="M201" s="1" t="str" cm="1">
        <f t="array" ref="M201">IF(El_unit[[#This Row],[Exact]]&lt;&gt;"","",_xlfn.XLOOKUP(TRUE,ISNUMBER(SEARCH(" "&amp;Municipality[Municipality]&amp;"n ",El_unit[[#This Row],[Info sting]])),Municipality[Municipality],""))</f>
        <v/>
      </c>
      <c r="O201" s="35"/>
      <c r="Q201" s="1" t="str">
        <f>_xlfn.TEXTJOIN("",TRUE,El_unit[[#This Row],[Exact]],El_unit[[#This Row],[Exact+n]],El_unit[[#This Row],[Copilot]])</f>
        <v>Kuusankoski</v>
      </c>
    </row>
    <row r="202" spans="1:17">
      <c r="A202" s="54" t="s">
        <v>929</v>
      </c>
      <c r="B202" s="22" t="s">
        <v>990</v>
      </c>
      <c r="C202" s="107" t="str" cm="1">
        <f t="array" ref="C202">" "&amp;LOWER(_xlfn.REDUCE(El_unit[[#This Row],[Location]],{",",".","(",")","/"},_xlfn.LAMBDA(_xlpm.txt,_xlpm.delim,SUBSTITUTE(_xlpm.txt,_xlpm.delim," "))))&amp;" "</f>
        <v xml:space="preserve"> kuusankoski  kouvola </v>
      </c>
      <c r="D202" s="22" t="s">
        <v>3065</v>
      </c>
      <c r="E202" s="1">
        <v>0</v>
      </c>
      <c r="F202" s="1">
        <v>87</v>
      </c>
      <c r="G202" s="1">
        <v>0</v>
      </c>
      <c r="H202" s="1">
        <v>87</v>
      </c>
      <c r="I202" s="1" t="s">
        <v>1024</v>
      </c>
      <c r="J202" s="1" t="s">
        <v>1023</v>
      </c>
      <c r="K202" s="1" t="s">
        <v>1017</v>
      </c>
      <c r="L202" s="1" t="str" cm="1">
        <f t="array" ref="L202">_xlfn.XLOOKUP(TRUE,ISNUMBER(SEARCH(" "&amp;Municipality[Municipality]&amp;" ",El_unit[[#This Row],[Info sting]])),Municipality[Municipality],"")</f>
        <v>Kouvola</v>
      </c>
      <c r="M202" s="1" t="str" cm="1">
        <f t="array" ref="M202">IF(El_unit[[#This Row],[Exact]]&lt;&gt;"","",_xlfn.XLOOKUP(TRUE,ISNUMBER(SEARCH(" "&amp;Municipality[Municipality]&amp;"n ",El_unit[[#This Row],[Info sting]])),Municipality[Municipality],""))</f>
        <v/>
      </c>
      <c r="O202" s="35"/>
      <c r="Q202" s="1" t="str">
        <f>_xlfn.TEXTJOIN("",TRUE,El_unit[[#This Row],[Exact]],El_unit[[#This Row],[Exact+n]],El_unit[[#This Row],[Copilot]])</f>
        <v>Kouvola</v>
      </c>
    </row>
    <row r="203" spans="1:17">
      <c r="A203" s="54" t="s">
        <v>1049</v>
      </c>
      <c r="B203" s="22" t="s">
        <v>1101</v>
      </c>
      <c r="C203" s="107" t="str" cm="1">
        <f t="array" ref="C203">" "&amp;LOWER(_xlfn.REDUCE(El_unit[[#This Row],[Location]],{",",".","(",")","/"},_xlfn.LAMBDA(_xlpm.txt,_xlpm.delim,SUBSTITUTE(_xlpm.txt,_xlpm.delim," "))))&amp;" "</f>
        <v xml:space="preserve"> kymijärvi voimakatu 16  lahti </v>
      </c>
      <c r="D203" s="22" t="s">
        <v>3067</v>
      </c>
      <c r="E203" s="1">
        <v>0</v>
      </c>
      <c r="F203" s="1">
        <v>0</v>
      </c>
      <c r="G203" s="1">
        <v>45</v>
      </c>
      <c r="H203" s="1">
        <v>45</v>
      </c>
      <c r="I203" s="1" t="s">
        <v>1018</v>
      </c>
      <c r="J203" s="1" t="s">
        <v>1023</v>
      </c>
      <c r="K203" s="1" t="s">
        <v>1129</v>
      </c>
      <c r="L203" s="1" t="str" cm="1">
        <f t="array" ref="L203">_xlfn.XLOOKUP(TRUE,ISNUMBER(SEARCH(" "&amp;Municipality[Municipality]&amp;" ",El_unit[[#This Row],[Info sting]])),Municipality[Municipality],"")</f>
        <v>Lahti</v>
      </c>
      <c r="M203" s="1" t="str" cm="1">
        <f t="array" ref="M203">IF(El_unit[[#This Row],[Exact]]&lt;&gt;"","",_xlfn.XLOOKUP(TRUE,ISNUMBER(SEARCH(" "&amp;Municipality[Municipality]&amp;"n ",El_unit[[#This Row],[Info sting]])),Municipality[Municipality],""))</f>
        <v/>
      </c>
      <c r="O203" s="35"/>
      <c r="Q203" s="1" t="str">
        <f>_xlfn.TEXTJOIN("",TRUE,El_unit[[#This Row],[Exact]],El_unit[[#This Row],[Exact+n]],El_unit[[#This Row],[Copilot]])</f>
        <v>Lahti</v>
      </c>
    </row>
    <row r="204" spans="1:17">
      <c r="A204" s="54" t="s">
        <v>1050</v>
      </c>
      <c r="B204" s="22" t="s">
        <v>1102</v>
      </c>
      <c r="C204" s="107" t="str" cm="1">
        <f t="array" ref="C204">" "&amp;LOWER(_xlfn.REDUCE(El_unit[[#This Row],[Location]],{",",".","(",")","/"},_xlfn.LAMBDA(_xlpm.txt,_xlpm.delim,SUBSTITUTE(_xlpm.txt,_xlpm.delim," "))))&amp;" "</f>
        <v xml:space="preserve"> kymijärvi2 voimakatu 16  lahti </v>
      </c>
      <c r="D204" s="22" t="s">
        <v>3067</v>
      </c>
      <c r="E204" s="1">
        <v>0</v>
      </c>
      <c r="F204" s="1">
        <v>0</v>
      </c>
      <c r="G204" s="1">
        <v>45</v>
      </c>
      <c r="H204" s="1">
        <v>45</v>
      </c>
      <c r="I204" s="1" t="s">
        <v>1129</v>
      </c>
      <c r="J204" s="1" t="s">
        <v>1023</v>
      </c>
      <c r="L204" s="1" t="str" cm="1">
        <f t="array" ref="L204">_xlfn.XLOOKUP(TRUE,ISNUMBER(SEARCH(" "&amp;Municipality[Municipality]&amp;" ",El_unit[[#This Row],[Info sting]])),Municipality[Municipality],"")</f>
        <v>Lahti</v>
      </c>
      <c r="M204" s="1" t="str" cm="1">
        <f t="array" ref="M204">IF(El_unit[[#This Row],[Exact]]&lt;&gt;"","",_xlfn.XLOOKUP(TRUE,ISNUMBER(SEARCH(" "&amp;Municipality[Municipality]&amp;"n ",El_unit[[#This Row],[Info sting]])),Municipality[Municipality],""))</f>
        <v/>
      </c>
      <c r="O204" s="35"/>
      <c r="Q204" s="1" t="str">
        <f>_xlfn.TEXTJOIN("",TRUE,El_unit[[#This Row],[Exact]],El_unit[[#This Row],[Exact+n]],El_unit[[#This Row],[Copilot]])</f>
        <v>Lahti</v>
      </c>
    </row>
    <row r="205" spans="1:17">
      <c r="A205" s="54" t="s">
        <v>275</v>
      </c>
      <c r="B205" s="22" t="s">
        <v>276</v>
      </c>
      <c r="C205" s="107" t="str" cm="1">
        <f t="array" ref="C205">" "&amp;LOWER(_xlfn.REDUCE(El_unit[[#This Row],[Location]],{",",".","(",")","/"},_xlfn.LAMBDA(_xlpm.txt,_xlpm.delim,SUBSTITUTE(_xlpm.txt,_xlpm.delim," "))))&amp;" "</f>
        <v xml:space="preserve"> kyrkösjärvi  seinäjoki </v>
      </c>
      <c r="D205" s="22" t="s">
        <v>3064</v>
      </c>
      <c r="E205" s="1">
        <v>7.8</v>
      </c>
      <c r="F205" s="1">
        <v>0</v>
      </c>
      <c r="G205" s="1">
        <v>0</v>
      </c>
      <c r="H205" s="1">
        <v>7.8</v>
      </c>
      <c r="L205" s="1" t="str" cm="1">
        <f t="array" ref="L205">_xlfn.XLOOKUP(TRUE,ISNUMBER(SEARCH(" "&amp;Municipality[Municipality]&amp;" ",El_unit[[#This Row],[Info sting]])),Municipality[Municipality],"")</f>
        <v>Seinäjoki</v>
      </c>
      <c r="M205" s="1" t="str" cm="1">
        <f t="array" ref="M205">IF(El_unit[[#This Row],[Exact]]&lt;&gt;"","",_xlfn.XLOOKUP(TRUE,ISNUMBER(SEARCH(" "&amp;Municipality[Municipality]&amp;"n ",El_unit[[#This Row],[Info sting]])),Municipality[Municipality],""))</f>
        <v/>
      </c>
      <c r="O205" s="35"/>
      <c r="Q205" s="1" t="str">
        <f>_xlfn.TEXTJOIN("",TRUE,El_unit[[#This Row],[Exact]],El_unit[[#This Row],[Exact+n]],El_unit[[#This Row],[Copilot]])</f>
        <v>Seinäjoki</v>
      </c>
    </row>
    <row r="206" spans="1:17">
      <c r="A206" s="54" t="s">
        <v>495</v>
      </c>
      <c r="B206" s="22" t="s">
        <v>495</v>
      </c>
      <c r="C206" s="107" t="str" cm="1">
        <f t="array" ref="C206">" "&amp;LOWER(_xlfn.REDUCE(El_unit[[#This Row],[Location]],{",",".","(",")","/"},_xlfn.LAMBDA(_xlpm.txt,_xlpm.delim,SUBSTITUTE(_xlpm.txt,_xlpm.delim," "))))&amp;" "</f>
        <v xml:space="preserve"> kytölä </v>
      </c>
      <c r="D206" s="22" t="s">
        <v>3066</v>
      </c>
      <c r="E206" s="1">
        <v>19.8</v>
      </c>
      <c r="F206" s="1">
        <v>0</v>
      </c>
      <c r="G206" s="1">
        <v>0</v>
      </c>
      <c r="H206" s="1">
        <v>19.8</v>
      </c>
      <c r="L206" s="1" t="str" cm="1">
        <f t="array" ref="L206">_xlfn.XLOOKUP(TRUE,ISNUMBER(SEARCH(" "&amp;Municipality[Municipality]&amp;" ",El_unit[[#This Row],[Info sting]])),Municipality[Municipality],"")</f>
        <v/>
      </c>
      <c r="M206" s="1" t="str" cm="1">
        <f t="array" ref="M206">IF(El_unit[[#This Row],[Exact]]&lt;&gt;"","",_xlfn.XLOOKUP(TRUE,ISNUMBER(SEARCH(" "&amp;Municipality[Municipality]&amp;"n ",El_unit[[#This Row],[Info sting]])),Municipality[Municipality],""))</f>
        <v/>
      </c>
      <c r="N206" s="1" t="s">
        <v>1518</v>
      </c>
      <c r="O206" s="35" t="s">
        <v>3164</v>
      </c>
      <c r="Q206" s="1" t="str">
        <f>_xlfn.TEXTJOIN("",TRUE,El_unit[[#This Row],[Exact]],El_unit[[#This Row],[Exact+n]],El_unit[[#This Row],[Copilot]])</f>
        <v>Alavieska</v>
      </c>
    </row>
    <row r="207" spans="1:17">
      <c r="A207" s="54" t="s">
        <v>277</v>
      </c>
      <c r="B207" s="22" t="s">
        <v>277</v>
      </c>
      <c r="C207" s="107" t="str" cm="1">
        <f t="array" ref="C207">" "&amp;LOWER(_xlfn.REDUCE(El_unit[[#This Row],[Location]],{",",".","(",")","/"},_xlfn.LAMBDA(_xlpm.txt,_xlpm.delim,SUBSTITUTE(_xlpm.txt,_xlpm.delim," "))))&amp;" "</f>
        <v xml:space="preserve"> käenkoski </v>
      </c>
      <c r="D207" s="22" t="s">
        <v>3064</v>
      </c>
      <c r="E207" s="1">
        <v>2</v>
      </c>
      <c r="F207" s="1">
        <v>0</v>
      </c>
      <c r="G207" s="1">
        <v>0</v>
      </c>
      <c r="H207" s="1">
        <v>2</v>
      </c>
      <c r="L207" s="1" t="str" cm="1">
        <f t="array" ref="L207">_xlfn.XLOOKUP(TRUE,ISNUMBER(SEARCH(" "&amp;Municipality[Municipality]&amp;" ",El_unit[[#This Row],[Info sting]])),Municipality[Municipality],"")</f>
        <v/>
      </c>
      <c r="M207" s="1" t="str" cm="1">
        <f t="array" ref="M207">IF(El_unit[[#This Row],[Exact]]&lt;&gt;"","",_xlfn.XLOOKUP(TRUE,ISNUMBER(SEARCH(" "&amp;Municipality[Municipality]&amp;"n ",El_unit[[#This Row],[Info sting]])),Municipality[Municipality],""))</f>
        <v/>
      </c>
      <c r="O207" s="35"/>
      <c r="Q207" s="1" t="str">
        <f>_xlfn.TEXTJOIN("",TRUE,El_unit[[#This Row],[Exact]],El_unit[[#This Row],[Exact+n]],El_unit[[#This Row],[Copilot]])</f>
        <v/>
      </c>
    </row>
    <row r="208" spans="1:17">
      <c r="A208" s="54" t="s">
        <v>1051</v>
      </c>
      <c r="B208" s="22" t="s">
        <v>1103</v>
      </c>
      <c r="C208" s="107" t="str" cm="1">
        <f t="array" ref="C208">" "&amp;LOWER(_xlfn.REDUCE(El_unit[[#This Row],[Location]],{",",".","(",")","/"},_xlfn.LAMBDA(_xlpm.txt,_xlpm.delim,SUBSTITUTE(_xlpm.txt,_xlpm.delim," "))))&amp;" "</f>
        <v xml:space="preserve"> typpitie 3  oulu  laanilan biovoimalaitos </v>
      </c>
      <c r="D208" s="22" t="s">
        <v>3067</v>
      </c>
      <c r="E208" s="1">
        <v>0</v>
      </c>
      <c r="F208" s="1">
        <v>0</v>
      </c>
      <c r="G208" s="1">
        <v>66.5</v>
      </c>
      <c r="H208" s="1">
        <v>66.5</v>
      </c>
      <c r="I208" s="1" t="s">
        <v>1022</v>
      </c>
      <c r="J208" s="1" t="s">
        <v>1016</v>
      </c>
      <c r="K208" s="1" t="s">
        <v>1019</v>
      </c>
      <c r="L208" s="1" t="str" cm="1">
        <f t="array" ref="L208">_xlfn.XLOOKUP(TRUE,ISNUMBER(SEARCH(" "&amp;Municipality[Municipality]&amp;" ",El_unit[[#This Row],[Info sting]])),Municipality[Municipality],"")</f>
        <v>Oulu</v>
      </c>
      <c r="M208" s="1" t="str" cm="1">
        <f t="array" ref="M208">IF(El_unit[[#This Row],[Exact]]&lt;&gt;"","",_xlfn.XLOOKUP(TRUE,ISNUMBER(SEARCH(" "&amp;Municipality[Municipality]&amp;"n ",El_unit[[#This Row],[Info sting]])),Municipality[Municipality],""))</f>
        <v/>
      </c>
      <c r="O208" s="35"/>
      <c r="Q208" s="1" t="str">
        <f>_xlfn.TEXTJOIN("",TRUE,El_unit[[#This Row],[Exact]],El_unit[[#This Row],[Exact+n]],El_unit[[#This Row],[Copilot]])</f>
        <v>Oulu</v>
      </c>
    </row>
    <row r="209" spans="1:17">
      <c r="A209" s="54" t="s">
        <v>496</v>
      </c>
      <c r="B209" s="22" t="s">
        <v>709</v>
      </c>
      <c r="C209" s="107" t="str" cm="1">
        <f t="array" ref="C209">" "&amp;LOWER(_xlfn.REDUCE(El_unit[[#This Row],[Location]],{",",".","(",")","/"},_xlfn.LAMBDA(_xlpm.txt,_xlpm.delim,SUBSTITUTE(_xlpm.txt,_xlpm.delim," "))))&amp;" "</f>
        <v xml:space="preserve"> rauma  lakarin aurinkovoimala </v>
      </c>
      <c r="D209" s="22" t="s">
        <v>163</v>
      </c>
      <c r="E209" s="1">
        <v>24.64</v>
      </c>
      <c r="F209" s="1">
        <v>0</v>
      </c>
      <c r="G209" s="1">
        <v>0</v>
      </c>
      <c r="H209" s="1">
        <v>24.64</v>
      </c>
      <c r="L209" s="1" t="str" cm="1">
        <f t="array" ref="L209">_xlfn.XLOOKUP(TRUE,ISNUMBER(SEARCH(" "&amp;Municipality[Municipality]&amp;" ",El_unit[[#This Row],[Info sting]])),Municipality[Municipality],"")</f>
        <v>Rauma</v>
      </c>
      <c r="M209" s="1" t="str" cm="1">
        <f t="array" ref="M209">IF(El_unit[[#This Row],[Exact]]&lt;&gt;"","",_xlfn.XLOOKUP(TRUE,ISNUMBER(SEARCH(" "&amp;Municipality[Municipality]&amp;"n ",El_unit[[#This Row],[Info sting]])),Municipality[Municipality],""))</f>
        <v/>
      </c>
      <c r="O209" s="35"/>
      <c r="Q209" s="1" t="str">
        <f>_xlfn.TEXTJOIN("",TRUE,El_unit[[#This Row],[Exact]],El_unit[[#This Row],[Exact+n]],El_unit[[#This Row],[Copilot]])</f>
        <v>Rauma</v>
      </c>
    </row>
    <row r="210" spans="1:17">
      <c r="A210" s="54" t="s">
        <v>497</v>
      </c>
      <c r="B210" s="22" t="s">
        <v>710</v>
      </c>
      <c r="C210" s="107" t="str" cm="1">
        <f t="array" ref="C210">" "&amp;LOWER(_xlfn.REDUCE(El_unit[[#This Row],[Location]],{",",".","(",")","/"},_xlfn.LAMBDA(_xlpm.txt,_xlpm.delim,SUBSTITUTE(_xlpm.txt,_xlpm.delim," "))))&amp;" "</f>
        <v xml:space="preserve"> lakiakangas 1  isojoki </v>
      </c>
      <c r="D210" s="22" t="s">
        <v>3066</v>
      </c>
      <c r="E210" s="1">
        <v>7</v>
      </c>
      <c r="F210" s="1">
        <v>0</v>
      </c>
      <c r="G210" s="1">
        <v>0</v>
      </c>
      <c r="H210" s="1">
        <v>7</v>
      </c>
      <c r="L210" s="1" t="str" cm="1">
        <f t="array" ref="L210">_xlfn.XLOOKUP(TRUE,ISNUMBER(SEARCH(" "&amp;Municipality[Municipality]&amp;" ",El_unit[[#This Row],[Info sting]])),Municipality[Municipality],"")</f>
        <v>Isojoki</v>
      </c>
      <c r="M210" s="1" t="str" cm="1">
        <f t="array" ref="M210">IF(El_unit[[#This Row],[Exact]]&lt;&gt;"","",_xlfn.XLOOKUP(TRUE,ISNUMBER(SEARCH(" "&amp;Municipality[Municipality]&amp;"n ",El_unit[[#This Row],[Info sting]])),Municipality[Municipality],""))</f>
        <v/>
      </c>
      <c r="O210" s="35"/>
      <c r="Q210" s="1" t="str">
        <f>_xlfn.TEXTJOIN("",TRUE,El_unit[[#This Row],[Exact]],El_unit[[#This Row],[Exact+n]],El_unit[[#This Row],[Copilot]])</f>
        <v>Isojoki</v>
      </c>
    </row>
    <row r="211" spans="1:17">
      <c r="A211" s="54" t="s">
        <v>498</v>
      </c>
      <c r="B211" s="22" t="s">
        <v>498</v>
      </c>
      <c r="C211" s="107" t="str" cm="1">
        <f t="array" ref="C211">" "&amp;LOWER(_xlfn.REDUCE(El_unit[[#This Row],[Location]],{",",".","(",")","/"},_xlfn.LAMBDA(_xlpm.txt,_xlpm.delim,SUBSTITUTE(_xlpm.txt,_xlpm.delim," "))))&amp;" "</f>
        <v xml:space="preserve"> lakiakangas 2 </v>
      </c>
      <c r="D211" s="22" t="s">
        <v>3066</v>
      </c>
      <c r="E211" s="1">
        <v>50.4</v>
      </c>
      <c r="F211" s="1">
        <v>0</v>
      </c>
      <c r="G211" s="1">
        <v>0</v>
      </c>
      <c r="H211" s="1">
        <v>50.4</v>
      </c>
      <c r="L211" s="1" t="str" cm="1">
        <f t="array" ref="L211">_xlfn.XLOOKUP(TRUE,ISNUMBER(SEARCH(" "&amp;Municipality[Municipality]&amp;" ",El_unit[[#This Row],[Info sting]])),Municipality[Municipality],"")</f>
        <v/>
      </c>
      <c r="M211" s="1" t="str" cm="1">
        <f t="array" ref="M211">IF(El_unit[[#This Row],[Exact]]&lt;&gt;"","",_xlfn.XLOOKUP(TRUE,ISNUMBER(SEARCH(" "&amp;Municipality[Municipality]&amp;"n ",El_unit[[#This Row],[Info sting]])),Municipality[Municipality],""))</f>
        <v/>
      </c>
      <c r="N211" s="1" t="s">
        <v>2781</v>
      </c>
      <c r="O211" s="35"/>
      <c r="P211" s="1" t="s">
        <v>3087</v>
      </c>
      <c r="Q211" s="1" t="str">
        <f>_xlfn.TEXTJOIN("",TRUE,El_unit[[#This Row],[Exact]],El_unit[[#This Row],[Exact+n]],El_unit[[#This Row],[Copilot]])</f>
        <v>Isojoki</v>
      </c>
    </row>
    <row r="212" spans="1:17">
      <c r="A212" s="54" t="s">
        <v>499</v>
      </c>
      <c r="B212" s="22" t="s">
        <v>499</v>
      </c>
      <c r="C212" s="107" t="str" cm="1">
        <f t="array" ref="C212">" "&amp;LOWER(_xlfn.REDUCE(El_unit[[#This Row],[Location]],{",",".","(",")","/"},_xlfn.LAMBDA(_xlpm.txt,_xlpm.delim,SUBSTITUTE(_xlpm.txt,_xlpm.delim," "))))&amp;" "</f>
        <v xml:space="preserve"> lakiakangas 3 </v>
      </c>
      <c r="D212" s="22" t="s">
        <v>3066</v>
      </c>
      <c r="E212" s="1">
        <v>86</v>
      </c>
      <c r="F212" s="1">
        <v>0</v>
      </c>
      <c r="G212" s="1">
        <v>0</v>
      </c>
      <c r="H212" s="1">
        <v>86</v>
      </c>
      <c r="L212" s="1" t="str" cm="1">
        <f t="array" ref="L212">_xlfn.XLOOKUP(TRUE,ISNUMBER(SEARCH(" "&amp;Municipality[Municipality]&amp;" ",El_unit[[#This Row],[Info sting]])),Municipality[Municipality],"")</f>
        <v/>
      </c>
      <c r="M212" s="1" t="str" cm="1">
        <f t="array" ref="M212">IF(El_unit[[#This Row],[Exact]]&lt;&gt;"","",_xlfn.XLOOKUP(TRUE,ISNUMBER(SEARCH(" "&amp;Municipality[Municipality]&amp;"n ",El_unit[[#This Row],[Info sting]])),Municipality[Municipality],""))</f>
        <v/>
      </c>
      <c r="N212" s="1" t="s">
        <v>2781</v>
      </c>
      <c r="O212" s="35"/>
      <c r="P212" s="1" t="s">
        <v>3088</v>
      </c>
      <c r="Q212" s="1" t="str">
        <f>_xlfn.TEXTJOIN("",TRUE,El_unit[[#This Row],[Exact]],El_unit[[#This Row],[Exact+n]],El_unit[[#This Row],[Copilot]])</f>
        <v>Isojoki</v>
      </c>
    </row>
    <row r="213" spans="1:17">
      <c r="A213" s="54" t="s">
        <v>1052</v>
      </c>
      <c r="B213" s="22"/>
      <c r="C213" s="107" t="str" cm="1">
        <f t="array" ref="C213">" "&amp;LOWER(_xlfn.REDUCE(El_unit[[#This Row],[Location]],{",",".","(",")","/"},_xlfn.LAMBDA(_xlpm.txt,_xlpm.delim,SUBSTITUTE(_xlpm.txt,_xlpm.delim," "))))&amp;" "</f>
        <v xml:space="preserve">  </v>
      </c>
      <c r="D213" s="22" t="s">
        <v>3067</v>
      </c>
      <c r="E213" s="1">
        <v>0</v>
      </c>
      <c r="F213" s="1">
        <v>56</v>
      </c>
      <c r="G213" s="1">
        <v>63</v>
      </c>
      <c r="H213" s="1">
        <v>119</v>
      </c>
      <c r="I213" s="1" t="s">
        <v>1016</v>
      </c>
      <c r="J213" s="1" t="s">
        <v>1023</v>
      </c>
      <c r="L213" s="1" t="str" cm="1">
        <f t="array" ref="L213">_xlfn.XLOOKUP(TRUE,ISNUMBER(SEARCH(" "&amp;Municipality[Municipality]&amp;" ",El_unit[[#This Row],[Info sting]])),Municipality[Municipality],"")</f>
        <v/>
      </c>
      <c r="M213" s="1" t="str" cm="1">
        <f t="array" ref="M213">IF(El_unit[[#This Row],[Exact]]&lt;&gt;"","",_xlfn.XLOOKUP(TRUE,ISNUMBER(SEARCH(" "&amp;Municipality[Municipality]&amp;"n ",El_unit[[#This Row],[Info sting]])),Municipality[Municipality],""))</f>
        <v/>
      </c>
      <c r="N213" s="1" t="s">
        <v>980</v>
      </c>
      <c r="O213" s="35"/>
      <c r="P213" s="1" t="s">
        <v>3089</v>
      </c>
      <c r="Q213" s="1" t="str">
        <f>_xlfn.TEXTJOIN("",TRUE,El_unit[[#This Row],[Exact]],El_unit[[#This Row],[Exact+n]],El_unit[[#This Row],[Copilot]])</f>
        <v>Lappeenranta</v>
      </c>
    </row>
    <row r="214" spans="1:17">
      <c r="A214" s="54" t="s">
        <v>500</v>
      </c>
      <c r="B214" s="22" t="s">
        <v>711</v>
      </c>
      <c r="C214" s="107" t="str" cm="1">
        <f t="array" ref="C214">" "&amp;LOWER(_xlfn.REDUCE(El_unit[[#This Row],[Location]],{",",".","(",")","/"},_xlfn.LAMBDA(_xlpm.txt,_xlpm.delim,SUBSTITUTE(_xlpm.txt,_xlpm.delim," "))))&amp;" "</f>
        <v xml:space="preserve"> kristiinankaupunki </v>
      </c>
      <c r="D214" s="22" t="s">
        <v>3066</v>
      </c>
      <c r="E214" s="1">
        <v>241.8</v>
      </c>
      <c r="F214" s="1">
        <v>0</v>
      </c>
      <c r="G214" s="1">
        <v>0</v>
      </c>
      <c r="H214" s="1">
        <v>241.8</v>
      </c>
      <c r="L214" s="1" t="str" cm="1">
        <f t="array" ref="L214">_xlfn.XLOOKUP(TRUE,ISNUMBER(SEARCH(" "&amp;Municipality[Municipality]&amp;" ",El_unit[[#This Row],[Info sting]])),Municipality[Municipality],"")</f>
        <v>Kristiinankaupunki</v>
      </c>
      <c r="M214" s="1" t="str" cm="1">
        <f t="array" ref="M214">IF(El_unit[[#This Row],[Exact]]&lt;&gt;"","",_xlfn.XLOOKUP(TRUE,ISNUMBER(SEARCH(" "&amp;Municipality[Municipality]&amp;"n ",El_unit[[#This Row],[Info sting]])),Municipality[Municipality],""))</f>
        <v/>
      </c>
      <c r="O214" s="35"/>
      <c r="Q214" s="1" t="str">
        <f>_xlfn.TEXTJOIN("",TRUE,El_unit[[#This Row],[Exact]],El_unit[[#This Row],[Exact+n]],El_unit[[#This Row],[Copilot]])</f>
        <v>Kristiinankaupunki</v>
      </c>
    </row>
    <row r="215" spans="1:17">
      <c r="A215" s="54" t="s">
        <v>1053</v>
      </c>
      <c r="B215" s="22" t="s">
        <v>1053</v>
      </c>
      <c r="C215" s="107" t="str" cm="1">
        <f t="array" ref="C215">" "&amp;LOWER(_xlfn.REDUCE(El_unit[[#This Row],[Location]],{",",".","(",")","/"},_xlfn.LAMBDA(_xlpm.txt,_xlpm.delim,SUBSTITUTE(_xlpm.txt,_xlpm.delim," "))))&amp;" "</f>
        <v xml:space="preserve"> lapua </v>
      </c>
      <c r="D215" s="22" t="s">
        <v>3067</v>
      </c>
      <c r="E215" s="1">
        <v>0</v>
      </c>
      <c r="F215" s="1">
        <v>0</v>
      </c>
      <c r="G215" s="1">
        <v>4</v>
      </c>
      <c r="H215" s="1">
        <v>4</v>
      </c>
      <c r="I215" s="1" t="s">
        <v>1015</v>
      </c>
      <c r="J215" s="1" t="s">
        <v>1022</v>
      </c>
      <c r="K215" s="1" t="s">
        <v>1016</v>
      </c>
      <c r="L215" s="1" t="str" cm="1">
        <f t="array" ref="L215">_xlfn.XLOOKUP(TRUE,ISNUMBER(SEARCH(" "&amp;Municipality[Municipality]&amp;" ",El_unit[[#This Row],[Info sting]])),Municipality[Municipality],"")</f>
        <v>Lapua</v>
      </c>
      <c r="M215" s="1" t="str" cm="1">
        <f t="array" ref="M215">IF(El_unit[[#This Row],[Exact]]&lt;&gt;"","",_xlfn.XLOOKUP(TRUE,ISNUMBER(SEARCH(" "&amp;Municipality[Municipality]&amp;"n ",El_unit[[#This Row],[Info sting]])),Municipality[Municipality],""))</f>
        <v/>
      </c>
      <c r="O215" s="35"/>
      <c r="Q215" s="1" t="str">
        <f>_xlfn.TEXTJOIN("",TRUE,El_unit[[#This Row],[Exact]],El_unit[[#This Row],[Exact+n]],El_unit[[#This Row],[Copilot]])</f>
        <v>Lapua</v>
      </c>
    </row>
    <row r="216" spans="1:17">
      <c r="A216" s="54" t="s">
        <v>501</v>
      </c>
      <c r="B216" s="22" t="s">
        <v>712</v>
      </c>
      <c r="C216" s="107" t="str" cm="1">
        <f t="array" ref="C216">" "&amp;LOWER(_xlfn.REDUCE(El_unit[[#This Row],[Location]],{",",".","(",")","/"},_xlfn.LAMBDA(_xlpm.txt,_xlpm.delim,SUBSTITUTE(_xlpm.txt,_xlpm.delim," "))))&amp;" "</f>
        <v xml:space="preserve"> larsmo vindkraftverk </v>
      </c>
      <c r="D216" s="22" t="s">
        <v>3066</v>
      </c>
      <c r="E216" s="1">
        <v>1</v>
      </c>
      <c r="F216" s="1">
        <v>0</v>
      </c>
      <c r="G216" s="1">
        <v>0</v>
      </c>
      <c r="H216" s="1">
        <v>1</v>
      </c>
      <c r="L216" s="1" t="str" cm="1">
        <f t="array" ref="L216">_xlfn.XLOOKUP(TRUE,ISNUMBER(SEARCH(" "&amp;Municipality[Municipality]&amp;" ",El_unit[[#This Row],[Info sting]])),Municipality[Municipality],"")</f>
        <v/>
      </c>
      <c r="M216" s="1" t="str" cm="1">
        <f t="array" ref="M216">IF(El_unit[[#This Row],[Exact]]&lt;&gt;"","",_xlfn.XLOOKUP(TRUE,ISNUMBER(SEARCH(" "&amp;Municipality[Municipality]&amp;"n ",El_unit[[#This Row],[Info sting]])),Municipality[Municipality],""))</f>
        <v/>
      </c>
      <c r="O216" s="35"/>
      <c r="Q216" s="1" t="str">
        <f>_xlfn.TEXTJOIN("",TRUE,El_unit[[#This Row],[Exact]],El_unit[[#This Row],[Exact+n]],El_unit[[#This Row],[Copilot]])</f>
        <v/>
      </c>
    </row>
    <row r="217" spans="1:17">
      <c r="A217" s="54" t="s">
        <v>502</v>
      </c>
      <c r="B217" s="22" t="s">
        <v>713</v>
      </c>
      <c r="C217" s="107" t="str" cm="1">
        <f t="array" ref="C217">" "&amp;LOWER(_xlfn.REDUCE(El_unit[[#This Row],[Location]],{",",".","(",")","/"},_xlfn.LAMBDA(_xlpm.txt,_xlpm.delim,SUBSTITUTE(_xlpm.txt,_xlpm.delim," "))))&amp;" "</f>
        <v xml:space="preserve"> latamäki  luhanka </v>
      </c>
      <c r="D217" s="22" t="s">
        <v>3066</v>
      </c>
      <c r="E217" s="1">
        <v>18</v>
      </c>
      <c r="F217" s="1">
        <v>0</v>
      </c>
      <c r="G217" s="1">
        <v>0</v>
      </c>
      <c r="H217" s="1">
        <v>18</v>
      </c>
      <c r="L217" s="1" t="str" cm="1">
        <f t="array" ref="L217">_xlfn.XLOOKUP(TRUE,ISNUMBER(SEARCH(" "&amp;Municipality[Municipality]&amp;" ",El_unit[[#This Row],[Info sting]])),Municipality[Municipality],"")</f>
        <v>Luhanka</v>
      </c>
      <c r="M217" s="1" t="str" cm="1">
        <f t="array" ref="M217">IF(El_unit[[#This Row],[Exact]]&lt;&gt;"","",_xlfn.XLOOKUP(TRUE,ISNUMBER(SEARCH(" "&amp;Municipality[Municipality]&amp;"n ",El_unit[[#This Row],[Info sting]])),Municipality[Municipality],""))</f>
        <v/>
      </c>
      <c r="O217" s="35"/>
      <c r="Q217" s="1" t="str">
        <f>_xlfn.TEXTJOIN("",TRUE,El_unit[[#This Row],[Exact]],El_unit[[#This Row],[Exact+n]],El_unit[[#This Row],[Copilot]])</f>
        <v>Luhanka</v>
      </c>
    </row>
    <row r="218" spans="1:17">
      <c r="A218" s="54" t="s">
        <v>503</v>
      </c>
      <c r="B218" s="22" t="s">
        <v>503</v>
      </c>
      <c r="C218" s="107" t="str" cm="1">
        <f t="array" ref="C218">" "&amp;LOWER(_xlfn.REDUCE(El_unit[[#This Row],[Location]],{",",".","(",")","/"},_xlfn.LAMBDA(_xlpm.txt,_xlpm.delim,SUBSTITUTE(_xlpm.txt,_xlpm.delim," "))))&amp;" "</f>
        <v xml:space="preserve"> leipiö 2 </v>
      </c>
      <c r="D218" s="22" t="s">
        <v>3066</v>
      </c>
      <c r="E218" s="1">
        <v>44.9</v>
      </c>
      <c r="F218" s="1">
        <v>0</v>
      </c>
      <c r="G218" s="1">
        <v>0</v>
      </c>
      <c r="H218" s="1">
        <v>44.9</v>
      </c>
      <c r="L218" s="1" t="str" cm="1">
        <f t="array" ref="L218">_xlfn.XLOOKUP(TRUE,ISNUMBER(SEARCH(" "&amp;Municipality[Municipality]&amp;" ",El_unit[[#This Row],[Info sting]])),Municipality[Municipality],"")</f>
        <v/>
      </c>
      <c r="M218" s="1" t="str" cm="1">
        <f t="array" ref="M218">IF(El_unit[[#This Row],[Exact]]&lt;&gt;"","",_xlfn.XLOOKUP(TRUE,ISNUMBER(SEARCH(" "&amp;Municipality[Municipality]&amp;"n ",El_unit[[#This Row],[Info sting]])),Municipality[Municipality],""))</f>
        <v/>
      </c>
      <c r="N218" s="1" t="s">
        <v>2773</v>
      </c>
      <c r="O218" s="35" t="s">
        <v>3165</v>
      </c>
      <c r="Q218" s="1" t="str">
        <f>_xlfn.TEXTJOIN("",TRUE,El_unit[[#This Row],[Exact]],El_unit[[#This Row],[Exact+n]],El_unit[[#This Row],[Copilot]])</f>
        <v>Simo</v>
      </c>
    </row>
    <row r="219" spans="1:17">
      <c r="A219" s="54" t="s">
        <v>504</v>
      </c>
      <c r="B219" s="22" t="s">
        <v>714</v>
      </c>
      <c r="C219" s="107" t="str" cm="1">
        <f t="array" ref="C219">" "&amp;LOWER(_xlfn.REDUCE(El_unit[[#This Row],[Location]],{",",".","(",")","/"},_xlfn.LAMBDA(_xlpm.txt,_xlpm.delim,SUBSTITUTE(_xlpm.txt,_xlpm.delim," "))))&amp;" "</f>
        <v xml:space="preserve"> rajamäentie 15  37550 lempäälä </v>
      </c>
      <c r="D219" s="22" t="s">
        <v>163</v>
      </c>
      <c r="E219" s="1">
        <v>1.8</v>
      </c>
      <c r="F219" s="1">
        <v>0</v>
      </c>
      <c r="G219" s="1">
        <v>0</v>
      </c>
      <c r="H219" s="1">
        <v>1.8</v>
      </c>
      <c r="L219" s="1" t="str" cm="1">
        <f t="array" ref="L219">_xlfn.XLOOKUP(TRUE,ISNUMBER(SEARCH(" "&amp;Municipality[Municipality]&amp;" ",El_unit[[#This Row],[Info sting]])),Municipality[Municipality],"")</f>
        <v>Lempäälä</v>
      </c>
      <c r="M219" s="1" t="str" cm="1">
        <f t="array" ref="M219">IF(El_unit[[#This Row],[Exact]]&lt;&gt;"","",_xlfn.XLOOKUP(TRUE,ISNUMBER(SEARCH(" "&amp;Municipality[Municipality]&amp;"n ",El_unit[[#This Row],[Info sting]])),Municipality[Municipality],""))</f>
        <v/>
      </c>
      <c r="O219" s="35"/>
      <c r="Q219" s="1" t="str">
        <f>_xlfn.TEXTJOIN("",TRUE,El_unit[[#This Row],[Exact]],El_unit[[#This Row],[Exact+n]],El_unit[[#This Row],[Copilot]])</f>
        <v>Lempäälä</v>
      </c>
    </row>
    <row r="220" spans="1:17">
      <c r="A220" s="54" t="s">
        <v>505</v>
      </c>
      <c r="B220" s="22" t="s">
        <v>715</v>
      </c>
      <c r="C220" s="107" t="str" cm="1">
        <f t="array" ref="C220">" "&amp;LOWER(_xlfn.REDUCE(El_unit[[#This Row],[Location]],{",",".","(",")","/"},_xlfn.LAMBDA(_xlpm.txt,_xlpm.delim,SUBSTITUTE(_xlpm.txt,_xlpm.delim," "))))&amp;" "</f>
        <v xml:space="preserve"> kuljuntie 233  37550 lempäälä </v>
      </c>
      <c r="D220" s="22" t="s">
        <v>163</v>
      </c>
      <c r="E220" s="1">
        <v>1.8</v>
      </c>
      <c r="F220" s="1">
        <v>0</v>
      </c>
      <c r="G220" s="1">
        <v>0</v>
      </c>
      <c r="H220" s="1">
        <v>1.8</v>
      </c>
      <c r="L220" s="1" t="str" cm="1">
        <f t="array" ref="L220">_xlfn.XLOOKUP(TRUE,ISNUMBER(SEARCH(" "&amp;Municipality[Municipality]&amp;" ",El_unit[[#This Row],[Info sting]])),Municipality[Municipality],"")</f>
        <v>Lempäälä</v>
      </c>
      <c r="M220" s="1" t="str" cm="1">
        <f t="array" ref="M220">IF(El_unit[[#This Row],[Exact]]&lt;&gt;"","",_xlfn.XLOOKUP(TRUE,ISNUMBER(SEARCH(" "&amp;Municipality[Municipality]&amp;"n ",El_unit[[#This Row],[Info sting]])),Municipality[Municipality],""))</f>
        <v/>
      </c>
      <c r="O220" s="35"/>
      <c r="Q220" s="1" t="str">
        <f>_xlfn.TEXTJOIN("",TRUE,El_unit[[#This Row],[Exact]],El_unit[[#This Row],[Exact+n]],El_unit[[#This Row],[Copilot]])</f>
        <v>Lempäälä</v>
      </c>
    </row>
    <row r="221" spans="1:17">
      <c r="A221" s="54" t="s">
        <v>1054</v>
      </c>
      <c r="B221" s="22" t="s">
        <v>1104</v>
      </c>
      <c r="C221" s="107" t="str" cm="1">
        <f t="array" ref="C221">" "&amp;LOWER(_xlfn.REDUCE(El_unit[[#This Row],[Location]],{",",".","(",")","/"},_xlfn.LAMBDA(_xlpm.txt,_xlpm.delim,SUBSTITUTE(_xlpm.txt,_xlpm.delim," "))))&amp;" "</f>
        <v xml:space="preserve"> ruokosmetsänkatu 11  37550 lempäälä </v>
      </c>
      <c r="D221" s="22" t="s">
        <v>3067</v>
      </c>
      <c r="E221" s="1">
        <v>0</v>
      </c>
      <c r="F221" s="1">
        <v>0</v>
      </c>
      <c r="G221" s="1">
        <v>3</v>
      </c>
      <c r="H221" s="1">
        <v>3</v>
      </c>
      <c r="I221" s="1" t="s">
        <v>1023</v>
      </c>
      <c r="L221" s="1" t="str" cm="1">
        <f t="array" ref="L221">_xlfn.XLOOKUP(TRUE,ISNUMBER(SEARCH(" "&amp;Municipality[Municipality]&amp;" ",El_unit[[#This Row],[Info sting]])),Municipality[Municipality],"")</f>
        <v>Lempäälä</v>
      </c>
      <c r="M221" s="1" t="str" cm="1">
        <f t="array" ref="M221">IF(El_unit[[#This Row],[Exact]]&lt;&gt;"","",_xlfn.XLOOKUP(TRUE,ISNUMBER(SEARCH(" "&amp;Municipality[Municipality]&amp;"n ",El_unit[[#This Row],[Info sting]])),Municipality[Municipality],""))</f>
        <v/>
      </c>
      <c r="O221" s="35"/>
      <c r="Q221" s="1" t="str">
        <f>_xlfn.TEXTJOIN("",TRUE,El_unit[[#This Row],[Exact]],El_unit[[#This Row],[Exact+n]],El_unit[[#This Row],[Copilot]])</f>
        <v>Lempäälä</v>
      </c>
    </row>
    <row r="222" spans="1:17">
      <c r="A222" s="54" t="s">
        <v>1055</v>
      </c>
      <c r="B222" s="22" t="s">
        <v>1105</v>
      </c>
      <c r="C222" s="107" t="str" cm="1">
        <f t="array" ref="C222">" "&amp;LOWER(_xlfn.REDUCE(El_unit[[#This Row],[Location]],{",",".","(",")","/"},_xlfn.LAMBDA(_xlpm.txt,_xlpm.delim,SUBSTITUTE(_xlpm.txt,_xlpm.delim," "))))&amp;" "</f>
        <v xml:space="preserve"> kalliokummuntie 28  37550 lempäälä </v>
      </c>
      <c r="D222" s="22" t="s">
        <v>3067</v>
      </c>
      <c r="E222" s="1">
        <v>0</v>
      </c>
      <c r="F222" s="1">
        <v>0</v>
      </c>
      <c r="G222" s="1">
        <v>2.4</v>
      </c>
      <c r="H222" s="1">
        <v>2.4</v>
      </c>
      <c r="I222" s="1" t="s">
        <v>1023</v>
      </c>
      <c r="L222" s="1" t="str" cm="1">
        <f t="array" ref="L222">_xlfn.XLOOKUP(TRUE,ISNUMBER(SEARCH(" "&amp;Municipality[Municipality]&amp;" ",El_unit[[#This Row],[Info sting]])),Municipality[Municipality],"")</f>
        <v>Lempäälä</v>
      </c>
      <c r="M222" s="1" t="str" cm="1">
        <f t="array" ref="M222">IF(El_unit[[#This Row],[Exact]]&lt;&gt;"","",_xlfn.XLOOKUP(TRUE,ISNUMBER(SEARCH(" "&amp;Municipality[Municipality]&amp;"n ",El_unit[[#This Row],[Info sting]])),Municipality[Municipality],""))</f>
        <v/>
      </c>
      <c r="O222" s="35"/>
      <c r="Q222" s="1" t="str">
        <f>_xlfn.TEXTJOIN("",TRUE,El_unit[[#This Row],[Exact]],El_unit[[#This Row],[Exact+n]],El_unit[[#This Row],[Copilot]])</f>
        <v>Lempäälä</v>
      </c>
    </row>
    <row r="223" spans="1:17">
      <c r="A223" s="54" t="s">
        <v>278</v>
      </c>
      <c r="B223" s="22" t="s">
        <v>278</v>
      </c>
      <c r="C223" s="107" t="str" cm="1">
        <f t="array" ref="C223">" "&amp;LOWER(_xlfn.REDUCE(El_unit[[#This Row],[Location]],{",",".","(",")","/"},_xlfn.LAMBDA(_xlpm.txt,_xlpm.delim,SUBSTITUTE(_xlpm.txt,_xlpm.delim," "))))&amp;" "</f>
        <v xml:space="preserve"> leppikoski </v>
      </c>
      <c r="D223" s="22" t="s">
        <v>3064</v>
      </c>
      <c r="E223" s="1">
        <v>24</v>
      </c>
      <c r="F223" s="1">
        <v>0</v>
      </c>
      <c r="G223" s="1">
        <v>0</v>
      </c>
      <c r="H223" s="1">
        <v>24</v>
      </c>
      <c r="L223" s="1" t="str" cm="1">
        <f t="array" ref="L223">_xlfn.XLOOKUP(TRUE,ISNUMBER(SEARCH(" "&amp;Municipality[Municipality]&amp;" ",El_unit[[#This Row],[Info sting]])),Municipality[Municipality],"")</f>
        <v/>
      </c>
      <c r="M223" s="1" t="str" cm="1">
        <f t="array" ref="M223">IF(El_unit[[#This Row],[Exact]]&lt;&gt;"","",_xlfn.XLOOKUP(TRUE,ISNUMBER(SEARCH(" "&amp;Municipality[Municipality]&amp;"n ",El_unit[[#This Row],[Info sting]])),Municipality[Municipality],""))</f>
        <v/>
      </c>
      <c r="N223" s="1" t="s">
        <v>2707</v>
      </c>
      <c r="O223" s="35" t="s">
        <v>3134</v>
      </c>
      <c r="Q223" s="1" t="str">
        <f>_xlfn.TEXTJOIN("",TRUE,El_unit[[#This Row],[Exact]],El_unit[[#This Row],[Exact+n]],El_unit[[#This Row],[Copilot]])</f>
        <v>Paltamo</v>
      </c>
    </row>
    <row r="224" spans="1:17">
      <c r="A224" s="54" t="s">
        <v>506</v>
      </c>
      <c r="B224" s="22" t="s">
        <v>506</v>
      </c>
      <c r="C224" s="107" t="str" cm="1">
        <f t="array" ref="C224">" "&amp;LOWER(_xlfn.REDUCE(El_unit[[#This Row],[Location]],{",",".","(",")","/"},_xlfn.LAMBDA(_xlpm.txt,_xlpm.delim,SUBSTITUTE(_xlpm.txt,_xlpm.delim," "))))&amp;" "</f>
        <v xml:space="preserve"> lestijärvi </v>
      </c>
      <c r="D224" s="22" t="s">
        <v>3068</v>
      </c>
      <c r="E224" s="1">
        <v>1.3</v>
      </c>
      <c r="F224" s="1">
        <v>0</v>
      </c>
      <c r="G224" s="1">
        <v>0</v>
      </c>
      <c r="H224" s="1">
        <v>1.3</v>
      </c>
      <c r="L224" s="1" t="str" cm="1">
        <f t="array" ref="L224">_xlfn.XLOOKUP(TRUE,ISNUMBER(SEARCH(" "&amp;Municipality[Municipality]&amp;" ",El_unit[[#This Row],[Info sting]])),Municipality[Municipality],"")</f>
        <v>Lestijärvi</v>
      </c>
      <c r="M224" s="1" t="str" cm="1">
        <f t="array" ref="M224">IF(El_unit[[#This Row],[Exact]]&lt;&gt;"","",_xlfn.XLOOKUP(TRUE,ISNUMBER(SEARCH(" "&amp;Municipality[Municipality]&amp;"n ",El_unit[[#This Row],[Info sting]])),Municipality[Municipality],""))</f>
        <v/>
      </c>
      <c r="O224" s="35"/>
      <c r="Q224" s="1" t="str">
        <f>_xlfn.TEXTJOIN("",TRUE,El_unit[[#This Row],[Exact]],El_unit[[#This Row],[Exact+n]],El_unit[[#This Row],[Copilot]])</f>
        <v>Lestijärvi</v>
      </c>
    </row>
    <row r="225" spans="1:17">
      <c r="A225" s="54" t="s">
        <v>279</v>
      </c>
      <c r="B225" s="22" t="s">
        <v>280</v>
      </c>
      <c r="C225" s="107" t="str" cm="1">
        <f t="array" ref="C225">" "&amp;LOWER(_xlfn.REDUCE(El_unit[[#This Row],[Location]],{",",".","(",")","/"},_xlfn.LAMBDA(_xlpm.txt,_xlpm.delim,SUBSTITUTE(_xlpm.txt,_xlpm.delim," "))))&amp;" "</f>
        <v xml:space="preserve"> saarijärvi   leuhunkoski </v>
      </c>
      <c r="D225" s="22" t="s">
        <v>3064</v>
      </c>
      <c r="E225" s="1">
        <v>3.2</v>
      </c>
      <c r="F225" s="1">
        <v>0</v>
      </c>
      <c r="G225" s="1">
        <v>0</v>
      </c>
      <c r="H225" s="1">
        <v>3.2</v>
      </c>
      <c r="L225" s="1" t="str" cm="1">
        <f t="array" ref="L225">_xlfn.XLOOKUP(TRUE,ISNUMBER(SEARCH(" "&amp;Municipality[Municipality]&amp;" ",El_unit[[#This Row],[Info sting]])),Municipality[Municipality],"")</f>
        <v>Saarijärvi</v>
      </c>
      <c r="M225" s="1" t="str" cm="1">
        <f t="array" ref="M225">IF(El_unit[[#This Row],[Exact]]&lt;&gt;"","",_xlfn.XLOOKUP(TRUE,ISNUMBER(SEARCH(" "&amp;Municipality[Municipality]&amp;"n ",El_unit[[#This Row],[Info sting]])),Municipality[Municipality],""))</f>
        <v/>
      </c>
      <c r="O225" s="35"/>
      <c r="Q225" s="1" t="str">
        <f>_xlfn.TEXTJOIN("",TRUE,El_unit[[#This Row],[Exact]],El_unit[[#This Row],[Exact+n]],El_unit[[#This Row],[Copilot]])</f>
        <v>Saarijärvi</v>
      </c>
    </row>
    <row r="226" spans="1:17">
      <c r="A226" s="54" t="s">
        <v>930</v>
      </c>
      <c r="B226" s="22" t="s">
        <v>991</v>
      </c>
      <c r="C226" s="107" t="str" cm="1">
        <f t="array" ref="C226">" "&amp;LOWER(_xlfn.REDUCE(El_unit[[#This Row],[Location]],{",",".","(",")","/"},_xlfn.LAMBDA(_xlpm.txt,_xlpm.delim,SUBSTITUTE(_xlpm.txt,_xlpm.delim," "))))&amp;" "</f>
        <v xml:space="preserve"> lieksa </v>
      </c>
      <c r="D226" s="22" t="s">
        <v>3065</v>
      </c>
      <c r="E226" s="1">
        <v>0</v>
      </c>
      <c r="F226" s="1">
        <v>7</v>
      </c>
      <c r="G226" s="1">
        <v>0</v>
      </c>
      <c r="H226" s="1">
        <v>7</v>
      </c>
      <c r="I226" s="1" t="s">
        <v>1016</v>
      </c>
      <c r="J226" s="1" t="s">
        <v>1022</v>
      </c>
      <c r="L226" s="1" t="str" cm="1">
        <f t="array" ref="L226">_xlfn.XLOOKUP(TRUE,ISNUMBER(SEARCH(" "&amp;Municipality[Municipality]&amp;" ",El_unit[[#This Row],[Info sting]])),Municipality[Municipality],"")</f>
        <v>Lieksa</v>
      </c>
      <c r="M226" s="1" t="str" cm="1">
        <f t="array" ref="M226">IF(El_unit[[#This Row],[Exact]]&lt;&gt;"","",_xlfn.XLOOKUP(TRUE,ISNUMBER(SEARCH(" "&amp;Municipality[Municipality]&amp;"n ",El_unit[[#This Row],[Info sting]])),Municipality[Municipality],""))</f>
        <v/>
      </c>
      <c r="O226" s="35"/>
      <c r="Q226" s="1" t="str">
        <f>_xlfn.TEXTJOIN("",TRUE,El_unit[[#This Row],[Exact]],El_unit[[#This Row],[Exact+n]],El_unit[[#This Row],[Copilot]])</f>
        <v>Lieksa</v>
      </c>
    </row>
    <row r="227" spans="1:17">
      <c r="A227" s="54" t="s">
        <v>281</v>
      </c>
      <c r="B227" s="22" t="s">
        <v>281</v>
      </c>
      <c r="C227" s="107" t="str" cm="1">
        <f t="array" ref="C227">" "&amp;LOWER(_xlfn.REDUCE(El_unit[[#This Row],[Location]],{",",".","(",")","/"},_xlfn.LAMBDA(_xlpm.txt,_xlpm.delim,SUBSTITUTE(_xlpm.txt,_xlpm.delim," "))))&amp;" "</f>
        <v xml:space="preserve"> lieksankoski </v>
      </c>
      <c r="D227" s="22" t="s">
        <v>3064</v>
      </c>
      <c r="E227" s="1">
        <v>16</v>
      </c>
      <c r="F227" s="1">
        <v>0</v>
      </c>
      <c r="G227" s="1">
        <v>0</v>
      </c>
      <c r="H227" s="1">
        <v>16</v>
      </c>
      <c r="L227" s="1" t="str" cm="1">
        <f t="array" ref="L227">_xlfn.XLOOKUP(TRUE,ISNUMBER(SEARCH(" "&amp;Municipality[Municipality]&amp;" ",El_unit[[#This Row],[Info sting]])),Municipality[Municipality],"")</f>
        <v/>
      </c>
      <c r="M227" s="1" t="str" cm="1">
        <f t="array" ref="M227">IF(El_unit[[#This Row],[Exact]]&lt;&gt;"","",_xlfn.XLOOKUP(TRUE,ISNUMBER(SEARCH(" "&amp;Municipality[Municipality]&amp;"n ",El_unit[[#This Row],[Info sting]])),Municipality[Municipality],""))</f>
        <v/>
      </c>
      <c r="N227" s="1" t="s">
        <v>991</v>
      </c>
      <c r="O227" s="35" t="s">
        <v>3130</v>
      </c>
      <c r="Q227" s="1" t="str">
        <f>_xlfn.TEXTJOIN("",TRUE,El_unit[[#This Row],[Exact]],El_unit[[#This Row],[Exact+n]],El_unit[[#This Row],[Copilot]])</f>
        <v>Lieksa</v>
      </c>
    </row>
    <row r="228" spans="1:17">
      <c r="A228" s="54" t="s">
        <v>1056</v>
      </c>
      <c r="B228" s="22" t="s">
        <v>1056</v>
      </c>
      <c r="C228" s="107" t="str" cm="1">
        <f t="array" ref="C228">" "&amp;LOWER(_xlfn.REDUCE(El_unit[[#This Row],[Location]],{",",".","(",")","/"},_xlfn.LAMBDA(_xlpm.txt,_xlpm.delim,SUBSTITUTE(_xlpm.txt,_xlpm.delim," "))))&amp;" "</f>
        <v xml:space="preserve"> lielahti </v>
      </c>
      <c r="D228" s="22" t="s">
        <v>3067</v>
      </c>
      <c r="E228" s="1">
        <v>0</v>
      </c>
      <c r="F228" s="1">
        <v>0</v>
      </c>
      <c r="G228" s="1">
        <v>142</v>
      </c>
      <c r="H228" s="1">
        <v>142</v>
      </c>
      <c r="I228" s="1" t="s">
        <v>1023</v>
      </c>
      <c r="J228" s="1" t="s">
        <v>1020</v>
      </c>
      <c r="L228" s="1" t="str" cm="1">
        <f t="array" ref="L228">_xlfn.XLOOKUP(TRUE,ISNUMBER(SEARCH(" "&amp;Municipality[Municipality]&amp;" ",El_unit[[#This Row],[Info sting]])),Municipality[Municipality],"")</f>
        <v/>
      </c>
      <c r="M228" s="1" t="str" cm="1">
        <f t="array" ref="M228">IF(El_unit[[#This Row],[Exact]]&lt;&gt;"","",_xlfn.XLOOKUP(TRUE,ISNUMBER(SEARCH(" "&amp;Municipality[Municipality]&amp;"n ",El_unit[[#This Row],[Info sting]])),Municipality[Municipality],""))</f>
        <v/>
      </c>
      <c r="O228" s="35"/>
      <c r="Q228" s="1" t="str">
        <f>_xlfn.TEXTJOIN("",TRUE,El_unit[[#This Row],[Exact]],El_unit[[#This Row],[Exact+n]],El_unit[[#This Row],[Copilot]])</f>
        <v/>
      </c>
    </row>
    <row r="229" spans="1:17">
      <c r="A229" s="54" t="s">
        <v>507</v>
      </c>
      <c r="B229" s="22" t="s">
        <v>507</v>
      </c>
      <c r="C229" s="107" t="str" cm="1">
        <f t="array" ref="C229">" "&amp;LOWER(_xlfn.REDUCE(El_unit[[#This Row],[Location]],{",",".","(",")","/"},_xlfn.LAMBDA(_xlpm.txt,_xlpm.delim,SUBSTITUTE(_xlpm.txt,_xlpm.delim," "))))&amp;" "</f>
        <v xml:space="preserve"> limakko </v>
      </c>
      <c r="D229" s="22" t="s">
        <v>3066</v>
      </c>
      <c r="E229" s="1">
        <v>27</v>
      </c>
      <c r="F229" s="1">
        <v>0</v>
      </c>
      <c r="G229" s="1">
        <v>0</v>
      </c>
      <c r="H229" s="1">
        <v>27</v>
      </c>
      <c r="L229" s="1" t="str" cm="1">
        <f t="array" ref="L229">_xlfn.XLOOKUP(TRUE,ISNUMBER(SEARCH(" "&amp;Municipality[Municipality]&amp;" ",El_unit[[#This Row],[Info sting]])),Municipality[Municipality],"")</f>
        <v/>
      </c>
      <c r="M229" s="1" t="str" cm="1">
        <f t="array" ref="M229">IF(El_unit[[#This Row],[Exact]]&lt;&gt;"","",_xlfn.XLOOKUP(TRUE,ISNUMBER(SEARCH(" "&amp;Municipality[Municipality]&amp;"n ",El_unit[[#This Row],[Info sting]])),Municipality[Municipality],""))</f>
        <v/>
      </c>
      <c r="N229" s="1" t="s">
        <v>2716</v>
      </c>
      <c r="O229" s="35" t="s">
        <v>3166</v>
      </c>
      <c r="Q229" s="1" t="str">
        <f>_xlfn.TEXTJOIN("",TRUE,El_unit[[#This Row],[Exact]],El_unit[[#This Row],[Exact+n]],El_unit[[#This Row],[Copilot]])</f>
        <v>Perho</v>
      </c>
    </row>
    <row r="230" spans="1:17">
      <c r="A230" s="54" t="s">
        <v>508</v>
      </c>
      <c r="B230" s="22" t="s">
        <v>508</v>
      </c>
      <c r="C230" s="107" t="str" cm="1">
        <f t="array" ref="C230">" "&amp;LOWER(_xlfn.REDUCE(El_unit[[#This Row],[Location]],{",",".","(",")","/"},_xlfn.LAMBDA(_xlpm.txt,_xlpm.delim,SUBSTITUTE(_xlpm.txt,_xlpm.delim," "))))&amp;" "</f>
        <v xml:space="preserve"> lindö gård </v>
      </c>
      <c r="D230" s="22" t="s">
        <v>163</v>
      </c>
      <c r="E230" s="1">
        <v>1.8</v>
      </c>
      <c r="F230" s="1">
        <v>0</v>
      </c>
      <c r="G230" s="1">
        <v>0</v>
      </c>
      <c r="H230" s="1">
        <v>1.8</v>
      </c>
      <c r="L230" s="1" t="str" cm="1">
        <f t="array" ref="L230">_xlfn.XLOOKUP(TRUE,ISNUMBER(SEARCH(" "&amp;Municipality[Municipality]&amp;" ",El_unit[[#This Row],[Info sting]])),Municipality[Municipality],"")</f>
        <v/>
      </c>
      <c r="M230" s="1" t="str" cm="1">
        <f t="array" ref="M230">IF(El_unit[[#This Row],[Exact]]&lt;&gt;"","",_xlfn.XLOOKUP(TRUE,ISNUMBER(SEARCH(" "&amp;Municipality[Municipality]&amp;"n ",El_unit[[#This Row],[Info sting]])),Municipality[Municipality],""))</f>
        <v/>
      </c>
      <c r="N230" s="1" t="s">
        <v>2799</v>
      </c>
      <c r="O230" s="35" t="s">
        <v>3197</v>
      </c>
      <c r="P230" s="1" t="s">
        <v>3198</v>
      </c>
      <c r="Q230" s="1" t="str">
        <f>_xlfn.TEXTJOIN("",TRUE,El_unit[[#This Row],[Exact]],El_unit[[#This Row],[Exact+n]],El_unit[[#This Row],[Copilot]])</f>
        <v>Tenhola</v>
      </c>
    </row>
    <row r="231" spans="1:17">
      <c r="A231" s="54" t="s">
        <v>282</v>
      </c>
      <c r="B231" s="22" t="s">
        <v>283</v>
      </c>
      <c r="C231" s="107" t="str" cm="1">
        <f t="array" ref="C231">" "&amp;LOWER(_xlfn.REDUCE(El_unit[[#This Row],[Location]],{",",".","(",")","/"},_xlfn.LAMBDA(_xlpm.txt,_xlpm.delim,SUBSTITUTE(_xlpm.txt,_xlpm.delim," "))))&amp;" "</f>
        <v xml:space="preserve"> joroinen  liunantie 79 </v>
      </c>
      <c r="D231" s="22" t="s">
        <v>3064</v>
      </c>
      <c r="E231" s="1">
        <v>1.2</v>
      </c>
      <c r="F231" s="1">
        <v>0</v>
      </c>
      <c r="G231" s="1">
        <v>0</v>
      </c>
      <c r="H231" s="1">
        <v>1.2</v>
      </c>
      <c r="L231" s="1" t="str" cm="1">
        <f t="array" ref="L231">_xlfn.XLOOKUP(TRUE,ISNUMBER(SEARCH(" "&amp;Municipality[Municipality]&amp;" ",El_unit[[#This Row],[Info sting]])),Municipality[Municipality],"")</f>
        <v>Joroinen</v>
      </c>
      <c r="M231" s="1" t="str" cm="1">
        <f t="array" ref="M231">IF(El_unit[[#This Row],[Exact]]&lt;&gt;"","",_xlfn.XLOOKUP(TRUE,ISNUMBER(SEARCH(" "&amp;Municipality[Municipality]&amp;"n ",El_unit[[#This Row],[Info sting]])),Municipality[Municipality],""))</f>
        <v/>
      </c>
      <c r="O231" s="35"/>
      <c r="Q231" s="1" t="str">
        <f>_xlfn.TEXTJOIN("",TRUE,El_unit[[#This Row],[Exact]],El_unit[[#This Row],[Exact+n]],El_unit[[#This Row],[Copilot]])</f>
        <v>Joroinen</v>
      </c>
    </row>
    <row r="232" spans="1:17">
      <c r="A232" s="54" t="s">
        <v>509</v>
      </c>
      <c r="B232" s="22" t="s">
        <v>509</v>
      </c>
      <c r="C232" s="107" t="str" cm="1">
        <f t="array" ref="C232">" "&amp;LOWER(_xlfn.REDUCE(El_unit[[#This Row],[Location]],{",",".","(",")","/"},_xlfn.LAMBDA(_xlpm.txt,_xlpm.delim,SUBSTITUTE(_xlpm.txt,_xlpm.delim," "))))&amp;" "</f>
        <v xml:space="preserve"> lohjan aurinkovoimala </v>
      </c>
      <c r="D232" s="22" t="s">
        <v>163</v>
      </c>
      <c r="E232" s="1">
        <v>6.3</v>
      </c>
      <c r="F232" s="1">
        <v>0</v>
      </c>
      <c r="G232" s="1">
        <v>0</v>
      </c>
      <c r="H232" s="1">
        <v>6.3</v>
      </c>
      <c r="L232" s="1" t="str" cm="1">
        <f t="array" ref="L232">_xlfn.XLOOKUP(TRUE,ISNUMBER(SEARCH(" "&amp;Municipality[Municipality]&amp;" ",El_unit[[#This Row],[Info sting]])),Municipality[Municipality],"")</f>
        <v/>
      </c>
      <c r="M232" s="1" t="str" cm="1">
        <f t="array" ref="M232">IF(El_unit[[#This Row],[Exact]]&lt;&gt;"","",_xlfn.XLOOKUP(TRUE,ISNUMBER(SEARCH(" "&amp;Municipality[Municipality]&amp;"n ",El_unit[[#This Row],[Info sting]])),Municipality[Municipality],""))</f>
        <v>Lohja</v>
      </c>
      <c r="O232" s="35"/>
      <c r="Q232" s="1" t="str">
        <f>_xlfn.TEXTJOIN("",TRUE,El_unit[[#This Row],[Exact]],El_unit[[#This Row],[Exact+n]],El_unit[[#This Row],[Copilot]])</f>
        <v>Lohja</v>
      </c>
    </row>
    <row r="233" spans="1:17">
      <c r="A233" s="54" t="s">
        <v>510</v>
      </c>
      <c r="B233" s="22" t="s">
        <v>510</v>
      </c>
      <c r="C233" s="107" t="str" cm="1">
        <f t="array" ref="C233">" "&amp;LOWER(_xlfn.REDUCE(El_unit[[#This Row],[Location]],{",",".","(",")","/"},_xlfn.LAMBDA(_xlpm.txt,_xlpm.delim,SUBSTITUTE(_xlpm.txt,_xlpm.delim," "))))&amp;" "</f>
        <v xml:space="preserve"> louhukangas </v>
      </c>
      <c r="D233" s="22" t="s">
        <v>3066</v>
      </c>
      <c r="E233" s="1">
        <v>142.6</v>
      </c>
      <c r="F233" s="1">
        <v>0</v>
      </c>
      <c r="G233" s="1">
        <v>0</v>
      </c>
      <c r="H233" s="1">
        <v>142.6</v>
      </c>
      <c r="L233" s="1" t="str" cm="1">
        <f t="array" ref="L233">_xlfn.XLOOKUP(TRUE,ISNUMBER(SEARCH(" "&amp;Municipality[Municipality]&amp;" ",El_unit[[#This Row],[Info sting]])),Municipality[Municipality],"")</f>
        <v/>
      </c>
      <c r="M233" s="1" t="str" cm="1">
        <f t="array" ref="M233">IF(El_unit[[#This Row],[Exact]]&lt;&gt;"","",_xlfn.XLOOKUP(TRUE,ISNUMBER(SEARCH(" "&amp;Municipality[Municipality]&amp;"n ",El_unit[[#This Row],[Info sting]])),Municipality[Municipality],""))</f>
        <v/>
      </c>
      <c r="N233" s="1" t="s">
        <v>1483</v>
      </c>
      <c r="O233" s="35" t="s">
        <v>3167</v>
      </c>
      <c r="Q233" s="1" t="str">
        <f>_xlfn.TEXTJOIN("",TRUE,El_unit[[#This Row],[Exact]],El_unit[[#This Row],[Exact+n]],El_unit[[#This Row],[Copilot]])</f>
        <v>Alajärvi</v>
      </c>
    </row>
    <row r="234" spans="1:17">
      <c r="A234" s="54" t="s">
        <v>511</v>
      </c>
      <c r="B234" s="22" t="s">
        <v>716</v>
      </c>
      <c r="C234" s="107" t="str" cm="1">
        <f t="array" ref="C234">" "&amp;LOWER(_xlfn.REDUCE(El_unit[[#This Row],[Location]],{",",".","(",")","/"},_xlfn.LAMBDA(_xlpm.txt,_xlpm.delim,SUBSTITUTE(_xlpm.txt,_xlpm.delim," "))))&amp;" "</f>
        <v xml:space="preserve"> loviisa i </v>
      </c>
      <c r="D234" s="22" t="s">
        <v>3069</v>
      </c>
      <c r="E234" s="1">
        <v>507</v>
      </c>
      <c r="F234" s="1">
        <v>0</v>
      </c>
      <c r="G234" s="1">
        <v>0</v>
      </c>
      <c r="H234" s="1">
        <v>507</v>
      </c>
      <c r="I234" s="1" t="s">
        <v>3069</v>
      </c>
      <c r="L234" s="1" t="str" cm="1">
        <f t="array" ref="L234">_xlfn.XLOOKUP(TRUE,ISNUMBER(SEARCH(" "&amp;Municipality[Municipality]&amp;" ",El_unit[[#This Row],[Info sting]])),Municipality[Municipality],"")</f>
        <v>Loviisa</v>
      </c>
      <c r="M234" s="1" t="str" cm="1">
        <f t="array" ref="M234">IF(El_unit[[#This Row],[Exact]]&lt;&gt;"","",_xlfn.XLOOKUP(TRUE,ISNUMBER(SEARCH(" "&amp;Municipality[Municipality]&amp;"n ",El_unit[[#This Row],[Info sting]])),Municipality[Municipality],""))</f>
        <v/>
      </c>
      <c r="O234" s="35"/>
      <c r="Q234" s="1" t="str">
        <f>_xlfn.TEXTJOIN("",TRUE,El_unit[[#This Row],[Exact]],El_unit[[#This Row],[Exact+n]],El_unit[[#This Row],[Copilot]])</f>
        <v>Loviisa</v>
      </c>
    </row>
    <row r="235" spans="1:17">
      <c r="A235" s="54" t="s">
        <v>512</v>
      </c>
      <c r="B235" s="22" t="s">
        <v>717</v>
      </c>
      <c r="C235" s="107" t="str" cm="1">
        <f t="array" ref="C235">" "&amp;LOWER(_xlfn.REDUCE(El_unit[[#This Row],[Location]],{",",".","(",")","/"},_xlfn.LAMBDA(_xlpm.txt,_xlpm.delim,SUBSTITUTE(_xlpm.txt,_xlpm.delim," "))))&amp;" "</f>
        <v xml:space="preserve"> loviisa 2 </v>
      </c>
      <c r="D235" s="22" t="s">
        <v>3069</v>
      </c>
      <c r="E235" s="1">
        <v>507</v>
      </c>
      <c r="F235" s="1">
        <v>0</v>
      </c>
      <c r="G235" s="1">
        <v>0</v>
      </c>
      <c r="H235" s="1">
        <v>507</v>
      </c>
      <c r="I235" s="1" t="s">
        <v>3069</v>
      </c>
      <c r="L235" s="1" t="str" cm="1">
        <f t="array" ref="L235">_xlfn.XLOOKUP(TRUE,ISNUMBER(SEARCH(" "&amp;Municipality[Municipality]&amp;" ",El_unit[[#This Row],[Info sting]])),Municipality[Municipality],"")</f>
        <v>Loviisa</v>
      </c>
      <c r="M235" s="1" t="str" cm="1">
        <f t="array" ref="M235">IF(El_unit[[#This Row],[Exact]]&lt;&gt;"","",_xlfn.XLOOKUP(TRUE,ISNUMBER(SEARCH(" "&amp;Municipality[Municipality]&amp;"n ",El_unit[[#This Row],[Info sting]])),Municipality[Municipality],""))</f>
        <v/>
      </c>
      <c r="O235" s="35"/>
      <c r="Q235" s="1" t="str">
        <f>_xlfn.TEXTJOIN("",TRUE,El_unit[[#This Row],[Exact]],El_unit[[#This Row],[Exact+n]],El_unit[[#This Row],[Copilot]])</f>
        <v>Loviisa</v>
      </c>
    </row>
    <row r="236" spans="1:17">
      <c r="A236" s="54" t="s">
        <v>513</v>
      </c>
      <c r="B236" s="22" t="s">
        <v>513</v>
      </c>
      <c r="C236" s="107" t="str" cm="1">
        <f t="array" ref="C236">" "&amp;LOWER(_xlfn.REDUCE(El_unit[[#This Row],[Location]],{",",".","(",")","/"},_xlfn.LAMBDA(_xlpm.txt,_xlpm.delim,SUBSTITUTE(_xlpm.txt,_xlpm.delim," "))))&amp;" "</f>
        <v xml:space="preserve"> lumijoki </v>
      </c>
      <c r="D236" s="22" t="s">
        <v>3066</v>
      </c>
      <c r="E236" s="1">
        <v>1.6</v>
      </c>
      <c r="F236" s="1">
        <v>0</v>
      </c>
      <c r="G236" s="1">
        <v>0</v>
      </c>
      <c r="H236" s="1">
        <v>1.6</v>
      </c>
      <c r="L236" s="1" t="str" cm="1">
        <f t="array" ref="L236">_xlfn.XLOOKUP(TRUE,ISNUMBER(SEARCH(" "&amp;Municipality[Municipality]&amp;" ",El_unit[[#This Row],[Info sting]])),Municipality[Municipality],"")</f>
        <v>Lumijoki</v>
      </c>
      <c r="M236" s="1" t="str" cm="1">
        <f t="array" ref="M236">IF(El_unit[[#This Row],[Exact]]&lt;&gt;"","",_xlfn.XLOOKUP(TRUE,ISNUMBER(SEARCH(" "&amp;Municipality[Municipality]&amp;"n ",El_unit[[#This Row],[Info sting]])),Municipality[Municipality],""))</f>
        <v/>
      </c>
      <c r="O236" s="35"/>
      <c r="Q236" s="1" t="str">
        <f>_xlfn.TEXTJOIN("",TRUE,El_unit[[#This Row],[Exact]],El_unit[[#This Row],[Exact+n]],El_unit[[#This Row],[Copilot]])</f>
        <v>Lumijoki</v>
      </c>
    </row>
    <row r="237" spans="1:17">
      <c r="A237" s="54" t="s">
        <v>514</v>
      </c>
      <c r="B237" s="22" t="s">
        <v>718</v>
      </c>
      <c r="C237" s="107" t="str" cm="1">
        <f t="array" ref="C237">" "&amp;LOWER(_xlfn.REDUCE(El_unit[[#This Row],[Location]],{",",".","(",")","/"},_xlfn.LAMBDA(_xlpm.txt,_xlpm.delim,SUBSTITUTE(_xlpm.txt,_xlpm.delim," "))))&amp;" "</f>
        <v xml:space="preserve"> lumivaara tuulipuisto  kaivopurontie 15-5  hyrynsalmi 89400 </v>
      </c>
      <c r="D237" s="22" t="s">
        <v>3066</v>
      </c>
      <c r="E237" s="1">
        <v>55.8</v>
      </c>
      <c r="F237" s="1">
        <v>0</v>
      </c>
      <c r="G237" s="1">
        <v>0</v>
      </c>
      <c r="H237" s="1">
        <v>55.8</v>
      </c>
      <c r="L237" s="1" t="str" cm="1">
        <f t="array" ref="L237">_xlfn.XLOOKUP(TRUE,ISNUMBER(SEARCH(" "&amp;Municipality[Municipality]&amp;" ",El_unit[[#This Row],[Info sting]])),Municipality[Municipality],"")</f>
        <v>Hyrynsalmi</v>
      </c>
      <c r="M237" s="1" t="str" cm="1">
        <f t="array" ref="M237">IF(El_unit[[#This Row],[Exact]]&lt;&gt;"","",_xlfn.XLOOKUP(TRUE,ISNUMBER(SEARCH(" "&amp;Municipality[Municipality]&amp;"n ",El_unit[[#This Row],[Info sting]])),Municipality[Municipality],""))</f>
        <v/>
      </c>
      <c r="O237" s="35"/>
      <c r="Q237" s="1" t="str">
        <f>_xlfn.TEXTJOIN("",TRUE,El_unit[[#This Row],[Exact]],El_unit[[#This Row],[Exact+n]],El_unit[[#This Row],[Copilot]])</f>
        <v>Hyrynsalmi</v>
      </c>
    </row>
    <row r="238" spans="1:17">
      <c r="A238" s="54" t="s">
        <v>515</v>
      </c>
      <c r="B238" s="22" t="s">
        <v>719</v>
      </c>
      <c r="C238" s="107" t="str" cm="1">
        <f t="array" ref="C238">" "&amp;LOWER(_xlfn.REDUCE(El_unit[[#This Row],[Location]],{",",".","(",")","/"},_xlfn.LAMBDA(_xlpm.txt,_xlpm.delim,SUBSTITUTE(_xlpm.txt,_xlpm.delim," "))))&amp;" "</f>
        <v xml:space="preserve"> lumivaaran tuulipuisto  hyrynsalmi </v>
      </c>
      <c r="D238" s="22" t="s">
        <v>3066</v>
      </c>
      <c r="E238" s="1">
        <v>45.6</v>
      </c>
      <c r="F238" s="1">
        <v>0</v>
      </c>
      <c r="G238" s="1">
        <v>0</v>
      </c>
      <c r="H238" s="1">
        <v>45.6</v>
      </c>
      <c r="L238" s="1" t="str" cm="1">
        <f t="array" ref="L238">_xlfn.XLOOKUP(TRUE,ISNUMBER(SEARCH(" "&amp;Municipality[Municipality]&amp;" ",El_unit[[#This Row],[Info sting]])),Municipality[Municipality],"")</f>
        <v>Hyrynsalmi</v>
      </c>
      <c r="M238" s="1" t="str" cm="1">
        <f t="array" ref="M238">IF(El_unit[[#This Row],[Exact]]&lt;&gt;"","",_xlfn.XLOOKUP(TRUE,ISNUMBER(SEARCH(" "&amp;Municipality[Municipality]&amp;"n ",El_unit[[#This Row],[Info sting]])),Municipality[Municipality],""))</f>
        <v/>
      </c>
      <c r="O238" s="35"/>
      <c r="Q238" s="1" t="str">
        <f>_xlfn.TEXTJOIN("",TRUE,El_unit[[#This Row],[Exact]],El_unit[[#This Row],[Exact+n]],El_unit[[#This Row],[Copilot]])</f>
        <v>Hyrynsalmi</v>
      </c>
    </row>
    <row r="239" spans="1:17">
      <c r="A239" s="54" t="s">
        <v>516</v>
      </c>
      <c r="B239" s="22" t="s">
        <v>516</v>
      </c>
      <c r="C239" s="107" t="str" cm="1">
        <f t="array" ref="C239">" "&amp;LOWER(_xlfn.REDUCE(El_unit[[#This Row],[Location]],{",",".","(",")","/"},_xlfn.LAMBDA(_xlpm.txt,_xlpm.delim,SUBSTITUTE(_xlpm.txt,_xlpm.delim," "))))&amp;" "</f>
        <v xml:space="preserve"> lw jouttikallio </v>
      </c>
      <c r="D239" s="22" t="s">
        <v>3066</v>
      </c>
      <c r="E239" s="1">
        <v>4.2</v>
      </c>
      <c r="F239" s="1">
        <v>0</v>
      </c>
      <c r="G239" s="1">
        <v>0</v>
      </c>
      <c r="H239" s="1">
        <v>4.2</v>
      </c>
      <c r="L239" s="1" t="str" cm="1">
        <f t="array" ref="L239">_xlfn.XLOOKUP(TRUE,ISNUMBER(SEARCH(" "&amp;Municipality[Municipality]&amp;" ",El_unit[[#This Row],[Info sting]])),Municipality[Municipality],"")</f>
        <v/>
      </c>
      <c r="M239" s="1" t="str" cm="1">
        <f t="array" ref="M239">IF(El_unit[[#This Row],[Exact]]&lt;&gt;"","",_xlfn.XLOOKUP(TRUE,ISNUMBER(SEARCH(" "&amp;Municipality[Municipality]&amp;"n ",El_unit[[#This Row],[Info sting]])),Municipality[Municipality],""))</f>
        <v/>
      </c>
      <c r="N239" s="1" t="s">
        <v>1053</v>
      </c>
      <c r="O239" s="35" t="s">
        <v>3177</v>
      </c>
      <c r="Q239" s="1" t="str">
        <f>_xlfn.TEXTJOIN("",TRUE,El_unit[[#This Row],[Exact]],El_unit[[#This Row],[Exact+n]],El_unit[[#This Row],[Copilot]])</f>
        <v>Lapua</v>
      </c>
    </row>
    <row r="240" spans="1:17">
      <c r="A240" s="54" t="s">
        <v>517</v>
      </c>
      <c r="B240" s="22" t="s">
        <v>517</v>
      </c>
      <c r="C240" s="107" t="str" cm="1">
        <f t="array" ref="C240">" "&amp;LOWER(_xlfn.REDUCE(El_unit[[#This Row],[Location]],{",",".","(",")","/"},_xlfn.LAMBDA(_xlpm.txt,_xlpm.delim,SUBSTITUTE(_xlpm.txt,_xlpm.delim," "))))&amp;" "</f>
        <v xml:space="preserve"> lw koskenkylä </v>
      </c>
      <c r="D240" s="22" t="s">
        <v>3066</v>
      </c>
      <c r="E240" s="1">
        <v>2.35</v>
      </c>
      <c r="F240" s="1">
        <v>0</v>
      </c>
      <c r="G240" s="1">
        <v>0</v>
      </c>
      <c r="H240" s="1">
        <v>2.35</v>
      </c>
      <c r="L240" s="1" t="str" cm="1">
        <f t="array" ref="L240">_xlfn.XLOOKUP(TRUE,ISNUMBER(SEARCH(" "&amp;Municipality[Municipality]&amp;" ",El_unit[[#This Row],[Info sting]])),Municipality[Municipality],"")</f>
        <v/>
      </c>
      <c r="M240" s="1" t="str" cm="1">
        <f t="array" ref="M240">IF(El_unit[[#This Row],[Exact]]&lt;&gt;"","",_xlfn.XLOOKUP(TRUE,ISNUMBER(SEARCH(" "&amp;Municipality[Municipality]&amp;"n ",El_unit[[#This Row],[Info sting]])),Municipality[Municipality],""))</f>
        <v/>
      </c>
      <c r="N240" s="1" t="s">
        <v>923</v>
      </c>
      <c r="O240" s="35" t="s">
        <v>3178</v>
      </c>
      <c r="Q240" s="1" t="str">
        <f>_xlfn.TEXTJOIN("",TRUE,El_unit[[#This Row],[Exact]],El_unit[[#This Row],[Exact+n]],El_unit[[#This Row],[Copilot]])</f>
        <v>Kokkola</v>
      </c>
    </row>
    <row r="241" spans="1:17">
      <c r="A241" s="54" t="s">
        <v>518</v>
      </c>
      <c r="B241" s="22" t="s">
        <v>720</v>
      </c>
      <c r="C241" s="107" t="str" cm="1">
        <f t="array" ref="C241">" "&amp;LOWER(_xlfn.REDUCE(El_unit[[#This Row],[Location]],{",",".","(",")","/"},_xlfn.LAMBDA(_xlpm.txt,_xlpm.delim,SUBSTITUTE(_xlpm.txt,_xlpm.delim," "))))&amp;" "</f>
        <v xml:space="preserve"> halmeen metsätie 29 </v>
      </c>
      <c r="D241" s="22" t="s">
        <v>3066</v>
      </c>
      <c r="E241" s="1">
        <v>3</v>
      </c>
      <c r="F241" s="1">
        <v>0</v>
      </c>
      <c r="G241" s="1">
        <v>0</v>
      </c>
      <c r="H241" s="1">
        <v>3</v>
      </c>
      <c r="L241" s="1" t="str" cm="1">
        <f t="array" ref="L241">_xlfn.XLOOKUP(TRUE,ISNUMBER(SEARCH(" "&amp;Municipality[Municipality]&amp;" ",El_unit[[#This Row],[Info sting]])),Municipality[Municipality],"")</f>
        <v/>
      </c>
      <c r="M241" s="1" t="str" cm="1">
        <f t="array" ref="M241">IF(El_unit[[#This Row],[Exact]]&lt;&gt;"","",_xlfn.XLOOKUP(TRUE,ISNUMBER(SEARCH(" "&amp;Municipality[Municipality]&amp;"n ",El_unit[[#This Row],[Info sting]])),Municipality[Municipality],""))</f>
        <v/>
      </c>
      <c r="N241" s="1" t="s">
        <v>2577</v>
      </c>
      <c r="O241" s="35" t="s">
        <v>3179</v>
      </c>
      <c r="Q241" s="1" t="str">
        <f>_xlfn.TEXTJOIN("",TRUE,El_unit[[#This Row],[Exact]],El_unit[[#This Row],[Exact+n]],El_unit[[#This Row],[Copilot]])</f>
        <v>Kauhajoki</v>
      </c>
    </row>
    <row r="242" spans="1:17">
      <c r="A242" s="54" t="s">
        <v>519</v>
      </c>
      <c r="B242" s="22" t="s">
        <v>721</v>
      </c>
      <c r="C242" s="107" t="str" cm="1">
        <f t="array" ref="C242">" "&amp;LOWER(_xlfn.REDUCE(El_unit[[#This Row],[Location]],{",",".","(",")","/"},_xlfn.LAMBDA(_xlpm.txt,_xlpm.delim,SUBSTITUTE(_xlpm.txt,_xlpm.delim," "))))&amp;" "</f>
        <v xml:space="preserve"> norrpiggvägen </v>
      </c>
      <c r="D242" s="22" t="s">
        <v>3066</v>
      </c>
      <c r="E242" s="1">
        <v>3</v>
      </c>
      <c r="F242" s="1">
        <v>0</v>
      </c>
      <c r="G242" s="1">
        <v>0</v>
      </c>
      <c r="H242" s="1">
        <v>3</v>
      </c>
      <c r="L242" s="1" t="str" cm="1">
        <f t="array" ref="L242">_xlfn.XLOOKUP(TRUE,ISNUMBER(SEARCH(" "&amp;Municipality[Municipality]&amp;" ",El_unit[[#This Row],[Info sting]])),Municipality[Municipality],"")</f>
        <v/>
      </c>
      <c r="M242" s="1" t="str" cm="1">
        <f t="array" ref="M242">IF(El_unit[[#This Row],[Exact]]&lt;&gt;"","",_xlfn.XLOOKUP(TRUE,ISNUMBER(SEARCH(" "&amp;Municipality[Municipality]&amp;"n ",El_unit[[#This Row],[Info sting]])),Municipality[Municipality],""))</f>
        <v/>
      </c>
      <c r="N242" s="1" t="s">
        <v>2699</v>
      </c>
      <c r="O242" s="35" t="s">
        <v>3180</v>
      </c>
      <c r="P242" s="1" t="s">
        <v>3181</v>
      </c>
      <c r="Q242" s="1" t="str">
        <f>_xlfn.TEXTJOIN("",TRUE,El_unit[[#This Row],[Exact]],El_unit[[#This Row],[Exact+n]],El_unit[[#This Row],[Copilot]])</f>
        <v>Oravainen</v>
      </c>
    </row>
    <row r="243" spans="1:17">
      <c r="A243" s="54" t="s">
        <v>284</v>
      </c>
      <c r="B243" s="22" t="s">
        <v>284</v>
      </c>
      <c r="C243" s="107" t="str" cm="1">
        <f t="array" ref="C243">" "&amp;LOWER(_xlfn.REDUCE(El_unit[[#This Row],[Location]],{",",".","(",")","/"},_xlfn.LAMBDA(_xlpm.txt,_xlpm.delim,SUBSTITUTE(_xlpm.txt,_xlpm.delim," "))))&amp;" "</f>
        <v xml:space="preserve"> långfors </v>
      </c>
      <c r="D243" s="22" t="s">
        <v>3064</v>
      </c>
      <c r="E243" s="1">
        <v>1.2</v>
      </c>
      <c r="F243" s="1">
        <v>0</v>
      </c>
      <c r="G243" s="1">
        <v>0</v>
      </c>
      <c r="H243" s="1">
        <v>1.2</v>
      </c>
      <c r="L243" s="1" t="str" cm="1">
        <f t="array" ref="L243">_xlfn.XLOOKUP(TRUE,ISNUMBER(SEARCH(" "&amp;Municipality[Municipality]&amp;" ",El_unit[[#This Row],[Info sting]])),Municipality[Municipality],"")</f>
        <v/>
      </c>
      <c r="M243" s="1" t="str" cm="1">
        <f t="array" ref="M243">IF(El_unit[[#This Row],[Exact]]&lt;&gt;"","",_xlfn.XLOOKUP(TRUE,ISNUMBER(SEARCH(" "&amp;Municipality[Municipality]&amp;"n ",El_unit[[#This Row],[Info sting]])),Municipality[Municipality],""))</f>
        <v/>
      </c>
      <c r="O243" s="35"/>
      <c r="Q243" s="1" t="str">
        <f>_xlfn.TEXTJOIN("",TRUE,El_unit[[#This Row],[Exact]],El_unit[[#This Row],[Exact+n]],El_unit[[#This Row],[Copilot]])</f>
        <v/>
      </c>
    </row>
    <row r="244" spans="1:17">
      <c r="A244" s="54" t="s">
        <v>520</v>
      </c>
      <c r="B244" s="22" t="s">
        <v>722</v>
      </c>
      <c r="C244" s="107" t="str" cm="1">
        <f t="array" ref="C244">" "&amp;LOWER(_xlfn.REDUCE(El_unit[[#This Row],[Location]],{",",".","(",")","/"},_xlfn.LAMBDA(_xlpm.txt,_xlpm.delim,SUBSTITUTE(_xlpm.txt,_xlpm.delim," "))))&amp;" "</f>
        <v xml:space="preserve"> långmossa   maalahden kunta </v>
      </c>
      <c r="D244" s="22" t="s">
        <v>3066</v>
      </c>
      <c r="E244" s="1">
        <v>30</v>
      </c>
      <c r="F244" s="1">
        <v>0</v>
      </c>
      <c r="G244" s="1">
        <v>0</v>
      </c>
      <c r="H244" s="1">
        <v>30</v>
      </c>
      <c r="L244" s="1" t="str" cm="1">
        <f t="array" ref="L244">_xlfn.XLOOKUP(TRUE,ISNUMBER(SEARCH(" "&amp;Municipality[Municipality]&amp;" ",El_unit[[#This Row],[Info sting]])),Municipality[Municipality],"")</f>
        <v/>
      </c>
      <c r="M244" s="1" t="str" cm="1">
        <f t="array" ref="M244">IF(El_unit[[#This Row],[Exact]]&lt;&gt;"","",_xlfn.XLOOKUP(TRUE,ISNUMBER(SEARCH(" "&amp;Municipality[Municipality]&amp;"n ",El_unit[[#This Row],[Info sting]])),Municipality[Municipality],""))</f>
        <v/>
      </c>
      <c r="N244" s="1" t="s">
        <v>2667</v>
      </c>
      <c r="O244" s="35" t="s">
        <v>3182</v>
      </c>
      <c r="Q244" s="1" t="str">
        <f>_xlfn.TEXTJOIN("",TRUE,El_unit[[#This Row],[Exact]],El_unit[[#This Row],[Exact+n]],El_unit[[#This Row],[Copilot]])</f>
        <v>Maalahti</v>
      </c>
    </row>
    <row r="245" spans="1:17">
      <c r="A245" s="54" t="s">
        <v>285</v>
      </c>
      <c r="B245" s="22" t="s">
        <v>286</v>
      </c>
      <c r="C245" s="107" t="str" cm="1">
        <f t="array" ref="C245">" "&amp;LOWER(_xlfn.REDUCE(El_unit[[#This Row],[Location]],{",",".","(",")","/"},_xlfn.LAMBDA(_xlpm.txt,_xlpm.delim,SUBSTITUTE(_xlpm.txt,_xlpm.delim," "))))&amp;" "</f>
        <v xml:space="preserve"> maalismaa </v>
      </c>
      <c r="D245" s="22" t="s">
        <v>3064</v>
      </c>
      <c r="E245" s="1">
        <v>38.5</v>
      </c>
      <c r="F245" s="1">
        <v>0</v>
      </c>
      <c r="G245" s="1">
        <v>0</v>
      </c>
      <c r="H245" s="1">
        <v>38.5</v>
      </c>
      <c r="L245" s="1" t="str" cm="1">
        <f t="array" ref="L245">_xlfn.XLOOKUP(TRUE,ISNUMBER(SEARCH(" "&amp;Municipality[Municipality]&amp;" ",El_unit[[#This Row],[Info sting]])),Municipality[Municipality],"")</f>
        <v/>
      </c>
      <c r="M245" s="1" t="str" cm="1">
        <f t="array" ref="M245">IF(El_unit[[#This Row],[Exact]]&lt;&gt;"","",_xlfn.XLOOKUP(TRUE,ISNUMBER(SEARCH(" "&amp;Municipality[Municipality]&amp;"n ",El_unit[[#This Row],[Info sting]])),Municipality[Municipality],""))</f>
        <v/>
      </c>
      <c r="O245" s="35"/>
      <c r="Q245" s="1" t="str">
        <f>_xlfn.TEXTJOIN("",TRUE,El_unit[[#This Row],[Exact]],El_unit[[#This Row],[Exact+n]],El_unit[[#This Row],[Copilot]])</f>
        <v/>
      </c>
    </row>
    <row r="246" spans="1:17">
      <c r="A246" s="54" t="s">
        <v>521</v>
      </c>
      <c r="B246" s="22" t="s">
        <v>723</v>
      </c>
      <c r="C246" s="107" t="str" cm="1">
        <f t="array" ref="C246">" "&amp;LOWER(_xlfn.REDUCE(El_unit[[#This Row],[Location]],{",",".","(",")","/"},_xlfn.LAMBDA(_xlpm.txt,_xlpm.delim,SUBSTITUTE(_xlpm.txt,_xlpm.delim," "))))&amp;" "</f>
        <v xml:space="preserve"> oulaisten tuulipuisto   maaselänkangas </v>
      </c>
      <c r="D246" s="22" t="s">
        <v>3066</v>
      </c>
      <c r="E246" s="1">
        <v>41.3</v>
      </c>
      <c r="F246" s="1">
        <v>0</v>
      </c>
      <c r="G246" s="1">
        <v>0</v>
      </c>
      <c r="H246" s="1">
        <v>41.3</v>
      </c>
      <c r="L246" s="1" t="str" cm="1">
        <f t="array" ref="L246">_xlfn.XLOOKUP(TRUE,ISNUMBER(SEARCH(" "&amp;Municipality[Municipality]&amp;" ",El_unit[[#This Row],[Info sting]])),Municipality[Municipality],"")</f>
        <v/>
      </c>
      <c r="M246" s="1" t="str" cm="1">
        <f t="array" ref="M246">IF(El_unit[[#This Row],[Exact]]&lt;&gt;"","",_xlfn.XLOOKUP(TRUE,ISNUMBER(SEARCH(" "&amp;Municipality[Municipality]&amp;"n ",El_unit[[#This Row],[Info sting]])),Municipality[Municipality],""))</f>
        <v/>
      </c>
      <c r="N246" s="1" t="s">
        <v>2703</v>
      </c>
      <c r="O246" s="35" t="s">
        <v>3183</v>
      </c>
      <c r="Q246" s="1" t="str">
        <f>_xlfn.TEXTJOIN("",TRUE,El_unit[[#This Row],[Exact]],El_unit[[#This Row],[Exact+n]],El_unit[[#This Row],[Copilot]])</f>
        <v>Oulainen</v>
      </c>
    </row>
    <row r="247" spans="1:17">
      <c r="A247" s="54" t="s">
        <v>287</v>
      </c>
      <c r="B247" s="22" t="s">
        <v>288</v>
      </c>
      <c r="C247" s="107" t="str" cm="1">
        <f t="array" ref="C247">" "&amp;LOWER(_xlfn.REDUCE(El_unit[[#This Row],[Location]],{",",".","(",")","/"},_xlfn.LAMBDA(_xlpm.txt,_xlpm.delim,SUBSTITUTE(_xlpm.txt,_xlpm.delim," "))))&amp;" "</f>
        <v xml:space="preserve"> joroinen  katajamäentie 1461  maavesi </v>
      </c>
      <c r="D247" s="22" t="s">
        <v>3064</v>
      </c>
      <c r="E247" s="1">
        <v>2</v>
      </c>
      <c r="F247" s="1">
        <v>0</v>
      </c>
      <c r="G247" s="1">
        <v>0</v>
      </c>
      <c r="H247" s="1">
        <v>2</v>
      </c>
      <c r="L247" s="1" t="str" cm="1">
        <f t="array" ref="L247">_xlfn.XLOOKUP(TRUE,ISNUMBER(SEARCH(" "&amp;Municipality[Municipality]&amp;" ",El_unit[[#This Row],[Info sting]])),Municipality[Municipality],"")</f>
        <v>Joroinen</v>
      </c>
      <c r="M247" s="1" t="str" cm="1">
        <f t="array" ref="M247">IF(El_unit[[#This Row],[Exact]]&lt;&gt;"","",_xlfn.XLOOKUP(TRUE,ISNUMBER(SEARCH(" "&amp;Municipality[Municipality]&amp;"n ",El_unit[[#This Row],[Info sting]])),Municipality[Municipality],""))</f>
        <v/>
      </c>
      <c r="O247" s="35"/>
      <c r="Q247" s="1" t="str">
        <f>_xlfn.TEXTJOIN("",TRUE,El_unit[[#This Row],[Exact]],El_unit[[#This Row],[Exact+n]],El_unit[[#This Row],[Copilot]])</f>
        <v>Joroinen</v>
      </c>
    </row>
    <row r="248" spans="1:17">
      <c r="A248" s="54" t="s">
        <v>289</v>
      </c>
      <c r="B248" s="22" t="s">
        <v>289</v>
      </c>
      <c r="C248" s="107" t="str" cm="1">
        <f t="array" ref="C248">" "&amp;LOWER(_xlfn.REDUCE(El_unit[[#This Row],[Location]],{",",".","(",")","/"},_xlfn.LAMBDA(_xlpm.txt,_xlpm.delim,SUBSTITUTE(_xlpm.txt,_xlpm.delim," "))))&amp;" "</f>
        <v xml:space="preserve"> mankala </v>
      </c>
      <c r="D248" s="22" t="s">
        <v>3064</v>
      </c>
      <c r="E248" s="1">
        <v>30</v>
      </c>
      <c r="F248" s="1">
        <v>0</v>
      </c>
      <c r="G248" s="1">
        <v>0</v>
      </c>
      <c r="H248" s="1">
        <v>30</v>
      </c>
      <c r="L248" s="1" t="str" cm="1">
        <f t="array" ref="L248">_xlfn.XLOOKUP(TRUE,ISNUMBER(SEARCH(" "&amp;Municipality[Municipality]&amp;" ",El_unit[[#This Row],[Info sting]])),Municipality[Municipality],"")</f>
        <v/>
      </c>
      <c r="M248" s="1" t="str" cm="1">
        <f t="array" ref="M248">IF(El_unit[[#This Row],[Exact]]&lt;&gt;"","",_xlfn.XLOOKUP(TRUE,ISNUMBER(SEARCH(" "&amp;Municipality[Municipality]&amp;"n ",El_unit[[#This Row],[Info sting]])),Municipality[Municipality],""))</f>
        <v/>
      </c>
      <c r="O248" s="35"/>
      <c r="Q248" s="1" t="str">
        <f>_xlfn.TEXTJOIN("",TRUE,El_unit[[#This Row],[Exact]],El_unit[[#This Row],[Exact+n]],El_unit[[#This Row],[Copilot]])</f>
        <v/>
      </c>
    </row>
    <row r="249" spans="1:17">
      <c r="A249" s="54" t="s">
        <v>1057</v>
      </c>
      <c r="B249" s="22" t="s">
        <v>1057</v>
      </c>
      <c r="C249" s="107" t="str" cm="1">
        <f t="array" ref="C249">" "&amp;LOWER(_xlfn.REDUCE(El_unit[[#This Row],[Location]],{",",".","(",")","/"},_xlfn.LAMBDA(_xlpm.txt,_xlpm.delim,SUBSTITUTE(_xlpm.txt,_xlpm.delim," "))))&amp;" "</f>
        <v xml:space="preserve"> martinlaakso </v>
      </c>
      <c r="D249" s="22" t="s">
        <v>3067</v>
      </c>
      <c r="E249" s="1">
        <v>2.1</v>
      </c>
      <c r="F249" s="1">
        <v>0</v>
      </c>
      <c r="G249" s="1">
        <v>35</v>
      </c>
      <c r="H249" s="1">
        <v>37.1</v>
      </c>
      <c r="L249" s="1" t="str" cm="1">
        <f t="array" ref="L249">_xlfn.XLOOKUP(TRUE,ISNUMBER(SEARCH(" "&amp;Municipality[Municipality]&amp;" ",El_unit[[#This Row],[Info sting]])),Municipality[Municipality],"")</f>
        <v/>
      </c>
      <c r="M249" s="1" t="str" cm="1">
        <f t="array" ref="M249">IF(El_unit[[#This Row],[Exact]]&lt;&gt;"","",_xlfn.XLOOKUP(TRUE,ISNUMBER(SEARCH(" "&amp;Municipality[Municipality]&amp;"n ",El_unit[[#This Row],[Info sting]])),Municipality[Municipality],""))</f>
        <v/>
      </c>
      <c r="O249" s="35"/>
      <c r="Q249" s="1" t="str">
        <f>_xlfn.TEXTJOIN("",TRUE,El_unit[[#This Row],[Exact]],El_unit[[#This Row],[Exact+n]],El_unit[[#This Row],[Copilot]])</f>
        <v/>
      </c>
    </row>
    <row r="250" spans="1:17">
      <c r="A250" s="54" t="s">
        <v>522</v>
      </c>
      <c r="B250" s="22" t="s">
        <v>724</v>
      </c>
      <c r="C250" s="107" t="str" cm="1">
        <f t="array" ref="C250">" "&amp;LOWER(_xlfn.REDUCE(El_unit[[#This Row],[Location]],{",",".","(",")","/"},_xlfn.LAMBDA(_xlpm.txt,_xlpm.delim,SUBSTITUTE(_xlpm.txt,_xlpm.delim," "))))&amp;" "</f>
        <v xml:space="preserve"> mastokangas  raahe siikajoki </v>
      </c>
      <c r="D250" s="22" t="s">
        <v>3066</v>
      </c>
      <c r="E250" s="1">
        <v>68.400000000000006</v>
      </c>
      <c r="F250" s="1">
        <v>0</v>
      </c>
      <c r="G250" s="1">
        <v>0</v>
      </c>
      <c r="H250" s="1">
        <v>68.400000000000006</v>
      </c>
      <c r="L250" s="1" t="str" cm="1">
        <f t="array" ref="L250">_xlfn.XLOOKUP(TRUE,ISNUMBER(SEARCH(" "&amp;Municipality[Municipality]&amp;" ",El_unit[[#This Row],[Info sting]])),Municipality[Municipality],"")</f>
        <v>Raahe</v>
      </c>
      <c r="M250" s="1" t="str" cm="1">
        <f t="array" ref="M250">IF(El_unit[[#This Row],[Exact]]&lt;&gt;"","",_xlfn.XLOOKUP(TRUE,ISNUMBER(SEARCH(" "&amp;Municipality[Municipality]&amp;"n ",El_unit[[#This Row],[Info sting]])),Municipality[Municipality],""))</f>
        <v/>
      </c>
      <c r="O250" s="35"/>
      <c r="Q250" s="1" t="str">
        <f>_xlfn.TEXTJOIN("",TRUE,El_unit[[#This Row],[Exact]],El_unit[[#This Row],[Exact+n]],El_unit[[#This Row],[Copilot]])</f>
        <v>Raahe</v>
      </c>
    </row>
    <row r="251" spans="1:17">
      <c r="A251" s="54" t="s">
        <v>290</v>
      </c>
      <c r="B251" s="22" t="s">
        <v>290</v>
      </c>
      <c r="C251" s="107" t="str" cm="1">
        <f t="array" ref="C251">" "&amp;LOWER(_xlfn.REDUCE(El_unit[[#This Row],[Location]],{",",".","(",")","/"},_xlfn.LAMBDA(_xlpm.txt,_xlpm.delim,SUBSTITUTE(_xlpm.txt,_xlpm.delim," "))))&amp;" "</f>
        <v xml:space="preserve"> matarakoski </v>
      </c>
      <c r="D251" s="22" t="s">
        <v>3064</v>
      </c>
      <c r="E251" s="1">
        <v>10.1</v>
      </c>
      <c r="F251" s="1">
        <v>0</v>
      </c>
      <c r="G251" s="1">
        <v>0</v>
      </c>
      <c r="H251" s="1">
        <v>10.1</v>
      </c>
      <c r="L251" s="1" t="str" cm="1">
        <f t="array" ref="L251">_xlfn.XLOOKUP(TRUE,ISNUMBER(SEARCH(" "&amp;Municipality[Municipality]&amp;" ",El_unit[[#This Row],[Info sting]])),Municipality[Municipality],"")</f>
        <v/>
      </c>
      <c r="M251" s="1" t="str" cm="1">
        <f t="array" ref="M251">IF(El_unit[[#This Row],[Exact]]&lt;&gt;"","",_xlfn.XLOOKUP(TRUE,ISNUMBER(SEARCH(" "&amp;Municipality[Municipality]&amp;"n ",El_unit[[#This Row],[Info sting]])),Municipality[Municipality],""))</f>
        <v/>
      </c>
      <c r="N251" s="1" t="s">
        <v>2775</v>
      </c>
      <c r="O251" s="35" t="s">
        <v>3130</v>
      </c>
      <c r="Q251" s="1" t="str">
        <f>_xlfn.TEXTJOIN("",TRUE,El_unit[[#This Row],[Exact]],El_unit[[#This Row],[Exact+n]],El_unit[[#This Row],[Copilot]])</f>
        <v>Sodankylä</v>
      </c>
    </row>
    <row r="252" spans="1:17">
      <c r="A252" s="54" t="s">
        <v>523</v>
      </c>
      <c r="B252" s="22" t="s">
        <v>725</v>
      </c>
      <c r="C252" s="107" t="str" cm="1">
        <f t="array" ref="C252">" "&amp;LOWER(_xlfn.REDUCE(El_unit[[#This Row],[Location]],{",",".","(",")","/"},_xlfn.LAMBDA(_xlpm.txt,_xlpm.delim,SUBSTITUTE(_xlpm.txt,_xlpm.delim," "))))&amp;" "</f>
        <v xml:space="preserve"> kauhajoentie 610  kurikka </v>
      </c>
      <c r="D252" s="22" t="s">
        <v>3066</v>
      </c>
      <c r="E252" s="1">
        <v>148.5</v>
      </c>
      <c r="F252" s="1">
        <v>0</v>
      </c>
      <c r="G252" s="1">
        <v>0</v>
      </c>
      <c r="H252" s="1">
        <v>148.5</v>
      </c>
      <c r="L252" s="1" t="str" cm="1">
        <f t="array" ref="L252">_xlfn.XLOOKUP(TRUE,ISNUMBER(SEARCH(" "&amp;Municipality[Municipality]&amp;" ",El_unit[[#This Row],[Info sting]])),Municipality[Municipality],"")</f>
        <v>Kurikka</v>
      </c>
      <c r="M252" s="1" t="str" cm="1">
        <f t="array" ref="M252">IF(El_unit[[#This Row],[Exact]]&lt;&gt;"","",_xlfn.XLOOKUP(TRUE,ISNUMBER(SEARCH(" "&amp;Municipality[Municipality]&amp;"n ",El_unit[[#This Row],[Info sting]])),Municipality[Municipality],""))</f>
        <v/>
      </c>
      <c r="O252" s="35"/>
      <c r="Q252" s="1" t="str">
        <f>_xlfn.TEXTJOIN("",TRUE,El_unit[[#This Row],[Exact]],El_unit[[#This Row],[Exact+n]],El_unit[[#This Row],[Copilot]])</f>
        <v>Kurikka</v>
      </c>
    </row>
    <row r="253" spans="1:17">
      <c r="A253" s="54" t="s">
        <v>291</v>
      </c>
      <c r="B253" s="22" t="s">
        <v>292</v>
      </c>
      <c r="C253" s="107" t="str" cm="1">
        <f t="array" ref="C253">" "&amp;LOWER(_xlfn.REDUCE(El_unit[[#This Row],[Location]],{",",".","(",")","/"},_xlfn.LAMBDA(_xlpm.txt,_xlpm.delim,SUBSTITUTE(_xlpm.txt,_xlpm.delim," "))))&amp;" "</f>
        <v xml:space="preserve"> melo </v>
      </c>
      <c r="D253" s="22" t="s">
        <v>3064</v>
      </c>
      <c r="E253" s="1">
        <v>70</v>
      </c>
      <c r="F253" s="1">
        <v>0</v>
      </c>
      <c r="G253" s="1">
        <v>0</v>
      </c>
      <c r="H253" s="1">
        <v>70</v>
      </c>
      <c r="L253" s="1" t="str" cm="1">
        <f t="array" ref="L253">_xlfn.XLOOKUP(TRUE,ISNUMBER(SEARCH(" "&amp;Municipality[Municipality]&amp;" ",El_unit[[#This Row],[Info sting]])),Municipality[Municipality],"")</f>
        <v/>
      </c>
      <c r="M253" s="1" t="str" cm="1">
        <f t="array" ref="M253">IF(El_unit[[#This Row],[Exact]]&lt;&gt;"","",_xlfn.XLOOKUP(TRUE,ISNUMBER(SEARCH(" "&amp;Municipality[Municipality]&amp;"n ",El_unit[[#This Row],[Info sting]])),Municipality[Municipality],""))</f>
        <v/>
      </c>
      <c r="O253" s="35"/>
      <c r="Q253" s="1" t="str">
        <f>_xlfn.TEXTJOIN("",TRUE,El_unit[[#This Row],[Exact]],El_unit[[#This Row],[Exact+n]],El_unit[[#This Row],[Copilot]])</f>
        <v/>
      </c>
    </row>
    <row r="254" spans="1:17">
      <c r="A254" s="54" t="s">
        <v>293</v>
      </c>
      <c r="B254" s="22" t="s">
        <v>294</v>
      </c>
      <c r="C254" s="107" t="str" cm="1">
        <f t="array" ref="C254">" "&amp;LOWER(_xlfn.REDUCE(El_unit[[#This Row],[Location]],{",",".","(",")","/"},_xlfn.LAMBDA(_xlpm.txt,_xlpm.delim,SUBSTITUTE(_xlpm.txt,_xlpm.delim," "))))&amp;" "</f>
        <v xml:space="preserve"> koskitie 30  oulu  merikosken voimalaitos </v>
      </c>
      <c r="D254" s="22" t="s">
        <v>3064</v>
      </c>
      <c r="E254" s="1">
        <v>42</v>
      </c>
      <c r="F254" s="1">
        <v>0</v>
      </c>
      <c r="G254" s="1">
        <v>0</v>
      </c>
      <c r="H254" s="1">
        <v>42</v>
      </c>
      <c r="L254" s="1" t="str" cm="1">
        <f t="array" ref="L254">_xlfn.XLOOKUP(TRUE,ISNUMBER(SEARCH(" "&amp;Municipality[Municipality]&amp;" ",El_unit[[#This Row],[Info sting]])),Municipality[Municipality],"")</f>
        <v>Oulu</v>
      </c>
      <c r="M254" s="1" t="str" cm="1">
        <f t="array" ref="M254">IF(El_unit[[#This Row],[Exact]]&lt;&gt;"","",_xlfn.XLOOKUP(TRUE,ISNUMBER(SEARCH(" "&amp;Municipality[Municipality]&amp;"n ",El_unit[[#This Row],[Info sting]])),Municipality[Municipality],""))</f>
        <v/>
      </c>
      <c r="O254" s="35"/>
      <c r="Q254" s="1" t="str">
        <f>_xlfn.TEXTJOIN("",TRUE,El_unit[[#This Row],[Exact]],El_unit[[#This Row],[Exact+n]],El_unit[[#This Row],[Copilot]])</f>
        <v>Oulu</v>
      </c>
    </row>
    <row r="255" spans="1:17">
      <c r="A255" s="54" t="s">
        <v>524</v>
      </c>
      <c r="B255" s="22" t="s">
        <v>524</v>
      </c>
      <c r="C255" s="107" t="str" cm="1">
        <f t="array" ref="C255">" "&amp;LOWER(_xlfn.REDUCE(El_unit[[#This Row],[Location]],{",",".","(",")","/"},_xlfn.LAMBDA(_xlpm.txt,_xlpm.delim,SUBSTITUTE(_xlpm.txt,_xlpm.delim," "))))&amp;" "</f>
        <v xml:space="preserve"> meri-pori </v>
      </c>
      <c r="D255" s="22" t="s">
        <v>3068</v>
      </c>
      <c r="E255" s="1">
        <v>565</v>
      </c>
      <c r="F255" s="1">
        <v>0</v>
      </c>
      <c r="G255" s="1">
        <v>0</v>
      </c>
      <c r="H255" s="1">
        <v>565</v>
      </c>
      <c r="I255" s="1" t="s">
        <v>1018</v>
      </c>
      <c r="J255" s="1" t="s">
        <v>1017</v>
      </c>
      <c r="K255" s="1" t="s">
        <v>1017</v>
      </c>
      <c r="L255" s="1" t="str" cm="1">
        <f t="array" ref="L255">_xlfn.XLOOKUP(TRUE,ISNUMBER(SEARCH(" "&amp;Municipality[Municipality]&amp;" ",El_unit[[#This Row],[Info sting]])),Municipality[Municipality],"")</f>
        <v/>
      </c>
      <c r="M255" s="1" t="str" cm="1">
        <f t="array" ref="M255">IF(El_unit[[#This Row],[Exact]]&lt;&gt;"","",_xlfn.XLOOKUP(TRUE,ISNUMBER(SEARCH(" "&amp;Municipality[Municipality]&amp;"n ",El_unit[[#This Row],[Info sting]])),Municipality[Municipality],""))</f>
        <v/>
      </c>
      <c r="N255" s="1" t="s">
        <v>936</v>
      </c>
      <c r="O255" s="35"/>
      <c r="P255" s="1" t="s">
        <v>3090</v>
      </c>
      <c r="Q255" s="1" t="str">
        <f>_xlfn.TEXTJOIN("",TRUE,El_unit[[#This Row],[Exact]],El_unit[[#This Row],[Exact+n]],El_unit[[#This Row],[Copilot]])</f>
        <v>Pori</v>
      </c>
    </row>
    <row r="256" spans="1:17">
      <c r="A256" s="54" t="s">
        <v>525</v>
      </c>
      <c r="B256" s="22" t="s">
        <v>726</v>
      </c>
      <c r="C256" s="107" t="str" cm="1">
        <f t="array" ref="C256">" "&amp;LOWER(_xlfn.REDUCE(El_unit[[#This Row],[Location]],{",",".","(",")","/"},_xlfn.LAMBDA(_xlpm.txt,_xlpm.delim,SUBSTITUTE(_xlpm.txt,_xlpm.delim," "))))&amp;" "</f>
        <v xml:space="preserve"> merkkikallio  vaasa mustasaari </v>
      </c>
      <c r="D256" s="22" t="s">
        <v>3066</v>
      </c>
      <c r="E256" s="1">
        <v>82.5</v>
      </c>
      <c r="F256" s="1">
        <v>0</v>
      </c>
      <c r="G256" s="1">
        <v>0</v>
      </c>
      <c r="H256" s="1">
        <v>82.5</v>
      </c>
      <c r="L256" s="1" t="str" cm="1">
        <f t="array" ref="L256">_xlfn.XLOOKUP(TRUE,ISNUMBER(SEARCH(" "&amp;Municipality[Municipality]&amp;" ",El_unit[[#This Row],[Info sting]])),Municipality[Municipality],"")</f>
        <v>Mustasaari</v>
      </c>
      <c r="M256" s="1" t="str" cm="1">
        <f t="array" ref="M256">IF(El_unit[[#This Row],[Exact]]&lt;&gt;"","",_xlfn.XLOOKUP(TRUE,ISNUMBER(SEARCH(" "&amp;Municipality[Municipality]&amp;"n ",El_unit[[#This Row],[Info sting]])),Municipality[Municipality],""))</f>
        <v/>
      </c>
      <c r="O256" s="35"/>
      <c r="Q256" s="1" t="str">
        <f>_xlfn.TEXTJOIN("",TRUE,El_unit[[#This Row],[Exact]],El_unit[[#This Row],[Exact+n]],El_unit[[#This Row],[Copilot]])</f>
        <v>Mustasaari</v>
      </c>
    </row>
    <row r="257" spans="1:17">
      <c r="A257" s="54" t="s">
        <v>526</v>
      </c>
      <c r="B257" s="22" t="s">
        <v>727</v>
      </c>
      <c r="C257" s="107" t="str" cm="1">
        <f t="array" ref="C257">" "&amp;LOWER(_xlfn.REDUCE(El_unit[[#This Row],[Location]],{",",".","(",")","/"},_xlfn.LAMBDA(_xlpm.txt,_xlpm.delim,SUBSTITUTE(_xlpm.txt,_xlpm.delim," "))))&amp;" "</f>
        <v xml:space="preserve"> mertaniemi 2 </v>
      </c>
      <c r="D257" s="22" t="s">
        <v>3068</v>
      </c>
      <c r="E257" s="1">
        <v>102</v>
      </c>
      <c r="F257" s="1">
        <v>0</v>
      </c>
      <c r="G257" s="1">
        <v>0</v>
      </c>
      <c r="H257" s="1">
        <v>102</v>
      </c>
      <c r="I257" s="1" t="s">
        <v>1020</v>
      </c>
      <c r="J257" s="1" t="s">
        <v>1023</v>
      </c>
      <c r="L257" s="1" t="str" cm="1">
        <f t="array" ref="L257">_xlfn.XLOOKUP(TRUE,ISNUMBER(SEARCH(" "&amp;Municipality[Municipality]&amp;" ",El_unit[[#This Row],[Info sting]])),Municipality[Municipality],"")</f>
        <v/>
      </c>
      <c r="M257" s="1" t="str" cm="1">
        <f t="array" ref="M257">IF(El_unit[[#This Row],[Exact]]&lt;&gt;"","",_xlfn.XLOOKUP(TRUE,ISNUMBER(SEARCH(" "&amp;Municipality[Municipality]&amp;"n ",El_unit[[#This Row],[Info sting]])),Municipality[Municipality],""))</f>
        <v/>
      </c>
      <c r="O257" s="35"/>
      <c r="Q257" s="1" t="str">
        <f>_xlfn.TEXTJOIN("",TRUE,El_unit[[#This Row],[Exact]],El_unit[[#This Row],[Exact+n]],El_unit[[#This Row],[Copilot]])</f>
        <v/>
      </c>
    </row>
    <row r="258" spans="1:17">
      <c r="A258" s="54" t="s">
        <v>527</v>
      </c>
      <c r="B258" s="22" t="s">
        <v>728</v>
      </c>
      <c r="C258" s="107" t="str" cm="1">
        <f t="array" ref="C258">" "&amp;LOWER(_xlfn.REDUCE(El_unit[[#This Row],[Location]],{",",".","(",")","/"},_xlfn.LAMBDA(_xlpm.txt,_xlpm.delim,SUBSTITUTE(_xlpm.txt,_xlpm.delim," "))))&amp;" "</f>
        <v xml:space="preserve"> metsälamminkangas   vaalan kunta </v>
      </c>
      <c r="D258" s="22" t="s">
        <v>3066</v>
      </c>
      <c r="E258" s="1">
        <v>132</v>
      </c>
      <c r="F258" s="1">
        <v>0</v>
      </c>
      <c r="G258" s="1">
        <v>0</v>
      </c>
      <c r="H258" s="1">
        <v>132</v>
      </c>
      <c r="L258" s="1" t="str" cm="1">
        <f t="array" ref="L258">_xlfn.XLOOKUP(TRUE,ISNUMBER(SEARCH(" "&amp;Municipality[Municipality]&amp;" ",El_unit[[#This Row],[Info sting]])),Municipality[Municipality],"")</f>
        <v/>
      </c>
      <c r="M258" s="1" t="str" cm="1">
        <f t="array" ref="M258">IF(El_unit[[#This Row],[Exact]]&lt;&gt;"","",_xlfn.XLOOKUP(TRUE,ISNUMBER(SEARCH(" "&amp;Municipality[Municipality]&amp;"n ",El_unit[[#This Row],[Info sting]])),Municipality[Municipality],""))</f>
        <v>Vaala</v>
      </c>
      <c r="O258" s="35"/>
      <c r="Q258" s="1" t="str">
        <f>_xlfn.TEXTJOIN("",TRUE,El_unit[[#This Row],[Exact]],El_unit[[#This Row],[Exact+n]],El_unit[[#This Row],[Copilot]])</f>
        <v>Vaala</v>
      </c>
    </row>
    <row r="259" spans="1:17">
      <c r="A259" s="54" t="s">
        <v>528</v>
      </c>
      <c r="B259" s="22" t="s">
        <v>528</v>
      </c>
      <c r="C259" s="107" t="str" cm="1">
        <f t="array" ref="C259">" "&amp;LOWER(_xlfn.REDUCE(El_unit[[#This Row],[Location]],{",",".","(",")","/"},_xlfn.LAMBDA(_xlpm.txt,_xlpm.delim,SUBSTITUTE(_xlpm.txt,_xlpm.delim," "))))&amp;" "</f>
        <v xml:space="preserve"> metsälän tuulivoimapuisto </v>
      </c>
      <c r="D259" s="22" t="s">
        <v>3066</v>
      </c>
      <c r="E259" s="1">
        <v>117.3</v>
      </c>
      <c r="F259" s="1">
        <v>0</v>
      </c>
      <c r="G259" s="1">
        <v>0</v>
      </c>
      <c r="H259" s="1">
        <v>117.3</v>
      </c>
      <c r="L259" s="1" t="str" cm="1">
        <f t="array" ref="L259">_xlfn.XLOOKUP(TRUE,ISNUMBER(SEARCH(" "&amp;Municipality[Municipality]&amp;" ",El_unit[[#This Row],[Info sting]])),Municipality[Municipality],"")</f>
        <v/>
      </c>
      <c r="M259" s="1" t="str" cm="1">
        <f t="array" ref="M259">IF(El_unit[[#This Row],[Exact]]&lt;&gt;"","",_xlfn.XLOOKUP(TRUE,ISNUMBER(SEARCH(" "&amp;Municipality[Municipality]&amp;"n ",El_unit[[#This Row],[Info sting]])),Municipality[Municipality],""))</f>
        <v/>
      </c>
      <c r="N259" s="1" t="s">
        <v>711</v>
      </c>
      <c r="O259" s="35" t="s">
        <v>3184</v>
      </c>
      <c r="Q259" s="1" t="str">
        <f>_xlfn.TEXTJOIN("",TRUE,El_unit[[#This Row],[Exact]],El_unit[[#This Row],[Exact+n]],El_unit[[#This Row],[Copilot]])</f>
        <v>Kristiinankaupunki</v>
      </c>
    </row>
    <row r="260" spans="1:17">
      <c r="A260" s="54" t="s">
        <v>295</v>
      </c>
      <c r="B260" s="22" t="s">
        <v>295</v>
      </c>
      <c r="C260" s="107" t="str" cm="1">
        <f t="array" ref="C260">" "&amp;LOWER(_xlfn.REDUCE(El_unit[[#This Row],[Location]],{",",".","(",")","/"},_xlfn.LAMBDA(_xlpm.txt,_xlpm.delim,SUBSTITUTE(_xlpm.txt,_xlpm.delim," "))))&amp;" "</f>
        <v xml:space="preserve"> montta </v>
      </c>
      <c r="D260" s="22" t="s">
        <v>3064</v>
      </c>
      <c r="E260" s="1">
        <v>51</v>
      </c>
      <c r="F260" s="1">
        <v>0</v>
      </c>
      <c r="G260" s="1">
        <v>0</v>
      </c>
      <c r="H260" s="1">
        <v>51</v>
      </c>
      <c r="L260" s="1" t="str" cm="1">
        <f t="array" ref="L260">_xlfn.XLOOKUP(TRUE,ISNUMBER(SEARCH(" "&amp;Municipality[Municipality]&amp;" ",El_unit[[#This Row],[Info sting]])),Municipality[Municipality],"")</f>
        <v/>
      </c>
      <c r="M260" s="1" t="str" cm="1">
        <f t="array" ref="M260">IF(El_unit[[#This Row],[Exact]]&lt;&gt;"","",_xlfn.XLOOKUP(TRUE,ISNUMBER(SEARCH(" "&amp;Municipality[Municipality]&amp;"n ",El_unit[[#This Row],[Info sting]])),Municipality[Municipality],""))</f>
        <v/>
      </c>
      <c r="N260" s="1" t="s">
        <v>2678</v>
      </c>
      <c r="O260" s="35" t="s">
        <v>3134</v>
      </c>
      <c r="Q260" s="1" t="str">
        <f>_xlfn.TEXTJOIN("",TRUE,El_unit[[#This Row],[Exact]],El_unit[[#This Row],[Exact+n]],El_unit[[#This Row],[Copilot]])</f>
        <v>Muhos</v>
      </c>
    </row>
    <row r="261" spans="1:17">
      <c r="A261" s="54" t="s">
        <v>529</v>
      </c>
      <c r="B261" s="22" t="s">
        <v>529</v>
      </c>
      <c r="C261" s="107" t="str" cm="1">
        <f t="array" ref="C261">" "&amp;LOWER(_xlfn.REDUCE(El_unit[[#This Row],[Location]],{",",".","(",")","/"},_xlfn.LAMBDA(_xlpm.txt,_xlpm.delim,SUBSTITUTE(_xlpm.txt,_xlpm.delim," "))))&amp;" "</f>
        <v xml:space="preserve"> muntila </v>
      </c>
      <c r="D261" s="22" t="s">
        <v>3066</v>
      </c>
      <c r="E261" s="1">
        <v>9</v>
      </c>
      <c r="F261" s="1">
        <v>0</v>
      </c>
      <c r="G261" s="1">
        <v>0</v>
      </c>
      <c r="H261" s="1">
        <v>9</v>
      </c>
      <c r="L261" s="1" t="str" cm="1">
        <f t="array" ref="L261">_xlfn.XLOOKUP(TRUE,ISNUMBER(SEARCH(" "&amp;Municipality[Municipality]&amp;" ",El_unit[[#This Row],[Info sting]])),Municipality[Municipality],"")</f>
        <v/>
      </c>
      <c r="M261" s="1" t="str" cm="1">
        <f t="array" ref="M261">IF(El_unit[[#This Row],[Exact]]&lt;&gt;"","",_xlfn.XLOOKUP(TRUE,ISNUMBER(SEARCH(" "&amp;Municipality[Municipality]&amp;"n ",El_unit[[#This Row],[Info sting]])),Municipality[Municipality],""))</f>
        <v/>
      </c>
      <c r="N261" s="1" t="s">
        <v>955</v>
      </c>
      <c r="O261" s="35" t="s">
        <v>3185</v>
      </c>
      <c r="Q261" s="1" t="str">
        <f>_xlfn.TEXTJOIN("",TRUE,El_unit[[#This Row],[Exact]],El_unit[[#This Row],[Exact+n]],El_unit[[#This Row],[Copilot]])</f>
        <v>Uusikaupunki</v>
      </c>
    </row>
    <row r="262" spans="1:17">
      <c r="A262" s="54" t="s">
        <v>530</v>
      </c>
      <c r="B262" s="22" t="s">
        <v>729</v>
      </c>
      <c r="C262" s="107" t="str" cm="1">
        <f t="array" ref="C262">" "&amp;LOWER(_xlfn.REDUCE(El_unit[[#This Row],[Location]],{",",".","(",")","/"},_xlfn.LAMBDA(_xlpm.txt,_xlpm.delim,SUBSTITUTE(_xlpm.txt,_xlpm.delim," "))))&amp;" "</f>
        <v xml:space="preserve"> pyhäjärvi  murtomäen tuulipuisto </v>
      </c>
      <c r="D262" s="22" t="s">
        <v>3066</v>
      </c>
      <c r="E262" s="1">
        <v>93</v>
      </c>
      <c r="F262" s="1">
        <v>0</v>
      </c>
      <c r="G262" s="1">
        <v>0</v>
      </c>
      <c r="H262" s="1">
        <v>93</v>
      </c>
      <c r="L262" s="1" t="str" cm="1">
        <f t="array" ref="L262">_xlfn.XLOOKUP(TRUE,ISNUMBER(SEARCH(" "&amp;Municipality[Municipality]&amp;" ",El_unit[[#This Row],[Info sting]])),Municipality[Municipality],"")</f>
        <v>Pyhäjärvi</v>
      </c>
      <c r="M262" s="1" t="str" cm="1">
        <f t="array" ref="M262">IF(El_unit[[#This Row],[Exact]]&lt;&gt;"","",_xlfn.XLOOKUP(TRUE,ISNUMBER(SEARCH(" "&amp;Municipality[Municipality]&amp;"n ",El_unit[[#This Row],[Info sting]])),Municipality[Municipality],""))</f>
        <v/>
      </c>
      <c r="O262" s="35"/>
      <c r="Q262" s="1" t="str">
        <f>_xlfn.TEXTJOIN("",TRUE,El_unit[[#This Row],[Exact]],El_unit[[#This Row],[Exact+n]],El_unit[[#This Row],[Copilot]])</f>
        <v>Pyhäjärvi</v>
      </c>
    </row>
    <row r="263" spans="1:17">
      <c r="A263" s="54" t="s">
        <v>531</v>
      </c>
      <c r="B263" s="22" t="s">
        <v>531</v>
      </c>
      <c r="C263" s="107" t="str" cm="1">
        <f t="array" ref="C263">" "&amp;LOWER(_xlfn.REDUCE(El_unit[[#This Row],[Location]],{",",".","(",")","/"},_xlfn.LAMBDA(_xlpm.txt,_xlpm.delim,SUBSTITUTE(_xlpm.txt,_xlpm.delim," "))))&amp;" "</f>
        <v xml:space="preserve"> murtotuulen tuulipuisto </v>
      </c>
      <c r="D263" s="22" t="s">
        <v>3066</v>
      </c>
      <c r="E263" s="1">
        <v>126</v>
      </c>
      <c r="F263" s="1">
        <v>0</v>
      </c>
      <c r="G263" s="1">
        <v>0</v>
      </c>
      <c r="H263" s="1">
        <v>126</v>
      </c>
      <c r="L263" s="1" t="str" cm="1">
        <f t="array" ref="L263">_xlfn.XLOOKUP(TRUE,ISNUMBER(SEARCH(" "&amp;Municipality[Municipality]&amp;" ",El_unit[[#This Row],[Info sting]])),Municipality[Municipality],"")</f>
        <v/>
      </c>
      <c r="M263" s="1" t="str" cm="1">
        <f t="array" ref="M263">IF(El_unit[[#This Row],[Exact]]&lt;&gt;"","",_xlfn.XLOOKUP(TRUE,ISNUMBER(SEARCH(" "&amp;Municipality[Municipality]&amp;"n ",El_unit[[#This Row],[Info sting]])),Municipality[Municipality],""))</f>
        <v/>
      </c>
      <c r="N263" s="1" t="s">
        <v>2727</v>
      </c>
      <c r="O263" s="35" t="s">
        <v>3186</v>
      </c>
      <c r="Q263" s="1" t="str">
        <f>_xlfn.TEXTJOIN("",TRUE,El_unit[[#This Row],[Exact]],El_unit[[#This Row],[Exact+n]],El_unit[[#This Row],[Copilot]])</f>
        <v>Posio</v>
      </c>
    </row>
    <row r="264" spans="1:17">
      <c r="A264" s="54" t="s">
        <v>532</v>
      </c>
      <c r="B264" s="22" t="s">
        <v>730</v>
      </c>
      <c r="C264" s="107" t="str" cm="1">
        <f t="array" ref="C264">" "&amp;LOWER(_xlfn.REDUCE(El_unit[[#This Row],[Location]],{",",".","(",")","/"},_xlfn.LAMBDA(_xlpm.txt,_xlpm.delim,SUBSTITUTE(_xlpm.txt,_xlpm.delim," "))))&amp;" "</f>
        <v xml:space="preserve"> tuulivoimalat </v>
      </c>
      <c r="D264" s="22" t="s">
        <v>3066</v>
      </c>
      <c r="E264" s="1">
        <v>5.7</v>
      </c>
      <c r="F264" s="1">
        <v>0</v>
      </c>
      <c r="G264" s="1">
        <v>0</v>
      </c>
      <c r="H264" s="1">
        <v>5.7</v>
      </c>
      <c r="L264" s="1" t="str" cm="1">
        <f t="array" ref="L264">_xlfn.XLOOKUP(TRUE,ISNUMBER(SEARCH(" "&amp;Municipality[Municipality]&amp;" ",El_unit[[#This Row],[Info sting]])),Municipality[Municipality],"")</f>
        <v/>
      </c>
      <c r="M264" s="1" t="str" cm="1">
        <f t="array" ref="M264">IF(El_unit[[#This Row],[Exact]]&lt;&gt;"","",_xlfn.XLOOKUP(TRUE,ISNUMBER(SEARCH(" "&amp;Municipality[Municipality]&amp;"n ",El_unit[[#This Row],[Info sting]])),Municipality[Municipality],""))</f>
        <v/>
      </c>
      <c r="N264" s="1" t="s">
        <v>924</v>
      </c>
      <c r="O264" s="35" t="s">
        <v>3170</v>
      </c>
      <c r="Q264" s="1" t="str">
        <f>_xlfn.TEXTJOIN("",TRUE,El_unit[[#This Row],[Exact]],El_unit[[#This Row],[Exact+n]],El_unit[[#This Row],[Copilot]])</f>
        <v>Kotka</v>
      </c>
    </row>
    <row r="265" spans="1:17">
      <c r="A265" s="54" t="s">
        <v>533</v>
      </c>
      <c r="B265" s="22" t="s">
        <v>533</v>
      </c>
      <c r="C265" s="107" t="str" cm="1">
        <f t="array" ref="C265">" "&amp;LOWER(_xlfn.REDUCE(El_unit[[#This Row],[Location]],{",",".","(",")","/"},_xlfn.LAMBDA(_xlpm.txt,_xlpm.delim,SUBSTITUTE(_xlpm.txt,_xlpm.delim," "))))&amp;" "</f>
        <v xml:space="preserve"> mustaisneva 1-5 ja 7-9 </v>
      </c>
      <c r="D265" s="22" t="s">
        <v>3066</v>
      </c>
      <c r="E265" s="1">
        <v>20</v>
      </c>
      <c r="F265" s="1">
        <v>0</v>
      </c>
      <c r="G265" s="1">
        <v>0</v>
      </c>
      <c r="H265" s="1">
        <v>20</v>
      </c>
      <c r="L265" s="1" t="str" cm="1">
        <f t="array" ref="L265">_xlfn.XLOOKUP(TRUE,ISNUMBER(SEARCH(" "&amp;Municipality[Municipality]&amp;" ",El_unit[[#This Row],[Info sting]])),Municipality[Municipality],"")</f>
        <v/>
      </c>
      <c r="M265" s="1" t="str" cm="1">
        <f t="array" ref="M265">IF(El_unit[[#This Row],[Exact]]&lt;&gt;"","",_xlfn.XLOOKUP(TRUE,ISNUMBER(SEARCH(" "&amp;Municipality[Municipality]&amp;"n ",El_unit[[#This Row],[Info sting]])),Municipality[Municipality],""))</f>
        <v/>
      </c>
      <c r="N265" s="1" t="s">
        <v>2577</v>
      </c>
      <c r="O265" s="35" t="s">
        <v>3179</v>
      </c>
      <c r="Q265" s="1" t="str">
        <f>_xlfn.TEXTJOIN("",TRUE,El_unit[[#This Row],[Exact]],El_unit[[#This Row],[Exact+n]],El_unit[[#This Row],[Copilot]])</f>
        <v>Kauhajoki</v>
      </c>
    </row>
    <row r="266" spans="1:17">
      <c r="A266" s="54" t="s">
        <v>534</v>
      </c>
      <c r="B266" s="22" t="s">
        <v>534</v>
      </c>
      <c r="C266" s="107" t="str" cm="1">
        <f t="array" ref="C266">" "&amp;LOWER(_xlfn.REDUCE(El_unit[[#This Row],[Location]],{",",".","(",")","/"},_xlfn.LAMBDA(_xlpm.txt,_xlpm.delim,SUBSTITUTE(_xlpm.txt,_xlpm.delim," "))))&amp;" "</f>
        <v xml:space="preserve"> mustalamminmäki  karstula </v>
      </c>
      <c r="D266" s="22" t="s">
        <v>3066</v>
      </c>
      <c r="E266" s="1">
        <v>28.9</v>
      </c>
      <c r="F266" s="1">
        <v>0</v>
      </c>
      <c r="G266" s="1">
        <v>0</v>
      </c>
      <c r="H266" s="1">
        <v>28.9</v>
      </c>
      <c r="L266" s="1" t="str" cm="1">
        <f t="array" ref="L266">_xlfn.XLOOKUP(TRUE,ISNUMBER(SEARCH(" "&amp;Municipality[Municipality]&amp;" ",El_unit[[#This Row],[Info sting]])),Municipality[Municipality],"")</f>
        <v>Karstula</v>
      </c>
      <c r="M266" s="1" t="str" cm="1">
        <f t="array" ref="M266">IF(El_unit[[#This Row],[Exact]]&lt;&gt;"","",_xlfn.XLOOKUP(TRUE,ISNUMBER(SEARCH(" "&amp;Municipality[Municipality]&amp;"n ",El_unit[[#This Row],[Info sting]])),Municipality[Municipality],""))</f>
        <v/>
      </c>
      <c r="O266" s="35"/>
      <c r="Q266" s="1" t="str">
        <f>_xlfn.TEXTJOIN("",TRUE,El_unit[[#This Row],[Exact]],El_unit[[#This Row],[Exact+n]],El_unit[[#This Row],[Copilot]])</f>
        <v>Karstula</v>
      </c>
    </row>
    <row r="267" spans="1:17">
      <c r="A267" s="54" t="s">
        <v>535</v>
      </c>
      <c r="B267" s="22" t="s">
        <v>731</v>
      </c>
      <c r="C267" s="107" t="str" cm="1">
        <f t="array" ref="C267">" "&amp;LOWER(_xlfn.REDUCE(El_unit[[#This Row],[Location]],{",",".","(",")","/"},_xlfn.LAMBDA(_xlpm.txt,_xlpm.delim,SUBSTITUTE(_xlpm.txt,_xlpm.delim," "))))&amp;" "</f>
        <v xml:space="preserve"> kalajoki mustilankangas </v>
      </c>
      <c r="D267" s="22" t="s">
        <v>3066</v>
      </c>
      <c r="E267" s="1">
        <v>92.399999999999991</v>
      </c>
      <c r="F267" s="1">
        <v>0</v>
      </c>
      <c r="G267" s="1">
        <v>0</v>
      </c>
      <c r="H267" s="1">
        <v>92.399999999999991</v>
      </c>
      <c r="L267" s="1" t="str" cm="1">
        <f t="array" ref="L267">_xlfn.XLOOKUP(TRUE,ISNUMBER(SEARCH(" "&amp;Municipality[Municipality]&amp;" ",El_unit[[#This Row],[Info sting]])),Municipality[Municipality],"")</f>
        <v>Kalajoki</v>
      </c>
      <c r="M267" s="1" t="str" cm="1">
        <f t="array" ref="M267">IF(El_unit[[#This Row],[Exact]]&lt;&gt;"","",_xlfn.XLOOKUP(TRUE,ISNUMBER(SEARCH(" "&amp;Municipality[Municipality]&amp;"n ",El_unit[[#This Row],[Info sting]])),Municipality[Municipality],""))</f>
        <v/>
      </c>
      <c r="O267" s="35"/>
      <c r="Q267" s="1" t="str">
        <f>_xlfn.TEXTJOIN("",TRUE,El_unit[[#This Row],[Exact]],El_unit[[#This Row],[Exact+n]],El_unit[[#This Row],[Copilot]])</f>
        <v>Kalajoki</v>
      </c>
    </row>
    <row r="268" spans="1:17">
      <c r="A268" s="54" t="s">
        <v>296</v>
      </c>
      <c r="B268" s="22" t="s">
        <v>297</v>
      </c>
      <c r="C268" s="107" t="str" cm="1">
        <f t="array" ref="C268">" "&amp;LOWER(_xlfn.REDUCE(El_unit[[#This Row],[Location]],{",",".","(",")","/"},_xlfn.LAMBDA(_xlpm.txt,_xlpm.delim,SUBSTITUTE(_xlpm.txt,_xlpm.delim," "))))&amp;" "</f>
        <v xml:space="preserve"> mustio  mustion ruukinkatu 7  10360 mustio </v>
      </c>
      <c r="D268" s="22" t="s">
        <v>3064</v>
      </c>
      <c r="E268" s="1">
        <v>1.8</v>
      </c>
      <c r="F268" s="1">
        <v>0</v>
      </c>
      <c r="G268" s="1">
        <v>0</v>
      </c>
      <c r="H268" s="1">
        <v>1.8</v>
      </c>
      <c r="L268" s="1" t="str" cm="1">
        <f t="array" ref="L268">_xlfn.XLOOKUP(TRUE,ISNUMBER(SEARCH(" "&amp;Municipality[Municipality]&amp;" ",El_unit[[#This Row],[Info sting]])),Municipality[Municipality],"")</f>
        <v/>
      </c>
      <c r="M268" s="1" t="str" cm="1">
        <f t="array" ref="M268">IF(El_unit[[#This Row],[Exact]]&lt;&gt;"","",_xlfn.XLOOKUP(TRUE,ISNUMBER(SEARCH(" "&amp;Municipality[Municipality]&amp;"n ",El_unit[[#This Row],[Info sting]])),Municipality[Municipality],""))</f>
        <v/>
      </c>
      <c r="O268" s="35"/>
      <c r="Q268" s="1" t="str">
        <f>_xlfn.TEXTJOIN("",TRUE,El_unit[[#This Row],[Exact]],El_unit[[#This Row],[Exact+n]],El_unit[[#This Row],[Copilot]])</f>
        <v/>
      </c>
    </row>
    <row r="269" spans="1:17">
      <c r="A269" s="54" t="s">
        <v>536</v>
      </c>
      <c r="B269" s="22" t="s">
        <v>732</v>
      </c>
      <c r="C269" s="107" t="str" cm="1">
        <f t="array" ref="C269">" "&amp;LOWER(_xlfn.REDUCE(El_unit[[#This Row],[Location]],{",",".","(",")","/"},_xlfn.LAMBDA(_xlpm.txt,_xlpm.delim,SUBSTITUTE(_xlpm.txt,_xlpm.delim," "))))&amp;" "</f>
        <v xml:space="preserve"> kannus kalajoki </v>
      </c>
      <c r="D269" s="22" t="s">
        <v>3066</v>
      </c>
      <c r="E269" s="1">
        <v>203.8</v>
      </c>
      <c r="F269" s="1">
        <v>0</v>
      </c>
      <c r="G269" s="1">
        <v>0</v>
      </c>
      <c r="H269" s="1">
        <v>203.8</v>
      </c>
      <c r="L269" s="1" t="str" cm="1">
        <f t="array" ref="L269">_xlfn.XLOOKUP(TRUE,ISNUMBER(SEARCH(" "&amp;Municipality[Municipality]&amp;" ",El_unit[[#This Row],[Info sting]])),Municipality[Municipality],"")</f>
        <v>Kalajoki</v>
      </c>
      <c r="M269" s="1" t="str" cm="1">
        <f t="array" ref="M269">IF(El_unit[[#This Row],[Exact]]&lt;&gt;"","",_xlfn.XLOOKUP(TRUE,ISNUMBER(SEARCH(" "&amp;Municipality[Municipality]&amp;"n ",El_unit[[#This Row],[Info sting]])),Municipality[Municipality],""))</f>
        <v/>
      </c>
      <c r="O269" s="35"/>
      <c r="Q269" s="1" t="str">
        <f>_xlfn.TEXTJOIN("",TRUE,El_unit[[#This Row],[Exact]],El_unit[[#This Row],[Exact+n]],El_unit[[#This Row],[Copilot]])</f>
        <v>Kalajoki</v>
      </c>
    </row>
    <row r="270" spans="1:17">
      <c r="A270" s="54" t="s">
        <v>537</v>
      </c>
      <c r="B270" s="22" t="s">
        <v>732</v>
      </c>
      <c r="C270" s="107" t="str" cm="1">
        <f t="array" ref="C270">" "&amp;LOWER(_xlfn.REDUCE(El_unit[[#This Row],[Location]],{",",".","(",")","/"},_xlfn.LAMBDA(_xlpm.txt,_xlpm.delim,SUBSTITUTE(_xlpm.txt,_xlpm.delim," "))))&amp;" "</f>
        <v xml:space="preserve"> kannus kalajoki </v>
      </c>
      <c r="D270" s="22" t="s">
        <v>3066</v>
      </c>
      <c r="E270" s="1">
        <v>200</v>
      </c>
      <c r="F270" s="1">
        <v>0</v>
      </c>
      <c r="G270" s="1">
        <v>0</v>
      </c>
      <c r="H270" s="1">
        <v>200</v>
      </c>
      <c r="L270" s="1" t="str" cm="1">
        <f t="array" ref="L270">_xlfn.XLOOKUP(TRUE,ISNUMBER(SEARCH(" "&amp;Municipality[Municipality]&amp;" ",El_unit[[#This Row],[Info sting]])),Municipality[Municipality],"")</f>
        <v>Kalajoki</v>
      </c>
      <c r="M270" s="1" t="str" cm="1">
        <f t="array" ref="M270">IF(El_unit[[#This Row],[Exact]]&lt;&gt;"","",_xlfn.XLOOKUP(TRUE,ISNUMBER(SEARCH(" "&amp;Municipality[Municipality]&amp;"n ",El_unit[[#This Row],[Info sting]])),Municipality[Municipality],""))</f>
        <v/>
      </c>
      <c r="O270" s="35"/>
      <c r="Q270" s="1" t="str">
        <f>_xlfn.TEXTJOIN("",TRUE,El_unit[[#This Row],[Exact]],El_unit[[#This Row],[Exact+n]],El_unit[[#This Row],[Copilot]])</f>
        <v>Kalajoki</v>
      </c>
    </row>
    <row r="271" spans="1:17">
      <c r="A271" s="54" t="s">
        <v>538</v>
      </c>
      <c r="B271" s="22" t="s">
        <v>538</v>
      </c>
      <c r="C271" s="107" t="str" cm="1">
        <f t="array" ref="C271">" "&amp;LOWER(_xlfn.REDUCE(El_unit[[#This Row],[Location]],{",",".","(",")","/"},_xlfn.LAMBDA(_xlpm.txt,_xlpm.delim,SUBSTITUTE(_xlpm.txt,_xlpm.delim," "))))&amp;" "</f>
        <v xml:space="preserve"> myllykangas </v>
      </c>
      <c r="D271" s="22" t="s">
        <v>3066</v>
      </c>
      <c r="E271" s="1">
        <v>45.6</v>
      </c>
      <c r="F271" s="1">
        <v>0</v>
      </c>
      <c r="G271" s="1">
        <v>0</v>
      </c>
      <c r="H271" s="1">
        <v>45.6</v>
      </c>
      <c r="L271" s="1" t="str" cm="1">
        <f t="array" ref="L271">_xlfn.XLOOKUP(TRUE,ISNUMBER(SEARCH(" "&amp;Municipality[Municipality]&amp;" ",El_unit[[#This Row],[Info sting]])),Municipality[Municipality],"")</f>
        <v/>
      </c>
      <c r="M271" s="1" t="str" cm="1">
        <f t="array" ref="M271">IF(El_unit[[#This Row],[Exact]]&lt;&gt;"","",_xlfn.XLOOKUP(TRUE,ISNUMBER(SEARCH(" "&amp;Municipality[Municipality]&amp;"n ",El_unit[[#This Row],[Info sting]])),Municipality[Municipality],""))</f>
        <v/>
      </c>
      <c r="N271" s="1" t="s">
        <v>2541</v>
      </c>
      <c r="O271" s="35" t="s">
        <v>3187</v>
      </c>
      <c r="Q271" s="1" t="str">
        <f>_xlfn.TEXTJOIN("",TRUE,El_unit[[#This Row],[Exact]],El_unit[[#This Row],[Exact+n]],El_unit[[#This Row],[Copilot]])</f>
        <v>Ii</v>
      </c>
    </row>
    <row r="272" spans="1:17">
      <c r="A272" s="54" t="s">
        <v>539</v>
      </c>
      <c r="B272" s="22" t="s">
        <v>539</v>
      </c>
      <c r="C272" s="107" t="str" cm="1">
        <f t="array" ref="C272">" "&amp;LOWER(_xlfn.REDUCE(El_unit[[#This Row],[Location]],{",",".","(",")","/"},_xlfn.LAMBDA(_xlpm.txt,_xlpm.delim,SUBSTITUTE(_xlpm.txt,_xlpm.delim," "))))&amp;" "</f>
        <v xml:space="preserve"> myllykangas 3 </v>
      </c>
      <c r="D272" s="22" t="s">
        <v>3066</v>
      </c>
      <c r="E272" s="1">
        <v>8.4</v>
      </c>
      <c r="F272" s="1">
        <v>0</v>
      </c>
      <c r="G272" s="1">
        <v>0</v>
      </c>
      <c r="H272" s="1">
        <v>8.4</v>
      </c>
      <c r="L272" s="1" t="str" cm="1">
        <f t="array" ref="L272">_xlfn.XLOOKUP(TRUE,ISNUMBER(SEARCH(" "&amp;Municipality[Municipality]&amp;" ",El_unit[[#This Row],[Info sting]])),Municipality[Municipality],"")</f>
        <v/>
      </c>
      <c r="M272" s="1" t="str" cm="1">
        <f t="array" ref="M272">IF(El_unit[[#This Row],[Exact]]&lt;&gt;"","",_xlfn.XLOOKUP(TRUE,ISNUMBER(SEARCH(" "&amp;Municipality[Municipality]&amp;"n ",El_unit[[#This Row],[Info sting]])),Municipality[Municipality],""))</f>
        <v/>
      </c>
      <c r="N272" s="1" t="s">
        <v>2541</v>
      </c>
      <c r="O272" s="35" t="s">
        <v>3187</v>
      </c>
      <c r="Q272" s="1" t="str">
        <f>_xlfn.TEXTJOIN("",TRUE,El_unit[[#This Row],[Exact]],El_unit[[#This Row],[Exact+n]],El_unit[[#This Row],[Copilot]])</f>
        <v>Ii</v>
      </c>
    </row>
    <row r="273" spans="1:17">
      <c r="A273" s="54" t="s">
        <v>298</v>
      </c>
      <c r="B273" s="22" t="s">
        <v>298</v>
      </c>
      <c r="C273" s="107" t="str" cm="1">
        <f t="array" ref="C273">" "&amp;LOWER(_xlfn.REDUCE(El_unit[[#This Row],[Location]],{",",".","(",")","/"},_xlfn.LAMBDA(_xlpm.txt,_xlpm.delim,SUBSTITUTE(_xlpm.txt,_xlpm.delim," "))))&amp;" "</f>
        <v xml:space="preserve"> myllykosken vesivoimalaitos 1 </v>
      </c>
      <c r="D273" s="22" t="s">
        <v>3064</v>
      </c>
      <c r="E273" s="1">
        <v>6.9</v>
      </c>
      <c r="F273" s="1">
        <v>0</v>
      </c>
      <c r="G273" s="1">
        <v>0</v>
      </c>
      <c r="H273" s="1">
        <v>6.9</v>
      </c>
      <c r="L273" s="1" t="str" cm="1">
        <f t="array" ref="L273">_xlfn.XLOOKUP(TRUE,ISNUMBER(SEARCH(" "&amp;Municipality[Municipality]&amp;" ",El_unit[[#This Row],[Info sting]])),Municipality[Municipality],"")</f>
        <v/>
      </c>
      <c r="M273" s="1" t="str" cm="1">
        <f t="array" ref="M273">IF(El_unit[[#This Row],[Exact]]&lt;&gt;"","",_xlfn.XLOOKUP(TRUE,ISNUMBER(SEARCH(" "&amp;Municipality[Municipality]&amp;"n ",El_unit[[#This Row],[Info sting]])),Municipality[Municipality],""))</f>
        <v/>
      </c>
      <c r="O273" s="35"/>
      <c r="Q273" s="1" t="str">
        <f>_xlfn.TEXTJOIN("",TRUE,El_unit[[#This Row],[Exact]],El_unit[[#This Row],[Exact+n]],El_unit[[#This Row],[Copilot]])</f>
        <v/>
      </c>
    </row>
    <row r="274" spans="1:17">
      <c r="A274" s="54" t="s">
        <v>299</v>
      </c>
      <c r="B274" s="22" t="s">
        <v>299</v>
      </c>
      <c r="C274" s="107" t="str" cm="1">
        <f t="array" ref="C274">" "&amp;LOWER(_xlfn.REDUCE(El_unit[[#This Row],[Location]],{",",".","(",")","/"},_xlfn.LAMBDA(_xlpm.txt,_xlpm.delim,SUBSTITUTE(_xlpm.txt,_xlpm.delim," "))))&amp;" "</f>
        <v xml:space="preserve"> myllykosken vesivoimalaitos 2 </v>
      </c>
      <c r="D274" s="22" t="s">
        <v>3064</v>
      </c>
      <c r="E274" s="1">
        <v>23.8</v>
      </c>
      <c r="F274" s="1">
        <v>0</v>
      </c>
      <c r="G274" s="1">
        <v>0</v>
      </c>
      <c r="H274" s="1">
        <v>23.8</v>
      </c>
      <c r="L274" s="1" t="str" cm="1">
        <f t="array" ref="L274">_xlfn.XLOOKUP(TRUE,ISNUMBER(SEARCH(" "&amp;Municipality[Municipality]&amp;" ",El_unit[[#This Row],[Info sting]])),Municipality[Municipality],"")</f>
        <v/>
      </c>
      <c r="M274" s="1" t="str" cm="1">
        <f t="array" ref="M274">IF(El_unit[[#This Row],[Exact]]&lt;&gt;"","",_xlfn.XLOOKUP(TRUE,ISNUMBER(SEARCH(" "&amp;Municipality[Municipality]&amp;"n ",El_unit[[#This Row],[Info sting]])),Municipality[Municipality],""))</f>
        <v/>
      </c>
      <c r="O274" s="35"/>
      <c r="Q274" s="1" t="str">
        <f>_xlfn.TEXTJOIN("",TRUE,El_unit[[#This Row],[Exact]],El_unit[[#This Row],[Exact+n]],El_unit[[#This Row],[Copilot]])</f>
        <v/>
      </c>
    </row>
    <row r="275" spans="1:17">
      <c r="A275" s="54" t="s">
        <v>540</v>
      </c>
      <c r="B275" s="22" t="s">
        <v>733</v>
      </c>
      <c r="C275" s="107" t="str" cm="1">
        <f t="array" ref="C275">" "&amp;LOWER(_xlfn.REDUCE(El_unit[[#This Row],[Location]],{",",".","(",")","/"},_xlfn.LAMBDA(_xlpm.txt,_xlpm.delim,SUBSTITUTE(_xlpm.txt,_xlpm.delim," "))))&amp;" "</f>
        <v xml:space="preserve"> mäkikankaan tuulipuisto  pyhäjoki </v>
      </c>
      <c r="D275" s="22" t="s">
        <v>3066</v>
      </c>
      <c r="E275" s="1">
        <v>33</v>
      </c>
      <c r="F275" s="1">
        <v>0</v>
      </c>
      <c r="G275" s="1">
        <v>0</v>
      </c>
      <c r="H275" s="1">
        <v>33</v>
      </c>
      <c r="L275" s="1" t="str" cm="1">
        <f t="array" ref="L275">_xlfn.XLOOKUP(TRUE,ISNUMBER(SEARCH(" "&amp;Municipality[Municipality]&amp;" ",El_unit[[#This Row],[Info sting]])),Municipality[Municipality],"")</f>
        <v>Pyhäjoki</v>
      </c>
      <c r="M275" s="1" t="str" cm="1">
        <f t="array" ref="M275">IF(El_unit[[#This Row],[Exact]]&lt;&gt;"","",_xlfn.XLOOKUP(TRUE,ISNUMBER(SEARCH(" "&amp;Municipality[Municipality]&amp;"n ",El_unit[[#This Row],[Info sting]])),Municipality[Municipality],""))</f>
        <v/>
      </c>
      <c r="O275" s="35"/>
      <c r="Q275" s="1" t="str">
        <f>_xlfn.TEXTJOIN("",TRUE,El_unit[[#This Row],[Exact]],El_unit[[#This Row],[Exact+n]],El_unit[[#This Row],[Copilot]])</f>
        <v>Pyhäjoki</v>
      </c>
    </row>
    <row r="276" spans="1:17">
      <c r="A276" s="54" t="s">
        <v>541</v>
      </c>
      <c r="B276" s="22" t="s">
        <v>541</v>
      </c>
      <c r="C276" s="107" t="str" cm="1">
        <f t="array" ref="C276">" "&amp;LOWER(_xlfn.REDUCE(El_unit[[#This Row],[Location]],{",",".","(",")","/"},_xlfn.LAMBDA(_xlpm.txt,_xlpm.delim,SUBSTITUTE(_xlpm.txt,_xlpm.delim," "))))&amp;" "</f>
        <v xml:space="preserve"> mäkipää diesel </v>
      </c>
      <c r="D276" s="22" t="s">
        <v>3068</v>
      </c>
      <c r="E276" s="1">
        <v>1</v>
      </c>
      <c r="F276" s="1">
        <v>0</v>
      </c>
      <c r="G276" s="1">
        <v>0</v>
      </c>
      <c r="H276" s="1">
        <v>1</v>
      </c>
      <c r="I276" s="1" t="s">
        <v>1020</v>
      </c>
      <c r="L276" s="1" t="str" cm="1">
        <f t="array" ref="L276">_xlfn.XLOOKUP(TRUE,ISNUMBER(SEARCH(" "&amp;Municipality[Municipality]&amp;" ",El_unit[[#This Row],[Info sting]])),Municipality[Municipality],"")</f>
        <v/>
      </c>
      <c r="M276" s="1" t="str" cm="1">
        <f t="array" ref="M276">IF(El_unit[[#This Row],[Exact]]&lt;&gt;"","",_xlfn.XLOOKUP(TRUE,ISNUMBER(SEARCH(" "&amp;Municipality[Municipality]&amp;"n ",El_unit[[#This Row],[Info sting]])),Municipality[Municipality],""))</f>
        <v/>
      </c>
      <c r="O276" s="35"/>
      <c r="Q276" s="1" t="str">
        <f>_xlfn.TEXTJOIN("",TRUE,El_unit[[#This Row],[Exact]],El_unit[[#This Row],[Exact+n]],El_unit[[#This Row],[Copilot]])</f>
        <v/>
      </c>
    </row>
    <row r="277" spans="1:17">
      <c r="A277" s="54" t="s">
        <v>931</v>
      </c>
      <c r="B277" s="22" t="s">
        <v>992</v>
      </c>
      <c r="C277" s="107" t="str" cm="1">
        <f t="array" ref="C277">" "&amp;LOWER(_xlfn.REDUCE(El_unit[[#This Row],[Location]],{",",".","(",")","/"},_xlfn.LAMBDA(_xlpm.txt,_xlpm.delim,SUBSTITUTE(_xlpm.txt,_xlpm.delim," "))))&amp;" "</f>
        <v xml:space="preserve"> tehtaankatu 20 mänttä </v>
      </c>
      <c r="D277" s="22" t="s">
        <v>3065</v>
      </c>
      <c r="E277" s="1">
        <v>0</v>
      </c>
      <c r="F277" s="1">
        <v>12</v>
      </c>
      <c r="G277" s="1">
        <v>0</v>
      </c>
      <c r="H277" s="1">
        <v>12</v>
      </c>
      <c r="I277" s="1" t="s">
        <v>1015</v>
      </c>
      <c r="J277" s="1" t="s">
        <v>1022</v>
      </c>
      <c r="K277" s="1" t="s">
        <v>1017</v>
      </c>
      <c r="L277" s="1" t="str" cm="1">
        <f t="array" ref="L277">_xlfn.XLOOKUP(TRUE,ISNUMBER(SEARCH(" "&amp;Municipality[Municipality]&amp;" ",El_unit[[#This Row],[Info sting]])),Municipality[Municipality],"")</f>
        <v>Mänttä</v>
      </c>
      <c r="M277" s="1" t="str" cm="1">
        <f t="array" ref="M277">IF(El_unit[[#This Row],[Exact]]&lt;&gt;"","",_xlfn.XLOOKUP(TRUE,ISNUMBER(SEARCH(" "&amp;Municipality[Municipality]&amp;"n ",El_unit[[#This Row],[Info sting]])),Municipality[Municipality],""))</f>
        <v/>
      </c>
      <c r="O277" s="35"/>
      <c r="Q277" s="1" t="str">
        <f>_xlfn.TEXTJOIN("",TRUE,El_unit[[#This Row],[Exact]],El_unit[[#This Row],[Exact+n]],El_unit[[#This Row],[Copilot]])</f>
        <v>Mänttä</v>
      </c>
    </row>
    <row r="278" spans="1:17">
      <c r="A278" s="54" t="s">
        <v>300</v>
      </c>
      <c r="B278" s="22" t="s">
        <v>301</v>
      </c>
      <c r="C278" s="107" t="str" cm="1">
        <f t="array" ref="C278">" "&amp;LOWER(_xlfn.REDUCE(El_unit[[#This Row],[Location]],{",",".","(",")","/"},_xlfn.LAMBDA(_xlpm.txt,_xlpm.delim,SUBSTITUTE(_xlpm.txt,_xlpm.delim," "))))&amp;" "</f>
        <v xml:space="preserve"> mäntänkoskentie 15 mänttä </v>
      </c>
      <c r="D278" s="22" t="s">
        <v>3064</v>
      </c>
      <c r="E278" s="1">
        <v>1.5</v>
      </c>
      <c r="F278" s="1">
        <v>0</v>
      </c>
      <c r="G278" s="1">
        <v>0</v>
      </c>
      <c r="H278" s="1">
        <v>1.5</v>
      </c>
      <c r="L278" s="1" t="str" cm="1">
        <f t="array" ref="L278">_xlfn.XLOOKUP(TRUE,ISNUMBER(SEARCH(" "&amp;Municipality[Municipality]&amp;" ",El_unit[[#This Row],[Info sting]])),Municipality[Municipality],"")</f>
        <v>Mänttä</v>
      </c>
      <c r="M278" s="1" t="str" cm="1">
        <f t="array" ref="M278">IF(El_unit[[#This Row],[Exact]]&lt;&gt;"","",_xlfn.XLOOKUP(TRUE,ISNUMBER(SEARCH(" "&amp;Municipality[Municipality]&amp;"n ",El_unit[[#This Row],[Info sting]])),Municipality[Municipality],""))</f>
        <v/>
      </c>
      <c r="O278" s="35"/>
      <c r="Q278" s="1" t="str">
        <f>_xlfn.TEXTJOIN("",TRUE,El_unit[[#This Row],[Exact]],El_unit[[#This Row],[Exact+n]],El_unit[[#This Row],[Copilot]])</f>
        <v>Mänttä</v>
      </c>
    </row>
    <row r="279" spans="1:17">
      <c r="A279" s="54" t="s">
        <v>542</v>
      </c>
      <c r="B279" s="22" t="s">
        <v>542</v>
      </c>
      <c r="C279" s="107" t="str" cm="1">
        <f t="array" ref="C279">" "&amp;LOWER(_xlfn.REDUCE(El_unit[[#This Row],[Location]],{",",".","(",")","/"},_xlfn.LAMBDA(_xlpm.txt,_xlpm.delim,SUBSTITUTE(_xlpm.txt,_xlpm.delim," "))))&amp;" "</f>
        <v xml:space="preserve"> möksy </v>
      </c>
      <c r="D279" s="22" t="s">
        <v>3066</v>
      </c>
      <c r="E279" s="1">
        <v>78</v>
      </c>
      <c r="F279" s="1">
        <v>0</v>
      </c>
      <c r="G279" s="1">
        <v>0</v>
      </c>
      <c r="H279" s="1">
        <v>78</v>
      </c>
      <c r="L279" s="1" t="str" cm="1">
        <f t="array" ref="L279">_xlfn.XLOOKUP(TRUE,ISNUMBER(SEARCH(" "&amp;Municipality[Municipality]&amp;" ",El_unit[[#This Row],[Info sting]])),Municipality[Municipality],"")</f>
        <v/>
      </c>
      <c r="M279" s="1" t="str" cm="1">
        <f t="array" ref="M279">IF(El_unit[[#This Row],[Exact]]&lt;&gt;"","",_xlfn.XLOOKUP(TRUE,ISNUMBER(SEARCH(" "&amp;Municipality[Municipality]&amp;"n ",El_unit[[#This Row],[Info sting]])),Municipality[Municipality],""))</f>
        <v/>
      </c>
      <c r="N279" s="1" t="s">
        <v>1483</v>
      </c>
      <c r="O279" s="35" t="s">
        <v>3188</v>
      </c>
      <c r="Q279" s="1" t="str">
        <f>_xlfn.TEXTJOIN("",TRUE,El_unit[[#This Row],[Exact]],El_unit[[#This Row],[Exact+n]],El_unit[[#This Row],[Copilot]])</f>
        <v>Alajärvi</v>
      </c>
    </row>
    <row r="280" spans="1:17">
      <c r="A280" s="54" t="s">
        <v>543</v>
      </c>
      <c r="B280" s="22" t="s">
        <v>734</v>
      </c>
      <c r="C280" s="107" t="str" cm="1">
        <f t="array" ref="C280">" "&amp;LOWER(_xlfn.REDUCE(El_unit[[#This Row],[Location]],{",",".","(",")","/"},_xlfn.LAMBDA(_xlpm.txt,_xlpm.delim,SUBSTITUTE(_xlpm.txt,_xlpm.delim," "))))&amp;" "</f>
        <v xml:space="preserve"> mörknässkogens tuulipuisto  vöyri </v>
      </c>
      <c r="D280" s="22" t="s">
        <v>3066</v>
      </c>
      <c r="E280" s="1">
        <v>29.5</v>
      </c>
      <c r="F280" s="1">
        <v>0</v>
      </c>
      <c r="G280" s="1">
        <v>0</v>
      </c>
      <c r="H280" s="1">
        <v>29.5</v>
      </c>
      <c r="L280" s="1" t="str" cm="1">
        <f t="array" ref="L280">_xlfn.XLOOKUP(TRUE,ISNUMBER(SEARCH(" "&amp;Municipality[Municipality]&amp;" ",El_unit[[#This Row],[Info sting]])),Municipality[Municipality],"")</f>
        <v>Vöyri</v>
      </c>
      <c r="M280" s="1" t="str" cm="1">
        <f t="array" ref="M280">IF(El_unit[[#This Row],[Exact]]&lt;&gt;"","",_xlfn.XLOOKUP(TRUE,ISNUMBER(SEARCH(" "&amp;Municipality[Municipality]&amp;"n ",El_unit[[#This Row],[Info sting]])),Municipality[Municipality],""))</f>
        <v/>
      </c>
      <c r="O280" s="35"/>
      <c r="Q280" s="1" t="str">
        <f>_xlfn.TEXTJOIN("",TRUE,El_unit[[#This Row],[Exact]],El_unit[[#This Row],[Exact+n]],El_unit[[#This Row],[Copilot]])</f>
        <v>Vöyri</v>
      </c>
    </row>
    <row r="281" spans="1:17">
      <c r="A281" s="54" t="s">
        <v>1058</v>
      </c>
      <c r="B281" s="22" t="s">
        <v>1106</v>
      </c>
      <c r="C281" s="107" t="str" cm="1">
        <f t="array" ref="C281">" "&amp;LOWER(_xlfn.REDUCE(El_unit[[#This Row],[Location]],{",",".","(",")","/"},_xlfn.LAMBDA(_xlpm.txt,_xlpm.delim,SUBSTITUTE(_xlpm.txt,_xlpm.delim," "))))&amp;" "</f>
        <v xml:space="preserve"> naantalin voimalaitos </v>
      </c>
      <c r="D281" s="22" t="s">
        <v>3067</v>
      </c>
      <c r="E281" s="1">
        <v>0</v>
      </c>
      <c r="F281" s="1">
        <v>0</v>
      </c>
      <c r="G281" s="1">
        <v>130</v>
      </c>
      <c r="H281" s="1">
        <v>130</v>
      </c>
      <c r="I281" s="1" t="s">
        <v>1022</v>
      </c>
      <c r="J281" s="1" t="s">
        <v>1016</v>
      </c>
      <c r="K281" s="1" t="s">
        <v>1018</v>
      </c>
      <c r="L281" s="1" t="str" cm="1">
        <f t="array" ref="L281">_xlfn.XLOOKUP(TRUE,ISNUMBER(SEARCH(" "&amp;Municipality[Municipality]&amp;" ",El_unit[[#This Row],[Info sting]])),Municipality[Municipality],"")</f>
        <v/>
      </c>
      <c r="M281" s="1" t="str" cm="1">
        <f t="array" ref="M281">IF(El_unit[[#This Row],[Exact]]&lt;&gt;"","",_xlfn.XLOOKUP(TRUE,ISNUMBER(SEARCH(" "&amp;Municipality[Municipality]&amp;"n ",El_unit[[#This Row],[Info sting]])),Municipality[Municipality],""))</f>
        <v>Naantali</v>
      </c>
      <c r="O281" s="35"/>
      <c r="Q281" s="1" t="str">
        <f>_xlfn.TEXTJOIN("",TRUE,El_unit[[#This Row],[Exact]],El_unit[[#This Row],[Exact+n]],El_unit[[#This Row],[Copilot]])</f>
        <v>Naantali</v>
      </c>
    </row>
    <row r="282" spans="1:17">
      <c r="A282" s="54" t="s">
        <v>544</v>
      </c>
      <c r="B282" s="22" t="s">
        <v>735</v>
      </c>
      <c r="C282" s="107" t="str" cm="1">
        <f t="array" ref="C282">" "&amp;LOWER(_xlfn.REDUCE(El_unit[[#This Row],[Location]],{",",".","(",")","/"},_xlfn.LAMBDA(_xlpm.txt,_xlpm.delim,SUBSTITUTE(_xlpm.txt,_xlpm.delim," "))))&amp;" "</f>
        <v xml:space="preserve"> naantali kt 1  2 </v>
      </c>
      <c r="D282" s="22" t="s">
        <v>3068</v>
      </c>
      <c r="E282" s="1">
        <v>40</v>
      </c>
      <c r="F282" s="1">
        <v>0</v>
      </c>
      <c r="G282" s="1">
        <v>0</v>
      </c>
      <c r="H282" s="1">
        <v>40</v>
      </c>
      <c r="I282" s="1" t="s">
        <v>1020</v>
      </c>
      <c r="L282" s="1" t="str" cm="1">
        <f t="array" ref="L282">_xlfn.XLOOKUP(TRUE,ISNUMBER(SEARCH(" "&amp;Municipality[Municipality]&amp;" ",El_unit[[#This Row],[Info sting]])),Municipality[Municipality],"")</f>
        <v>Naantali</v>
      </c>
      <c r="M282" s="1" t="str" cm="1">
        <f t="array" ref="M282">IF(El_unit[[#This Row],[Exact]]&lt;&gt;"","",_xlfn.XLOOKUP(TRUE,ISNUMBER(SEARCH(" "&amp;Municipality[Municipality]&amp;"n ",El_unit[[#This Row],[Info sting]])),Municipality[Municipality],""))</f>
        <v/>
      </c>
      <c r="O282" s="35"/>
      <c r="Q282" s="1" t="str">
        <f>_xlfn.TEXTJOIN("",TRUE,El_unit[[#This Row],[Exact]],El_unit[[#This Row],[Exact+n]],El_unit[[#This Row],[Copilot]])</f>
        <v>Naantali</v>
      </c>
    </row>
    <row r="283" spans="1:17">
      <c r="A283" s="54" t="s">
        <v>545</v>
      </c>
      <c r="B283" s="22" t="s">
        <v>545</v>
      </c>
      <c r="C283" s="107" t="str" cm="1">
        <f t="array" ref="C283">" "&amp;LOWER(_xlfn.REDUCE(El_unit[[#This Row],[Location]],{",",".","(",")","/"},_xlfn.LAMBDA(_xlpm.txt,_xlpm.delim,SUBSTITUTE(_xlpm.txt,_xlpm.delim," "))))&amp;" "</f>
        <v xml:space="preserve"> nahkakallio </v>
      </c>
      <c r="D283" s="22" t="s">
        <v>3066</v>
      </c>
      <c r="E283" s="1">
        <v>26.4</v>
      </c>
      <c r="F283" s="1">
        <v>0</v>
      </c>
      <c r="G283" s="1">
        <v>0</v>
      </c>
      <c r="H283" s="1">
        <v>26.4</v>
      </c>
      <c r="L283" s="1" t="str" cm="1">
        <f t="array" ref="L283">_xlfn.XLOOKUP(TRUE,ISNUMBER(SEARCH(" "&amp;Municipality[Municipality]&amp;" ",El_unit[[#This Row],[Info sting]])),Municipality[Municipality],"")</f>
        <v/>
      </c>
      <c r="M283" s="1" t="str" cm="1">
        <f t="array" ref="M283">IF(El_unit[[#This Row],[Exact]]&lt;&gt;"","",_xlfn.XLOOKUP(TRUE,ISNUMBER(SEARCH(" "&amp;Municipality[Municipality]&amp;"n ",El_unit[[#This Row],[Info sting]])),Municipality[Municipality],""))</f>
        <v/>
      </c>
      <c r="N283" s="1" t="s">
        <v>939</v>
      </c>
      <c r="O283" s="35" t="s">
        <v>3189</v>
      </c>
      <c r="Q283" s="1" t="str">
        <f>_xlfn.TEXTJOIN("",TRUE,El_unit[[#This Row],[Exact]],El_unit[[#This Row],[Exact+n]],El_unit[[#This Row],[Copilot]])</f>
        <v>Raahe</v>
      </c>
    </row>
    <row r="284" spans="1:17">
      <c r="A284" s="54" t="s">
        <v>1059</v>
      </c>
      <c r="B284" s="22" t="s">
        <v>1059</v>
      </c>
      <c r="C284" s="107" t="str" cm="1">
        <f t="array" ref="C284">" "&amp;LOWER(_xlfn.REDUCE(El_unit[[#This Row],[Location]],{",",".","(",")","/"},_xlfn.LAMBDA(_xlpm.txt,_xlpm.delim,SUBSTITUTE(_xlpm.txt,_xlpm.delim," "))))&amp;" "</f>
        <v xml:space="preserve"> naistenlahti 1 </v>
      </c>
      <c r="D284" s="22" t="s">
        <v>3067</v>
      </c>
      <c r="E284" s="1">
        <v>0</v>
      </c>
      <c r="F284" s="1">
        <v>0</v>
      </c>
      <c r="G284" s="1">
        <v>0</v>
      </c>
      <c r="H284" s="1">
        <v>0</v>
      </c>
      <c r="I284" s="1" t="s">
        <v>1023</v>
      </c>
      <c r="J284" s="1" t="s">
        <v>1020</v>
      </c>
      <c r="L284" s="1" t="str" cm="1">
        <f t="array" ref="L284">_xlfn.XLOOKUP(TRUE,ISNUMBER(SEARCH(" "&amp;Municipality[Municipality]&amp;" ",El_unit[[#This Row],[Info sting]])),Municipality[Municipality],"")</f>
        <v/>
      </c>
      <c r="M284" s="1" t="str" cm="1">
        <f t="array" ref="M284">IF(El_unit[[#This Row],[Exact]]&lt;&gt;"","",_xlfn.XLOOKUP(TRUE,ISNUMBER(SEARCH(" "&amp;Municipality[Municipality]&amp;"n ",El_unit[[#This Row],[Info sting]])),Municipality[Municipality],""))</f>
        <v/>
      </c>
      <c r="O284" s="35"/>
      <c r="Q284" s="1" t="str">
        <f>_xlfn.TEXTJOIN("",TRUE,El_unit[[#This Row],[Exact]],El_unit[[#This Row],[Exact+n]],El_unit[[#This Row],[Copilot]])</f>
        <v/>
      </c>
    </row>
    <row r="285" spans="1:17">
      <c r="A285" s="54" t="s">
        <v>1060</v>
      </c>
      <c r="B285" s="22" t="s">
        <v>1060</v>
      </c>
      <c r="C285" s="107" t="str" cm="1">
        <f t="array" ref="C285">" "&amp;LOWER(_xlfn.REDUCE(El_unit[[#This Row],[Location]],{",",".","(",")","/"},_xlfn.LAMBDA(_xlpm.txt,_xlpm.delim,SUBSTITUTE(_xlpm.txt,_xlpm.delim," "))))&amp;" "</f>
        <v xml:space="preserve"> naistenlahti 3 </v>
      </c>
      <c r="D285" s="22" t="s">
        <v>3067</v>
      </c>
      <c r="E285" s="1">
        <v>0</v>
      </c>
      <c r="F285" s="1">
        <v>0</v>
      </c>
      <c r="G285" s="1">
        <v>60</v>
      </c>
      <c r="H285" s="1">
        <v>60</v>
      </c>
      <c r="I285" s="1" t="s">
        <v>1022</v>
      </c>
      <c r="J285" s="1" t="s">
        <v>1015</v>
      </c>
      <c r="K285" s="1" t="s">
        <v>1023</v>
      </c>
      <c r="L285" s="1" t="str" cm="1">
        <f t="array" ref="L285">_xlfn.XLOOKUP(TRUE,ISNUMBER(SEARCH(" "&amp;Municipality[Municipality]&amp;" ",El_unit[[#This Row],[Info sting]])),Municipality[Municipality],"")</f>
        <v/>
      </c>
      <c r="M285" s="1" t="str" cm="1">
        <f t="array" ref="M285">IF(El_unit[[#This Row],[Exact]]&lt;&gt;"","",_xlfn.XLOOKUP(TRUE,ISNUMBER(SEARCH(" "&amp;Municipality[Municipality]&amp;"n ",El_unit[[#This Row],[Info sting]])),Municipality[Municipality],""))</f>
        <v/>
      </c>
      <c r="O285" s="35"/>
      <c r="Q285" s="1" t="str">
        <f>_xlfn.TEXTJOIN("",TRUE,El_unit[[#This Row],[Exact]],El_unit[[#This Row],[Exact+n]],El_unit[[#This Row],[Copilot]])</f>
        <v/>
      </c>
    </row>
    <row r="286" spans="1:17">
      <c r="A286" s="54" t="s">
        <v>546</v>
      </c>
      <c r="B286" s="22" t="s">
        <v>736</v>
      </c>
      <c r="C286" s="107" t="str" cm="1">
        <f t="array" ref="C286">" "&amp;LOWER(_xlfn.REDUCE(El_unit[[#This Row],[Location]],{",",".","(",")","/"},_xlfn.LAMBDA(_xlpm.txt,_xlpm.delim,SUBSTITUTE(_xlpm.txt,_xlpm.delim," "))))&amp;" "</f>
        <v xml:space="preserve"> nikkarinkaarto t1-t10 </v>
      </c>
      <c r="D286" s="22" t="s">
        <v>3066</v>
      </c>
      <c r="E286" s="1">
        <v>34.5</v>
      </c>
      <c r="F286" s="1">
        <v>0</v>
      </c>
      <c r="G286" s="1">
        <v>0</v>
      </c>
      <c r="H286" s="1">
        <v>34.5</v>
      </c>
      <c r="L286" s="1" t="str" cm="1">
        <f t="array" ref="L286">_xlfn.XLOOKUP(TRUE,ISNUMBER(SEARCH(" "&amp;Municipality[Municipality]&amp;" ",El_unit[[#This Row],[Info sting]])),Municipality[Municipality],"")</f>
        <v/>
      </c>
      <c r="M286" s="1" t="str" cm="1">
        <f t="array" ref="M286">IF(El_unit[[#This Row],[Exact]]&lt;&gt;"","",_xlfn.XLOOKUP(TRUE,ISNUMBER(SEARCH(" "&amp;Municipality[Municipality]&amp;"n ",El_unit[[#This Row],[Info sting]])),Municipality[Municipality],""))</f>
        <v/>
      </c>
      <c r="N286" s="1" t="s">
        <v>939</v>
      </c>
      <c r="O286" s="35" t="s">
        <v>3190</v>
      </c>
      <c r="Q286" s="1" t="str">
        <f>_xlfn.TEXTJOIN("",TRUE,El_unit[[#This Row],[Exact]],El_unit[[#This Row],[Exact+n]],El_unit[[#This Row],[Copilot]])</f>
        <v>Raahe</v>
      </c>
    </row>
    <row r="287" spans="1:17">
      <c r="A287" s="54" t="s">
        <v>1061</v>
      </c>
      <c r="B287" s="22" t="s">
        <v>1107</v>
      </c>
      <c r="C287" s="107" t="str" cm="1">
        <f t="array" ref="C287">" "&amp;LOWER(_xlfn.REDUCE(El_unit[[#This Row],[Location]],{",",".","(",")","/"},_xlfn.LAMBDA(_xlpm.txt,_xlpm.delim,SUBSTITUTE(_xlpm.txt,_xlpm.delim," "))))&amp;" "</f>
        <v xml:space="preserve"> nikkilän voimalaitos </v>
      </c>
      <c r="D287" s="22" t="s">
        <v>3067</v>
      </c>
      <c r="E287" s="1">
        <v>0</v>
      </c>
      <c r="F287" s="1">
        <v>0</v>
      </c>
      <c r="G287" s="1">
        <v>5.4</v>
      </c>
      <c r="H287" s="1">
        <v>5.4</v>
      </c>
      <c r="I287" s="1" t="s">
        <v>1023</v>
      </c>
      <c r="J287" s="1" t="s">
        <v>1020</v>
      </c>
      <c r="L287" s="1" t="str" cm="1">
        <f t="array" ref="L287">_xlfn.XLOOKUP(TRUE,ISNUMBER(SEARCH(" "&amp;Municipality[Municipality]&amp;" ",El_unit[[#This Row],[Info sting]])),Municipality[Municipality],"")</f>
        <v/>
      </c>
      <c r="M287" s="1" t="str" cm="1">
        <f t="array" ref="M287">IF(El_unit[[#This Row],[Exact]]&lt;&gt;"","",_xlfn.XLOOKUP(TRUE,ISNUMBER(SEARCH(" "&amp;Municipality[Municipality]&amp;"n ",El_unit[[#This Row],[Info sting]])),Municipality[Municipality],""))</f>
        <v/>
      </c>
      <c r="O287" s="35"/>
      <c r="Q287" s="1" t="str">
        <f>_xlfn.TEXTJOIN("",TRUE,El_unit[[#This Row],[Exact]],El_unit[[#This Row],[Exact+n]],El_unit[[#This Row],[Copilot]])</f>
        <v/>
      </c>
    </row>
    <row r="288" spans="1:17">
      <c r="A288" s="54" t="s">
        <v>1062</v>
      </c>
      <c r="B288" s="22" t="s">
        <v>1108</v>
      </c>
      <c r="C288" s="107" t="str" cm="1">
        <f t="array" ref="C288">" "&amp;LOWER(_xlfn.REDUCE(El_unit[[#This Row],[Location]],{",",".","(",")","/"},_xlfn.LAMBDA(_xlpm.txt,_xlpm.delim,SUBSTITUTE(_xlpm.txt,_xlpm.delim," "))))&amp;" "</f>
        <v xml:space="preserve"> lämpölä hyttitie 5 nivala </v>
      </c>
      <c r="D288" s="22" t="s">
        <v>3067</v>
      </c>
      <c r="E288" s="1">
        <v>0</v>
      </c>
      <c r="F288" s="1">
        <v>0</v>
      </c>
      <c r="G288" s="1">
        <v>5.3</v>
      </c>
      <c r="H288" s="1">
        <v>5.3</v>
      </c>
      <c r="I288" s="1" t="s">
        <v>1022</v>
      </c>
      <c r="J288" s="1" t="s">
        <v>1017</v>
      </c>
      <c r="L288" s="1" t="str" cm="1">
        <f t="array" ref="L288">_xlfn.XLOOKUP(TRUE,ISNUMBER(SEARCH(" "&amp;Municipality[Municipality]&amp;" ",El_unit[[#This Row],[Info sting]])),Municipality[Municipality],"")</f>
        <v>Nivala</v>
      </c>
      <c r="M288" s="1" t="str" cm="1">
        <f t="array" ref="M288">IF(El_unit[[#This Row],[Exact]]&lt;&gt;"","",_xlfn.XLOOKUP(TRUE,ISNUMBER(SEARCH(" "&amp;Municipality[Municipality]&amp;"n ",El_unit[[#This Row],[Info sting]])),Municipality[Municipality],""))</f>
        <v/>
      </c>
      <c r="O288" s="35"/>
      <c r="Q288" s="1" t="str">
        <f>_xlfn.TEXTJOIN("",TRUE,El_unit[[#This Row],[Exact]],El_unit[[#This Row],[Exact+n]],El_unit[[#This Row],[Copilot]])</f>
        <v>Nivala</v>
      </c>
    </row>
    <row r="289" spans="1:17">
      <c r="A289" s="54" t="s">
        <v>932</v>
      </c>
      <c r="B289" s="22" t="s">
        <v>993</v>
      </c>
      <c r="C289" s="107" t="str" cm="1">
        <f t="array" ref="C289">" "&amp;LOWER(_xlfn.REDUCE(El_unit[[#This Row],[Location]],{",",".","(",")","/"},_xlfn.LAMBDA(_xlpm.txt,_xlpm.delim,SUBSTITUTE(_xlpm.txt,_xlpm.delim," "))))&amp;" "</f>
        <v xml:space="preserve"> nokia kombi </v>
      </c>
      <c r="D289" s="22" t="s">
        <v>3065</v>
      </c>
      <c r="E289" s="1">
        <v>0</v>
      </c>
      <c r="F289" s="1">
        <v>72</v>
      </c>
      <c r="G289" s="1">
        <v>0</v>
      </c>
      <c r="H289" s="1">
        <v>72</v>
      </c>
      <c r="I289" s="1" t="s">
        <v>1023</v>
      </c>
      <c r="J289" s="1" t="s">
        <v>1020</v>
      </c>
      <c r="L289" s="1" t="str" cm="1">
        <f t="array" ref="L289">_xlfn.XLOOKUP(TRUE,ISNUMBER(SEARCH(" "&amp;Municipality[Municipality]&amp;" ",El_unit[[#This Row],[Info sting]])),Municipality[Municipality],"")</f>
        <v>Nokia</v>
      </c>
      <c r="M289" s="1" t="str" cm="1">
        <f t="array" ref="M289">IF(El_unit[[#This Row],[Exact]]&lt;&gt;"","",_xlfn.XLOOKUP(TRUE,ISNUMBER(SEARCH(" "&amp;Municipality[Municipality]&amp;"n ",El_unit[[#This Row],[Info sting]])),Municipality[Municipality],""))</f>
        <v/>
      </c>
      <c r="O289" s="35"/>
      <c r="Q289" s="1" t="str">
        <f>_xlfn.TEXTJOIN("",TRUE,El_unit[[#This Row],[Exact]],El_unit[[#This Row],[Exact+n]],El_unit[[#This Row],[Copilot]])</f>
        <v>Nokia</v>
      </c>
    </row>
    <row r="290" spans="1:17">
      <c r="A290" s="54" t="s">
        <v>547</v>
      </c>
      <c r="B290" s="22" t="s">
        <v>737</v>
      </c>
      <c r="C290" s="107" t="str" cm="1">
        <f t="array" ref="C290">" "&amp;LOWER(_xlfn.REDUCE(El_unit[[#This Row],[Location]],{",",".","(",")","/"},_xlfn.LAMBDA(_xlpm.txt,_xlpm.delim,SUBSTITUTE(_xlpm.txt,_xlpm.delim," "))))&amp;" "</f>
        <v xml:space="preserve"> norrskogen </v>
      </c>
      <c r="D290" s="22" t="s">
        <v>3066</v>
      </c>
      <c r="E290" s="1">
        <v>102</v>
      </c>
      <c r="F290" s="1">
        <v>0</v>
      </c>
      <c r="G290" s="1">
        <v>0</v>
      </c>
      <c r="H290" s="1">
        <v>102</v>
      </c>
      <c r="L290" s="1" t="str" cm="1">
        <f t="array" ref="L290">_xlfn.XLOOKUP(TRUE,ISNUMBER(SEARCH(" "&amp;Municipality[Municipality]&amp;" ",El_unit[[#This Row],[Info sting]])),Municipality[Municipality],"")</f>
        <v/>
      </c>
      <c r="M290" s="1" t="str" cm="1">
        <f t="array" ref="M290">IF(El_unit[[#This Row],[Exact]]&lt;&gt;"","",_xlfn.XLOOKUP(TRUE,ISNUMBER(SEARCH(" "&amp;Municipality[Municipality]&amp;"n ",El_unit[[#This Row],[Info sting]])),Municipality[Municipality],""))</f>
        <v/>
      </c>
      <c r="N290" s="1" t="s">
        <v>2698</v>
      </c>
      <c r="O290" s="35" t="s">
        <v>3191</v>
      </c>
      <c r="Q290" s="1" t="str">
        <f>_xlfn.TEXTJOIN("",TRUE,El_unit[[#This Row],[Exact]],El_unit[[#This Row],[Exact+n]],El_unit[[#This Row],[Copilot]])</f>
        <v>Närpiö</v>
      </c>
    </row>
    <row r="291" spans="1:17">
      <c r="A291" s="54" t="s">
        <v>302</v>
      </c>
      <c r="B291" s="22" t="s">
        <v>302</v>
      </c>
      <c r="C291" s="107" t="str" cm="1">
        <f t="array" ref="C291">" "&amp;LOWER(_xlfn.REDUCE(El_unit[[#This Row],[Location]],{",",".","(",")","/"},_xlfn.LAMBDA(_xlpm.txt,_xlpm.delim,SUBSTITUTE(_xlpm.txt,_xlpm.delim," "))))&amp;" "</f>
        <v xml:space="preserve"> nuojua </v>
      </c>
      <c r="D291" s="22" t="s">
        <v>3064</v>
      </c>
      <c r="E291" s="1">
        <v>85.2</v>
      </c>
      <c r="F291" s="1">
        <v>0</v>
      </c>
      <c r="G291" s="1">
        <v>0</v>
      </c>
      <c r="H291" s="1">
        <v>85.2</v>
      </c>
      <c r="L291" s="1" t="str" cm="1">
        <f t="array" ref="L291">_xlfn.XLOOKUP(TRUE,ISNUMBER(SEARCH(" "&amp;Municipality[Municipality]&amp;" ",El_unit[[#This Row],[Info sting]])),Municipality[Municipality],"")</f>
        <v/>
      </c>
      <c r="M291" s="1" t="str" cm="1">
        <f t="array" ref="M291">IF(El_unit[[#This Row],[Exact]]&lt;&gt;"","",_xlfn.XLOOKUP(TRUE,ISNUMBER(SEARCH(" "&amp;Municipality[Municipality]&amp;"n ",El_unit[[#This Row],[Info sting]])),Municipality[Municipality],""))</f>
        <v/>
      </c>
      <c r="N291" s="1" t="s">
        <v>2819</v>
      </c>
      <c r="O291" s="35" t="s">
        <v>3134</v>
      </c>
      <c r="Q291" s="1" t="str">
        <f>_xlfn.TEXTJOIN("",TRUE,El_unit[[#This Row],[Exact]],El_unit[[#This Row],[Exact+n]],El_unit[[#This Row],[Copilot]])</f>
        <v>Vaala</v>
      </c>
    </row>
    <row r="292" spans="1:17">
      <c r="A292" s="54" t="s">
        <v>548</v>
      </c>
      <c r="B292" s="22" t="s">
        <v>548</v>
      </c>
      <c r="C292" s="107" t="str" cm="1">
        <f t="array" ref="C292">" "&amp;LOWER(_xlfn.REDUCE(El_unit[[#This Row],[Location]],{",",".","(",")","/"},_xlfn.LAMBDA(_xlpm.txt,_xlpm.delim,SUBSTITUTE(_xlpm.txt,_xlpm.delim," "))))&amp;" "</f>
        <v xml:space="preserve"> nuolivaaran tuulipuisto </v>
      </c>
      <c r="D292" s="22" t="s">
        <v>3066</v>
      </c>
      <c r="E292" s="1">
        <v>96.9</v>
      </c>
      <c r="F292" s="1">
        <v>0</v>
      </c>
      <c r="G292" s="1">
        <v>0</v>
      </c>
      <c r="H292" s="1">
        <v>96.9</v>
      </c>
      <c r="L292" s="1" t="str" cm="1">
        <f t="array" ref="L292">_xlfn.XLOOKUP(TRUE,ISNUMBER(SEARCH(" "&amp;Municipality[Municipality]&amp;" ",El_unit[[#This Row],[Info sting]])),Municipality[Municipality],"")</f>
        <v/>
      </c>
      <c r="M292" s="1" t="str" cm="1">
        <f t="array" ref="M292">IF(El_unit[[#This Row],[Exact]]&lt;&gt;"","",_xlfn.XLOOKUP(TRUE,ISNUMBER(SEARCH(" "&amp;Municipality[Municipality]&amp;"n ",El_unit[[#This Row],[Info sting]])),Municipality[Municipality],""))</f>
        <v/>
      </c>
      <c r="N292" s="1" t="s">
        <v>1044</v>
      </c>
      <c r="O292" s="35" t="s">
        <v>3192</v>
      </c>
      <c r="Q292" s="1" t="str">
        <f>_xlfn.TEXTJOIN("",TRUE,El_unit[[#This Row],[Exact]],El_unit[[#This Row],[Exact+n]],El_unit[[#This Row],[Copilot]])</f>
        <v>Kemijärvi</v>
      </c>
    </row>
    <row r="293" spans="1:17">
      <c r="A293" s="54" t="s">
        <v>549</v>
      </c>
      <c r="B293" s="22" t="s">
        <v>549</v>
      </c>
      <c r="C293" s="107" t="str" cm="1">
        <f t="array" ref="C293">" "&amp;LOWER(_xlfn.REDUCE(El_unit[[#This Row],[Location]],{",",".","(",")","/"},_xlfn.LAMBDA(_xlpm.txt,_xlpm.delim,SUBSTITUTE(_xlpm.txt,_xlpm.delim," "))))&amp;" "</f>
        <v xml:space="preserve"> nurmijärven aurinkovoimala </v>
      </c>
      <c r="D293" s="22" t="s">
        <v>163</v>
      </c>
      <c r="E293" s="1">
        <v>1.5</v>
      </c>
      <c r="F293" s="1">
        <v>0</v>
      </c>
      <c r="G293" s="1">
        <v>0</v>
      </c>
      <c r="H293" s="1">
        <v>1.5</v>
      </c>
      <c r="L293" s="1" t="str" cm="1">
        <f t="array" ref="L293">_xlfn.XLOOKUP(TRUE,ISNUMBER(SEARCH(" "&amp;Municipality[Municipality]&amp;" ",El_unit[[#This Row],[Info sting]])),Municipality[Municipality],"")</f>
        <v/>
      </c>
      <c r="M293" s="1" t="str" cm="1">
        <f t="array" ref="M293">IF(El_unit[[#This Row],[Exact]]&lt;&gt;"","",_xlfn.XLOOKUP(TRUE,ISNUMBER(SEARCH(" "&amp;Municipality[Municipality]&amp;"n ",El_unit[[#This Row],[Info sting]])),Municipality[Municipality],""))</f>
        <v/>
      </c>
      <c r="N293" s="1" t="s">
        <v>2695</v>
      </c>
      <c r="O293" s="35" t="s">
        <v>3199</v>
      </c>
      <c r="Q293" s="1" t="str">
        <f>_xlfn.TEXTJOIN("",TRUE,El_unit[[#This Row],[Exact]],El_unit[[#This Row],[Exact+n]],El_unit[[#This Row],[Copilot]])</f>
        <v>Nurmijärvi</v>
      </c>
    </row>
    <row r="294" spans="1:17">
      <c r="A294" s="54" t="s">
        <v>550</v>
      </c>
      <c r="B294" s="22" t="s">
        <v>738</v>
      </c>
      <c r="C294" s="107" t="str" cm="1">
        <f t="array" ref="C294">" "&amp;LOWER(_xlfn.REDUCE(El_unit[[#This Row],[Location]],{",",".","(",")","/"},_xlfn.LAMBDA(_xlpm.txt,_xlpm.delim,SUBSTITUTE(_xlpm.txt,_xlpm.delim," "))))&amp;" "</f>
        <v xml:space="preserve"> atrian teollisuusalue </v>
      </c>
      <c r="D294" s="22" t="s">
        <v>163</v>
      </c>
      <c r="E294" s="1">
        <v>9</v>
      </c>
      <c r="F294" s="1">
        <v>0</v>
      </c>
      <c r="G294" s="1">
        <v>0</v>
      </c>
      <c r="H294" s="1">
        <v>9</v>
      </c>
      <c r="L294" s="1" t="str" cm="1">
        <f t="array" ref="L294">_xlfn.XLOOKUP(TRUE,ISNUMBER(SEARCH(" "&amp;Municipality[Municipality]&amp;" ",El_unit[[#This Row],[Info sting]])),Municipality[Municipality],"")</f>
        <v/>
      </c>
      <c r="M294" s="1" t="str" cm="1">
        <f t="array" ref="M294">IF(El_unit[[#This Row],[Exact]]&lt;&gt;"","",_xlfn.XLOOKUP(TRUE,ISNUMBER(SEARCH(" "&amp;Municipality[Municipality]&amp;"n ",El_unit[[#This Row],[Info sting]])),Municipality[Municipality],""))</f>
        <v/>
      </c>
      <c r="N294" s="1" t="s">
        <v>2696</v>
      </c>
      <c r="O294" s="35" t="s">
        <v>3200</v>
      </c>
      <c r="P294" s="1" t="s">
        <v>3201</v>
      </c>
      <c r="Q294" s="1" t="str">
        <f>_xlfn.TEXTJOIN("",TRUE,El_unit[[#This Row],[Exact]],El_unit[[#This Row],[Exact+n]],El_unit[[#This Row],[Copilot]])</f>
        <v>Nurmo</v>
      </c>
    </row>
    <row r="295" spans="1:17">
      <c r="A295" s="54" t="s">
        <v>551</v>
      </c>
      <c r="B295" s="22" t="s">
        <v>739</v>
      </c>
      <c r="C295" s="107" t="str" cm="1">
        <f t="array" ref="C295">" "&amp;LOWER(_xlfn.REDUCE(El_unit[[#This Row],[Location]],{",",".","(",")","/"},_xlfn.LAMBDA(_xlpm.txt,_xlpm.delim,SUBSTITUTE(_xlpm.txt,_xlpm.delim," "))))&amp;" "</f>
        <v xml:space="preserve"> nyby </v>
      </c>
      <c r="D295" s="22" t="s">
        <v>3066</v>
      </c>
      <c r="E295" s="1">
        <v>19.2</v>
      </c>
      <c r="F295" s="1">
        <v>0</v>
      </c>
      <c r="G295" s="1">
        <v>0</v>
      </c>
      <c r="H295" s="1">
        <v>19.2</v>
      </c>
      <c r="L295" s="1" t="str" cm="1">
        <f t="array" ref="L295">_xlfn.XLOOKUP(TRUE,ISNUMBER(SEARCH(" "&amp;Municipality[Municipality]&amp;" ",El_unit[[#This Row],[Info sting]])),Municipality[Municipality],"")</f>
        <v/>
      </c>
      <c r="M295" s="1" t="str" cm="1">
        <f t="array" ref="M295">IF(El_unit[[#This Row],[Exact]]&lt;&gt;"","",_xlfn.XLOOKUP(TRUE,ISNUMBER(SEARCH(" "&amp;Municipality[Municipality]&amp;"n ",El_unit[[#This Row],[Info sting]])),Municipality[Municipality],""))</f>
        <v/>
      </c>
      <c r="N295" s="1" t="s">
        <v>2541</v>
      </c>
      <c r="O295" s="35" t="s">
        <v>3193</v>
      </c>
      <c r="Q295" s="1" t="str">
        <f>_xlfn.TEXTJOIN("",TRUE,El_unit[[#This Row],[Exact]],El_unit[[#This Row],[Exact+n]],El_unit[[#This Row],[Copilot]])</f>
        <v>Ii</v>
      </c>
    </row>
    <row r="296" spans="1:17">
      <c r="A296" s="54" t="s">
        <v>303</v>
      </c>
      <c r="B296" s="22" t="s">
        <v>304</v>
      </c>
      <c r="C296" s="107" t="str" cm="1">
        <f t="array" ref="C296">" "&amp;LOWER(_xlfn.REDUCE(El_unit[[#This Row],[Location]],{",",".","(",")","/"},_xlfn.LAMBDA(_xlpm.txt,_xlpm.delim,SUBSTITUTE(_xlpm.txt,_xlpm.delim," "))))&amp;" "</f>
        <v xml:space="preserve"> haapajärvi   oksava </v>
      </c>
      <c r="D296" s="22" t="s">
        <v>3064</v>
      </c>
      <c r="E296" s="1">
        <v>3</v>
      </c>
      <c r="F296" s="1">
        <v>0</v>
      </c>
      <c r="G296" s="1">
        <v>0</v>
      </c>
      <c r="H296" s="1">
        <v>3</v>
      </c>
      <c r="L296" s="1" t="str" cm="1">
        <f t="array" ref="L296">_xlfn.XLOOKUP(TRUE,ISNUMBER(SEARCH(" "&amp;Municipality[Municipality]&amp;" ",El_unit[[#This Row],[Info sting]])),Municipality[Municipality],"")</f>
        <v>Haapajärvi</v>
      </c>
      <c r="M296" s="1" t="str" cm="1">
        <f t="array" ref="M296">IF(El_unit[[#This Row],[Exact]]&lt;&gt;"","",_xlfn.XLOOKUP(TRUE,ISNUMBER(SEARCH(" "&amp;Municipality[Municipality]&amp;"n ",El_unit[[#This Row],[Info sting]])),Municipality[Municipality],""))</f>
        <v/>
      </c>
      <c r="O296" s="35"/>
      <c r="Q296" s="1" t="str">
        <f>_xlfn.TEXTJOIN("",TRUE,El_unit[[#This Row],[Exact]],El_unit[[#This Row],[Exact+n]],El_unit[[#This Row],[Copilot]])</f>
        <v>Haapajärvi</v>
      </c>
    </row>
    <row r="297" spans="1:17">
      <c r="A297" s="54" t="s">
        <v>552</v>
      </c>
      <c r="B297" s="22" t="s">
        <v>552</v>
      </c>
      <c r="C297" s="107" t="str" cm="1">
        <f t="array" ref="C297">" "&amp;LOWER(_xlfn.REDUCE(El_unit[[#This Row],[Location]],{",",".","(",")","/"},_xlfn.LAMBDA(_xlpm.txt,_xlpm.delim,SUBSTITUTE(_xlpm.txt,_xlpm.delim," "))))&amp;" "</f>
        <v xml:space="preserve"> olkiluoto 1 </v>
      </c>
      <c r="D297" s="22" t="s">
        <v>3069</v>
      </c>
      <c r="E297" s="1">
        <v>890</v>
      </c>
      <c r="F297" s="1">
        <v>0</v>
      </c>
      <c r="G297" s="1">
        <v>0</v>
      </c>
      <c r="H297" s="1">
        <v>890</v>
      </c>
      <c r="I297" s="1" t="s">
        <v>3069</v>
      </c>
      <c r="L297" s="1" t="str" cm="1">
        <f t="array" ref="L297">_xlfn.XLOOKUP(TRUE,ISNUMBER(SEARCH(" "&amp;Municipality[Municipality]&amp;" ",El_unit[[#This Row],[Info sting]])),Municipality[Municipality],"")</f>
        <v/>
      </c>
      <c r="M297" s="1" t="str" cm="1">
        <f t="array" ref="M297">IF(El_unit[[#This Row],[Exact]]&lt;&gt;"","",_xlfn.XLOOKUP(TRUE,ISNUMBER(SEARCH(" "&amp;Municipality[Municipality]&amp;"n ",El_unit[[#This Row],[Info sting]])),Municipality[Municipality],""))</f>
        <v/>
      </c>
      <c r="N297" s="1" t="s">
        <v>2510</v>
      </c>
      <c r="O297" s="35"/>
      <c r="P297" s="1" t="s">
        <v>3091</v>
      </c>
      <c r="Q297" s="1" t="str">
        <f>_xlfn.TEXTJOIN("",TRUE,El_unit[[#This Row],[Exact]],El_unit[[#This Row],[Exact+n]],El_unit[[#This Row],[Copilot]])</f>
        <v>Eurajoki</v>
      </c>
    </row>
    <row r="298" spans="1:17">
      <c r="A298" s="54" t="s">
        <v>553</v>
      </c>
      <c r="B298" s="22" t="s">
        <v>553</v>
      </c>
      <c r="C298" s="107" t="str" cm="1">
        <f t="array" ref="C298">" "&amp;LOWER(_xlfn.REDUCE(El_unit[[#This Row],[Location]],{",",".","(",")","/"},_xlfn.LAMBDA(_xlpm.txt,_xlpm.delim,SUBSTITUTE(_xlpm.txt,_xlpm.delim," "))))&amp;" "</f>
        <v xml:space="preserve"> olkiluoto 2 </v>
      </c>
      <c r="D298" s="22" t="s">
        <v>3069</v>
      </c>
      <c r="E298" s="1">
        <v>890</v>
      </c>
      <c r="F298" s="1">
        <v>0</v>
      </c>
      <c r="G298" s="1">
        <v>0</v>
      </c>
      <c r="H298" s="1">
        <v>890</v>
      </c>
      <c r="I298" s="1" t="s">
        <v>3069</v>
      </c>
      <c r="L298" s="1" t="str" cm="1">
        <f t="array" ref="L298">_xlfn.XLOOKUP(TRUE,ISNUMBER(SEARCH(" "&amp;Municipality[Municipality]&amp;" ",El_unit[[#This Row],[Info sting]])),Municipality[Municipality],"")</f>
        <v/>
      </c>
      <c r="M298" s="1" t="str" cm="1">
        <f t="array" ref="M298">IF(El_unit[[#This Row],[Exact]]&lt;&gt;"","",_xlfn.XLOOKUP(TRUE,ISNUMBER(SEARCH(" "&amp;Municipality[Municipality]&amp;"n ",El_unit[[#This Row],[Info sting]])),Municipality[Municipality],""))</f>
        <v/>
      </c>
      <c r="N298" s="1" t="s">
        <v>2510</v>
      </c>
      <c r="O298" s="35"/>
      <c r="P298" s="1" t="s">
        <v>3091</v>
      </c>
      <c r="Q298" s="1" t="str">
        <f>_xlfn.TEXTJOIN("",TRUE,El_unit[[#This Row],[Exact]],El_unit[[#This Row],[Exact+n]],El_unit[[#This Row],[Copilot]])</f>
        <v>Eurajoki</v>
      </c>
    </row>
    <row r="299" spans="1:17">
      <c r="A299" s="54" t="s">
        <v>554</v>
      </c>
      <c r="B299" s="22" t="s">
        <v>554</v>
      </c>
      <c r="C299" s="107" t="str" cm="1">
        <f t="array" ref="C299">" "&amp;LOWER(_xlfn.REDUCE(El_unit[[#This Row],[Location]],{",",".","(",")","/"},_xlfn.LAMBDA(_xlpm.txt,_xlpm.delim,SUBSTITUTE(_xlpm.txt,_xlpm.delim," "))))&amp;" "</f>
        <v xml:space="preserve"> olkiluoto 3 </v>
      </c>
      <c r="D299" s="22" t="s">
        <v>3069</v>
      </c>
      <c r="E299" s="1">
        <v>1575</v>
      </c>
      <c r="F299" s="1">
        <v>0</v>
      </c>
      <c r="G299" s="1">
        <v>0</v>
      </c>
      <c r="H299" s="1">
        <v>1575</v>
      </c>
      <c r="I299" s="1" t="s">
        <v>3069</v>
      </c>
      <c r="L299" s="1" t="str" cm="1">
        <f t="array" ref="L299">_xlfn.XLOOKUP(TRUE,ISNUMBER(SEARCH(" "&amp;Municipality[Municipality]&amp;" ",El_unit[[#This Row],[Info sting]])),Municipality[Municipality],"")</f>
        <v/>
      </c>
      <c r="M299" s="1" t="str" cm="1">
        <f t="array" ref="M299">IF(El_unit[[#This Row],[Exact]]&lt;&gt;"","",_xlfn.XLOOKUP(TRUE,ISNUMBER(SEARCH(" "&amp;Municipality[Municipality]&amp;"n ",El_unit[[#This Row],[Info sting]])),Municipality[Municipality],""))</f>
        <v/>
      </c>
      <c r="N299" s="1" t="s">
        <v>2510</v>
      </c>
      <c r="O299" s="35"/>
      <c r="P299" s="1" t="s">
        <v>3091</v>
      </c>
      <c r="Q299" s="1" t="str">
        <f>_xlfn.TEXTJOIN("",TRUE,El_unit[[#This Row],[Exact]],El_unit[[#This Row],[Exact+n]],El_unit[[#This Row],[Copilot]])</f>
        <v>Eurajoki</v>
      </c>
    </row>
    <row r="300" spans="1:17">
      <c r="A300" s="54" t="s">
        <v>555</v>
      </c>
      <c r="B300" s="22" t="s">
        <v>740</v>
      </c>
      <c r="C300" s="107" t="str" cm="1">
        <f t="array" ref="C300">" "&amp;LOWER(_xlfn.REDUCE(El_unit[[#This Row],[Location]],{",",".","(",")","/"},_xlfn.LAMBDA(_xlpm.txt,_xlpm.delim,SUBSTITUTE(_xlpm.txt,_xlpm.delim," "))))&amp;" "</f>
        <v xml:space="preserve"> olkiluoto kt 1 ja 2  eurajoki </v>
      </c>
      <c r="D300" s="22" t="s">
        <v>3068</v>
      </c>
      <c r="E300" s="1">
        <v>100.5</v>
      </c>
      <c r="F300" s="1">
        <v>0</v>
      </c>
      <c r="G300" s="1">
        <v>0</v>
      </c>
      <c r="H300" s="1">
        <v>100.5</v>
      </c>
      <c r="I300" s="1" t="s">
        <v>1020</v>
      </c>
      <c r="L300" s="1" t="str" cm="1">
        <f t="array" ref="L300">_xlfn.XLOOKUP(TRUE,ISNUMBER(SEARCH(" "&amp;Municipality[Municipality]&amp;" ",El_unit[[#This Row],[Info sting]])),Municipality[Municipality],"")</f>
        <v>Eurajoki</v>
      </c>
      <c r="M300" s="1" t="str" cm="1">
        <f t="array" ref="M300">IF(El_unit[[#This Row],[Exact]]&lt;&gt;"","",_xlfn.XLOOKUP(TRUE,ISNUMBER(SEARCH(" "&amp;Municipality[Municipality]&amp;"n ",El_unit[[#This Row],[Info sting]])),Municipality[Municipality],""))</f>
        <v/>
      </c>
      <c r="O300" s="35"/>
      <c r="Q300" s="1" t="str">
        <f>_xlfn.TEXTJOIN("",TRUE,El_unit[[#This Row],[Exact]],El_unit[[#This Row],[Exact+n]],El_unit[[#This Row],[Copilot]])</f>
        <v>Eurajoki</v>
      </c>
    </row>
    <row r="301" spans="1:17">
      <c r="A301" s="54" t="s">
        <v>556</v>
      </c>
      <c r="B301" s="22" t="s">
        <v>741</v>
      </c>
      <c r="C301" s="107" t="str" cm="1">
        <f t="array" ref="C301">" "&amp;LOWER(_xlfn.REDUCE(El_unit[[#This Row],[Location]],{",",".","(",")","/"},_xlfn.LAMBDA(_xlpm.txt,_xlpm.delim,SUBSTITUTE(_xlpm.txt,_xlpm.delim," "))))&amp;" "</f>
        <v xml:space="preserve"> oltava pyhäjoki </v>
      </c>
      <c r="D301" s="22" t="s">
        <v>3066</v>
      </c>
      <c r="E301" s="1">
        <v>91.2</v>
      </c>
      <c r="F301" s="1">
        <v>0</v>
      </c>
      <c r="G301" s="1">
        <v>0</v>
      </c>
      <c r="H301" s="1">
        <v>91.2</v>
      </c>
      <c r="L301" s="1" t="str" cm="1">
        <f t="array" ref="L301">_xlfn.XLOOKUP(TRUE,ISNUMBER(SEARCH(" "&amp;Municipality[Municipality]&amp;" ",El_unit[[#This Row],[Info sting]])),Municipality[Municipality],"")</f>
        <v>Pyhäjoki</v>
      </c>
      <c r="M301" s="1" t="str" cm="1">
        <f t="array" ref="M301">IF(El_unit[[#This Row],[Exact]]&lt;&gt;"","",_xlfn.XLOOKUP(TRUE,ISNUMBER(SEARCH(" "&amp;Municipality[Municipality]&amp;"n ",El_unit[[#This Row],[Info sting]])),Municipality[Municipality],""))</f>
        <v/>
      </c>
      <c r="O301" s="35"/>
      <c r="Q301" s="1" t="str">
        <f>_xlfn.TEXTJOIN("",TRUE,El_unit[[#This Row],[Exact]],El_unit[[#This Row],[Exact+n]],El_unit[[#This Row],[Copilot]])</f>
        <v>Pyhäjoki</v>
      </c>
    </row>
    <row r="302" spans="1:17">
      <c r="A302" s="54" t="s">
        <v>557</v>
      </c>
      <c r="B302" s="22" t="s">
        <v>742</v>
      </c>
      <c r="C302" s="107" t="str" cm="1">
        <f t="array" ref="C302">" "&amp;LOWER(_xlfn.REDUCE(El_unit[[#This Row],[Location]],{",",".","(",")","/"},_xlfn.LAMBDA(_xlpm.txt,_xlpm.delim,SUBSTITUTE(_xlpm.txt,_xlpm.delim," "))))&amp;" "</f>
        <v xml:space="preserve"> onkalo  simo </v>
      </c>
      <c r="D302" s="22" t="s">
        <v>3066</v>
      </c>
      <c r="E302" s="1">
        <v>10.5</v>
      </c>
      <c r="F302" s="1">
        <v>0</v>
      </c>
      <c r="G302" s="1">
        <v>0</v>
      </c>
      <c r="H302" s="1">
        <v>10.5</v>
      </c>
      <c r="L302" s="1" t="str" cm="1">
        <f t="array" ref="L302">_xlfn.XLOOKUP(TRUE,ISNUMBER(SEARCH(" "&amp;Municipality[Municipality]&amp;" ",El_unit[[#This Row],[Info sting]])),Municipality[Municipality],"")</f>
        <v>Simo</v>
      </c>
      <c r="M302" s="1" t="str" cm="1">
        <f t="array" ref="M302">IF(El_unit[[#This Row],[Exact]]&lt;&gt;"","",_xlfn.XLOOKUP(TRUE,ISNUMBER(SEARCH(" "&amp;Municipality[Municipality]&amp;"n ",El_unit[[#This Row],[Info sting]])),Municipality[Municipality],""))</f>
        <v/>
      </c>
      <c r="O302" s="35"/>
      <c r="Q302" s="1" t="str">
        <f>_xlfn.TEXTJOIN("",TRUE,El_unit[[#This Row],[Exact]],El_unit[[#This Row],[Exact+n]],El_unit[[#This Row],[Copilot]])</f>
        <v>Simo</v>
      </c>
    </row>
    <row r="303" spans="1:17">
      <c r="A303" s="54" t="s">
        <v>558</v>
      </c>
      <c r="B303" s="22" t="s">
        <v>743</v>
      </c>
      <c r="C303" s="107" t="str" cm="1">
        <f t="array" ref="C303">" "&amp;LOWER(_xlfn.REDUCE(El_unit[[#This Row],[Location]],{",",".","(",")","/"},_xlfn.LAMBDA(_xlpm.txt,_xlpm.delim,SUBSTITUTE(_xlpm.txt,_xlpm.delim," "))))&amp;" "</f>
        <v xml:space="preserve"> eurojoki oosinselkä tuulipuisto 1 </v>
      </c>
      <c r="D303" s="22" t="s">
        <v>3066</v>
      </c>
      <c r="E303" s="1">
        <v>80.599999999999994</v>
      </c>
      <c r="F303" s="1">
        <v>0</v>
      </c>
      <c r="G303" s="1">
        <v>0</v>
      </c>
      <c r="H303" s="1">
        <v>80.599999999999994</v>
      </c>
      <c r="L303" s="1" t="str" cm="1">
        <f t="array" ref="L303">_xlfn.XLOOKUP(TRUE,ISNUMBER(SEARCH(" "&amp;Municipality[Municipality]&amp;" ",El_unit[[#This Row],[Info sting]])),Municipality[Municipality],"")</f>
        <v/>
      </c>
      <c r="M303" s="1" t="str" cm="1">
        <f t="array" ref="M303">IF(El_unit[[#This Row],[Exact]]&lt;&gt;"","",_xlfn.XLOOKUP(TRUE,ISNUMBER(SEARCH(" "&amp;Municipality[Municipality]&amp;"n ",El_unit[[#This Row],[Info sting]])),Municipality[Municipality],""))</f>
        <v/>
      </c>
      <c r="N303" s="1" t="s">
        <v>2510</v>
      </c>
      <c r="O303" s="35"/>
      <c r="P303" s="1" t="s">
        <v>3092</v>
      </c>
      <c r="Q303" s="1" t="str">
        <f>_xlfn.TEXTJOIN("",TRUE,El_unit[[#This Row],[Exact]],El_unit[[#This Row],[Exact+n]],El_unit[[#This Row],[Copilot]])</f>
        <v>Eurajoki</v>
      </c>
    </row>
    <row r="304" spans="1:17">
      <c r="A304" s="54" t="s">
        <v>559</v>
      </c>
      <c r="B304" s="22" t="s">
        <v>744</v>
      </c>
      <c r="C304" s="107" t="str" cm="1">
        <f t="array" ref="C304">" "&amp;LOWER(_xlfn.REDUCE(El_unit[[#This Row],[Location]],{",",".","(",")","/"},_xlfn.LAMBDA(_xlpm.txt,_xlpm.delim,SUBSTITUTE(_xlpm.txt,_xlpm.delim," "))))&amp;" "</f>
        <v xml:space="preserve"> oosinselän tuulipuisto  eurajoki &amp; pori </v>
      </c>
      <c r="D304" s="22" t="s">
        <v>3066</v>
      </c>
      <c r="E304" s="1">
        <v>93</v>
      </c>
      <c r="F304" s="1">
        <v>0</v>
      </c>
      <c r="G304" s="1">
        <v>0</v>
      </c>
      <c r="H304" s="1">
        <v>93</v>
      </c>
      <c r="L304" s="1" t="str" cm="1">
        <f t="array" ref="L304">_xlfn.XLOOKUP(TRUE,ISNUMBER(SEARCH(" "&amp;Municipality[Municipality]&amp;" ",El_unit[[#This Row],[Info sting]])),Municipality[Municipality],"")</f>
        <v>Pori</v>
      </c>
      <c r="M304" s="1" t="str" cm="1">
        <f t="array" ref="M304">IF(El_unit[[#This Row],[Exact]]&lt;&gt;"","",_xlfn.XLOOKUP(TRUE,ISNUMBER(SEARCH(" "&amp;Municipality[Municipality]&amp;"n ",El_unit[[#This Row],[Info sting]])),Municipality[Municipality],""))</f>
        <v/>
      </c>
      <c r="O304" s="35"/>
      <c r="Q304" s="1" t="str">
        <f>_xlfn.TEXTJOIN("",TRUE,El_unit[[#This Row],[Exact]],El_unit[[#This Row],[Exact+n]],El_unit[[#This Row],[Copilot]])</f>
        <v>Pori</v>
      </c>
    </row>
    <row r="305" spans="1:17">
      <c r="A305" s="54" t="s">
        <v>305</v>
      </c>
      <c r="B305" s="22" t="s">
        <v>305</v>
      </c>
      <c r="C305" s="107" t="str" cm="1">
        <f t="array" ref="C305">" "&amp;LOWER(_xlfn.REDUCE(El_unit[[#This Row],[Location]],{",",".","(",")","/"},_xlfn.LAMBDA(_xlpm.txt,_xlpm.delim,SUBSTITUTE(_xlpm.txt,_xlpm.delim," "))))&amp;" "</f>
        <v xml:space="preserve"> ossauskoski </v>
      </c>
      <c r="D305" s="22" t="s">
        <v>3064</v>
      </c>
      <c r="E305" s="1">
        <v>120</v>
      </c>
      <c r="F305" s="1">
        <v>0</v>
      </c>
      <c r="G305" s="1">
        <v>0</v>
      </c>
      <c r="H305" s="1">
        <v>120</v>
      </c>
      <c r="L305" s="1" t="str" cm="1">
        <f t="array" ref="L305">_xlfn.XLOOKUP(TRUE,ISNUMBER(SEARCH(" "&amp;Municipality[Municipality]&amp;" ",El_unit[[#This Row],[Info sting]])),Municipality[Municipality],"")</f>
        <v/>
      </c>
      <c r="M305" s="1" t="str" cm="1">
        <f t="array" ref="M305">IF(El_unit[[#This Row],[Exact]]&lt;&gt;"","",_xlfn.XLOOKUP(TRUE,ISNUMBER(SEARCH(" "&amp;Municipality[Municipality]&amp;"n ",El_unit[[#This Row],[Info sting]])),Municipality[Municipality],""))</f>
        <v/>
      </c>
      <c r="N305" s="1" t="s">
        <v>2801</v>
      </c>
      <c r="O305" s="35" t="s">
        <v>3130</v>
      </c>
      <c r="Q305" s="1" t="str">
        <f>_xlfn.TEXTJOIN("",TRUE,El_unit[[#This Row],[Exact]],El_unit[[#This Row],[Exact+n]],El_unit[[#This Row],[Copilot]])</f>
        <v>Tervola</v>
      </c>
    </row>
    <row r="306" spans="1:17">
      <c r="A306" s="54" t="s">
        <v>560</v>
      </c>
      <c r="B306" s="22" t="s">
        <v>560</v>
      </c>
      <c r="C306" s="107" t="str" cm="1">
        <f t="array" ref="C306">" "&amp;LOWER(_xlfn.REDUCE(El_unit[[#This Row],[Location]],{",",".","(",")","/"},_xlfn.LAMBDA(_xlpm.txt,_xlpm.delim,SUBSTITUTE(_xlpm.txt,_xlpm.delim," "))))&amp;" "</f>
        <v xml:space="preserve"> oulainen  karahka </v>
      </c>
      <c r="D306" s="22" t="s">
        <v>3066</v>
      </c>
      <c r="E306" s="1">
        <v>153.4</v>
      </c>
      <c r="F306" s="1">
        <v>0</v>
      </c>
      <c r="G306" s="1">
        <v>0</v>
      </c>
      <c r="H306" s="1">
        <v>153.4</v>
      </c>
      <c r="L306" s="1" t="str" cm="1">
        <f t="array" ref="L306">_xlfn.XLOOKUP(TRUE,ISNUMBER(SEARCH(" "&amp;Municipality[Municipality]&amp;" ",El_unit[[#This Row],[Info sting]])),Municipality[Municipality],"")</f>
        <v>Oulainen</v>
      </c>
      <c r="M306" s="1" t="str" cm="1">
        <f t="array" ref="M306">IF(El_unit[[#This Row],[Exact]]&lt;&gt;"","",_xlfn.XLOOKUP(TRUE,ISNUMBER(SEARCH(" "&amp;Municipality[Municipality]&amp;"n ",El_unit[[#This Row],[Info sting]])),Municipality[Municipality],""))</f>
        <v/>
      </c>
      <c r="O306" s="35"/>
      <c r="Q306" s="1" t="str">
        <f>_xlfn.TEXTJOIN("",TRUE,El_unit[[#This Row],[Exact]],El_unit[[#This Row],[Exact+n]],El_unit[[#This Row],[Copilot]])</f>
        <v>Oulainen</v>
      </c>
    </row>
    <row r="307" spans="1:17">
      <c r="A307" s="54" t="s">
        <v>933</v>
      </c>
      <c r="B307" s="22" t="s">
        <v>933</v>
      </c>
      <c r="C307" s="107" t="str" cm="1">
        <f t="array" ref="C307">" "&amp;LOWER(_xlfn.REDUCE(El_unit[[#This Row],[Location]],{",",".","(",")","/"},_xlfn.LAMBDA(_xlpm.txt,_xlpm.delim,SUBSTITUTE(_xlpm.txt,_xlpm.delim," "))))&amp;" "</f>
        <v xml:space="preserve"> oulu </v>
      </c>
      <c r="D307" s="22" t="s">
        <v>3065</v>
      </c>
      <c r="E307" s="1">
        <v>0</v>
      </c>
      <c r="F307" s="1">
        <v>105</v>
      </c>
      <c r="G307" s="1">
        <v>0</v>
      </c>
      <c r="H307" s="1">
        <v>105</v>
      </c>
      <c r="I307" s="1" t="s">
        <v>1024</v>
      </c>
      <c r="J307" s="1" t="s">
        <v>1016</v>
      </c>
      <c r="K307" s="1" t="s">
        <v>1015</v>
      </c>
      <c r="L307" s="1" t="str" cm="1">
        <f t="array" ref="L307">_xlfn.XLOOKUP(TRUE,ISNUMBER(SEARCH(" "&amp;Municipality[Municipality]&amp;" ",El_unit[[#This Row],[Info sting]])),Municipality[Municipality],"")</f>
        <v>Oulu</v>
      </c>
      <c r="M307" s="1" t="str" cm="1">
        <f t="array" ref="M307">IF(El_unit[[#This Row],[Exact]]&lt;&gt;"","",_xlfn.XLOOKUP(TRUE,ISNUMBER(SEARCH(" "&amp;Municipality[Municipality]&amp;"n ",El_unit[[#This Row],[Info sting]])),Municipality[Municipality],""))</f>
        <v/>
      </c>
      <c r="O307" s="35"/>
      <c r="Q307" s="1" t="str">
        <f>_xlfn.TEXTJOIN("",TRUE,El_unit[[#This Row],[Exact]],El_unit[[#This Row],[Exact+n]],El_unit[[#This Row],[Copilot]])</f>
        <v>Oulu</v>
      </c>
    </row>
    <row r="308" spans="1:17">
      <c r="A308" s="54" t="s">
        <v>561</v>
      </c>
      <c r="B308" s="22" t="s">
        <v>745</v>
      </c>
      <c r="C308" s="107" t="str" cm="1">
        <f t="array" ref="C308">" "&amp;LOWER(_xlfn.REDUCE(El_unit[[#This Row],[Location]],{",",".","(",")","/"},_xlfn.LAMBDA(_xlpm.txt,_xlpm.delim,SUBSTITUTE(_xlpm.txt,_xlpm.delim," "))))&amp;" "</f>
        <v xml:space="preserve"> oulunsalo  riutunkari t1-t4 </v>
      </c>
      <c r="D308" s="22" t="s">
        <v>3066</v>
      </c>
      <c r="E308" s="1">
        <v>11.4</v>
      </c>
      <c r="F308" s="1">
        <v>0</v>
      </c>
      <c r="G308" s="1">
        <v>0</v>
      </c>
      <c r="H308" s="1">
        <v>11.4</v>
      </c>
      <c r="L308" s="1" t="str" cm="1">
        <f t="array" ref="L308">_xlfn.XLOOKUP(TRUE,ISNUMBER(SEARCH(" "&amp;Municipality[Municipality]&amp;" ",El_unit[[#This Row],[Info sting]])),Municipality[Municipality],"")</f>
        <v>Oulunsalo</v>
      </c>
      <c r="M308" s="1" t="str" cm="1">
        <f t="array" ref="M308">IF(El_unit[[#This Row],[Exact]]&lt;&gt;"","",_xlfn.XLOOKUP(TRUE,ISNUMBER(SEARCH(" "&amp;Municipality[Municipality]&amp;"n ",El_unit[[#This Row],[Info sting]])),Municipality[Municipality],""))</f>
        <v/>
      </c>
      <c r="O308" s="35"/>
      <c r="Q308" s="1" t="str">
        <f>_xlfn.TEXTJOIN("",TRUE,El_unit[[#This Row],[Exact]],El_unit[[#This Row],[Exact+n]],El_unit[[#This Row],[Copilot]])</f>
        <v>Oulunsalo</v>
      </c>
    </row>
    <row r="309" spans="1:17">
      <c r="A309" s="54" t="s">
        <v>306</v>
      </c>
      <c r="B309" s="22" t="s">
        <v>307</v>
      </c>
      <c r="C309" s="107" t="str" cm="1">
        <f t="array" ref="C309">" "&amp;LOWER(_xlfn.REDUCE(El_unit[[#This Row],[Location]],{",",".","(",")","/"},_xlfn.LAMBDA(_xlpm.txt,_xlpm.delim,SUBSTITUTE(_xlpm.txt,_xlpm.delim," "))))&amp;" "</f>
        <v xml:space="preserve"> padinki  nivala </v>
      </c>
      <c r="D309" s="22" t="s">
        <v>3064</v>
      </c>
      <c r="E309" s="1">
        <v>1</v>
      </c>
      <c r="F309" s="1">
        <v>0</v>
      </c>
      <c r="G309" s="1">
        <v>0</v>
      </c>
      <c r="H309" s="1">
        <v>1</v>
      </c>
      <c r="L309" s="1" t="str" cm="1">
        <f t="array" ref="L309">_xlfn.XLOOKUP(TRUE,ISNUMBER(SEARCH(" "&amp;Municipality[Municipality]&amp;" ",El_unit[[#This Row],[Info sting]])),Municipality[Municipality],"")</f>
        <v>Nivala</v>
      </c>
      <c r="M309" s="1" t="str" cm="1">
        <f t="array" ref="M309">IF(El_unit[[#This Row],[Exact]]&lt;&gt;"","",_xlfn.XLOOKUP(TRUE,ISNUMBER(SEARCH(" "&amp;Municipality[Municipality]&amp;"n ",El_unit[[#This Row],[Info sting]])),Municipality[Municipality],""))</f>
        <v/>
      </c>
      <c r="O309" s="35"/>
      <c r="Q309" s="1" t="str">
        <f>_xlfn.TEXTJOIN("",TRUE,El_unit[[#This Row],[Exact]],El_unit[[#This Row],[Exact+n]],El_unit[[#This Row],[Copilot]])</f>
        <v>Nivala</v>
      </c>
    </row>
    <row r="310" spans="1:17">
      <c r="A310" s="54" t="s">
        <v>308</v>
      </c>
      <c r="B310" s="22" t="s">
        <v>309</v>
      </c>
      <c r="C310" s="107" t="str" cm="1">
        <f t="array" ref="C310">" "&amp;LOWER(_xlfn.REDUCE(El_unit[[#This Row],[Location]],{",",".","(",")","/"},_xlfn.LAMBDA(_xlpm.txt,_xlpm.delim,SUBSTITUTE(_xlpm.txt,_xlpm.delim," "))))&amp;" "</f>
        <v xml:space="preserve"> pahkakoski </v>
      </c>
      <c r="D310" s="22" t="s">
        <v>3064</v>
      </c>
      <c r="E310" s="1">
        <v>42.1</v>
      </c>
      <c r="F310" s="1">
        <v>0</v>
      </c>
      <c r="G310" s="1">
        <v>0</v>
      </c>
      <c r="H310" s="1">
        <v>42.1</v>
      </c>
      <c r="L310" s="1" t="str" cm="1">
        <f t="array" ref="L310">_xlfn.XLOOKUP(TRUE,ISNUMBER(SEARCH(" "&amp;Municipality[Municipality]&amp;" ",El_unit[[#This Row],[Info sting]])),Municipality[Municipality],"")</f>
        <v/>
      </c>
      <c r="M310" s="1" t="str" cm="1">
        <f t="array" ref="M310">IF(El_unit[[#This Row],[Exact]]&lt;&gt;"","",_xlfn.XLOOKUP(TRUE,ISNUMBER(SEARCH(" "&amp;Municipality[Municipality]&amp;"n ",El_unit[[#This Row],[Info sting]])),Municipality[Municipality],""))</f>
        <v/>
      </c>
      <c r="O310" s="35"/>
      <c r="Q310" s="1" t="str">
        <f>_xlfn.TEXTJOIN("",TRUE,El_unit[[#This Row],[Exact]],El_unit[[#This Row],[Exact+n]],El_unit[[#This Row],[Copilot]])</f>
        <v/>
      </c>
    </row>
    <row r="311" spans="1:17">
      <c r="A311" s="54" t="s">
        <v>562</v>
      </c>
      <c r="B311" s="22" t="s">
        <v>308</v>
      </c>
      <c r="C311" s="107" t="str" cm="1">
        <f t="array" ref="C311">" "&amp;LOWER(_xlfn.REDUCE(El_unit[[#This Row],[Location]],{",",".","(",")","/"},_xlfn.LAMBDA(_xlpm.txt,_xlpm.delim,SUBSTITUTE(_xlpm.txt,_xlpm.delim," "))))&amp;" "</f>
        <v xml:space="preserve"> pahkakoski </v>
      </c>
      <c r="D311" s="22" t="s">
        <v>3066</v>
      </c>
      <c r="E311" s="1">
        <v>93</v>
      </c>
      <c r="F311" s="1">
        <v>0</v>
      </c>
      <c r="G311" s="1">
        <v>0</v>
      </c>
      <c r="H311" s="1">
        <v>93</v>
      </c>
      <c r="L311" s="1" t="str" cm="1">
        <f t="array" ref="L311">_xlfn.XLOOKUP(TRUE,ISNUMBER(SEARCH(" "&amp;Municipality[Municipality]&amp;" ",El_unit[[#This Row],[Info sting]])),Municipality[Municipality],"")</f>
        <v/>
      </c>
      <c r="M311" s="1" t="str" cm="1">
        <f t="array" ref="M311">IF(El_unit[[#This Row],[Exact]]&lt;&gt;"","",_xlfn.XLOOKUP(TRUE,ISNUMBER(SEARCH(" "&amp;Municipality[Municipality]&amp;"n ",El_unit[[#This Row],[Info sting]])),Municipality[Municipality],""))</f>
        <v/>
      </c>
      <c r="N311" s="1" t="s">
        <v>2541</v>
      </c>
      <c r="O311" s="35" t="s">
        <v>3194</v>
      </c>
      <c r="Q311" s="1" t="str">
        <f>_xlfn.TEXTJOIN("",TRUE,El_unit[[#This Row],[Exact]],El_unit[[#This Row],[Exact+n]],El_unit[[#This Row],[Copilot]])</f>
        <v>Ii</v>
      </c>
    </row>
    <row r="312" spans="1:17">
      <c r="A312" s="54" t="s">
        <v>563</v>
      </c>
      <c r="B312" s="22" t="s">
        <v>746</v>
      </c>
      <c r="C312" s="107" t="str" cm="1">
        <f t="array" ref="C312">" "&amp;LOWER(_xlfn.REDUCE(El_unit[[#This Row],[Location]],{",",".","(",")","/"},_xlfn.LAMBDA(_xlpm.txt,_xlpm.delim,SUBSTITUTE(_xlpm.txt,_xlpm.delim," "))))&amp;" "</f>
        <v xml:space="preserve"> pajukoski 1a </v>
      </c>
      <c r="D312" s="22" t="s">
        <v>3066</v>
      </c>
      <c r="E312" s="1">
        <v>6.6</v>
      </c>
      <c r="F312" s="1">
        <v>0</v>
      </c>
      <c r="G312" s="1">
        <v>0</v>
      </c>
      <c r="H312" s="1">
        <v>6.6</v>
      </c>
      <c r="L312" s="1" t="str" cm="1">
        <f t="array" ref="L312">_xlfn.XLOOKUP(TRUE,ISNUMBER(SEARCH(" "&amp;Municipality[Municipality]&amp;" ",El_unit[[#This Row],[Info sting]])),Municipality[Municipality],"")</f>
        <v/>
      </c>
      <c r="M312" s="1" t="str" cm="1">
        <f t="array" ref="M312">IF(El_unit[[#This Row],[Exact]]&lt;&gt;"","",_xlfn.XLOOKUP(TRUE,ISNUMBER(SEARCH(" "&amp;Municipality[Municipality]&amp;"n ",El_unit[[#This Row],[Info sting]])),Municipality[Municipality],""))</f>
        <v/>
      </c>
      <c r="N312" s="1" t="s">
        <v>1088</v>
      </c>
      <c r="O312" s="35" t="s">
        <v>3195</v>
      </c>
      <c r="Q312" s="1" t="str">
        <f>_xlfn.TEXTJOIN("",TRUE,El_unit[[#This Row],[Exact]],El_unit[[#This Row],[Exact+n]],El_unit[[#This Row],[Copilot]])</f>
        <v>Ylivieska</v>
      </c>
    </row>
    <row r="313" spans="1:17">
      <c r="A313" s="54" t="s">
        <v>564</v>
      </c>
      <c r="B313" s="22" t="s">
        <v>747</v>
      </c>
      <c r="C313" s="107" t="str" cm="1">
        <f t="array" ref="C313">" "&amp;LOWER(_xlfn.REDUCE(El_unit[[#This Row],[Location]],{",",".","(",")","/"},_xlfn.LAMBDA(_xlpm.txt,_xlpm.delim,SUBSTITUTE(_xlpm.txt,_xlpm.delim," "))))&amp;" "</f>
        <v xml:space="preserve"> pajukosken tuulipuisto 1 b </v>
      </c>
      <c r="D313" s="22" t="s">
        <v>3066</v>
      </c>
      <c r="E313" s="1">
        <v>23.1</v>
      </c>
      <c r="F313" s="1">
        <v>0</v>
      </c>
      <c r="G313" s="1">
        <v>0</v>
      </c>
      <c r="H313" s="1">
        <v>23.1</v>
      </c>
      <c r="L313" s="1" t="str" cm="1">
        <f t="array" ref="L313">_xlfn.XLOOKUP(TRUE,ISNUMBER(SEARCH(" "&amp;Municipality[Municipality]&amp;" ",El_unit[[#This Row],[Info sting]])),Municipality[Municipality],"")</f>
        <v/>
      </c>
      <c r="M313" s="1" t="str" cm="1">
        <f t="array" ref="M313">IF(El_unit[[#This Row],[Exact]]&lt;&gt;"","",_xlfn.XLOOKUP(TRUE,ISNUMBER(SEARCH(" "&amp;Municipality[Municipality]&amp;"n ",El_unit[[#This Row],[Info sting]])),Municipality[Municipality],""))</f>
        <v/>
      </c>
      <c r="N313" s="1" t="s">
        <v>1088</v>
      </c>
      <c r="O313" s="35" t="s">
        <v>3195</v>
      </c>
      <c r="Q313" s="1" t="str">
        <f>_xlfn.TEXTJOIN("",TRUE,El_unit[[#This Row],[Exact]],El_unit[[#This Row],[Exact+n]],El_unit[[#This Row],[Copilot]])</f>
        <v>Ylivieska</v>
      </c>
    </row>
    <row r="314" spans="1:17">
      <c r="A314" s="54" t="s">
        <v>565</v>
      </c>
      <c r="B314" s="22" t="s">
        <v>565</v>
      </c>
      <c r="C314" s="107" t="str" cm="1">
        <f t="array" ref="C314">" "&amp;LOWER(_xlfn.REDUCE(El_unit[[#This Row],[Location]],{",",".","(",")","/"},_xlfn.LAMBDA(_xlpm.txt,_xlpm.delim,SUBSTITUTE(_xlpm.txt,_xlpm.delim," "))))&amp;" "</f>
        <v xml:space="preserve"> pajuperänkangas </v>
      </c>
      <c r="D314" s="22" t="s">
        <v>3066</v>
      </c>
      <c r="E314" s="1">
        <v>86.8</v>
      </c>
      <c r="F314" s="1">
        <v>0</v>
      </c>
      <c r="G314" s="1">
        <v>0</v>
      </c>
      <c r="H314" s="1">
        <v>86.8</v>
      </c>
      <c r="L314" s="1" t="str" cm="1">
        <f t="array" ref="L314">_xlfn.XLOOKUP(TRUE,ISNUMBER(SEARCH(" "&amp;Municipality[Municipality]&amp;" ",El_unit[[#This Row],[Info sting]])),Municipality[Municipality],"")</f>
        <v/>
      </c>
      <c r="M314" s="1" t="str" cm="1">
        <f t="array" ref="M314">IF(El_unit[[#This Row],[Exact]]&lt;&gt;"","",_xlfn.XLOOKUP(TRUE,ISNUMBER(SEARCH(" "&amp;Municipality[Municipality]&amp;"n ",El_unit[[#This Row],[Info sting]])),Municipality[Municipality],""))</f>
        <v/>
      </c>
      <c r="N314" s="1" t="s">
        <v>2519</v>
      </c>
      <c r="O314" s="35" t="s">
        <v>3196</v>
      </c>
      <c r="Q314" s="1" t="str">
        <f>_xlfn.TEXTJOIN("",TRUE,El_unit[[#This Row],[Exact]],El_unit[[#This Row],[Exact+n]],El_unit[[#This Row],[Copilot]])</f>
        <v>Haapajärvi</v>
      </c>
    </row>
    <row r="315" spans="1:17">
      <c r="A315" s="54" t="s">
        <v>566</v>
      </c>
      <c r="B315" s="22" t="s">
        <v>566</v>
      </c>
      <c r="C315" s="107" t="str" cm="1">
        <f t="array" ref="C315">" "&amp;LOWER(_xlfn.REDUCE(El_unit[[#This Row],[Location]],{",",".","(",")","/"},_xlfn.LAMBDA(_xlpm.txt,_xlpm.delim,SUBSTITUTE(_xlpm.txt,_xlpm.delim," "))))&amp;" "</f>
        <v xml:space="preserve"> palma </v>
      </c>
      <c r="D315" s="22" t="s">
        <v>3066</v>
      </c>
      <c r="E315" s="1">
        <v>17.2</v>
      </c>
      <c r="F315" s="1">
        <v>0</v>
      </c>
      <c r="G315" s="1">
        <v>0</v>
      </c>
      <c r="H315" s="1">
        <v>17.2</v>
      </c>
      <c r="L315" s="1" t="str" cm="1">
        <f t="array" ref="L315">_xlfn.XLOOKUP(TRUE,ISNUMBER(SEARCH(" "&amp;Municipality[Municipality]&amp;" ",El_unit[[#This Row],[Info sting]])),Municipality[Municipality],"")</f>
        <v/>
      </c>
      <c r="M315" s="1" t="str" cm="1">
        <f t="array" ref="M315">IF(El_unit[[#This Row],[Exact]]&lt;&gt;"","",_xlfn.XLOOKUP(TRUE,ISNUMBER(SEARCH(" "&amp;Municipality[Municipality]&amp;"n ",El_unit[[#This Row],[Info sting]])),Municipality[Municipality],""))</f>
        <v/>
      </c>
      <c r="O315" s="35"/>
      <c r="Q315" s="1" t="str">
        <f>_xlfn.TEXTJOIN("",TRUE,El_unit[[#This Row],[Exact]],El_unit[[#This Row],[Exact+n]],El_unit[[#This Row],[Copilot]])</f>
        <v/>
      </c>
    </row>
    <row r="316" spans="1:17">
      <c r="A316" s="54" t="s">
        <v>567</v>
      </c>
      <c r="B316" s="22" t="s">
        <v>688</v>
      </c>
      <c r="C316" s="107" t="str" cm="1">
        <f t="array" ref="C316">" "&amp;LOWER(_xlfn.REDUCE(El_unit[[#This Row],[Location]],{",",".","(",")","/"},_xlfn.LAMBDA(_xlpm.txt,_xlpm.delim,SUBSTITUTE(_xlpm.txt,_xlpm.delim," "))))&amp;" "</f>
        <v xml:space="preserve"> ii  pohjois pohjanmaa </v>
      </c>
      <c r="D316" s="22" t="s">
        <v>3066</v>
      </c>
      <c r="E316" s="1">
        <v>70.8</v>
      </c>
      <c r="F316" s="1">
        <v>0</v>
      </c>
      <c r="G316" s="1">
        <v>0</v>
      </c>
      <c r="H316" s="1">
        <v>70.8</v>
      </c>
      <c r="L316" s="1" t="str" cm="1">
        <f t="array" ref="L316">_xlfn.XLOOKUP(TRUE,ISNUMBER(SEARCH(" "&amp;Municipality[Municipality]&amp;" ",El_unit[[#This Row],[Info sting]])),Municipality[Municipality],"")</f>
        <v>Ii</v>
      </c>
      <c r="M316" s="1" t="str" cm="1">
        <f t="array" ref="M316">IF(El_unit[[#This Row],[Exact]]&lt;&gt;"","",_xlfn.XLOOKUP(TRUE,ISNUMBER(SEARCH(" "&amp;Municipality[Municipality]&amp;"n ",El_unit[[#This Row],[Info sting]])),Municipality[Municipality],""))</f>
        <v/>
      </c>
      <c r="O316" s="35"/>
      <c r="Q316" s="1" t="str">
        <f>_xlfn.TEXTJOIN("",TRUE,El_unit[[#This Row],[Exact]],El_unit[[#This Row],[Exact+n]],El_unit[[#This Row],[Copilot]])</f>
        <v>Ii</v>
      </c>
    </row>
    <row r="317" spans="1:17">
      <c r="A317" s="54" t="s">
        <v>310</v>
      </c>
      <c r="B317" s="22" t="s">
        <v>311</v>
      </c>
      <c r="C317" s="107" t="str" cm="1">
        <f t="array" ref="C317">" "&amp;LOWER(_xlfn.REDUCE(El_unit[[#This Row],[Location]],{",",".","(",")","/"},_xlfn.LAMBDA(_xlpm.txt,_xlpm.delim,SUBSTITUTE(_xlpm.txt,_xlpm.delim," "))))&amp;" "</f>
        <v xml:space="preserve"> heinävesi  palokki </v>
      </c>
      <c r="D317" s="22" t="s">
        <v>3064</v>
      </c>
      <c r="E317" s="1">
        <v>6.8</v>
      </c>
      <c r="F317" s="1">
        <v>0</v>
      </c>
      <c r="G317" s="1">
        <v>0</v>
      </c>
      <c r="H317" s="1">
        <v>6.8</v>
      </c>
      <c r="L317" s="1" t="str" cm="1">
        <f t="array" ref="L317">_xlfn.XLOOKUP(TRUE,ISNUMBER(SEARCH(" "&amp;Municipality[Municipality]&amp;" ",El_unit[[#This Row],[Info sting]])),Municipality[Municipality],"")</f>
        <v>Heinävesi</v>
      </c>
      <c r="M317" s="1" t="str" cm="1">
        <f t="array" ref="M317">IF(El_unit[[#This Row],[Exact]]&lt;&gt;"","",_xlfn.XLOOKUP(TRUE,ISNUMBER(SEARCH(" "&amp;Municipality[Municipality]&amp;"n ",El_unit[[#This Row],[Info sting]])),Municipality[Municipality],""))</f>
        <v/>
      </c>
      <c r="O317" s="35"/>
      <c r="Q317" s="1" t="str">
        <f>_xlfn.TEXTJOIN("",TRUE,El_unit[[#This Row],[Exact]],El_unit[[#This Row],[Exact+n]],El_unit[[#This Row],[Copilot]])</f>
        <v>Heinävesi</v>
      </c>
    </row>
    <row r="318" spans="1:17">
      <c r="A318" s="54" t="s">
        <v>568</v>
      </c>
      <c r="B318" s="22" t="s">
        <v>748</v>
      </c>
      <c r="C318" s="107" t="str" cm="1">
        <f t="array" ref="C318">" "&amp;LOWER(_xlfn.REDUCE(El_unit[[#This Row],[Location]],{",",".","(",")","/"},_xlfn.LAMBDA(_xlpm.txt,_xlpm.delim,SUBSTITUTE(_xlpm.txt,_xlpm.delim," "))))&amp;" "</f>
        <v xml:space="preserve"> paltusmäki  pyhäjoki </v>
      </c>
      <c r="D318" s="22" t="s">
        <v>3066</v>
      </c>
      <c r="E318" s="1">
        <v>21.5</v>
      </c>
      <c r="F318" s="1">
        <v>0</v>
      </c>
      <c r="G318" s="1">
        <v>0</v>
      </c>
      <c r="H318" s="1">
        <v>21.5</v>
      </c>
      <c r="L318" s="1" t="str" cm="1">
        <f t="array" ref="L318">_xlfn.XLOOKUP(TRUE,ISNUMBER(SEARCH(" "&amp;Municipality[Municipality]&amp;" ",El_unit[[#This Row],[Info sting]])),Municipality[Municipality],"")</f>
        <v>Pyhäjoki</v>
      </c>
      <c r="M318" s="1" t="str" cm="1">
        <f t="array" ref="M318">IF(El_unit[[#This Row],[Exact]]&lt;&gt;"","",_xlfn.XLOOKUP(TRUE,ISNUMBER(SEARCH(" "&amp;Municipality[Municipality]&amp;"n ",El_unit[[#This Row],[Info sting]])),Municipality[Municipality],""))</f>
        <v/>
      </c>
      <c r="O318" s="35"/>
      <c r="Q318" s="1" t="str">
        <f>_xlfn.TEXTJOIN("",TRUE,El_unit[[#This Row],[Exact]],El_unit[[#This Row],[Exact+n]],El_unit[[#This Row],[Copilot]])</f>
        <v>Pyhäjoki</v>
      </c>
    </row>
    <row r="319" spans="1:17">
      <c r="A319" s="54" t="s">
        <v>312</v>
      </c>
      <c r="B319" s="22" t="s">
        <v>313</v>
      </c>
      <c r="C319" s="107" t="str" cm="1">
        <f t="array" ref="C319">" "&amp;LOWER(_xlfn.REDUCE(El_unit[[#This Row],[Location]],{",",".","(",")","/"},_xlfn.LAMBDA(_xlpm.txt,_xlpm.delim,SUBSTITUTE(_xlpm.txt,_xlpm.delim," "))))&amp;" "</f>
        <v xml:space="preserve"> pamilon vesivoimalaitos </v>
      </c>
      <c r="D319" s="22" t="s">
        <v>3064</v>
      </c>
      <c r="E319" s="1">
        <v>85</v>
      </c>
      <c r="F319" s="1">
        <v>0</v>
      </c>
      <c r="G319" s="1">
        <v>0</v>
      </c>
      <c r="H319" s="1">
        <v>85</v>
      </c>
      <c r="L319" s="1" t="str" cm="1">
        <f t="array" ref="L319">_xlfn.XLOOKUP(TRUE,ISNUMBER(SEARCH(" "&amp;Municipality[Municipality]&amp;" ",El_unit[[#This Row],[Info sting]])),Municipality[Municipality],"")</f>
        <v/>
      </c>
      <c r="M319" s="1" t="str" cm="1">
        <f t="array" ref="M319">IF(El_unit[[#This Row],[Exact]]&lt;&gt;"","",_xlfn.XLOOKUP(TRUE,ISNUMBER(SEARCH(" "&amp;Municipality[Municipality]&amp;"n ",El_unit[[#This Row],[Info sting]])),Municipality[Municipality],""))</f>
        <v/>
      </c>
      <c r="N319" s="1" t="s">
        <v>2504</v>
      </c>
      <c r="O319" s="35" t="s">
        <v>3138</v>
      </c>
      <c r="P319" s="1" t="s">
        <v>3139</v>
      </c>
      <c r="Q319" s="1" t="str">
        <f>_xlfn.TEXTJOIN("",TRUE,El_unit[[#This Row],[Exact]],El_unit[[#This Row],[Exact+n]],El_unit[[#This Row],[Copilot]])</f>
        <v>Eno</v>
      </c>
    </row>
    <row r="320" spans="1:17">
      <c r="A320" s="54" t="s">
        <v>314</v>
      </c>
      <c r="B320" s="22" t="s">
        <v>314</v>
      </c>
      <c r="C320" s="107" t="str" cm="1">
        <f t="array" ref="C320">" "&amp;LOWER(_xlfn.REDUCE(El_unit[[#This Row],[Location]],{",",".","(",")","/"},_xlfn.LAMBDA(_xlpm.txt,_xlpm.delim,SUBSTITUTE(_xlpm.txt,_xlpm.delim," "))))&amp;" "</f>
        <v xml:space="preserve"> pankakoski </v>
      </c>
      <c r="D320" s="22" t="s">
        <v>3064</v>
      </c>
      <c r="E320" s="1">
        <v>15.2</v>
      </c>
      <c r="F320" s="1">
        <v>0</v>
      </c>
      <c r="G320" s="1">
        <v>0</v>
      </c>
      <c r="H320" s="1">
        <v>15.2</v>
      </c>
      <c r="L320" s="1" t="str" cm="1">
        <f t="array" ref="L320">_xlfn.XLOOKUP(TRUE,ISNUMBER(SEARCH(" "&amp;Municipality[Municipality]&amp;" ",El_unit[[#This Row],[Info sting]])),Municipality[Municipality],"")</f>
        <v/>
      </c>
      <c r="M320" s="1" t="str" cm="1">
        <f t="array" ref="M320">IF(El_unit[[#This Row],[Exact]]&lt;&gt;"","",_xlfn.XLOOKUP(TRUE,ISNUMBER(SEARCH(" "&amp;Municipality[Municipality]&amp;"n ",El_unit[[#This Row],[Info sting]])),Municipality[Municipality],""))</f>
        <v/>
      </c>
      <c r="N320" s="1" t="s">
        <v>991</v>
      </c>
      <c r="O320" s="35" t="s">
        <v>3130</v>
      </c>
      <c r="Q320" s="1" t="str">
        <f>_xlfn.TEXTJOIN("",TRUE,El_unit[[#This Row],[Exact]],El_unit[[#This Row],[Exact+n]],El_unit[[#This Row],[Copilot]])</f>
        <v>Lieksa</v>
      </c>
    </row>
    <row r="321" spans="1:17">
      <c r="A321" s="54" t="s">
        <v>315</v>
      </c>
      <c r="B321" s="22" t="s">
        <v>316</v>
      </c>
      <c r="C321" s="107" t="str" cm="1">
        <f t="array" ref="C321">" "&amp;LOWER(_xlfn.REDUCE(El_unit[[#This Row],[Location]],{",",".","(",")","/"},_xlfn.LAMBDA(_xlpm.txt,_xlpm.delim,SUBSTITUTE(_xlpm.txt,_xlpm.delim," "))))&amp;" "</f>
        <v xml:space="preserve"> parantala  hammarenintie 1  44190 parantala </v>
      </c>
      <c r="D321" s="22" t="s">
        <v>3064</v>
      </c>
      <c r="E321" s="1">
        <v>0.9</v>
      </c>
      <c r="F321" s="1">
        <v>0</v>
      </c>
      <c r="G321" s="1">
        <v>0</v>
      </c>
      <c r="H321" s="1">
        <v>0.9</v>
      </c>
      <c r="L321" s="1" t="str" cm="1">
        <f t="array" ref="L321">_xlfn.XLOOKUP(TRUE,ISNUMBER(SEARCH(" "&amp;Municipality[Municipality]&amp;" ",El_unit[[#This Row],[Info sting]])),Municipality[Municipality],"")</f>
        <v/>
      </c>
      <c r="M321" s="1" t="str" cm="1">
        <f t="array" ref="M321">IF(El_unit[[#This Row],[Exact]]&lt;&gt;"","",_xlfn.XLOOKUP(TRUE,ISNUMBER(SEARCH(" "&amp;Municipality[Municipality]&amp;"n ",El_unit[[#This Row],[Info sting]])),Municipality[Municipality],""))</f>
        <v/>
      </c>
      <c r="N321" s="1" t="s">
        <v>2856</v>
      </c>
      <c r="O321" s="35" t="s">
        <v>3202</v>
      </c>
      <c r="Q321" s="1" t="str">
        <f>_xlfn.TEXTJOIN("",TRUE,El_unit[[#This Row],[Exact]],El_unit[[#This Row],[Exact+n]],El_unit[[#This Row],[Copilot]])</f>
        <v>Äänekoski</v>
      </c>
    </row>
    <row r="322" spans="1:17">
      <c r="A322" s="54" t="s">
        <v>569</v>
      </c>
      <c r="B322" s="22" t="s">
        <v>749</v>
      </c>
      <c r="C322" s="107" t="str" cm="1">
        <f t="array" ref="C322">" "&amp;LOWER(_xlfn.REDUCE(El_unit[[#This Row],[Location]],{",",".","(",")","/"},_xlfn.LAMBDA(_xlpm.txt,_xlpm.delim,SUBSTITUTE(_xlpm.txt,_xlpm.delim," "))))&amp;" "</f>
        <v xml:space="preserve"> parhalahti </v>
      </c>
      <c r="D322" s="22" t="s">
        <v>3066</v>
      </c>
      <c r="E322" s="1">
        <v>56</v>
      </c>
      <c r="F322" s="1">
        <v>0</v>
      </c>
      <c r="G322" s="1">
        <v>0</v>
      </c>
      <c r="H322" s="1">
        <v>56</v>
      </c>
      <c r="L322" s="1" t="str" cm="1">
        <f t="array" ref="L322">_xlfn.XLOOKUP(TRUE,ISNUMBER(SEARCH(" "&amp;Municipality[Municipality]&amp;" ",El_unit[[#This Row],[Info sting]])),Municipality[Municipality],"")</f>
        <v/>
      </c>
      <c r="M322" s="1" t="str" cm="1">
        <f t="array" ref="M322">IF(El_unit[[#This Row],[Exact]]&lt;&gt;"","",_xlfn.XLOOKUP(TRUE,ISNUMBER(SEARCH(" "&amp;Municipality[Municipality]&amp;"n ",El_unit[[#This Row],[Info sting]])),Municipality[Municipality],""))</f>
        <v/>
      </c>
      <c r="O322" s="35"/>
      <c r="Q322" s="1" t="str">
        <f>_xlfn.TEXTJOIN("",TRUE,El_unit[[#This Row],[Exact]],El_unit[[#This Row],[Exact+n]],El_unit[[#This Row],[Copilot]])</f>
        <v/>
      </c>
    </row>
    <row r="323" spans="1:17">
      <c r="A323" s="54" t="s">
        <v>570</v>
      </c>
      <c r="B323" s="22" t="s">
        <v>570</v>
      </c>
      <c r="C323" s="107" t="str" cm="1">
        <f t="array" ref="C323">" "&amp;LOWER(_xlfn.REDUCE(El_unit[[#This Row],[Location]],{",",".","(",")","/"},_xlfn.LAMBDA(_xlpm.txt,_xlpm.delim,SUBSTITUTE(_xlpm.txt,_xlpm.delim," "))))&amp;" "</f>
        <v xml:space="preserve"> paskoonharju 1 </v>
      </c>
      <c r="D323" s="22" t="s">
        <v>3066</v>
      </c>
      <c r="E323" s="1">
        <v>6.4</v>
      </c>
      <c r="F323" s="1">
        <v>0</v>
      </c>
      <c r="G323" s="1">
        <v>0</v>
      </c>
      <c r="H323" s="1">
        <v>6.4</v>
      </c>
      <c r="L323" s="1" t="str" cm="1">
        <f t="array" ref="L323">_xlfn.XLOOKUP(TRUE,ISNUMBER(SEARCH(" "&amp;Municipality[Municipality]&amp;" ",El_unit[[#This Row],[Info sting]])),Municipality[Municipality],"")</f>
        <v/>
      </c>
      <c r="M323" s="1" t="str" cm="1">
        <f t="array" ref="M323">IF(El_unit[[#This Row],[Exact]]&lt;&gt;"","",_xlfn.XLOOKUP(TRUE,ISNUMBER(SEARCH(" "&amp;Municipality[Municipality]&amp;"n ",El_unit[[#This Row],[Info sting]])),Municipality[Municipality],""))</f>
        <v/>
      </c>
      <c r="O323" s="35"/>
      <c r="Q323" s="1" t="str">
        <f>_xlfn.TEXTJOIN("",TRUE,El_unit[[#This Row],[Exact]],El_unit[[#This Row],[Exact+n]],El_unit[[#This Row],[Copilot]])</f>
        <v/>
      </c>
    </row>
    <row r="324" spans="1:17">
      <c r="A324" s="54" t="s">
        <v>571</v>
      </c>
      <c r="B324" s="22" t="s">
        <v>571</v>
      </c>
      <c r="C324" s="107" t="str" cm="1">
        <f t="array" ref="C324">" "&amp;LOWER(_xlfn.REDUCE(El_unit[[#This Row],[Location]],{",",".","(",")","/"},_xlfn.LAMBDA(_xlpm.txt,_xlpm.delim,SUBSTITUTE(_xlpm.txt,_xlpm.delim," "))))&amp;" "</f>
        <v xml:space="preserve"> paskoonharju 2 </v>
      </c>
      <c r="D324" s="22" t="s">
        <v>3066</v>
      </c>
      <c r="E324" s="1">
        <v>117.6</v>
      </c>
      <c r="F324" s="1">
        <v>0</v>
      </c>
      <c r="G324" s="1">
        <v>0</v>
      </c>
      <c r="H324" s="1">
        <v>117.6</v>
      </c>
      <c r="L324" s="1" t="str" cm="1">
        <f t="array" ref="L324">_xlfn.XLOOKUP(TRUE,ISNUMBER(SEARCH(" "&amp;Municipality[Municipality]&amp;" ",El_unit[[#This Row],[Info sting]])),Municipality[Municipality],"")</f>
        <v/>
      </c>
      <c r="M324" s="1" t="str" cm="1">
        <f t="array" ref="M324">IF(El_unit[[#This Row],[Exact]]&lt;&gt;"","",_xlfn.XLOOKUP(TRUE,ISNUMBER(SEARCH(" "&amp;Municipality[Municipality]&amp;"n ",El_unit[[#This Row],[Info sting]])),Municipality[Municipality],""))</f>
        <v/>
      </c>
      <c r="O324" s="35"/>
      <c r="Q324" s="1" t="str">
        <f>_xlfn.TEXTJOIN("",TRUE,El_unit[[#This Row],[Exact]],El_unit[[#This Row],[Exact+n]],El_unit[[#This Row],[Copilot]])</f>
        <v/>
      </c>
    </row>
    <row r="325" spans="1:17">
      <c r="A325" s="54" t="s">
        <v>317</v>
      </c>
      <c r="B325" s="22" t="s">
        <v>318</v>
      </c>
      <c r="C325" s="107" t="str" cm="1">
        <f t="array" ref="C325">" "&amp;LOWER(_xlfn.REDUCE(El_unit[[#This Row],[Location]],{",",".","(",")","/"},_xlfn.LAMBDA(_xlpm.txt,_xlpm.delim,SUBSTITUTE(_xlpm.txt,_xlpm.delim," "))))&amp;" "</f>
        <v xml:space="preserve"> patala </v>
      </c>
      <c r="D325" s="22" t="s">
        <v>3064</v>
      </c>
      <c r="E325" s="1">
        <v>2.4</v>
      </c>
      <c r="F325" s="1">
        <v>0</v>
      </c>
      <c r="G325" s="1">
        <v>0</v>
      </c>
      <c r="H325" s="1">
        <v>2.4</v>
      </c>
      <c r="L325" s="1" t="str" cm="1">
        <f t="array" ref="L325">_xlfn.XLOOKUP(TRUE,ISNUMBER(SEARCH(" "&amp;Municipality[Municipality]&amp;" ",El_unit[[#This Row],[Info sting]])),Municipality[Municipality],"")</f>
        <v/>
      </c>
      <c r="M325" s="1" t="str" cm="1">
        <f t="array" ref="M325">IF(El_unit[[#This Row],[Exact]]&lt;&gt;"","",_xlfn.XLOOKUP(TRUE,ISNUMBER(SEARCH(" "&amp;Municipality[Municipality]&amp;"n ",El_unit[[#This Row],[Info sting]])),Municipality[Municipality],""))</f>
        <v/>
      </c>
      <c r="O325" s="35"/>
      <c r="Q325" s="1" t="str">
        <f>_xlfn.TEXTJOIN("",TRUE,El_unit[[#This Row],[Exact]],El_unit[[#This Row],[Exact+n]],El_unit[[#This Row],[Copilot]])</f>
        <v/>
      </c>
    </row>
    <row r="326" spans="1:17">
      <c r="A326" s="54" t="s">
        <v>319</v>
      </c>
      <c r="B326" s="22" t="s">
        <v>320</v>
      </c>
      <c r="C326" s="107" t="str" cm="1">
        <f t="array" ref="C326">" "&amp;LOWER(_xlfn.REDUCE(El_unit[[#This Row],[Location]],{",",".","(",")","/"},_xlfn.LAMBDA(_xlpm.txt,_xlpm.delim,SUBSTITUTE(_xlpm.txt,_xlpm.delim," "))))&amp;" "</f>
        <v xml:space="preserve"> peltokoski  hållsnäsintie 7  10360 mustio </v>
      </c>
      <c r="D326" s="22" t="s">
        <v>3064</v>
      </c>
      <c r="E326" s="1">
        <v>2.2999999999999998</v>
      </c>
      <c r="F326" s="1">
        <v>0</v>
      </c>
      <c r="G326" s="1">
        <v>0</v>
      </c>
      <c r="H326" s="1">
        <v>2.2999999999999998</v>
      </c>
      <c r="L326" s="1" t="str" cm="1">
        <f t="array" ref="L326">_xlfn.XLOOKUP(TRUE,ISNUMBER(SEARCH(" "&amp;Municipality[Municipality]&amp;" ",El_unit[[#This Row],[Info sting]])),Municipality[Municipality],"")</f>
        <v/>
      </c>
      <c r="M326" s="1" t="str" cm="1">
        <f t="array" ref="M326">IF(El_unit[[#This Row],[Exact]]&lt;&gt;"","",_xlfn.XLOOKUP(TRUE,ISNUMBER(SEARCH(" "&amp;Municipality[Municipality]&amp;"n ",El_unit[[#This Row],[Info sting]])),Municipality[Municipality],""))</f>
        <v/>
      </c>
      <c r="N326" s="1" t="s">
        <v>2570</v>
      </c>
      <c r="O326" s="35" t="s">
        <v>3140</v>
      </c>
      <c r="P326" s="1" t="s">
        <v>3141</v>
      </c>
      <c r="Q326" s="1" t="str">
        <f>_xlfn.TEXTJOIN("",TRUE,El_unit[[#This Row],[Exact]],El_unit[[#This Row],[Exact+n]],El_unit[[#This Row],[Copilot]])</f>
        <v>Karjaa</v>
      </c>
    </row>
    <row r="327" spans="1:17">
      <c r="A327" s="54" t="s">
        <v>321</v>
      </c>
      <c r="B327" s="22" t="s">
        <v>321</v>
      </c>
      <c r="C327" s="107" t="str" cm="1">
        <f t="array" ref="C327">" "&amp;LOWER(_xlfn.REDUCE(El_unit[[#This Row],[Location]],{",",".","(",")","/"},_xlfn.LAMBDA(_xlpm.txt,_xlpm.delim,SUBSTITUTE(_xlpm.txt,_xlpm.delim," "))))&amp;" "</f>
        <v xml:space="preserve"> permantokoski </v>
      </c>
      <c r="D327" s="22" t="s">
        <v>3064</v>
      </c>
      <c r="E327" s="1">
        <v>14.1</v>
      </c>
      <c r="F327" s="1">
        <v>0</v>
      </c>
      <c r="G327" s="1">
        <v>0</v>
      </c>
      <c r="H327" s="1">
        <v>14.1</v>
      </c>
      <c r="L327" s="1" t="str" cm="1">
        <f t="array" ref="L327">_xlfn.XLOOKUP(TRUE,ISNUMBER(SEARCH(" "&amp;Municipality[Municipality]&amp;" ",El_unit[[#This Row],[Info sting]])),Municipality[Municipality],"")</f>
        <v/>
      </c>
      <c r="M327" s="1" t="str" cm="1">
        <f t="array" ref="M327">IF(El_unit[[#This Row],[Exact]]&lt;&gt;"","",_xlfn.XLOOKUP(TRUE,ISNUMBER(SEARCH(" "&amp;Municipality[Municipality]&amp;"n ",El_unit[[#This Row],[Info sting]])),Municipality[Municipality],""))</f>
        <v/>
      </c>
      <c r="N327" s="1" t="s">
        <v>2754</v>
      </c>
      <c r="O327" s="35" t="s">
        <v>3130</v>
      </c>
      <c r="Q327" s="1" t="str">
        <f>_xlfn.TEXTJOIN("",TRUE,El_unit[[#This Row],[Exact]],El_unit[[#This Row],[Exact+n]],El_unit[[#This Row],[Copilot]])</f>
        <v>Rovaniemi</v>
      </c>
    </row>
    <row r="328" spans="1:17">
      <c r="A328" s="54" t="s">
        <v>572</v>
      </c>
      <c r="B328" s="22" t="s">
        <v>750</v>
      </c>
      <c r="C328" s="107" t="str" cm="1">
        <f t="array" ref="C328">" "&amp;LOWER(_xlfn.REDUCE(El_unit[[#This Row],[Location]],{",",".","(",")","/"},_xlfn.LAMBDA(_xlpm.txt,_xlpm.delim,SUBSTITUTE(_xlpm.txt,_xlpm.delim," "))))&amp;" "</f>
        <v xml:space="preserve"> pettumäki teuva </v>
      </c>
      <c r="D328" s="22" t="s">
        <v>3066</v>
      </c>
      <c r="E328" s="1">
        <v>2.5</v>
      </c>
      <c r="F328" s="1">
        <v>0</v>
      </c>
      <c r="G328" s="1">
        <v>0</v>
      </c>
      <c r="H328" s="1">
        <v>2.5</v>
      </c>
      <c r="L328" s="1" t="str" cm="1">
        <f t="array" ref="L328">_xlfn.XLOOKUP(TRUE,ISNUMBER(SEARCH(" "&amp;Municipality[Municipality]&amp;" ",El_unit[[#This Row],[Info sting]])),Municipality[Municipality],"")</f>
        <v>Teuva</v>
      </c>
      <c r="M328" s="1" t="str" cm="1">
        <f t="array" ref="M328">IF(El_unit[[#This Row],[Exact]]&lt;&gt;"","",_xlfn.XLOOKUP(TRUE,ISNUMBER(SEARCH(" "&amp;Municipality[Municipality]&amp;"n ",El_unit[[#This Row],[Info sting]])),Municipality[Municipality],""))</f>
        <v/>
      </c>
      <c r="O328" s="35"/>
      <c r="Q328" s="1" t="str">
        <f>_xlfn.TEXTJOIN("",TRUE,El_unit[[#This Row],[Exact]],El_unit[[#This Row],[Exact+n]],El_unit[[#This Row],[Copilot]])</f>
        <v>Teuva</v>
      </c>
    </row>
    <row r="329" spans="1:17">
      <c r="A329" s="54" t="s">
        <v>322</v>
      </c>
      <c r="B329" s="22" t="s">
        <v>322</v>
      </c>
      <c r="C329" s="107" t="str" cm="1">
        <f t="array" ref="C329">" "&amp;LOWER(_xlfn.REDUCE(El_unit[[#This Row],[Location]],{",",".","(",")","/"},_xlfn.LAMBDA(_xlpm.txt,_xlpm.delim,SUBSTITUTE(_xlpm.txt,_xlpm.delim," "))))&amp;" "</f>
        <v xml:space="preserve"> petäjäskoski </v>
      </c>
      <c r="D329" s="22" t="s">
        <v>3064</v>
      </c>
      <c r="E329" s="1">
        <v>169</v>
      </c>
      <c r="F329" s="1">
        <v>0</v>
      </c>
      <c r="G329" s="1">
        <v>0</v>
      </c>
      <c r="H329" s="1">
        <v>169</v>
      </c>
      <c r="L329" s="1" t="str" cm="1">
        <f t="array" ref="L329">_xlfn.XLOOKUP(TRUE,ISNUMBER(SEARCH(" "&amp;Municipality[Municipality]&amp;" ",El_unit[[#This Row],[Info sting]])),Municipality[Municipality],"")</f>
        <v/>
      </c>
      <c r="M329" s="1" t="str" cm="1">
        <f t="array" ref="M329">IF(El_unit[[#This Row],[Exact]]&lt;&gt;"","",_xlfn.XLOOKUP(TRUE,ISNUMBER(SEARCH(" "&amp;Municipality[Municipality]&amp;"n ",El_unit[[#This Row],[Info sting]])),Municipality[Municipality],""))</f>
        <v/>
      </c>
      <c r="N329" s="1" t="s">
        <v>2754</v>
      </c>
      <c r="O329" s="35" t="s">
        <v>3130</v>
      </c>
      <c r="Q329" s="1" t="str">
        <f>_xlfn.TEXTJOIN("",TRUE,El_unit[[#This Row],[Exact]],El_unit[[#This Row],[Exact+n]],El_unit[[#This Row],[Copilot]])</f>
        <v>Rovaniemi</v>
      </c>
    </row>
    <row r="330" spans="1:17">
      <c r="A330" s="54" t="s">
        <v>1063</v>
      </c>
      <c r="B330" s="22" t="s">
        <v>1109</v>
      </c>
      <c r="C330" s="107" t="str" cm="1">
        <f t="array" ref="C330">" "&amp;LOWER(_xlfn.REDUCE(El_unit[[#This Row],[Location]],{",",".","(",")","/"},_xlfn.LAMBDA(_xlpm.txt,_xlpm.delim,SUBSTITUTE(_xlpm.txt,_xlpm.delim," "))))&amp;" "</f>
        <v xml:space="preserve"> pieksämäki  kutteritie 2a </v>
      </c>
      <c r="D330" s="22" t="s">
        <v>3067</v>
      </c>
      <c r="E330" s="1">
        <v>0</v>
      </c>
      <c r="F330" s="1">
        <v>0</v>
      </c>
      <c r="G330" s="1">
        <v>10</v>
      </c>
      <c r="H330" s="1">
        <v>10</v>
      </c>
      <c r="I330" s="1" t="s">
        <v>1015</v>
      </c>
      <c r="J330" s="1" t="s">
        <v>1022</v>
      </c>
      <c r="K330" s="1" t="s">
        <v>1016</v>
      </c>
      <c r="L330" s="1" t="str" cm="1">
        <f t="array" ref="L330">_xlfn.XLOOKUP(TRUE,ISNUMBER(SEARCH(" "&amp;Municipality[Municipality]&amp;" ",El_unit[[#This Row],[Info sting]])),Municipality[Municipality],"")</f>
        <v>Pieksämäki</v>
      </c>
      <c r="M330" s="1" t="str" cm="1">
        <f t="array" ref="M330">IF(El_unit[[#This Row],[Exact]]&lt;&gt;"","",_xlfn.XLOOKUP(TRUE,ISNUMBER(SEARCH(" "&amp;Municipality[Municipality]&amp;"n ",El_unit[[#This Row],[Info sting]])),Municipality[Municipality],""))</f>
        <v/>
      </c>
      <c r="O330" s="35"/>
      <c r="Q330" s="1" t="str">
        <f>_xlfn.TEXTJOIN("",TRUE,El_unit[[#This Row],[Exact]],El_unit[[#This Row],[Exact+n]],El_unit[[#This Row],[Copilot]])</f>
        <v>Pieksämäki</v>
      </c>
    </row>
    <row r="331" spans="1:17">
      <c r="A331" s="54" t="s">
        <v>934</v>
      </c>
      <c r="B331" s="22" t="s">
        <v>994</v>
      </c>
      <c r="C331" s="107" t="str" cm="1">
        <f t="array" ref="C331">" "&amp;LOWER(_xlfn.REDUCE(El_unit[[#This Row],[Location]],{",",".","(",")","/"},_xlfn.LAMBDA(_xlpm.txt,_xlpm.delim,SUBSTITUTE(_xlpm.txt,_xlpm.delim," "))))&amp;" "</f>
        <v xml:space="preserve"> pietarsaari </v>
      </c>
      <c r="D331" s="22" t="s">
        <v>3065</v>
      </c>
      <c r="E331" s="1">
        <v>0</v>
      </c>
      <c r="F331" s="1">
        <v>95</v>
      </c>
      <c r="G331" s="1">
        <v>0</v>
      </c>
      <c r="H331" s="1">
        <v>95</v>
      </c>
      <c r="I331" s="1" t="s">
        <v>1024</v>
      </c>
      <c r="J331" s="1" t="s">
        <v>1017</v>
      </c>
      <c r="K331" s="1" t="s">
        <v>1028</v>
      </c>
      <c r="L331" s="1" t="str" cm="1">
        <f t="array" ref="L331">_xlfn.XLOOKUP(TRUE,ISNUMBER(SEARCH(" "&amp;Municipality[Municipality]&amp;" ",El_unit[[#This Row],[Info sting]])),Municipality[Municipality],"")</f>
        <v>Pietarsaari</v>
      </c>
      <c r="M331" s="1" t="str" cm="1">
        <f t="array" ref="M331">IF(El_unit[[#This Row],[Exact]]&lt;&gt;"","",_xlfn.XLOOKUP(TRUE,ISNUMBER(SEARCH(" "&amp;Municipality[Municipality]&amp;"n ",El_unit[[#This Row],[Info sting]])),Municipality[Municipality],""))</f>
        <v/>
      </c>
      <c r="O331" s="35"/>
      <c r="Q331" s="1" t="str">
        <f>_xlfn.TEXTJOIN("",TRUE,El_unit[[#This Row],[Exact]],El_unit[[#This Row],[Exact+n]],El_unit[[#This Row],[Copilot]])</f>
        <v>Pietarsaari</v>
      </c>
    </row>
    <row r="332" spans="1:17">
      <c r="A332" s="54" t="s">
        <v>935</v>
      </c>
      <c r="B332" s="22" t="s">
        <v>995</v>
      </c>
      <c r="C332" s="107" t="str" cm="1">
        <f t="array" ref="C332">" "&amp;LOWER(_xlfn.REDUCE(El_unit[[#This Row],[Location]],{",",".","(",")","/"},_xlfn.LAMBDA(_xlpm.txt,_xlpm.delim,SUBSTITUTE(_xlpm.txt,_xlpm.delim," "))))&amp;" "</f>
        <v xml:space="preserve"> pori pihlava </v>
      </c>
      <c r="D332" s="22" t="s">
        <v>3065</v>
      </c>
      <c r="E332" s="1">
        <v>0</v>
      </c>
      <c r="F332" s="1">
        <v>0</v>
      </c>
      <c r="G332" s="1">
        <v>0</v>
      </c>
      <c r="H332" s="1">
        <v>0</v>
      </c>
      <c r="I332" s="1" t="s">
        <v>1016</v>
      </c>
      <c r="J332" s="1" t="s">
        <v>1017</v>
      </c>
      <c r="L332" s="1" t="str" cm="1">
        <f t="array" ref="L332">_xlfn.XLOOKUP(TRUE,ISNUMBER(SEARCH(" "&amp;Municipality[Municipality]&amp;" ",El_unit[[#This Row],[Info sting]])),Municipality[Municipality],"")</f>
        <v>Pori</v>
      </c>
      <c r="M332" s="1" t="str" cm="1">
        <f t="array" ref="M332">IF(El_unit[[#This Row],[Exact]]&lt;&gt;"","",_xlfn.XLOOKUP(TRUE,ISNUMBER(SEARCH(" "&amp;Municipality[Municipality]&amp;"n ",El_unit[[#This Row],[Info sting]])),Municipality[Municipality],""))</f>
        <v/>
      </c>
      <c r="O332" s="35"/>
      <c r="Q332" s="1" t="str">
        <f>_xlfn.TEXTJOIN("",TRUE,El_unit[[#This Row],[Exact]],El_unit[[#This Row],[Exact+n]],El_unit[[#This Row],[Copilot]])</f>
        <v>Pori</v>
      </c>
    </row>
    <row r="333" spans="1:17">
      <c r="A333" s="54" t="s">
        <v>573</v>
      </c>
      <c r="B333" s="22" t="s">
        <v>573</v>
      </c>
      <c r="C333" s="107" t="str" cm="1">
        <f t="array" ref="C333">" "&amp;LOWER(_xlfn.REDUCE(El_unit[[#This Row],[Location]],{",",".","(",")","/"},_xlfn.LAMBDA(_xlpm.txt,_xlpm.delim,SUBSTITUTE(_xlpm.txt,_xlpm.delim," "))))&amp;" "</f>
        <v xml:space="preserve"> pihtipudas </v>
      </c>
      <c r="D333" s="22" t="s">
        <v>3066</v>
      </c>
      <c r="E333" s="1">
        <v>30</v>
      </c>
      <c r="F333" s="1">
        <v>0</v>
      </c>
      <c r="G333" s="1">
        <v>0</v>
      </c>
      <c r="H333" s="1">
        <v>30</v>
      </c>
      <c r="L333" s="1" t="str" cm="1">
        <f t="array" ref="L333">_xlfn.XLOOKUP(TRUE,ISNUMBER(SEARCH(" "&amp;Municipality[Municipality]&amp;" ",El_unit[[#This Row],[Info sting]])),Municipality[Municipality],"")</f>
        <v>Pihtipudas</v>
      </c>
      <c r="M333" s="1" t="str" cm="1">
        <f t="array" ref="M333">IF(El_unit[[#This Row],[Exact]]&lt;&gt;"","",_xlfn.XLOOKUP(TRUE,ISNUMBER(SEARCH(" "&amp;Municipality[Municipality]&amp;"n ",El_unit[[#This Row],[Info sting]])),Municipality[Municipality],""))</f>
        <v/>
      </c>
      <c r="O333" s="35"/>
      <c r="Q333" s="1" t="str">
        <f>_xlfn.TEXTJOIN("",TRUE,El_unit[[#This Row],[Exact]],El_unit[[#This Row],[Exact+n]],El_unit[[#This Row],[Copilot]])</f>
        <v>Pihtipudas</v>
      </c>
    </row>
    <row r="334" spans="1:17">
      <c r="A334" s="54" t="s">
        <v>574</v>
      </c>
      <c r="B334" s="22" t="s">
        <v>751</v>
      </c>
      <c r="C334" s="107" t="str" cm="1">
        <f t="array" ref="C334">" "&amp;LOWER(_xlfn.REDUCE(El_unit[[#This Row],[Location]],{",",".","(",")","/"},_xlfn.LAMBDA(_xlpm.txt,_xlpm.delim,SUBSTITUTE(_xlpm.txt,_xlpm.delim," "))))&amp;" "</f>
        <v xml:space="preserve"> piiparinmäki  pyhäntä kajaani  piiparinmäen tuulipuisto </v>
      </c>
      <c r="D334" s="22" t="s">
        <v>3066</v>
      </c>
      <c r="E334" s="1">
        <v>211.4</v>
      </c>
      <c r="F334" s="1">
        <v>0</v>
      </c>
      <c r="G334" s="1">
        <v>0</v>
      </c>
      <c r="H334" s="1">
        <v>211.4</v>
      </c>
      <c r="L334" s="1" t="str" cm="1">
        <f t="array" ref="L334">_xlfn.XLOOKUP(TRUE,ISNUMBER(SEARCH(" "&amp;Municipality[Municipality]&amp;" ",El_unit[[#This Row],[Info sting]])),Municipality[Municipality],"")</f>
        <v>Kajaani</v>
      </c>
      <c r="M334" s="1" t="str" cm="1">
        <f t="array" ref="M334">IF(El_unit[[#This Row],[Exact]]&lt;&gt;"","",_xlfn.XLOOKUP(TRUE,ISNUMBER(SEARCH(" "&amp;Municipality[Municipality]&amp;"n ",El_unit[[#This Row],[Info sting]])),Municipality[Municipality],""))</f>
        <v/>
      </c>
      <c r="O334" s="35"/>
      <c r="Q334" s="1" t="str">
        <f>_xlfn.TEXTJOIN("",TRUE,El_unit[[#This Row],[Exact]],El_unit[[#This Row],[Exact+n]],El_unit[[#This Row],[Copilot]])</f>
        <v>Kajaani</v>
      </c>
    </row>
    <row r="335" spans="1:17">
      <c r="A335" s="54" t="s">
        <v>323</v>
      </c>
      <c r="B335" s="22" t="s">
        <v>323</v>
      </c>
      <c r="C335" s="107" t="str" cm="1">
        <f t="array" ref="C335">" "&amp;LOWER(_xlfn.REDUCE(El_unit[[#This Row],[Location]],{",",".","(",")","/"},_xlfn.LAMBDA(_xlpm.txt,_xlpm.delim,SUBSTITUTE(_xlpm.txt,_xlpm.delim," "))))&amp;" "</f>
        <v xml:space="preserve"> pirttikoski </v>
      </c>
      <c r="D335" s="22" t="s">
        <v>3064</v>
      </c>
      <c r="E335" s="1">
        <v>141</v>
      </c>
      <c r="F335" s="1">
        <v>0</v>
      </c>
      <c r="G335" s="1">
        <v>0</v>
      </c>
      <c r="H335" s="1">
        <v>141</v>
      </c>
      <c r="L335" s="1" t="str" cm="1">
        <f t="array" ref="L335">_xlfn.XLOOKUP(TRUE,ISNUMBER(SEARCH(" "&amp;Municipality[Municipality]&amp;" ",El_unit[[#This Row],[Info sting]])),Municipality[Municipality],"")</f>
        <v/>
      </c>
      <c r="M335" s="1" t="str" cm="1">
        <f t="array" ref="M335">IF(El_unit[[#This Row],[Exact]]&lt;&gt;"","",_xlfn.XLOOKUP(TRUE,ISNUMBER(SEARCH(" "&amp;Municipality[Municipality]&amp;"n ",El_unit[[#This Row],[Info sting]])),Municipality[Municipality],""))</f>
        <v/>
      </c>
      <c r="N335" s="1" t="s">
        <v>2754</v>
      </c>
      <c r="O335" s="35" t="s">
        <v>3130</v>
      </c>
      <c r="Q335" s="1" t="str">
        <f>_xlfn.TEXTJOIN("",TRUE,El_unit[[#This Row],[Exact]],El_unit[[#This Row],[Exact+n]],El_unit[[#This Row],[Copilot]])</f>
        <v>Rovaniemi</v>
      </c>
    </row>
    <row r="336" spans="1:17">
      <c r="A336" s="54" t="s">
        <v>575</v>
      </c>
      <c r="B336" s="22" t="s">
        <v>575</v>
      </c>
      <c r="C336" s="107" t="str" cm="1">
        <f t="array" ref="C336">" "&amp;LOWER(_xlfn.REDUCE(El_unit[[#This Row],[Location]],{",",".","(",")","/"},_xlfn.LAMBDA(_xlpm.txt,_xlpm.delim,SUBSTITUTE(_xlpm.txt,_xlpm.delim," "))))&amp;" "</f>
        <v xml:space="preserve"> pirttiselkä </v>
      </c>
      <c r="D336" s="22" t="s">
        <v>3066</v>
      </c>
      <c r="E336" s="1">
        <v>27.6</v>
      </c>
      <c r="F336" s="1">
        <v>0</v>
      </c>
      <c r="G336" s="1">
        <v>0</v>
      </c>
      <c r="H336" s="1">
        <v>27.6</v>
      </c>
      <c r="L336" s="1" t="str" cm="1">
        <f t="array" ref="L336">_xlfn.XLOOKUP(TRUE,ISNUMBER(SEARCH(" "&amp;Municipality[Municipality]&amp;" ",El_unit[[#This Row],[Info sting]])),Municipality[Municipality],"")</f>
        <v/>
      </c>
      <c r="M336" s="1" t="str" cm="1">
        <f t="array" ref="M336">IF(El_unit[[#This Row],[Exact]]&lt;&gt;"","",_xlfn.XLOOKUP(TRUE,ISNUMBER(SEARCH(" "&amp;Municipality[Municipality]&amp;"n ",El_unit[[#This Row],[Info sting]])),Municipality[Municipality],""))</f>
        <v/>
      </c>
      <c r="O336" s="35"/>
      <c r="Q336" s="1" t="str">
        <f>_xlfn.TEXTJOIN("",TRUE,El_unit[[#This Row],[Exact]],El_unit[[#This Row],[Exact+n]],El_unit[[#This Row],[Copilot]])</f>
        <v/>
      </c>
    </row>
    <row r="337" spans="1:17">
      <c r="A337" s="54" t="s">
        <v>324</v>
      </c>
      <c r="B337" s="22" t="s">
        <v>325</v>
      </c>
      <c r="C337" s="107" t="str" cm="1">
        <f t="array" ref="C337">" "&amp;LOWER(_xlfn.REDUCE(El_unit[[#This Row],[Location]],{",",".","(",")","/"},_xlfn.LAMBDA(_xlpm.txt,_xlpm.delim,SUBSTITUTE(_xlpm.txt,_xlpm.delim," "))))&amp;" "</f>
        <v xml:space="preserve"> pitkämö  myllykyläntie 596  61300 kurikka </v>
      </c>
      <c r="D337" s="22" t="s">
        <v>3064</v>
      </c>
      <c r="E337" s="1">
        <v>6.3</v>
      </c>
      <c r="F337" s="1">
        <v>0</v>
      </c>
      <c r="G337" s="1">
        <v>0</v>
      </c>
      <c r="H337" s="1">
        <v>6.3</v>
      </c>
      <c r="L337" s="1" t="str" cm="1">
        <f t="array" ref="L337">_xlfn.XLOOKUP(TRUE,ISNUMBER(SEARCH(" "&amp;Municipality[Municipality]&amp;" ",El_unit[[#This Row],[Info sting]])),Municipality[Municipality],"")</f>
        <v>Kurikka</v>
      </c>
      <c r="M337" s="1" t="str" cm="1">
        <f t="array" ref="M337">IF(El_unit[[#This Row],[Exact]]&lt;&gt;"","",_xlfn.XLOOKUP(TRUE,ISNUMBER(SEARCH(" "&amp;Municipality[Municipality]&amp;"n ",El_unit[[#This Row],[Info sting]])),Municipality[Municipality],""))</f>
        <v/>
      </c>
      <c r="O337" s="35"/>
      <c r="Q337" s="1" t="str">
        <f>_xlfn.TEXTJOIN("",TRUE,El_unit[[#This Row],[Exact]],El_unit[[#This Row],[Exact+n]],El_unit[[#This Row],[Copilot]])</f>
        <v>Kurikka</v>
      </c>
    </row>
    <row r="338" spans="1:17">
      <c r="A338" s="54" t="s">
        <v>576</v>
      </c>
      <c r="B338" s="22" t="s">
        <v>752</v>
      </c>
      <c r="C338" s="107" t="str" cm="1">
        <f t="array" ref="C338">" "&amp;LOWER(_xlfn.REDUCE(El_unit[[#This Row],[Location]],{",",".","(",")","/"},_xlfn.LAMBDA(_xlpm.txt,_xlpm.delim,SUBSTITUTE(_xlpm.txt,_xlpm.delim," "))))&amp;" "</f>
        <v xml:space="preserve"> riksåtten 664  64200 närpes </v>
      </c>
      <c r="D338" s="22" t="s">
        <v>3066</v>
      </c>
      <c r="E338" s="1">
        <v>380</v>
      </c>
      <c r="F338" s="1">
        <v>0</v>
      </c>
      <c r="G338" s="1">
        <v>0</v>
      </c>
      <c r="H338" s="1">
        <v>380</v>
      </c>
      <c r="L338" s="1" t="str" cm="1">
        <f t="array" ref="L338">_xlfn.XLOOKUP(TRUE,ISNUMBER(SEARCH(" "&amp;Municipality[Municipality]&amp;" ",El_unit[[#This Row],[Info sting]])),Municipality[Municipality],"")</f>
        <v/>
      </c>
      <c r="M338" s="1" t="str" cm="1">
        <f t="array" ref="M338">IF(El_unit[[#This Row],[Exact]]&lt;&gt;"","",_xlfn.XLOOKUP(TRUE,ISNUMBER(SEARCH(" "&amp;Municipality[Municipality]&amp;"n ",El_unit[[#This Row],[Info sting]])),Municipality[Municipality],""))</f>
        <v/>
      </c>
      <c r="O338" s="35"/>
      <c r="Q338" s="1" t="str">
        <f>_xlfn.TEXTJOIN("",TRUE,El_unit[[#This Row],[Exact]],El_unit[[#This Row],[Exact+n]],El_unit[[#This Row],[Copilot]])</f>
        <v/>
      </c>
    </row>
    <row r="339" spans="1:17">
      <c r="A339" s="54" t="s">
        <v>577</v>
      </c>
      <c r="B339" s="22" t="s">
        <v>753</v>
      </c>
      <c r="C339" s="107" t="str" cm="1">
        <f t="array" ref="C339">" "&amp;LOWER(_xlfn.REDUCE(El_unit[[#This Row],[Location]],{",",".","(",")","/"},_xlfn.LAMBDA(_xlpm.txt,_xlpm.delim,SUBSTITUTE(_xlpm.txt,_xlpm.delim," "))))&amp;" "</f>
        <v xml:space="preserve"> polusjärven tuulipuisto  pyhäjoku </v>
      </c>
      <c r="D339" s="22" t="s">
        <v>3066</v>
      </c>
      <c r="E339" s="1">
        <v>43</v>
      </c>
      <c r="F339" s="1">
        <v>0</v>
      </c>
      <c r="G339" s="1">
        <v>0</v>
      </c>
      <c r="H339" s="1">
        <v>43</v>
      </c>
      <c r="L339" s="1" t="str" cm="1">
        <f t="array" ref="L339">_xlfn.XLOOKUP(TRUE,ISNUMBER(SEARCH(" "&amp;Municipality[Municipality]&amp;" ",El_unit[[#This Row],[Info sting]])),Municipality[Municipality],"")</f>
        <v/>
      </c>
      <c r="M339" s="1" t="str" cm="1">
        <f t="array" ref="M339">IF(El_unit[[#This Row],[Exact]]&lt;&gt;"","",_xlfn.XLOOKUP(TRUE,ISNUMBER(SEARCH(" "&amp;Municipality[Municipality]&amp;"n ",El_unit[[#This Row],[Info sting]])),Municipality[Municipality],""))</f>
        <v/>
      </c>
      <c r="O339" s="35"/>
      <c r="Q339" s="1" t="str">
        <f>_xlfn.TEXTJOIN("",TRUE,El_unit[[#This Row],[Exact]],El_unit[[#This Row],[Exact+n]],El_unit[[#This Row],[Copilot]])</f>
        <v/>
      </c>
    </row>
    <row r="340" spans="1:17">
      <c r="A340" s="54" t="s">
        <v>578</v>
      </c>
      <c r="B340" s="22" t="s">
        <v>754</v>
      </c>
      <c r="C340" s="107" t="str" cm="1">
        <f t="array" ref="C340">" "&amp;LOWER(_xlfn.REDUCE(El_unit[[#This Row],[Location]],{",",".","(",")","/"},_xlfn.LAMBDA(_xlpm.txt,_xlpm.delim,SUBSTITUTE(_xlpm.txt,_xlpm.delim," "))))&amp;" "</f>
        <v xml:space="preserve"> ponsivuori </v>
      </c>
      <c r="D340" s="22" t="s">
        <v>3066</v>
      </c>
      <c r="E340" s="1">
        <v>29.5</v>
      </c>
      <c r="F340" s="1">
        <v>0</v>
      </c>
      <c r="G340" s="1">
        <v>0</v>
      </c>
      <c r="H340" s="1">
        <v>29.5</v>
      </c>
      <c r="L340" s="1" t="str" cm="1">
        <f t="array" ref="L340">_xlfn.XLOOKUP(TRUE,ISNUMBER(SEARCH(" "&amp;Municipality[Municipality]&amp;" ",El_unit[[#This Row],[Info sting]])),Municipality[Municipality],"")</f>
        <v/>
      </c>
      <c r="M340" s="1" t="str" cm="1">
        <f t="array" ref="M340">IF(El_unit[[#This Row],[Exact]]&lt;&gt;"","",_xlfn.XLOOKUP(TRUE,ISNUMBER(SEARCH(" "&amp;Municipality[Municipality]&amp;"n ",El_unit[[#This Row],[Info sting]])),Municipality[Municipality],""))</f>
        <v/>
      </c>
      <c r="O340" s="35"/>
      <c r="Q340" s="1" t="str">
        <f>_xlfn.TEXTJOIN("",TRUE,El_unit[[#This Row],[Exact]],El_unit[[#This Row],[Exact+n]],El_unit[[#This Row],[Copilot]])</f>
        <v/>
      </c>
    </row>
    <row r="341" spans="1:17">
      <c r="A341" s="54" t="s">
        <v>936</v>
      </c>
      <c r="B341" s="22" t="s">
        <v>996</v>
      </c>
      <c r="C341" s="107" t="str" cm="1">
        <f t="array" ref="C341">" "&amp;LOWER(_xlfn.REDUCE(El_unit[[#This Row],[Location]],{",",".","(",")","/"},_xlfn.LAMBDA(_xlpm.txt,_xlpm.delim,SUBSTITUTE(_xlpm.txt,_xlpm.delim," "))))&amp;" "</f>
        <v xml:space="preserve"> titaanitie  28840 pori </v>
      </c>
      <c r="D341" s="22" t="s">
        <v>3065</v>
      </c>
      <c r="E341" s="1">
        <v>0</v>
      </c>
      <c r="F341" s="1">
        <v>81.400000000000006</v>
      </c>
      <c r="G341" s="1">
        <v>0</v>
      </c>
      <c r="H341" s="1">
        <v>81.400000000000006</v>
      </c>
      <c r="L341" s="1" t="str" cm="1">
        <f t="array" ref="L341">_xlfn.XLOOKUP(TRUE,ISNUMBER(SEARCH(" "&amp;Municipality[Municipality]&amp;" ",El_unit[[#This Row],[Info sting]])),Municipality[Municipality],"")</f>
        <v>Pori</v>
      </c>
      <c r="M341" s="1" t="str" cm="1">
        <f t="array" ref="M341">IF(El_unit[[#This Row],[Exact]]&lt;&gt;"","",_xlfn.XLOOKUP(TRUE,ISNUMBER(SEARCH(" "&amp;Municipality[Municipality]&amp;"n ",El_unit[[#This Row],[Info sting]])),Municipality[Municipality],""))</f>
        <v/>
      </c>
      <c r="O341" s="35"/>
      <c r="Q341" s="1" t="str">
        <f>_xlfn.TEXTJOIN("",TRUE,El_unit[[#This Row],[Exact]],El_unit[[#This Row],[Exact+n]],El_unit[[#This Row],[Copilot]])</f>
        <v>Pori</v>
      </c>
    </row>
    <row r="342" spans="1:17">
      <c r="A342" s="54" t="s">
        <v>579</v>
      </c>
      <c r="B342" s="22" t="s">
        <v>579</v>
      </c>
      <c r="C342" s="107" t="str" cm="1">
        <f t="array" ref="C342">" "&amp;LOWER(_xlfn.REDUCE(El_unit[[#This Row],[Location]],{",",".","(",")","/"},_xlfn.LAMBDA(_xlpm.txt,_xlpm.delim,SUBSTITUTE(_xlpm.txt,_xlpm.delim," "))))&amp;" "</f>
        <v xml:space="preserve"> pori kirrinsanta </v>
      </c>
      <c r="D342" s="22" t="s">
        <v>3066</v>
      </c>
      <c r="E342" s="1">
        <v>6.6</v>
      </c>
      <c r="F342" s="1">
        <v>0</v>
      </c>
      <c r="G342" s="1">
        <v>0</v>
      </c>
      <c r="H342" s="1">
        <v>6.6</v>
      </c>
      <c r="L342" s="1" t="str" cm="1">
        <f t="array" ref="L342">_xlfn.XLOOKUP(TRUE,ISNUMBER(SEARCH(" "&amp;Municipality[Municipality]&amp;" ",El_unit[[#This Row],[Info sting]])),Municipality[Municipality],"")</f>
        <v>Pori</v>
      </c>
      <c r="M342" s="1" t="str" cm="1">
        <f t="array" ref="M342">IF(El_unit[[#This Row],[Exact]]&lt;&gt;"","",_xlfn.XLOOKUP(TRUE,ISNUMBER(SEARCH(" "&amp;Municipality[Municipality]&amp;"n ",El_unit[[#This Row],[Info sting]])),Municipality[Municipality],""))</f>
        <v/>
      </c>
      <c r="O342" s="35"/>
      <c r="Q342" s="1" t="str">
        <f>_xlfn.TEXTJOIN("",TRUE,El_unit[[#This Row],[Exact]],El_unit[[#This Row],[Exact+n]],El_unit[[#This Row],[Copilot]])</f>
        <v>Pori</v>
      </c>
    </row>
    <row r="343" spans="1:17">
      <c r="A343" s="54" t="s">
        <v>580</v>
      </c>
      <c r="B343" s="22" t="s">
        <v>580</v>
      </c>
      <c r="C343" s="107" t="str" cm="1">
        <f t="array" ref="C343">" "&amp;LOWER(_xlfn.REDUCE(El_unit[[#This Row],[Location]],{",",".","(",")","/"},_xlfn.LAMBDA(_xlpm.txt,_xlpm.delim,SUBSTITUTE(_xlpm.txt,_xlpm.delim," "))))&amp;" "</f>
        <v xml:space="preserve"> pori peittoo </v>
      </c>
      <c r="D343" s="22" t="s">
        <v>3066</v>
      </c>
      <c r="E343" s="1">
        <v>54</v>
      </c>
      <c r="F343" s="1">
        <v>0</v>
      </c>
      <c r="G343" s="1">
        <v>0</v>
      </c>
      <c r="H343" s="1">
        <v>54</v>
      </c>
      <c r="L343" s="1" t="str" cm="1">
        <f t="array" ref="L343">_xlfn.XLOOKUP(TRUE,ISNUMBER(SEARCH(" "&amp;Municipality[Municipality]&amp;" ",El_unit[[#This Row],[Info sting]])),Municipality[Municipality],"")</f>
        <v>Pori</v>
      </c>
      <c r="M343" s="1" t="str" cm="1">
        <f t="array" ref="M343">IF(El_unit[[#This Row],[Exact]]&lt;&gt;"","",_xlfn.XLOOKUP(TRUE,ISNUMBER(SEARCH(" "&amp;Municipality[Municipality]&amp;"n ",El_unit[[#This Row],[Info sting]])),Municipality[Municipality],""))</f>
        <v/>
      </c>
      <c r="O343" s="35"/>
      <c r="Q343" s="1" t="str">
        <f>_xlfn.TEXTJOIN("",TRUE,El_unit[[#This Row],[Exact]],El_unit[[#This Row],[Exact+n]],El_unit[[#This Row],[Copilot]])</f>
        <v>Pori</v>
      </c>
    </row>
    <row r="344" spans="1:17">
      <c r="A344" s="54" t="s">
        <v>581</v>
      </c>
      <c r="B344" s="22" t="s">
        <v>755</v>
      </c>
      <c r="C344" s="107" t="str" cm="1">
        <f t="array" ref="C344">" "&amp;LOWER(_xlfn.REDUCE(El_unit[[#This Row],[Location]],{",",".","(",")","/"},_xlfn.LAMBDA(_xlpm.txt,_xlpm.delim,SUBSTITUTE(_xlpm.txt,_xlpm.delim," "))))&amp;" "</f>
        <v xml:space="preserve"> pori  tahkoluoto   reposaari  </v>
      </c>
      <c r="D344" s="22" t="s">
        <v>3066</v>
      </c>
      <c r="E344" s="1">
        <v>6</v>
      </c>
      <c r="F344" s="1">
        <v>0</v>
      </c>
      <c r="G344" s="1">
        <v>0</v>
      </c>
      <c r="H344" s="1">
        <v>6</v>
      </c>
      <c r="L344" s="1" t="str" cm="1">
        <f t="array" ref="L344">_xlfn.XLOOKUP(TRUE,ISNUMBER(SEARCH(" "&amp;Municipality[Municipality]&amp;" ",El_unit[[#This Row],[Info sting]])),Municipality[Municipality],"")</f>
        <v>Pori</v>
      </c>
      <c r="M344" s="1" t="str" cm="1">
        <f t="array" ref="M344">IF(El_unit[[#This Row],[Exact]]&lt;&gt;"","",_xlfn.XLOOKUP(TRUE,ISNUMBER(SEARCH(" "&amp;Municipality[Municipality]&amp;"n ",El_unit[[#This Row],[Info sting]])),Municipality[Municipality],""))</f>
        <v/>
      </c>
      <c r="O344" s="35"/>
      <c r="Q344" s="1" t="str">
        <f>_xlfn.TEXTJOIN("",TRUE,El_unit[[#This Row],[Exact]],El_unit[[#This Row],[Exact+n]],El_unit[[#This Row],[Copilot]])</f>
        <v>Pori</v>
      </c>
    </row>
    <row r="345" spans="1:17">
      <c r="A345" s="54" t="s">
        <v>582</v>
      </c>
      <c r="B345" s="22" t="s">
        <v>756</v>
      </c>
      <c r="C345" s="107" t="str" cm="1">
        <f t="array" ref="C345">" "&amp;LOWER(_xlfn.REDUCE(El_unit[[#This Row],[Location]],{",",".","(",")","/"},_xlfn.LAMBDA(_xlpm.txt,_xlpm.delim,SUBSTITUTE(_xlpm.txt,_xlpm.delim," "))))&amp;" "</f>
        <v xml:space="preserve"> tahkoluodon syväsatama tuulivoimala 10 </v>
      </c>
      <c r="D345" s="22" t="s">
        <v>3066</v>
      </c>
      <c r="E345" s="1">
        <v>3</v>
      </c>
      <c r="F345" s="1">
        <v>0</v>
      </c>
      <c r="G345" s="1">
        <v>0</v>
      </c>
      <c r="H345" s="1">
        <v>3</v>
      </c>
      <c r="L345" s="1" t="str" cm="1">
        <f t="array" ref="L345">_xlfn.XLOOKUP(TRUE,ISNUMBER(SEARCH(" "&amp;Municipality[Municipality]&amp;" ",El_unit[[#This Row],[Info sting]])),Municipality[Municipality],"")</f>
        <v/>
      </c>
      <c r="M345" s="1" t="str" cm="1">
        <f t="array" ref="M345">IF(El_unit[[#This Row],[Exact]]&lt;&gt;"","",_xlfn.XLOOKUP(TRUE,ISNUMBER(SEARCH(" "&amp;Municipality[Municipality]&amp;"n ",El_unit[[#This Row],[Info sting]])),Municipality[Municipality],""))</f>
        <v/>
      </c>
      <c r="O345" s="35"/>
      <c r="Q345" s="1" t="str">
        <f>_xlfn.TEXTJOIN("",TRUE,El_unit[[#This Row],[Exact]],El_unit[[#This Row],[Exact+n]],El_unit[[#This Row],[Copilot]])</f>
        <v/>
      </c>
    </row>
    <row r="346" spans="1:17">
      <c r="A346" s="54" t="s">
        <v>326</v>
      </c>
      <c r="B346" s="22" t="s">
        <v>326</v>
      </c>
      <c r="C346" s="107" t="str" cm="1">
        <f t="array" ref="C346">" "&amp;LOWER(_xlfn.REDUCE(El_unit[[#This Row],[Location]],{",",".","(",")","/"},_xlfn.LAMBDA(_xlpm.txt,_xlpm.delim,SUBSTITUTE(_xlpm.txt,_xlpm.delim," "))))&amp;" "</f>
        <v xml:space="preserve"> portimokoski </v>
      </c>
      <c r="D346" s="22" t="s">
        <v>3064</v>
      </c>
      <c r="E346" s="1">
        <v>11</v>
      </c>
      <c r="F346" s="1">
        <v>0</v>
      </c>
      <c r="G346" s="1">
        <v>0</v>
      </c>
      <c r="H346" s="1">
        <v>11</v>
      </c>
      <c r="L346" s="1" t="str" cm="1">
        <f t="array" ref="L346">_xlfn.XLOOKUP(TRUE,ISNUMBER(SEARCH(" "&amp;Municipality[Municipality]&amp;" ",El_unit[[#This Row],[Info sting]])),Municipality[Municipality],"")</f>
        <v/>
      </c>
      <c r="M346" s="1" t="str" cm="1">
        <f t="array" ref="M346">IF(El_unit[[#This Row],[Exact]]&lt;&gt;"","",_xlfn.XLOOKUP(TRUE,ISNUMBER(SEARCH(" "&amp;Municipality[Municipality]&amp;"n ",El_unit[[#This Row],[Info sting]])),Municipality[Municipality],""))</f>
        <v/>
      </c>
      <c r="N346" s="1" t="s">
        <v>2858</v>
      </c>
      <c r="O346" s="35" t="s">
        <v>3142</v>
      </c>
      <c r="Q346" s="1" t="str">
        <f>_xlfn.TEXTJOIN("",TRUE,El_unit[[#This Row],[Exact]],El_unit[[#This Row],[Exact+n]],El_unit[[#This Row],[Copilot]])</f>
        <v>Ylitornio</v>
      </c>
    </row>
    <row r="347" spans="1:17">
      <c r="A347" s="54" t="s">
        <v>327</v>
      </c>
      <c r="B347" s="22" t="s">
        <v>327</v>
      </c>
      <c r="C347" s="107" t="str" cm="1">
        <f t="array" ref="C347">" "&amp;LOWER(_xlfn.REDUCE(El_unit[[#This Row],[Location]],{",",".","(",")","/"},_xlfn.LAMBDA(_xlpm.txt,_xlpm.delim,SUBSTITUTE(_xlpm.txt,_xlpm.delim," "))))&amp;" "</f>
        <v xml:space="preserve"> porttipahta </v>
      </c>
      <c r="D347" s="22" t="s">
        <v>3064</v>
      </c>
      <c r="E347" s="1">
        <v>40</v>
      </c>
      <c r="F347" s="1">
        <v>0</v>
      </c>
      <c r="G347" s="1">
        <v>0</v>
      </c>
      <c r="H347" s="1">
        <v>40</v>
      </c>
      <c r="L347" s="1" t="str" cm="1">
        <f t="array" ref="L347">_xlfn.XLOOKUP(TRUE,ISNUMBER(SEARCH(" "&amp;Municipality[Municipality]&amp;" ",El_unit[[#This Row],[Info sting]])),Municipality[Municipality],"")</f>
        <v/>
      </c>
      <c r="M347" s="1" t="str" cm="1">
        <f t="array" ref="M347">IF(El_unit[[#This Row],[Exact]]&lt;&gt;"","",_xlfn.XLOOKUP(TRUE,ISNUMBER(SEARCH(" "&amp;Municipality[Municipality]&amp;"n ",El_unit[[#This Row],[Info sting]])),Municipality[Municipality],""))</f>
        <v/>
      </c>
      <c r="N347" s="1" t="s">
        <v>2775</v>
      </c>
      <c r="O347" s="35" t="s">
        <v>3130</v>
      </c>
      <c r="Q347" s="1" t="str">
        <f>_xlfn.TEXTJOIN("",TRUE,El_unit[[#This Row],[Exact]],El_unit[[#This Row],[Exact+n]],El_unit[[#This Row],[Copilot]])</f>
        <v>Sodankylä</v>
      </c>
    </row>
    <row r="348" spans="1:17">
      <c r="A348" s="54" t="s">
        <v>583</v>
      </c>
      <c r="B348" s="22" t="s">
        <v>757</v>
      </c>
      <c r="C348" s="107" t="str" cm="1">
        <f t="array" ref="C348">" "&amp;LOWER(_xlfn.REDUCE(El_unit[[#This Row],[Location]],{",",".","(",")","/"},_xlfn.LAMBDA(_xlpm.txt,_xlpm.delim,SUBSTITUTE(_xlpm.txt,_xlpm.delim," "))))&amp;" "</f>
        <v xml:space="preserve"> kilpilahti kt vvl </v>
      </c>
      <c r="D348" s="22" t="s">
        <v>3068</v>
      </c>
      <c r="E348" s="1">
        <v>27</v>
      </c>
      <c r="F348" s="1">
        <v>0</v>
      </c>
      <c r="G348" s="1">
        <v>0</v>
      </c>
      <c r="H348" s="1">
        <v>27</v>
      </c>
      <c r="I348" s="1" t="s">
        <v>1020</v>
      </c>
      <c r="L348" s="1" t="str" cm="1">
        <f t="array" ref="L348">_xlfn.XLOOKUP(TRUE,ISNUMBER(SEARCH(" "&amp;Municipality[Municipality]&amp;" ",El_unit[[#This Row],[Info sting]])),Municipality[Municipality],"")</f>
        <v/>
      </c>
      <c r="M348" s="1" t="str" cm="1">
        <f t="array" ref="M348">IF(El_unit[[#This Row],[Exact]]&lt;&gt;"","",_xlfn.XLOOKUP(TRUE,ISNUMBER(SEARCH(" "&amp;Municipality[Municipality]&amp;"n ",El_unit[[#This Row],[Info sting]])),Municipality[Municipality],""))</f>
        <v/>
      </c>
      <c r="N348" s="1" t="s">
        <v>984</v>
      </c>
      <c r="O348" s="35"/>
      <c r="P348" s="1" t="s">
        <v>3093</v>
      </c>
      <c r="Q348" s="1" t="str">
        <f>_xlfn.TEXTJOIN("",TRUE,El_unit[[#This Row],[Exact]],El_unit[[#This Row],[Exact+n]],El_unit[[#This Row],[Copilot]])</f>
        <v>Porvoo</v>
      </c>
    </row>
    <row r="349" spans="1:17">
      <c r="A349" s="54" t="s">
        <v>937</v>
      </c>
      <c r="B349" s="22" t="s">
        <v>937</v>
      </c>
      <c r="C349" s="107" t="str" cm="1">
        <f t="array" ref="C349">" "&amp;LOWER(_xlfn.REDUCE(El_unit[[#This Row],[Location]],{",",".","(",")","/"},_xlfn.LAMBDA(_xlpm.txt,_xlpm.delim,SUBSTITUTE(_xlpm.txt,_xlpm.delim," "))))&amp;" "</f>
        <v xml:space="preserve"> porvoo kt 2 </v>
      </c>
      <c r="D349" s="22" t="s">
        <v>3065</v>
      </c>
      <c r="E349" s="1">
        <v>0</v>
      </c>
      <c r="F349" s="1">
        <v>48</v>
      </c>
      <c r="G349" s="1">
        <v>0</v>
      </c>
      <c r="H349" s="1">
        <v>48</v>
      </c>
      <c r="I349" s="1" t="s">
        <v>1023</v>
      </c>
      <c r="J349" s="1" t="s">
        <v>1020</v>
      </c>
      <c r="L349" s="1" t="str" cm="1">
        <f t="array" ref="L349">_xlfn.XLOOKUP(TRUE,ISNUMBER(SEARCH(" "&amp;Municipality[Municipality]&amp;" ",El_unit[[#This Row],[Info sting]])),Municipality[Municipality],"")</f>
        <v>Porvoo</v>
      </c>
      <c r="M349" s="1" t="str" cm="1">
        <f t="array" ref="M349">IF(El_unit[[#This Row],[Exact]]&lt;&gt;"","",_xlfn.XLOOKUP(TRUE,ISNUMBER(SEARCH(" "&amp;Municipality[Municipality]&amp;"n ",El_unit[[#This Row],[Info sting]])),Municipality[Municipality],""))</f>
        <v/>
      </c>
      <c r="O349" s="35"/>
      <c r="Q349" s="1" t="str">
        <f>_xlfn.TEXTJOIN("",TRUE,El_unit[[#This Row],[Exact]],El_unit[[#This Row],[Exact+n]],El_unit[[#This Row],[Copilot]])</f>
        <v>Porvoo</v>
      </c>
    </row>
    <row r="350" spans="1:17">
      <c r="A350" s="54" t="s">
        <v>938</v>
      </c>
      <c r="B350" s="22" t="s">
        <v>938</v>
      </c>
      <c r="C350" s="107" t="str" cm="1">
        <f t="array" ref="C350">" "&amp;LOWER(_xlfn.REDUCE(El_unit[[#This Row],[Location]],{",",".","(",")","/"},_xlfn.LAMBDA(_xlpm.txt,_xlpm.delim,SUBSTITUTE(_xlpm.txt,_xlpm.delim," "))))&amp;" "</f>
        <v xml:space="preserve"> porvoo kt 3 </v>
      </c>
      <c r="D350" s="22" t="s">
        <v>3065</v>
      </c>
      <c r="E350" s="1">
        <v>0</v>
      </c>
      <c r="F350" s="1">
        <v>72.599999999999994</v>
      </c>
      <c r="G350" s="1">
        <v>0</v>
      </c>
      <c r="H350" s="1">
        <v>72.599999999999994</v>
      </c>
      <c r="I350" s="1" t="s">
        <v>1023</v>
      </c>
      <c r="J350" s="1" t="s">
        <v>1020</v>
      </c>
      <c r="L350" s="1" t="str" cm="1">
        <f t="array" ref="L350">_xlfn.XLOOKUP(TRUE,ISNUMBER(SEARCH(" "&amp;Municipality[Municipality]&amp;" ",El_unit[[#This Row],[Info sting]])),Municipality[Municipality],"")</f>
        <v>Porvoo</v>
      </c>
      <c r="M350" s="1" t="str" cm="1">
        <f t="array" ref="M350">IF(El_unit[[#This Row],[Exact]]&lt;&gt;"","",_xlfn.XLOOKUP(TRUE,ISNUMBER(SEARCH(" "&amp;Municipality[Municipality]&amp;"n ",El_unit[[#This Row],[Info sting]])),Municipality[Municipality],""))</f>
        <v/>
      </c>
      <c r="O350" s="35"/>
      <c r="Q350" s="1" t="str">
        <f>_xlfn.TEXTJOIN("",TRUE,El_unit[[#This Row],[Exact]],El_unit[[#This Row],[Exact+n]],El_unit[[#This Row],[Copilot]])</f>
        <v>Porvoo</v>
      </c>
    </row>
    <row r="351" spans="1:17">
      <c r="A351" s="54" t="s">
        <v>584</v>
      </c>
      <c r="B351" s="22" t="s">
        <v>758</v>
      </c>
      <c r="C351" s="107" t="str" cm="1">
        <f t="array" ref="C351">" "&amp;LOWER(_xlfn.REDUCE(El_unit[[#This Row],[Location]],{",",".","(",")","/"},_xlfn.LAMBDA(_xlpm.txt,_xlpm.delim,SUBSTITUTE(_xlpm.txt,_xlpm.delim," "))))&amp;" "</f>
        <v xml:space="preserve"> tolkkinen kt </v>
      </c>
      <c r="D351" s="22" t="s">
        <v>3068</v>
      </c>
      <c r="E351" s="1">
        <v>80</v>
      </c>
      <c r="F351" s="1">
        <v>0</v>
      </c>
      <c r="G351" s="1">
        <v>0</v>
      </c>
      <c r="H351" s="1">
        <v>80</v>
      </c>
      <c r="I351" s="1" t="s">
        <v>1020</v>
      </c>
      <c r="L351" s="1" t="str" cm="1">
        <f t="array" ref="L351">_xlfn.XLOOKUP(TRUE,ISNUMBER(SEARCH(" "&amp;Municipality[Municipality]&amp;" ",El_unit[[#This Row],[Info sting]])),Municipality[Municipality],"")</f>
        <v/>
      </c>
      <c r="M351" s="1" t="str" cm="1">
        <f t="array" ref="M351">IF(El_unit[[#This Row],[Exact]]&lt;&gt;"","",_xlfn.XLOOKUP(TRUE,ISNUMBER(SEARCH(" "&amp;Municipality[Municipality]&amp;"n ",El_unit[[#This Row],[Info sting]])),Municipality[Municipality],""))</f>
        <v/>
      </c>
      <c r="N351" s="1" t="s">
        <v>984</v>
      </c>
      <c r="O351" s="35"/>
      <c r="P351" s="1" t="s">
        <v>3093</v>
      </c>
      <c r="Q351" s="1" t="str">
        <f>_xlfn.TEXTJOIN("",TRUE,El_unit[[#This Row],[Exact]],El_unit[[#This Row],[Exact+n]],El_unit[[#This Row],[Copilot]])</f>
        <v>Porvoo</v>
      </c>
    </row>
    <row r="352" spans="1:17">
      <c r="A352" s="54" t="s">
        <v>1064</v>
      </c>
      <c r="B352" s="22" t="s">
        <v>1110</v>
      </c>
      <c r="C352" s="107" t="str" cm="1">
        <f t="array" ref="C352">" "&amp;LOWER(_xlfn.REDUCE(El_unit[[#This Row],[Location]],{",",".","(",")","/"},_xlfn.LAMBDA(_xlpm.txt,_xlpm.delim,SUBSTITUTE(_xlpm.txt,_xlpm.delim," "))))&amp;" "</f>
        <v xml:space="preserve"> posion voimalaitos rantatie 3 97900 posio </v>
      </c>
      <c r="D352" s="22" t="s">
        <v>3067</v>
      </c>
      <c r="E352" s="1">
        <v>0</v>
      </c>
      <c r="F352" s="1">
        <v>0</v>
      </c>
      <c r="G352" s="1">
        <v>0.6</v>
      </c>
      <c r="H352" s="1">
        <v>0.6</v>
      </c>
      <c r="I352" s="1" t="s">
        <v>1022</v>
      </c>
      <c r="J352" s="1" t="s">
        <v>1022</v>
      </c>
      <c r="L352" s="1" t="str" cm="1">
        <f t="array" ref="L352">_xlfn.XLOOKUP(TRUE,ISNUMBER(SEARCH(" "&amp;Municipality[Municipality]&amp;" ",El_unit[[#This Row],[Info sting]])),Municipality[Municipality],"")</f>
        <v>Posio</v>
      </c>
      <c r="M352" s="1" t="str" cm="1">
        <f t="array" ref="M352">IF(El_unit[[#This Row],[Exact]]&lt;&gt;"","",_xlfn.XLOOKUP(TRUE,ISNUMBER(SEARCH(" "&amp;Municipality[Municipality]&amp;"n ",El_unit[[#This Row],[Info sting]])),Municipality[Municipality],""))</f>
        <v/>
      </c>
      <c r="O352" s="35"/>
      <c r="Q352" s="1" t="str">
        <f>_xlfn.TEXTJOIN("",TRUE,El_unit[[#This Row],[Exact]],El_unit[[#This Row],[Exact+n]],El_unit[[#This Row],[Copilot]])</f>
        <v>Posio</v>
      </c>
    </row>
    <row r="353" spans="1:17">
      <c r="A353" s="54" t="s">
        <v>585</v>
      </c>
      <c r="B353" s="22" t="s">
        <v>585</v>
      </c>
      <c r="C353" s="107" t="str" cm="1">
        <f t="array" ref="C353">" "&amp;LOWER(_xlfn.REDUCE(El_unit[[#This Row],[Location]],{",",".","(",")","/"},_xlfn.LAMBDA(_xlpm.txt,_xlpm.delim,SUBSTITUTE(_xlpm.txt,_xlpm.delim," "))))&amp;" "</f>
        <v xml:space="preserve"> posion energia oy </v>
      </c>
      <c r="D353" s="22" t="s">
        <v>3066</v>
      </c>
      <c r="E353" s="1">
        <v>24.2</v>
      </c>
      <c r="F353" s="1">
        <v>0</v>
      </c>
      <c r="G353" s="1">
        <v>0</v>
      </c>
      <c r="H353" s="1">
        <v>24.2</v>
      </c>
      <c r="L353" s="1" t="str" cm="1">
        <f t="array" ref="L353">_xlfn.XLOOKUP(TRUE,ISNUMBER(SEARCH(" "&amp;Municipality[Municipality]&amp;" ",El_unit[[#This Row],[Info sting]])),Municipality[Municipality],"")</f>
        <v/>
      </c>
      <c r="M353" s="1" t="str" cm="1">
        <f t="array" ref="M353">IF(El_unit[[#This Row],[Exact]]&lt;&gt;"","",_xlfn.XLOOKUP(TRUE,ISNUMBER(SEARCH(" "&amp;Municipality[Municipality]&amp;"n ",El_unit[[#This Row],[Info sting]])),Municipality[Municipality],""))</f>
        <v>Posio</v>
      </c>
      <c r="O353" s="35"/>
      <c r="Q353" s="1" t="str">
        <f>_xlfn.TEXTJOIN("",TRUE,El_unit[[#This Row],[Exact]],El_unit[[#This Row],[Exact+n]],El_unit[[#This Row],[Copilot]])</f>
        <v>Posio</v>
      </c>
    </row>
    <row r="354" spans="1:17">
      <c r="A354" s="54" t="s">
        <v>328</v>
      </c>
      <c r="B354" s="22" t="s">
        <v>329</v>
      </c>
      <c r="C354" s="107" t="str" cm="1">
        <f t="array" ref="C354">" "&amp;LOWER(_xlfn.REDUCE(El_unit[[#This Row],[Location]],{",",".","(",")","/"},_xlfn.LAMBDA(_xlpm.txt,_xlpm.delim,SUBSTITUTE(_xlpm.txt,_xlpm.delim," "))))&amp;" "</f>
        <v xml:space="preserve"> kontiolahti  puntarikoski </v>
      </c>
      <c r="D354" s="22" t="s">
        <v>3064</v>
      </c>
      <c r="E354" s="1">
        <v>6.9</v>
      </c>
      <c r="F354" s="1">
        <v>0</v>
      </c>
      <c r="G354" s="1">
        <v>0</v>
      </c>
      <c r="H354" s="1">
        <v>6.9</v>
      </c>
      <c r="L354" s="1" t="str" cm="1">
        <f t="array" ref="L354">_xlfn.XLOOKUP(TRUE,ISNUMBER(SEARCH(" "&amp;Municipality[Municipality]&amp;" ",El_unit[[#This Row],[Info sting]])),Municipality[Municipality],"")</f>
        <v>Kontiolahti</v>
      </c>
      <c r="M354" s="1" t="str" cm="1">
        <f t="array" ref="M354">IF(El_unit[[#This Row],[Exact]]&lt;&gt;"","",_xlfn.XLOOKUP(TRUE,ISNUMBER(SEARCH(" "&amp;Municipality[Municipality]&amp;"n ",El_unit[[#This Row],[Info sting]])),Municipality[Municipality],""))</f>
        <v/>
      </c>
      <c r="O354" s="35"/>
      <c r="Q354" s="1" t="str">
        <f>_xlfn.TEXTJOIN("",TRUE,El_unit[[#This Row],[Exact]],El_unit[[#This Row],[Exact+n]],El_unit[[#This Row],[Copilot]])</f>
        <v>Kontiolahti</v>
      </c>
    </row>
    <row r="355" spans="1:17">
      <c r="A355" s="54" t="s">
        <v>1065</v>
      </c>
      <c r="B355" s="22" t="s">
        <v>1111</v>
      </c>
      <c r="C355" s="107" t="str" cm="1">
        <f t="array" ref="C355">" "&amp;LOWER(_xlfn.REDUCE(El_unit[[#This Row],[Location]],{",",".","(",")","/"},_xlfn.LAMBDA(_xlpm.txt,_xlpm.delim,SUBSTITUTE(_xlpm.txt,_xlpm.delim," "))))&amp;" "</f>
        <v xml:space="preserve"> pursiala 1  </v>
      </c>
      <c r="D355" s="22" t="s">
        <v>3067</v>
      </c>
      <c r="E355" s="1">
        <v>0</v>
      </c>
      <c r="F355" s="1">
        <v>0</v>
      </c>
      <c r="G355" s="1">
        <v>27</v>
      </c>
      <c r="H355" s="1">
        <v>27</v>
      </c>
      <c r="I355" s="1" t="s">
        <v>1022</v>
      </c>
      <c r="J355" s="1" t="s">
        <v>1016</v>
      </c>
      <c r="K355" s="1" t="s">
        <v>1015</v>
      </c>
      <c r="L355" s="1" t="str" cm="1">
        <f t="array" ref="L355">_xlfn.XLOOKUP(TRUE,ISNUMBER(SEARCH(" "&amp;Municipality[Municipality]&amp;" ",El_unit[[#This Row],[Info sting]])),Municipality[Municipality],"")</f>
        <v/>
      </c>
      <c r="M355" s="1" t="str" cm="1">
        <f t="array" ref="M355">IF(El_unit[[#This Row],[Exact]]&lt;&gt;"","",_xlfn.XLOOKUP(TRUE,ISNUMBER(SEARCH(" "&amp;Municipality[Municipality]&amp;"n ",El_unit[[#This Row],[Info sting]])),Municipality[Municipality],""))</f>
        <v/>
      </c>
      <c r="O355" s="35"/>
      <c r="Q355" s="1" t="str">
        <f>_xlfn.TEXTJOIN("",TRUE,El_unit[[#This Row],[Exact]],El_unit[[#This Row],[Exact+n]],El_unit[[#This Row],[Copilot]])</f>
        <v/>
      </c>
    </row>
    <row r="356" spans="1:17">
      <c r="A356" s="54" t="s">
        <v>1066</v>
      </c>
      <c r="B356" s="22" t="s">
        <v>1066</v>
      </c>
      <c r="C356" s="107" t="str" cm="1">
        <f t="array" ref="C356">" "&amp;LOWER(_xlfn.REDUCE(El_unit[[#This Row],[Location]],{",",".","(",")","/"},_xlfn.LAMBDA(_xlpm.txt,_xlpm.delim,SUBSTITUTE(_xlpm.txt,_xlpm.delim," "))))&amp;" "</f>
        <v xml:space="preserve"> pursiala 2 </v>
      </c>
      <c r="D356" s="22" t="s">
        <v>3067</v>
      </c>
      <c r="E356" s="1">
        <v>0</v>
      </c>
      <c r="F356" s="1">
        <v>0</v>
      </c>
      <c r="G356" s="1">
        <v>22</v>
      </c>
      <c r="H356" s="1">
        <v>22</v>
      </c>
      <c r="I356" s="1" t="s">
        <v>1022</v>
      </c>
      <c r="J356" s="1" t="s">
        <v>1016</v>
      </c>
      <c r="K356" s="1" t="s">
        <v>1015</v>
      </c>
      <c r="L356" s="1" t="str" cm="1">
        <f t="array" ref="L356">_xlfn.XLOOKUP(TRUE,ISNUMBER(SEARCH(" "&amp;Municipality[Municipality]&amp;" ",El_unit[[#This Row],[Info sting]])),Municipality[Municipality],"")</f>
        <v/>
      </c>
      <c r="M356" s="1" t="str" cm="1">
        <f t="array" ref="M356">IF(El_unit[[#This Row],[Exact]]&lt;&gt;"","",_xlfn.XLOOKUP(TRUE,ISNUMBER(SEARCH(" "&amp;Municipality[Municipality]&amp;"n ",El_unit[[#This Row],[Info sting]])),Municipality[Municipality],""))</f>
        <v/>
      </c>
      <c r="O356" s="35"/>
      <c r="Q356" s="1" t="str">
        <f>_xlfn.TEXTJOIN("",TRUE,El_unit[[#This Row],[Exact]],El_unit[[#This Row],[Exact+n]],El_unit[[#This Row],[Copilot]])</f>
        <v/>
      </c>
    </row>
    <row r="357" spans="1:17">
      <c r="A357" s="54" t="s">
        <v>586</v>
      </c>
      <c r="B357" s="22" t="s">
        <v>759</v>
      </c>
      <c r="C357" s="107" t="str" cm="1">
        <f t="array" ref="C357">" "&amp;LOWER(_xlfn.REDUCE(El_unit[[#This Row],[Location]],{",",".","(",")","/"},_xlfn.LAMBDA(_xlpm.txt,_xlpm.delim,SUBSTITUTE(_xlpm.txt,_xlpm.delim," "))))&amp;" "</f>
        <v xml:space="preserve"> puskakorpi  pyhäjoki  puskakorven tuulipuisto </v>
      </c>
      <c r="D357" s="22" t="s">
        <v>3066</v>
      </c>
      <c r="E357" s="1">
        <v>88</v>
      </c>
      <c r="F357" s="1">
        <v>0</v>
      </c>
      <c r="G357" s="1">
        <v>0</v>
      </c>
      <c r="H357" s="1">
        <v>88</v>
      </c>
      <c r="L357" s="1" t="str" cm="1">
        <f t="array" ref="L357">_xlfn.XLOOKUP(TRUE,ISNUMBER(SEARCH(" "&amp;Municipality[Municipality]&amp;" ",El_unit[[#This Row],[Info sting]])),Municipality[Municipality],"")</f>
        <v>Pyhäjoki</v>
      </c>
      <c r="M357" s="1" t="str" cm="1">
        <f t="array" ref="M357">IF(El_unit[[#This Row],[Exact]]&lt;&gt;"","",_xlfn.XLOOKUP(TRUE,ISNUMBER(SEARCH(" "&amp;Municipality[Municipality]&amp;"n ",El_unit[[#This Row],[Info sting]])),Municipality[Municipality],""))</f>
        <v/>
      </c>
      <c r="O357" s="35"/>
      <c r="Q357" s="1" t="str">
        <f>_xlfn.TEXTJOIN("",TRUE,El_unit[[#This Row],[Exact]],El_unit[[#This Row],[Exact+n]],El_unit[[#This Row],[Copilot]])</f>
        <v>Pyhäjoki</v>
      </c>
    </row>
    <row r="358" spans="1:17">
      <c r="A358" s="54" t="s">
        <v>587</v>
      </c>
      <c r="B358" s="22" t="s">
        <v>760</v>
      </c>
      <c r="C358" s="107" t="str" cm="1">
        <f t="array" ref="C358">" "&amp;LOWER(_xlfn.REDUCE(El_unit[[#This Row],[Location]],{",",".","(",")","/"},_xlfn.LAMBDA(_xlpm.txt,_xlpm.delim,SUBSTITUTE(_xlpm.txt,_xlpm.delim," "))))&amp;" "</f>
        <v xml:space="preserve"> puulaakson energia oy  hongantie 93 </v>
      </c>
      <c r="D358" s="22"/>
      <c r="E358" s="1">
        <v>0</v>
      </c>
      <c r="F358" s="1">
        <v>0.3</v>
      </c>
      <c r="G358" s="1">
        <v>0.7</v>
      </c>
      <c r="H358" s="1">
        <v>1</v>
      </c>
      <c r="I358" s="1" t="s">
        <v>1022</v>
      </c>
      <c r="J358" s="1" t="s">
        <v>1020</v>
      </c>
      <c r="L358" s="1" t="str" cm="1">
        <f t="array" ref="L358">_xlfn.XLOOKUP(TRUE,ISNUMBER(SEARCH(" "&amp;Municipality[Municipality]&amp;" ",El_unit[[#This Row],[Info sting]])),Municipality[Municipality],"")</f>
        <v/>
      </c>
      <c r="M358" s="1" t="str" cm="1">
        <f t="array" ref="M358">IF(El_unit[[#This Row],[Exact]]&lt;&gt;"","",_xlfn.XLOOKUP(TRUE,ISNUMBER(SEARCH(" "&amp;Municipality[Municipality]&amp;"n ",El_unit[[#This Row],[Info sting]])),Municipality[Municipality],""))</f>
        <v/>
      </c>
      <c r="N358" s="1" t="s">
        <v>2573</v>
      </c>
      <c r="O358" s="35" t="s">
        <v>3203</v>
      </c>
      <c r="Q358" s="1" t="str">
        <f>_xlfn.TEXTJOIN("",TRUE,El_unit[[#This Row],[Exact]],El_unit[[#This Row],[Exact+n]],El_unit[[#This Row],[Copilot]])</f>
        <v>Karstula</v>
      </c>
    </row>
    <row r="359" spans="1:17">
      <c r="A359" s="54" t="s">
        <v>588</v>
      </c>
      <c r="B359" s="22" t="s">
        <v>588</v>
      </c>
      <c r="C359" s="107" t="str" cm="1">
        <f t="array" ref="C359">" "&amp;LOWER(_xlfn.REDUCE(El_unit[[#This Row],[Location]],{",",".","(",")","/"},_xlfn.LAMBDA(_xlpm.txt,_xlpm.delim,SUBSTITUTE(_xlpm.txt,_xlpm.delim," "))))&amp;" "</f>
        <v xml:space="preserve"> puuska 2 </v>
      </c>
      <c r="D359" s="22" t="s">
        <v>3066</v>
      </c>
      <c r="E359" s="1">
        <v>16.5</v>
      </c>
      <c r="F359" s="1">
        <v>0</v>
      </c>
      <c r="G359" s="1">
        <v>0</v>
      </c>
      <c r="H359" s="1">
        <v>16.5</v>
      </c>
      <c r="L359" s="1" t="str" cm="1">
        <f t="array" ref="L359">_xlfn.XLOOKUP(TRUE,ISNUMBER(SEARCH(" "&amp;Municipality[Municipality]&amp;" ",El_unit[[#This Row],[Info sting]])),Municipality[Municipality],"")</f>
        <v/>
      </c>
      <c r="M359" s="1" t="str" cm="1">
        <f t="array" ref="M359">IF(El_unit[[#This Row],[Exact]]&lt;&gt;"","",_xlfn.XLOOKUP(TRUE,ISNUMBER(SEARCH(" "&amp;Municipality[Municipality]&amp;"n ",El_unit[[#This Row],[Info sting]])),Municipality[Municipality],""))</f>
        <v/>
      </c>
      <c r="O359" s="35"/>
      <c r="Q359" s="1" t="str">
        <f>_xlfn.TEXTJOIN("",TRUE,El_unit[[#This Row],[Exact]],El_unit[[#This Row],[Exact+n]],El_unit[[#This Row],[Copilot]])</f>
        <v/>
      </c>
    </row>
    <row r="360" spans="1:17">
      <c r="A360" s="54" t="s">
        <v>589</v>
      </c>
      <c r="B360" s="22" t="s">
        <v>761</v>
      </c>
      <c r="C360" s="107" t="str" cm="1">
        <f t="array" ref="C360">" "&amp;LOWER(_xlfn.REDUCE(El_unit[[#This Row],[Location]],{",",".","(",")","/"},_xlfn.LAMBDA(_xlpm.txt,_xlpm.delim,SUBSTITUTE(_xlpm.txt,_xlpm.delim," "))))&amp;" "</f>
        <v xml:space="preserve"> sievi  puutikankangas </v>
      </c>
      <c r="D360" s="22" t="s">
        <v>3066</v>
      </c>
      <c r="E360" s="1">
        <v>44</v>
      </c>
      <c r="F360" s="1">
        <v>0</v>
      </c>
      <c r="G360" s="1">
        <v>0</v>
      </c>
      <c r="H360" s="1">
        <v>44</v>
      </c>
      <c r="L360" s="1" t="str" cm="1">
        <f t="array" ref="L360">_xlfn.XLOOKUP(TRUE,ISNUMBER(SEARCH(" "&amp;Municipality[Municipality]&amp;" ",El_unit[[#This Row],[Info sting]])),Municipality[Municipality],"")</f>
        <v>Sievi</v>
      </c>
      <c r="M360" s="1" t="str" cm="1">
        <f t="array" ref="M360">IF(El_unit[[#This Row],[Exact]]&lt;&gt;"","",_xlfn.XLOOKUP(TRUE,ISNUMBER(SEARCH(" "&amp;Municipality[Municipality]&amp;"n ",El_unit[[#This Row],[Info sting]])),Municipality[Municipality],""))</f>
        <v/>
      </c>
      <c r="O360" s="35"/>
      <c r="Q360" s="1" t="str">
        <f>_xlfn.TEXTJOIN("",TRUE,El_unit[[#This Row],[Exact]],El_unit[[#This Row],[Exact+n]],El_unit[[#This Row],[Copilot]])</f>
        <v>Sievi</v>
      </c>
    </row>
    <row r="361" spans="1:17">
      <c r="A361" s="54" t="s">
        <v>590</v>
      </c>
      <c r="B361" s="22" t="s">
        <v>590</v>
      </c>
      <c r="C361" s="107" t="str" cm="1">
        <f t="array" ref="C361">" "&amp;LOWER(_xlfn.REDUCE(El_unit[[#This Row],[Location]],{",",".","(",")","/"},_xlfn.LAMBDA(_xlpm.txt,_xlpm.delim,SUBSTITUTE(_xlpm.txt,_xlpm.delim," "))))&amp;" "</f>
        <v xml:space="preserve"> pyhäjoki </v>
      </c>
      <c r="D361" s="22" t="s">
        <v>3066</v>
      </c>
      <c r="E361" s="1">
        <v>26.4</v>
      </c>
      <c r="F361" s="1">
        <v>0</v>
      </c>
      <c r="G361" s="1">
        <v>0</v>
      </c>
      <c r="H361" s="1">
        <v>26.4</v>
      </c>
      <c r="L361" s="1" t="str" cm="1">
        <f t="array" ref="L361">_xlfn.XLOOKUP(TRUE,ISNUMBER(SEARCH(" "&amp;Municipality[Municipality]&amp;" ",El_unit[[#This Row],[Info sting]])),Municipality[Municipality],"")</f>
        <v>Pyhäjoki</v>
      </c>
      <c r="M361" s="1" t="str" cm="1">
        <f t="array" ref="M361">IF(El_unit[[#This Row],[Exact]]&lt;&gt;"","",_xlfn.XLOOKUP(TRUE,ISNUMBER(SEARCH(" "&amp;Municipality[Municipality]&amp;"n ",El_unit[[#This Row],[Info sting]])),Municipality[Municipality],""))</f>
        <v/>
      </c>
      <c r="O361" s="35"/>
      <c r="Q361" s="1" t="str">
        <f>_xlfn.TEXTJOIN("",TRUE,El_unit[[#This Row],[Exact]],El_unit[[#This Row],[Exact+n]],El_unit[[#This Row],[Copilot]])</f>
        <v>Pyhäjoki</v>
      </c>
    </row>
    <row r="362" spans="1:17">
      <c r="A362" s="54" t="s">
        <v>330</v>
      </c>
      <c r="B362" s="22" t="s">
        <v>330</v>
      </c>
      <c r="C362" s="107" t="str" cm="1">
        <f t="array" ref="C362">" "&amp;LOWER(_xlfn.REDUCE(El_unit[[#This Row],[Location]],{",",".","(",")","/"},_xlfn.LAMBDA(_xlpm.txt,_xlpm.delim,SUBSTITUTE(_xlpm.txt,_xlpm.delim," "))))&amp;" "</f>
        <v xml:space="preserve"> pyhäkoski </v>
      </c>
      <c r="D362" s="22" t="s">
        <v>3064</v>
      </c>
      <c r="E362" s="1">
        <v>146</v>
      </c>
      <c r="F362" s="1">
        <v>0</v>
      </c>
      <c r="G362" s="1">
        <v>0</v>
      </c>
      <c r="H362" s="1">
        <v>146</v>
      </c>
      <c r="L362" s="1" t="str" cm="1">
        <f t="array" ref="L362">_xlfn.XLOOKUP(TRUE,ISNUMBER(SEARCH(" "&amp;Municipality[Municipality]&amp;" ",El_unit[[#This Row],[Info sting]])),Municipality[Municipality],"")</f>
        <v/>
      </c>
      <c r="M362" s="1" t="str" cm="1">
        <f t="array" ref="M362">IF(El_unit[[#This Row],[Exact]]&lt;&gt;"","",_xlfn.XLOOKUP(TRUE,ISNUMBER(SEARCH(" "&amp;Municipality[Municipality]&amp;"n ",El_unit[[#This Row],[Info sting]])),Municipality[Municipality],""))</f>
        <v/>
      </c>
      <c r="N362" s="1" t="s">
        <v>2678</v>
      </c>
      <c r="O362" s="35" t="s">
        <v>3134</v>
      </c>
      <c r="Q362" s="1" t="str">
        <f>_xlfn.TEXTJOIN("",TRUE,El_unit[[#This Row],[Exact]],El_unit[[#This Row],[Exact+n]],El_unit[[#This Row],[Copilot]])</f>
        <v>Muhos</v>
      </c>
    </row>
    <row r="363" spans="1:17">
      <c r="A363" s="54" t="s">
        <v>591</v>
      </c>
      <c r="B363" s="22" t="s">
        <v>591</v>
      </c>
      <c r="C363" s="107" t="str" cm="1">
        <f t="array" ref="C363">" "&amp;LOWER(_xlfn.REDUCE(El_unit[[#This Row],[Location]],{",",".","(",")","/"},_xlfn.LAMBDA(_xlpm.txt,_xlpm.delim,SUBSTITUTE(_xlpm.txt,_xlpm.delim," "))))&amp;" "</f>
        <v xml:space="preserve"> pyhänkoski </v>
      </c>
      <c r="D363" s="22" t="s">
        <v>3066</v>
      </c>
      <c r="E363" s="1">
        <v>13.2</v>
      </c>
      <c r="F363" s="1">
        <v>0</v>
      </c>
      <c r="G363" s="1">
        <v>0</v>
      </c>
      <c r="H363" s="1">
        <v>13.2</v>
      </c>
      <c r="L363" s="1" t="str" cm="1">
        <f t="array" ref="L363">_xlfn.XLOOKUP(TRUE,ISNUMBER(SEARCH(" "&amp;Municipality[Municipality]&amp;" ",El_unit[[#This Row],[Info sting]])),Municipality[Municipality],"")</f>
        <v/>
      </c>
      <c r="M363" s="1" t="str" cm="1">
        <f t="array" ref="M363">IF(El_unit[[#This Row],[Exact]]&lt;&gt;"","",_xlfn.XLOOKUP(TRUE,ISNUMBER(SEARCH(" "&amp;Municipality[Municipality]&amp;"n ",El_unit[[#This Row],[Info sting]])),Municipality[Municipality],""))</f>
        <v/>
      </c>
      <c r="O363" s="35"/>
      <c r="Q363" s="1" t="str">
        <f>_xlfn.TEXTJOIN("",TRUE,El_unit[[#This Row],[Exact]],El_unit[[#This Row],[Exact+n]],El_unit[[#This Row],[Copilot]])</f>
        <v/>
      </c>
    </row>
    <row r="364" spans="1:17">
      <c r="A364" s="54" t="s">
        <v>331</v>
      </c>
      <c r="B364" s="22" t="s">
        <v>332</v>
      </c>
      <c r="C364" s="107" t="str" cm="1">
        <f t="array" ref="C364">" "&amp;LOWER(_xlfn.REDUCE(El_unit[[#This Row],[Location]],{",",".","(",")","/"},_xlfn.LAMBDA(_xlpm.txt,_xlpm.delim,SUBSTITUTE(_xlpm.txt,_xlpm.delim," "))))&amp;" "</f>
        <v xml:space="preserve"> ristijärvi  pyhännänkoski </v>
      </c>
      <c r="D364" s="22" t="s">
        <v>3064</v>
      </c>
      <c r="E364" s="1">
        <v>2.9</v>
      </c>
      <c r="F364" s="1">
        <v>0</v>
      </c>
      <c r="G364" s="1">
        <v>0</v>
      </c>
      <c r="H364" s="1">
        <v>2.9</v>
      </c>
      <c r="L364" s="1" t="str" cm="1">
        <f t="array" ref="L364">_xlfn.XLOOKUP(TRUE,ISNUMBER(SEARCH(" "&amp;Municipality[Municipality]&amp;" ",El_unit[[#This Row],[Info sting]])),Municipality[Municipality],"")</f>
        <v>Ristijärvi</v>
      </c>
      <c r="M364" s="1" t="str" cm="1">
        <f t="array" ref="M364">IF(El_unit[[#This Row],[Exact]]&lt;&gt;"","",_xlfn.XLOOKUP(TRUE,ISNUMBER(SEARCH(" "&amp;Municipality[Municipality]&amp;"n ",El_unit[[#This Row],[Info sting]])),Municipality[Municipality],""))</f>
        <v/>
      </c>
      <c r="O364" s="35"/>
      <c r="Q364" s="1" t="str">
        <f>_xlfn.TEXTJOIN("",TRUE,El_unit[[#This Row],[Exact]],El_unit[[#This Row],[Exact+n]],El_unit[[#This Row],[Copilot]])</f>
        <v>Ristijärvi</v>
      </c>
    </row>
    <row r="365" spans="1:17">
      <c r="A365" s="54" t="s">
        <v>592</v>
      </c>
      <c r="B365" s="22" t="s">
        <v>762</v>
      </c>
      <c r="C365" s="107" t="str" cm="1">
        <f t="array" ref="C365">" "&amp;LOWER(_xlfn.REDUCE(El_unit[[#This Row],[Location]],{",",".","(",")","/"},_xlfn.LAMBDA(_xlpm.txt,_xlpm.delim,SUBSTITUTE(_xlpm.txt,_xlpm.delim," "))))&amp;" "</f>
        <v xml:space="preserve"> pälkäne pälkänevedentie </v>
      </c>
      <c r="D365" s="22" t="s">
        <v>163</v>
      </c>
      <c r="E365" s="1">
        <v>1</v>
      </c>
      <c r="F365" s="1">
        <v>0</v>
      </c>
      <c r="G365" s="1">
        <v>0</v>
      </c>
      <c r="H365" s="1">
        <v>1</v>
      </c>
      <c r="L365" s="1" t="str" cm="1">
        <f t="array" ref="L365">_xlfn.XLOOKUP(TRUE,ISNUMBER(SEARCH(" "&amp;Municipality[Municipality]&amp;" ",El_unit[[#This Row],[Info sting]])),Municipality[Municipality],"")</f>
        <v>Pälkäne</v>
      </c>
      <c r="M365" s="1" t="str" cm="1">
        <f t="array" ref="M365">IF(El_unit[[#This Row],[Exact]]&lt;&gt;"","",_xlfn.XLOOKUP(TRUE,ISNUMBER(SEARCH(" "&amp;Municipality[Municipality]&amp;"n ",El_unit[[#This Row],[Info sting]])),Municipality[Municipality],""))</f>
        <v/>
      </c>
      <c r="O365" s="35"/>
      <c r="Q365" s="1" t="str">
        <f>_xlfn.TEXTJOIN("",TRUE,El_unit[[#This Row],[Exact]],El_unit[[#This Row],[Exact+n]],El_unit[[#This Row],[Copilot]])</f>
        <v>Pälkäne</v>
      </c>
    </row>
    <row r="366" spans="1:17">
      <c r="A366" s="54" t="s">
        <v>333</v>
      </c>
      <c r="B366" s="22" t="s">
        <v>333</v>
      </c>
      <c r="C366" s="107" t="str" cm="1">
        <f t="array" ref="C366">" "&amp;LOWER(_xlfn.REDUCE(El_unit[[#This Row],[Location]],{",",".","(",")","/"},_xlfn.LAMBDA(_xlpm.txt,_xlpm.delim,SUBSTITUTE(_xlpm.txt,_xlpm.delim," "))))&amp;" "</f>
        <v xml:space="preserve"> pälli </v>
      </c>
      <c r="D366" s="22" t="s">
        <v>3064</v>
      </c>
      <c r="E366" s="1">
        <v>58</v>
      </c>
      <c r="F366" s="1">
        <v>0</v>
      </c>
      <c r="G366" s="1">
        <v>0</v>
      </c>
      <c r="H366" s="1">
        <v>58</v>
      </c>
      <c r="L366" s="1" t="str" cm="1">
        <f t="array" ref="L366">_xlfn.XLOOKUP(TRUE,ISNUMBER(SEARCH(" "&amp;Municipality[Municipality]&amp;" ",El_unit[[#This Row],[Info sting]])),Municipality[Municipality],"")</f>
        <v/>
      </c>
      <c r="M366" s="1" t="str" cm="1">
        <f t="array" ref="M366">IF(El_unit[[#This Row],[Exact]]&lt;&gt;"","",_xlfn.XLOOKUP(TRUE,ISNUMBER(SEARCH(" "&amp;Municipality[Municipality]&amp;"n ",El_unit[[#This Row],[Info sting]])),Municipality[Municipality],""))</f>
        <v/>
      </c>
      <c r="N366" s="1" t="s">
        <v>2678</v>
      </c>
      <c r="O366" s="35" t="s">
        <v>3134</v>
      </c>
      <c r="Q366" s="1" t="str">
        <f>_xlfn.TEXTJOIN("",TRUE,El_unit[[#This Row],[Exact]],El_unit[[#This Row],[Exact+n]],El_unit[[#This Row],[Copilot]])</f>
        <v>Muhos</v>
      </c>
    </row>
    <row r="367" spans="1:17">
      <c r="A367" s="54" t="s">
        <v>939</v>
      </c>
      <c r="B367" s="22" t="s">
        <v>939</v>
      </c>
      <c r="C367" s="107" t="str" cm="1">
        <f t="array" ref="C367">" "&amp;LOWER(_xlfn.REDUCE(El_unit[[#This Row],[Location]],{",",".","(",")","/"},_xlfn.LAMBDA(_xlpm.txt,_xlpm.delim,SUBSTITUTE(_xlpm.txt,_xlpm.delim," "))))&amp;" "</f>
        <v xml:space="preserve"> raahe </v>
      </c>
      <c r="D367" s="22" t="s">
        <v>3065</v>
      </c>
      <c r="E367" s="1">
        <v>0</v>
      </c>
      <c r="F367" s="1">
        <v>94</v>
      </c>
      <c r="G367" s="1">
        <v>0</v>
      </c>
      <c r="H367" s="1">
        <v>94</v>
      </c>
      <c r="I367" s="1" t="s">
        <v>1029</v>
      </c>
      <c r="J367" s="1" t="s">
        <v>1030</v>
      </c>
      <c r="K367" s="1" t="s">
        <v>1023</v>
      </c>
      <c r="L367" s="1" t="str" cm="1">
        <f t="array" ref="L367">_xlfn.XLOOKUP(TRUE,ISNUMBER(SEARCH(" "&amp;Municipality[Municipality]&amp;" ",El_unit[[#This Row],[Info sting]])),Municipality[Municipality],"")</f>
        <v>Raahe</v>
      </c>
      <c r="M367" s="1" t="str" cm="1">
        <f t="array" ref="M367">IF(El_unit[[#This Row],[Exact]]&lt;&gt;"","",_xlfn.XLOOKUP(TRUE,ISNUMBER(SEARCH(" "&amp;Municipality[Municipality]&amp;"n ",El_unit[[#This Row],[Info sting]])),Municipality[Municipality],""))</f>
        <v/>
      </c>
      <c r="O367" s="35"/>
      <c r="Q367" s="1" t="str">
        <f>_xlfn.TEXTJOIN("",TRUE,El_unit[[#This Row],[Exact]],El_unit[[#This Row],[Exact+n]],El_unit[[#This Row],[Copilot]])</f>
        <v>Raahe</v>
      </c>
    </row>
    <row r="368" spans="1:17">
      <c r="A368" s="54" t="s">
        <v>593</v>
      </c>
      <c r="B368" s="22" t="s">
        <v>763</v>
      </c>
      <c r="C368" s="107" t="str" cm="1">
        <f t="array" ref="C368">" "&amp;LOWER(_xlfn.REDUCE(El_unit[[#This Row],[Location]],{",",".","(",")","/"},_xlfn.LAMBDA(_xlpm.txt,_xlpm.delim,SUBSTITUTE(_xlpm.txt,_xlpm.delim," "))))&amp;" "</f>
        <v xml:space="preserve"> raahe tv 1-9 </v>
      </c>
      <c r="D368" s="22" t="s">
        <v>3066</v>
      </c>
      <c r="E368" s="1">
        <v>20.7</v>
      </c>
      <c r="F368" s="1">
        <v>0</v>
      </c>
      <c r="G368" s="1">
        <v>0</v>
      </c>
      <c r="H368" s="1">
        <v>20.7</v>
      </c>
      <c r="L368" s="1" t="str" cm="1">
        <f t="array" ref="L368">_xlfn.XLOOKUP(TRUE,ISNUMBER(SEARCH(" "&amp;Municipality[Municipality]&amp;" ",El_unit[[#This Row],[Info sting]])),Municipality[Municipality],"")</f>
        <v>Raahe</v>
      </c>
      <c r="M368" s="1" t="str" cm="1">
        <f t="array" ref="M368">IF(El_unit[[#This Row],[Exact]]&lt;&gt;"","",_xlfn.XLOOKUP(TRUE,ISNUMBER(SEARCH(" "&amp;Municipality[Municipality]&amp;"n ",El_unit[[#This Row],[Info sting]])),Municipality[Municipality],""))</f>
        <v/>
      </c>
      <c r="O368" s="35"/>
      <c r="Q368" s="1" t="str">
        <f>_xlfn.TEXTJOIN("",TRUE,El_unit[[#This Row],[Exact]],El_unit[[#This Row],[Exact+n]],El_unit[[#This Row],[Copilot]])</f>
        <v>Raahe</v>
      </c>
    </row>
    <row r="369" spans="1:17">
      <c r="A369" s="54" t="s">
        <v>334</v>
      </c>
      <c r="B369" s="22" t="s">
        <v>335</v>
      </c>
      <c r="C369" s="107" t="str" cm="1">
        <f t="array" ref="C369">" "&amp;LOWER(_xlfn.REDUCE(El_unit[[#This Row],[Location]],{",",".","(",")","/"},_xlfn.LAMBDA(_xlpm.txt,_xlpm.delim,SUBSTITUTE(_xlpm.txt,_xlpm.delim," "))))&amp;" "</f>
        <v xml:space="preserve"> raasakka </v>
      </c>
      <c r="D369" s="22" t="s">
        <v>3064</v>
      </c>
      <c r="E369" s="1">
        <v>60</v>
      </c>
      <c r="F369" s="1">
        <v>0</v>
      </c>
      <c r="G369" s="1">
        <v>0</v>
      </c>
      <c r="H369" s="1">
        <v>60</v>
      </c>
      <c r="L369" s="1" t="str" cm="1">
        <f t="array" ref="L369">_xlfn.XLOOKUP(TRUE,ISNUMBER(SEARCH(" "&amp;Municipality[Municipality]&amp;" ",El_unit[[#This Row],[Info sting]])),Municipality[Municipality],"")</f>
        <v/>
      </c>
      <c r="M369" s="1" t="str" cm="1">
        <f t="array" ref="M369">IF(El_unit[[#This Row],[Exact]]&lt;&gt;"","",_xlfn.XLOOKUP(TRUE,ISNUMBER(SEARCH(" "&amp;Municipality[Municipality]&amp;"n ",El_unit[[#This Row],[Info sting]])),Municipality[Municipality],""))</f>
        <v/>
      </c>
      <c r="O369" s="35"/>
      <c r="Q369" s="1" t="str">
        <f>_xlfn.TEXTJOIN("",TRUE,El_unit[[#This Row],[Exact]],El_unit[[#This Row],[Exact+n]],El_unit[[#This Row],[Copilot]])</f>
        <v/>
      </c>
    </row>
    <row r="370" spans="1:17">
      <c r="A370" s="54" t="s">
        <v>940</v>
      </c>
      <c r="B370" s="22" t="s">
        <v>940</v>
      </c>
      <c r="C370" s="107" t="str" cm="1">
        <f t="array" ref="C370">" "&amp;LOWER(_xlfn.REDUCE(El_unit[[#This Row],[Location]],{",",".","(",")","/"},_xlfn.LAMBDA(_xlpm.txt,_xlpm.delim,SUBSTITUTE(_xlpm.txt,_xlpm.delim," "))))&amp;" "</f>
        <v xml:space="preserve"> raisio </v>
      </c>
      <c r="D370" s="22" t="s">
        <v>3065</v>
      </c>
      <c r="E370" s="1">
        <v>0</v>
      </c>
      <c r="F370" s="1">
        <v>0</v>
      </c>
      <c r="G370" s="1">
        <v>0</v>
      </c>
      <c r="H370" s="1">
        <v>0</v>
      </c>
      <c r="I370" s="1" t="s">
        <v>1017</v>
      </c>
      <c r="L370" s="1" t="str" cm="1">
        <f t="array" ref="L370">_xlfn.XLOOKUP(TRUE,ISNUMBER(SEARCH(" "&amp;Municipality[Municipality]&amp;" ",El_unit[[#This Row],[Info sting]])),Municipality[Municipality],"")</f>
        <v>Raisio</v>
      </c>
      <c r="M370" s="1" t="str" cm="1">
        <f t="array" ref="M370">IF(El_unit[[#This Row],[Exact]]&lt;&gt;"","",_xlfn.XLOOKUP(TRUE,ISNUMBER(SEARCH(" "&amp;Municipality[Municipality]&amp;"n ",El_unit[[#This Row],[Info sting]])),Municipality[Municipality],""))</f>
        <v/>
      </c>
      <c r="O370" s="35"/>
      <c r="Q370" s="1" t="str">
        <f>_xlfn.TEXTJOIN("",TRUE,El_unit[[#This Row],[Exact]],El_unit[[#This Row],[Exact+n]],El_unit[[#This Row],[Copilot]])</f>
        <v>Raisio</v>
      </c>
    </row>
    <row r="371" spans="1:17">
      <c r="A371" s="54" t="s">
        <v>594</v>
      </c>
      <c r="B371" s="22" t="s">
        <v>764</v>
      </c>
      <c r="C371" s="107" t="str" cm="1">
        <f t="array" ref="C371">" "&amp;LOWER(_xlfn.REDUCE(El_unit[[#This Row],[Location]],{",",".","(",")","/"},_xlfn.LAMBDA(_xlpm.txt,_xlpm.delim,SUBSTITUTE(_xlpm.txt,_xlpm.delim," "))))&amp;" "</f>
        <v xml:space="preserve"> rasakangas  kurikka  rasakankaan tuulipuisto </v>
      </c>
      <c r="D371" s="22" t="s">
        <v>3066</v>
      </c>
      <c r="E371" s="1">
        <v>48</v>
      </c>
      <c r="F371" s="1">
        <v>0</v>
      </c>
      <c r="G371" s="1">
        <v>0</v>
      </c>
      <c r="H371" s="1">
        <v>48</v>
      </c>
      <c r="L371" s="1" t="str" cm="1">
        <f t="array" ref="L371">_xlfn.XLOOKUP(TRUE,ISNUMBER(SEARCH(" "&amp;Municipality[Municipality]&amp;" ",El_unit[[#This Row],[Info sting]])),Municipality[Municipality],"")</f>
        <v>Kurikka</v>
      </c>
      <c r="M371" s="1" t="str" cm="1">
        <f t="array" ref="M371">IF(El_unit[[#This Row],[Exact]]&lt;&gt;"","",_xlfn.XLOOKUP(TRUE,ISNUMBER(SEARCH(" "&amp;Municipality[Municipality]&amp;"n ",El_unit[[#This Row],[Info sting]])),Municipality[Municipality],""))</f>
        <v/>
      </c>
      <c r="O371" s="35"/>
      <c r="Q371" s="1" t="str">
        <f>_xlfn.TEXTJOIN("",TRUE,El_unit[[#This Row],[Exact]],El_unit[[#This Row],[Exact+n]],El_unit[[#This Row],[Copilot]])</f>
        <v>Kurikka</v>
      </c>
    </row>
    <row r="372" spans="1:17">
      <c r="A372" s="54" t="s">
        <v>595</v>
      </c>
      <c r="B372" s="22" t="s">
        <v>765</v>
      </c>
      <c r="C372" s="107" t="str" cm="1">
        <f t="array" ref="C372">" "&amp;LOWER(_xlfn.REDUCE(El_unit[[#This Row],[Location]],{",",".","(",")","/"},_xlfn.LAMBDA(_xlpm.txt,_xlpm.delim,SUBSTITUTE(_xlpm.txt,_xlpm.delim," "))))&amp;" "</f>
        <v xml:space="preserve"> rasmus 1 ja 2  ilmajoki </v>
      </c>
      <c r="D372" s="22" t="s">
        <v>3066</v>
      </c>
      <c r="E372" s="1">
        <v>3</v>
      </c>
      <c r="F372" s="1">
        <v>0</v>
      </c>
      <c r="G372" s="1">
        <v>0</v>
      </c>
      <c r="H372" s="1">
        <v>3</v>
      </c>
      <c r="L372" s="1" t="str" cm="1">
        <f t="array" ref="L372">_xlfn.XLOOKUP(TRUE,ISNUMBER(SEARCH(" "&amp;Municipality[Municipality]&amp;" ",El_unit[[#This Row],[Info sting]])),Municipality[Municipality],"")</f>
        <v>Ilmajoki</v>
      </c>
      <c r="M372" s="1" t="str" cm="1">
        <f t="array" ref="M372">IF(El_unit[[#This Row],[Exact]]&lt;&gt;"","",_xlfn.XLOOKUP(TRUE,ISNUMBER(SEARCH(" "&amp;Municipality[Municipality]&amp;"n ",El_unit[[#This Row],[Info sting]])),Municipality[Municipality],""))</f>
        <v/>
      </c>
      <c r="O372" s="35"/>
      <c r="Q372" s="1" t="str">
        <f>_xlfn.TEXTJOIN("",TRUE,El_unit[[#This Row],[Exact]],El_unit[[#This Row],[Exact+n]],El_unit[[#This Row],[Copilot]])</f>
        <v>Ilmajoki</v>
      </c>
    </row>
    <row r="373" spans="1:17">
      <c r="A373" s="54" t="s">
        <v>596</v>
      </c>
      <c r="B373" s="22" t="s">
        <v>596</v>
      </c>
      <c r="C373" s="107" t="str" cm="1">
        <f t="array" ref="C373">" "&amp;LOWER(_xlfn.REDUCE(El_unit[[#This Row],[Location]],{",",".","(",")","/"},_xlfn.LAMBDA(_xlpm.txt,_xlpm.delim,SUBSTITUTE(_xlpm.txt,_xlpm.delim," "))))&amp;" "</f>
        <v xml:space="preserve"> ratiperä </v>
      </c>
      <c r="D373" s="22" t="s">
        <v>3066</v>
      </c>
      <c r="E373" s="1">
        <v>27</v>
      </c>
      <c r="F373" s="1">
        <v>0</v>
      </c>
      <c r="G373" s="1">
        <v>0</v>
      </c>
      <c r="H373" s="1">
        <v>27</v>
      </c>
      <c r="L373" s="1" t="str" cm="1">
        <f t="array" ref="L373">_xlfn.XLOOKUP(TRUE,ISNUMBER(SEARCH(" "&amp;Municipality[Municipality]&amp;" ",El_unit[[#This Row],[Info sting]])),Municipality[Municipality],"")</f>
        <v/>
      </c>
      <c r="M373" s="1" t="str" cm="1">
        <f t="array" ref="M373">IF(El_unit[[#This Row],[Exact]]&lt;&gt;"","",_xlfn.XLOOKUP(TRUE,ISNUMBER(SEARCH(" "&amp;Municipality[Municipality]&amp;"n ",El_unit[[#This Row],[Info sting]])),Municipality[Municipality],""))</f>
        <v/>
      </c>
      <c r="O373" s="35"/>
      <c r="Q373" s="1" t="str">
        <f>_xlfn.TEXTJOIN("",TRUE,El_unit[[#This Row],[Exact]],El_unit[[#This Row],[Exact+n]],El_unit[[#This Row],[Copilot]])</f>
        <v/>
      </c>
    </row>
    <row r="374" spans="1:17">
      <c r="A374" s="54" t="s">
        <v>1067</v>
      </c>
      <c r="B374" s="22" t="s">
        <v>1067</v>
      </c>
      <c r="C374" s="107" t="str" cm="1">
        <f t="array" ref="C374">" "&amp;LOWER(_xlfn.REDUCE(El_unit[[#This Row],[Location]],{",",".","(",")","/"},_xlfn.LAMBDA(_xlpm.txt,_xlpm.delim,SUBSTITUTE(_xlpm.txt,_xlpm.delim," "))))&amp;" "</f>
        <v xml:space="preserve"> rauhalahti </v>
      </c>
      <c r="D374" s="22" t="s">
        <v>3067</v>
      </c>
      <c r="E374" s="1">
        <v>0</v>
      </c>
      <c r="F374" s="1">
        <v>0</v>
      </c>
      <c r="G374" s="1">
        <v>80</v>
      </c>
      <c r="H374" s="1">
        <v>80</v>
      </c>
      <c r="I374" s="1" t="s">
        <v>1015</v>
      </c>
      <c r="J374" s="1" t="s">
        <v>1016</v>
      </c>
      <c r="K374" s="1" t="s">
        <v>1022</v>
      </c>
      <c r="L374" s="1" t="str" cm="1">
        <f t="array" ref="L374">_xlfn.XLOOKUP(TRUE,ISNUMBER(SEARCH(" "&amp;Municipality[Municipality]&amp;" ",El_unit[[#This Row],[Info sting]])),Municipality[Municipality],"")</f>
        <v/>
      </c>
      <c r="M374" s="1" t="str" cm="1">
        <f t="array" ref="M374">IF(El_unit[[#This Row],[Exact]]&lt;&gt;"","",_xlfn.XLOOKUP(TRUE,ISNUMBER(SEARCH(" "&amp;Municipality[Municipality]&amp;"n ",El_unit[[#This Row],[Info sting]])),Municipality[Municipality],""))</f>
        <v/>
      </c>
      <c r="O374" s="35"/>
      <c r="Q374" s="1" t="str">
        <f>_xlfn.TEXTJOIN("",TRUE,El_unit[[#This Row],[Exact]],El_unit[[#This Row],[Exact+n]],El_unit[[#This Row],[Copilot]])</f>
        <v/>
      </c>
    </row>
    <row r="375" spans="1:17">
      <c r="A375" s="54" t="s">
        <v>941</v>
      </c>
      <c r="B375" s="22" t="s">
        <v>997</v>
      </c>
      <c r="C375" s="107" t="str" cm="1">
        <f t="array" ref="C375">" "&amp;LOWER(_xlfn.REDUCE(El_unit[[#This Row],[Location]],{",",".","(",")","/"},_xlfn.LAMBDA(_xlpm.txt,_xlpm.delim,SUBSTITUTE(_xlpm.txt,_xlpm.delim," "))))&amp;" "</f>
        <v xml:space="preserve"> metsä fibre rauman tehdas </v>
      </c>
      <c r="D375" s="22" t="s">
        <v>3065</v>
      </c>
      <c r="E375" s="1">
        <v>0</v>
      </c>
      <c r="F375" s="1">
        <v>75</v>
      </c>
      <c r="G375" s="1">
        <v>0</v>
      </c>
      <c r="H375" s="1">
        <v>75</v>
      </c>
      <c r="I375" s="1" t="s">
        <v>1024</v>
      </c>
      <c r="J375" s="1" t="s">
        <v>1017</v>
      </c>
      <c r="L375" s="1" t="str" cm="1">
        <f t="array" ref="L375">_xlfn.XLOOKUP(TRUE,ISNUMBER(SEARCH(" "&amp;Municipality[Municipality]&amp;" ",El_unit[[#This Row],[Info sting]])),Municipality[Municipality],"")</f>
        <v>Rauman</v>
      </c>
      <c r="M375" s="1" t="str" cm="1">
        <f t="array" ref="M375">IF(El_unit[[#This Row],[Exact]]&lt;&gt;"","",_xlfn.XLOOKUP(TRUE,ISNUMBER(SEARCH(" "&amp;Municipality[Municipality]&amp;"n ",El_unit[[#This Row],[Info sting]])),Municipality[Municipality],""))</f>
        <v/>
      </c>
      <c r="O375" s="35"/>
      <c r="Q375" s="1" t="str">
        <f>_xlfn.TEXTJOIN("",TRUE,El_unit[[#This Row],[Exact]],El_unit[[#This Row],[Exact+n]],El_unit[[#This Row],[Copilot]])</f>
        <v>Rauman</v>
      </c>
    </row>
    <row r="376" spans="1:17">
      <c r="A376" s="54" t="s">
        <v>941</v>
      </c>
      <c r="B376" s="22" t="s">
        <v>941</v>
      </c>
      <c r="C376" s="107" t="str" cm="1">
        <f t="array" ref="C376">" "&amp;LOWER(_xlfn.REDUCE(El_unit[[#This Row],[Location]],{",",".","(",")","/"},_xlfn.LAMBDA(_xlpm.txt,_xlpm.delim,SUBSTITUTE(_xlpm.txt,_xlpm.delim," "))))&amp;" "</f>
        <v xml:space="preserve"> rauma </v>
      </c>
      <c r="D376" s="22" t="s">
        <v>3065</v>
      </c>
      <c r="E376" s="1">
        <v>0</v>
      </c>
      <c r="F376" s="1">
        <v>71.5</v>
      </c>
      <c r="G376" s="1">
        <v>0</v>
      </c>
      <c r="H376" s="1">
        <v>71.5</v>
      </c>
      <c r="I376" s="1" t="s">
        <v>1016</v>
      </c>
      <c r="J376" s="1" t="s">
        <v>1022</v>
      </c>
      <c r="K376" s="1" t="s">
        <v>1019</v>
      </c>
      <c r="L376" s="1" t="str" cm="1">
        <f t="array" ref="L376">_xlfn.XLOOKUP(TRUE,ISNUMBER(SEARCH(" "&amp;Municipality[Municipality]&amp;" ",El_unit[[#This Row],[Info sting]])),Municipality[Municipality],"")</f>
        <v>Rauma</v>
      </c>
      <c r="M376" s="1" t="str" cm="1">
        <f t="array" ref="M376">IF(El_unit[[#This Row],[Exact]]&lt;&gt;"","",_xlfn.XLOOKUP(TRUE,ISNUMBER(SEARCH(" "&amp;Municipality[Municipality]&amp;"n ",El_unit[[#This Row],[Info sting]])),Municipality[Municipality],""))</f>
        <v/>
      </c>
      <c r="O376" s="35"/>
      <c r="Q376" s="1" t="str">
        <f>_xlfn.TEXTJOIN("",TRUE,El_unit[[#This Row],[Exact]],El_unit[[#This Row],[Exact+n]],El_unit[[#This Row],[Copilot]])</f>
        <v>Rauma</v>
      </c>
    </row>
    <row r="377" spans="1:17">
      <c r="A377" s="54" t="s">
        <v>942</v>
      </c>
      <c r="B377" s="22" t="s">
        <v>998</v>
      </c>
      <c r="C377" s="107" t="str" cm="1">
        <f t="array" ref="C377">" "&amp;LOWER(_xlfn.REDUCE(El_unit[[#This Row],[Location]],{",",".","(",")","/"},_xlfn.LAMBDA(_xlpm.txt,_xlpm.delim,SUBSTITUTE(_xlpm.txt,_xlpm.delim," "))))&amp;" "</f>
        <v xml:space="preserve"> renko </v>
      </c>
      <c r="D377" s="22" t="s">
        <v>3065</v>
      </c>
      <c r="E377" s="1">
        <v>0</v>
      </c>
      <c r="F377" s="1">
        <v>1.3</v>
      </c>
      <c r="G377" s="1">
        <v>0</v>
      </c>
      <c r="H377" s="1">
        <v>1.3</v>
      </c>
      <c r="I377" s="1" t="s">
        <v>1016</v>
      </c>
      <c r="J377" s="1" t="s">
        <v>1016</v>
      </c>
      <c r="L377" s="1" t="str" cm="1">
        <f t="array" ref="L377">_xlfn.XLOOKUP(TRUE,ISNUMBER(SEARCH(" "&amp;Municipality[Municipality]&amp;" ",El_unit[[#This Row],[Info sting]])),Municipality[Municipality],"")</f>
        <v>Renko</v>
      </c>
      <c r="M377" s="1" t="str" cm="1">
        <f t="array" ref="M377">IF(El_unit[[#This Row],[Exact]]&lt;&gt;"","",_xlfn.XLOOKUP(TRUE,ISNUMBER(SEARCH(" "&amp;Municipality[Municipality]&amp;"n ",El_unit[[#This Row],[Info sting]])),Municipality[Municipality],""))</f>
        <v/>
      </c>
      <c r="O377" s="35"/>
      <c r="Q377" s="1" t="str">
        <f>_xlfn.TEXTJOIN("",TRUE,El_unit[[#This Row],[Exact]],El_unit[[#This Row],[Exact+n]],El_unit[[#This Row],[Copilot]])</f>
        <v>Renko</v>
      </c>
    </row>
    <row r="378" spans="1:17">
      <c r="A378" s="54" t="s">
        <v>597</v>
      </c>
      <c r="B378" s="22" t="s">
        <v>766</v>
      </c>
      <c r="C378" s="107" t="str" cm="1">
        <f t="array" ref="C378">" "&amp;LOWER(_xlfn.REDUCE(El_unit[[#This Row],[Location]],{",",".","(",")","/"},_xlfn.LAMBDA(_xlpm.txt,_xlpm.delim,SUBSTITUTE(_xlpm.txt,_xlpm.delim," "))))&amp;" "</f>
        <v xml:space="preserve"> märynummi  salo </v>
      </c>
      <c r="D378" s="22" t="s">
        <v>3066</v>
      </c>
      <c r="E378" s="1">
        <v>5</v>
      </c>
      <c r="F378" s="1">
        <v>0</v>
      </c>
      <c r="G378" s="1">
        <v>0</v>
      </c>
      <c r="H378" s="1">
        <v>5</v>
      </c>
      <c r="L378" s="1" t="str" cm="1">
        <f t="array" ref="L378">_xlfn.XLOOKUP(TRUE,ISNUMBER(SEARCH(" "&amp;Municipality[Municipality]&amp;" ",El_unit[[#This Row],[Info sting]])),Municipality[Municipality],"")</f>
        <v>Salo</v>
      </c>
      <c r="M378" s="1" t="str" cm="1">
        <f t="array" ref="M378">IF(El_unit[[#This Row],[Exact]]&lt;&gt;"","",_xlfn.XLOOKUP(TRUE,ISNUMBER(SEARCH(" "&amp;Municipality[Municipality]&amp;"n ",El_unit[[#This Row],[Info sting]])),Municipality[Municipality],""))</f>
        <v/>
      </c>
      <c r="O378" s="35"/>
      <c r="Q378" s="1" t="str">
        <f>_xlfn.TEXTJOIN("",TRUE,El_unit[[#This Row],[Exact]],El_unit[[#This Row],[Exact+n]],El_unit[[#This Row],[Copilot]])</f>
        <v>Salo</v>
      </c>
    </row>
    <row r="379" spans="1:17">
      <c r="A379" s="54" t="s">
        <v>598</v>
      </c>
      <c r="B379" s="22" t="s">
        <v>767</v>
      </c>
      <c r="C379" s="107" t="str" cm="1">
        <f t="array" ref="C379">" "&amp;LOWER(_xlfn.REDUCE(El_unit[[#This Row],[Location]],{",",".","(",")","/"},_xlfn.LAMBDA(_xlpm.txt,_xlpm.delim,SUBSTITUTE(_xlpm.txt,_xlpm.delim," "))))&amp;" "</f>
        <v xml:space="preserve"> ribäcken   maalahden kunta </v>
      </c>
      <c r="D379" s="22" t="s">
        <v>3066</v>
      </c>
      <c r="E379" s="1">
        <v>22.5</v>
      </c>
      <c r="F379" s="1">
        <v>0</v>
      </c>
      <c r="G379" s="1">
        <v>0</v>
      </c>
      <c r="H379" s="1">
        <v>22.5</v>
      </c>
      <c r="L379" s="1" t="str" cm="1">
        <f t="array" ref="L379">_xlfn.XLOOKUP(TRUE,ISNUMBER(SEARCH(" "&amp;Municipality[Municipality]&amp;" ",El_unit[[#This Row],[Info sting]])),Municipality[Municipality],"")</f>
        <v/>
      </c>
      <c r="M379" s="1" t="str" cm="1">
        <f t="array" ref="M379">IF(El_unit[[#This Row],[Exact]]&lt;&gt;"","",_xlfn.XLOOKUP(TRUE,ISNUMBER(SEARCH(" "&amp;Municipality[Municipality]&amp;"n ",El_unit[[#This Row],[Info sting]])),Municipality[Municipality],""))</f>
        <v/>
      </c>
      <c r="O379" s="35"/>
      <c r="Q379" s="1" t="str">
        <f>_xlfn.TEXTJOIN("",TRUE,El_unit[[#This Row],[Exact]],El_unit[[#This Row],[Exact+n]],El_unit[[#This Row],[Copilot]])</f>
        <v/>
      </c>
    </row>
    <row r="380" spans="1:17">
      <c r="A380" s="54" t="s">
        <v>1068</v>
      </c>
      <c r="B380" s="22" t="s">
        <v>1112</v>
      </c>
      <c r="C380" s="107" t="str" cm="1">
        <f t="array" ref="C380">" "&amp;LOWER(_xlfn.REDUCE(El_unit[[#This Row],[Location]],{",",".","(",")","/"},_xlfn.LAMBDA(_xlpm.txt,_xlpm.delim,SUBSTITUTE(_xlpm.txt,_xlpm.delim," "))))&amp;" "</f>
        <v xml:space="preserve"> kuulojankatu 1  11120 riihimäki </v>
      </c>
      <c r="D380" s="22" t="s">
        <v>3067</v>
      </c>
      <c r="E380" s="1">
        <v>0</v>
      </c>
      <c r="F380" s="1">
        <v>0</v>
      </c>
      <c r="G380" s="1">
        <v>19.600000000000001</v>
      </c>
      <c r="H380" s="1">
        <v>19.600000000000001</v>
      </c>
      <c r="I380" s="1" t="s">
        <v>1026</v>
      </c>
      <c r="J380" s="1" t="s">
        <v>1017</v>
      </c>
      <c r="K380" s="1" t="s">
        <v>1020</v>
      </c>
      <c r="L380" s="1" t="str" cm="1">
        <f t="array" ref="L380">_xlfn.XLOOKUP(TRUE,ISNUMBER(SEARCH(" "&amp;Municipality[Municipality]&amp;" ",El_unit[[#This Row],[Info sting]])),Municipality[Municipality],"")</f>
        <v>Riihimäki</v>
      </c>
      <c r="M380" s="1" t="str" cm="1">
        <f t="array" ref="M380">IF(El_unit[[#This Row],[Exact]]&lt;&gt;"","",_xlfn.XLOOKUP(TRUE,ISNUMBER(SEARCH(" "&amp;Municipality[Municipality]&amp;"n ",El_unit[[#This Row],[Info sting]])),Municipality[Municipality],""))</f>
        <v/>
      </c>
      <c r="O380" s="35"/>
      <c r="Q380" s="1" t="str">
        <f>_xlfn.TEXTJOIN("",TRUE,El_unit[[#This Row],[Exact]],El_unit[[#This Row],[Exact+n]],El_unit[[#This Row],[Copilot]])</f>
        <v>Riihimäki</v>
      </c>
    </row>
    <row r="381" spans="1:17">
      <c r="A381" s="54" t="s">
        <v>1069</v>
      </c>
      <c r="B381" s="22" t="s">
        <v>1069</v>
      </c>
      <c r="C381" s="107" t="str" cm="1">
        <f t="array" ref="C381">" "&amp;LOWER(_xlfn.REDUCE(El_unit[[#This Row],[Location]],{",",".","(",")","/"},_xlfn.LAMBDA(_xlpm.txt,_xlpm.delim,SUBSTITUTE(_xlpm.txt,_xlpm.delim," "))))&amp;" "</f>
        <v xml:space="preserve"> riikinvoima </v>
      </c>
      <c r="D381" s="22" t="s">
        <v>3067</v>
      </c>
      <c r="E381" s="1">
        <v>0</v>
      </c>
      <c r="F381" s="1">
        <v>0</v>
      </c>
      <c r="G381" s="1">
        <v>11.8</v>
      </c>
      <c r="H381" s="1">
        <v>11.8</v>
      </c>
      <c r="I381" s="1" t="s">
        <v>1019</v>
      </c>
      <c r="J381" s="1" t="s">
        <v>1020</v>
      </c>
      <c r="L381" s="1" t="str" cm="1">
        <f t="array" ref="L381">_xlfn.XLOOKUP(TRUE,ISNUMBER(SEARCH(" "&amp;Municipality[Municipality]&amp;" ",El_unit[[#This Row],[Info sting]])),Municipality[Municipality],"")</f>
        <v/>
      </c>
      <c r="M381" s="1" t="str" cm="1">
        <f t="array" ref="M381">IF(El_unit[[#This Row],[Exact]]&lt;&gt;"","",_xlfn.XLOOKUP(TRUE,ISNUMBER(SEARCH(" "&amp;Municipality[Municipality]&amp;"n ",El_unit[[#This Row],[Info sting]])),Municipality[Municipality],""))</f>
        <v/>
      </c>
      <c r="O381" s="35"/>
      <c r="Q381" s="1" t="str">
        <f>_xlfn.TEXTJOIN("",TRUE,El_unit[[#This Row],[Exact]],El_unit[[#This Row],[Exact+n]],El_unit[[#This Row],[Copilot]])</f>
        <v/>
      </c>
    </row>
    <row r="382" spans="1:17">
      <c r="A382" s="54" t="s">
        <v>943</v>
      </c>
      <c r="B382" s="22" t="s">
        <v>943</v>
      </c>
      <c r="C382" s="107" t="str" cm="1">
        <f t="array" ref="C382">" "&amp;LOWER(_xlfn.REDUCE(El_unit[[#This Row],[Location]],{",",".","(",")","/"},_xlfn.LAMBDA(_xlpm.txt,_xlpm.delim,SUBSTITUTE(_xlpm.txt,_xlpm.delim," "))))&amp;" "</f>
        <v xml:space="preserve"> ristiina </v>
      </c>
      <c r="D382" s="22" t="s">
        <v>3065</v>
      </c>
      <c r="E382" s="1">
        <v>0</v>
      </c>
      <c r="F382" s="1">
        <v>8.5</v>
      </c>
      <c r="G382" s="1">
        <v>0</v>
      </c>
      <c r="H382" s="1">
        <v>8.5</v>
      </c>
      <c r="I382" s="1" t="s">
        <v>1016</v>
      </c>
      <c r="J382" s="1" t="s">
        <v>1017</v>
      </c>
      <c r="L382" s="1" t="str" cm="1">
        <f t="array" ref="L382">_xlfn.XLOOKUP(TRUE,ISNUMBER(SEARCH(" "&amp;Municipality[Municipality]&amp;" ",El_unit[[#This Row],[Info sting]])),Municipality[Municipality],"")</f>
        <v>Ristiina</v>
      </c>
      <c r="M382" s="1" t="str" cm="1">
        <f t="array" ref="M382">IF(El_unit[[#This Row],[Exact]]&lt;&gt;"","",_xlfn.XLOOKUP(TRUE,ISNUMBER(SEARCH(" "&amp;Municipality[Municipality]&amp;"n ",El_unit[[#This Row],[Info sting]])),Municipality[Municipality],""))</f>
        <v/>
      </c>
      <c r="O382" s="35"/>
      <c r="Q382" s="1" t="str">
        <f>_xlfn.TEXTJOIN("",TRUE,El_unit[[#This Row],[Exact]],El_unit[[#This Row],[Exact+n]],El_unit[[#This Row],[Copilot]])</f>
        <v>Ristiina</v>
      </c>
    </row>
    <row r="383" spans="1:17">
      <c r="A383" s="54" t="s">
        <v>599</v>
      </c>
      <c r="B383" s="22" t="s">
        <v>768</v>
      </c>
      <c r="C383" s="107" t="str" cm="1">
        <f t="array" ref="C383">" "&amp;LOWER(_xlfn.REDUCE(El_unit[[#This Row],[Location]],{",",".","(",")","/"},_xlfn.LAMBDA(_xlpm.txt,_xlpm.delim,SUBSTITUTE(_xlpm.txt,_xlpm.delim," "))))&amp;" "</f>
        <v xml:space="preserve"> ruda solpark oy </v>
      </c>
      <c r="D383" s="22" t="s">
        <v>163</v>
      </c>
      <c r="E383" s="1">
        <v>1.8</v>
      </c>
      <c r="F383" s="1">
        <v>0</v>
      </c>
      <c r="G383" s="1">
        <v>0</v>
      </c>
      <c r="H383" s="1">
        <v>1.8</v>
      </c>
      <c r="L383" s="1" t="str" cm="1">
        <f t="array" ref="L383">_xlfn.XLOOKUP(TRUE,ISNUMBER(SEARCH(" "&amp;Municipality[Municipality]&amp;" ",El_unit[[#This Row],[Info sting]])),Municipality[Municipality],"")</f>
        <v/>
      </c>
      <c r="M383" s="1" t="str" cm="1">
        <f t="array" ref="M383">IF(El_unit[[#This Row],[Exact]]&lt;&gt;"","",_xlfn.XLOOKUP(TRUE,ISNUMBER(SEARCH(" "&amp;Municipality[Municipality]&amp;"n ",El_unit[[#This Row],[Info sting]])),Municipality[Municipality],""))</f>
        <v/>
      </c>
      <c r="N383" s="1" t="s">
        <v>2592</v>
      </c>
      <c r="O383" s="35" t="s">
        <v>3204</v>
      </c>
      <c r="P383" s="1" t="s">
        <v>3205</v>
      </c>
      <c r="Q383" s="1" t="str">
        <f>_xlfn.TEXTJOIN("",TRUE,El_unit[[#This Row],[Exact]],El_unit[[#This Row],[Exact+n]],El_unit[[#This Row],[Copilot]])</f>
        <v>Kemiö</v>
      </c>
    </row>
    <row r="384" spans="1:17">
      <c r="A384" s="54" t="s">
        <v>336</v>
      </c>
      <c r="B384" s="22" t="s">
        <v>337</v>
      </c>
      <c r="C384" s="107" t="str" cm="1">
        <f t="array" ref="C384">" "&amp;LOWER(_xlfn.REDUCE(El_unit[[#This Row],[Location]],{",",".","(",")","/"},_xlfn.LAMBDA(_xlpm.txt,_xlpm.delim,SUBSTITUTE(_xlpm.txt,_xlpm.delim," "))))&amp;" "</f>
        <v xml:space="preserve"> joensuu  ruskeakoski </v>
      </c>
      <c r="D384" s="22" t="s">
        <v>3064</v>
      </c>
      <c r="E384" s="1">
        <v>3.3</v>
      </c>
      <c r="F384" s="1">
        <v>0</v>
      </c>
      <c r="G384" s="1">
        <v>0</v>
      </c>
      <c r="H384" s="1">
        <v>3.3</v>
      </c>
      <c r="L384" s="1" t="str" cm="1">
        <f t="array" ref="L384">_xlfn.XLOOKUP(TRUE,ISNUMBER(SEARCH(" "&amp;Municipality[Municipality]&amp;" ",El_unit[[#This Row],[Info sting]])),Municipality[Municipality],"")</f>
        <v>Joensuu</v>
      </c>
      <c r="M384" s="1" t="str" cm="1">
        <f t="array" ref="M384">IF(El_unit[[#This Row],[Exact]]&lt;&gt;"","",_xlfn.XLOOKUP(TRUE,ISNUMBER(SEARCH(" "&amp;Municipality[Municipality]&amp;"n ",El_unit[[#This Row],[Info sting]])),Municipality[Municipality],""))</f>
        <v/>
      </c>
      <c r="O384" s="35"/>
      <c r="Q384" s="1" t="str">
        <f>_xlfn.TEXTJOIN("",TRUE,El_unit[[#This Row],[Exact]],El_unit[[#This Row],[Exact+n]],El_unit[[#This Row],[Copilot]])</f>
        <v>Joensuu</v>
      </c>
    </row>
    <row r="385" spans="1:17">
      <c r="A385" s="54" t="s">
        <v>600</v>
      </c>
      <c r="B385" s="22" t="s">
        <v>769</v>
      </c>
      <c r="C385" s="107" t="str" cm="1">
        <f t="array" ref="C385">" "&amp;LOWER(_xlfn.REDUCE(El_unit[[#This Row],[Location]],{",",".","(",")","/"},_xlfn.LAMBDA(_xlpm.txt,_xlpm.delim,SUBSTITUTE(_xlpm.txt,_xlpm.delim," "))))&amp;" "</f>
        <v xml:space="preserve"> kurikka  puutikankangas </v>
      </c>
      <c r="D385" s="22" t="s">
        <v>3066</v>
      </c>
      <c r="E385" s="1">
        <v>44</v>
      </c>
      <c r="F385" s="1">
        <v>0</v>
      </c>
      <c r="G385" s="1">
        <v>0</v>
      </c>
      <c r="H385" s="1">
        <v>44</v>
      </c>
      <c r="L385" s="1" t="str" cm="1">
        <f t="array" ref="L385">_xlfn.XLOOKUP(TRUE,ISNUMBER(SEARCH(" "&amp;Municipality[Municipality]&amp;" ",El_unit[[#This Row],[Info sting]])),Municipality[Municipality],"")</f>
        <v>Kurikka</v>
      </c>
      <c r="M385" s="1" t="str" cm="1">
        <f t="array" ref="M385">IF(El_unit[[#This Row],[Exact]]&lt;&gt;"","",_xlfn.XLOOKUP(TRUE,ISNUMBER(SEARCH(" "&amp;Municipality[Municipality]&amp;"n ",El_unit[[#This Row],[Info sting]])),Municipality[Municipality],""))</f>
        <v/>
      </c>
      <c r="O385" s="35"/>
      <c r="Q385" s="1" t="str">
        <f>_xlfn.TEXTJOIN("",TRUE,El_unit[[#This Row],[Exact]],El_unit[[#This Row],[Exact+n]],El_unit[[#This Row],[Copilot]])</f>
        <v>Kurikka</v>
      </c>
    </row>
    <row r="386" spans="1:17">
      <c r="A386" s="54" t="s">
        <v>601</v>
      </c>
      <c r="B386" s="22" t="s">
        <v>770</v>
      </c>
      <c r="C386" s="107" t="str" cm="1">
        <f t="array" ref="C386">" "&amp;LOWER(_xlfn.REDUCE(El_unit[[#This Row],[Location]],{",",".","(",")","/"},_xlfn.LAMBDA(_xlpm.txt,_xlpm.delim,SUBSTITUTE(_xlpm.txt,_xlpm.delim," "))))&amp;" "</f>
        <v xml:space="preserve"> valkeala </v>
      </c>
      <c r="D386" s="22" t="s">
        <v>3068</v>
      </c>
      <c r="E386" s="1">
        <v>1.2</v>
      </c>
      <c r="F386" s="1">
        <v>1.5</v>
      </c>
      <c r="G386" s="1">
        <v>0</v>
      </c>
      <c r="H386" s="1">
        <v>2.7</v>
      </c>
      <c r="I386" s="1" t="s">
        <v>1023</v>
      </c>
      <c r="J386" s="1" t="s">
        <v>1020</v>
      </c>
      <c r="L386" s="1" t="str" cm="1">
        <f t="array" ref="L386">_xlfn.XLOOKUP(TRUE,ISNUMBER(SEARCH(" "&amp;Municipality[Municipality]&amp;" ",El_unit[[#This Row],[Info sting]])),Municipality[Municipality],"")</f>
        <v>Valkeala</v>
      </c>
      <c r="M386" s="1" t="str" cm="1">
        <f t="array" ref="M386">IF(El_unit[[#This Row],[Exact]]&lt;&gt;"","",_xlfn.XLOOKUP(TRUE,ISNUMBER(SEARCH(" "&amp;Municipality[Municipality]&amp;"n ",El_unit[[#This Row],[Info sting]])),Municipality[Municipality],""))</f>
        <v/>
      </c>
      <c r="O386" s="35"/>
      <c r="Q386" s="1" t="str">
        <f>_xlfn.TEXTJOIN("",TRUE,El_unit[[#This Row],[Exact]],El_unit[[#This Row],[Exact+n]],El_unit[[#This Row],[Copilot]])</f>
        <v>Valkeala</v>
      </c>
    </row>
    <row r="387" spans="1:17">
      <c r="A387" s="54" t="s">
        <v>602</v>
      </c>
      <c r="B387" s="22" t="s">
        <v>771</v>
      </c>
      <c r="C387" s="107" t="str" cm="1">
        <f t="array" ref="C387">" "&amp;LOWER(_xlfn.REDUCE(El_unit[[#This Row],[Location]],{",",".","(",")","/"},_xlfn.LAMBDA(_xlpm.txt,_xlpm.delim,SUBSTITUTE(_xlpm.txt,_xlpm.delim," "))))&amp;" "</f>
        <v xml:space="preserve"> tornion tehtaat röyttä </v>
      </c>
      <c r="D387" s="22" t="s">
        <v>3068</v>
      </c>
      <c r="E387" s="1">
        <v>16</v>
      </c>
      <c r="F387" s="1">
        <v>0</v>
      </c>
      <c r="G387" s="1">
        <v>0</v>
      </c>
      <c r="H387" s="1">
        <v>16</v>
      </c>
      <c r="I387" s="1" t="s">
        <v>1020</v>
      </c>
      <c r="L387" s="1" t="str" cm="1">
        <f t="array" ref="L387">_xlfn.XLOOKUP(TRUE,ISNUMBER(SEARCH(" "&amp;Municipality[Municipality]&amp;" ",El_unit[[#This Row],[Info sting]])),Municipality[Municipality],"")</f>
        <v/>
      </c>
      <c r="M387" s="1" t="str" cm="1">
        <f t="array" ref="M387">IF(El_unit[[#This Row],[Exact]]&lt;&gt;"","",_xlfn.XLOOKUP(TRUE,ISNUMBER(SEARCH(" "&amp;Municipality[Municipality]&amp;"n ",El_unit[[#This Row],[Info sting]])),Municipality[Municipality],""))</f>
        <v>Tornio</v>
      </c>
      <c r="O387" s="35"/>
      <c r="Q387" s="1" t="str">
        <f>_xlfn.TEXTJOIN("",TRUE,El_unit[[#This Row],[Exact]],El_unit[[#This Row],[Exact+n]],El_unit[[#This Row],[Copilot]])</f>
        <v>Tornio</v>
      </c>
    </row>
    <row r="388" spans="1:17">
      <c r="A388" s="54" t="s">
        <v>603</v>
      </c>
      <c r="B388" s="22" t="s">
        <v>772</v>
      </c>
      <c r="C388" s="107" t="str" cm="1">
        <f t="array" ref="C388">" "&amp;LOWER(_xlfn.REDUCE(El_unit[[#This Row],[Location]],{",",".","(",")","/"},_xlfn.LAMBDA(_xlpm.txt,_xlpm.delim,SUBSTITUTE(_xlpm.txt,_xlpm.delim," "))))&amp;" "</f>
        <v xml:space="preserve"> saarenkylän tuulivoimapuisto </v>
      </c>
      <c r="D388" s="22" t="s">
        <v>3066</v>
      </c>
      <c r="E388" s="1">
        <v>29.7</v>
      </c>
      <c r="F388" s="1">
        <v>0</v>
      </c>
      <c r="G388" s="1">
        <v>0</v>
      </c>
      <c r="H388" s="1">
        <v>29.7</v>
      </c>
      <c r="L388" s="1" t="str" cm="1">
        <f t="array" ref="L388">_xlfn.XLOOKUP(TRUE,ISNUMBER(SEARCH(" "&amp;Municipality[Municipality]&amp;" ",El_unit[[#This Row],[Info sting]])),Municipality[Municipality],"")</f>
        <v/>
      </c>
      <c r="M388" s="1" t="str" cm="1">
        <f t="array" ref="M388">IF(El_unit[[#This Row],[Exact]]&lt;&gt;"","",_xlfn.XLOOKUP(TRUE,ISNUMBER(SEARCH(" "&amp;Municipality[Municipality]&amp;"n ",El_unit[[#This Row],[Info sting]])),Municipality[Municipality],""))</f>
        <v/>
      </c>
      <c r="O388" s="35"/>
      <c r="Q388" s="1" t="str">
        <f>_xlfn.TEXTJOIN("",TRUE,El_unit[[#This Row],[Exact]],El_unit[[#This Row],[Exact+n]],El_unit[[#This Row],[Copilot]])</f>
        <v/>
      </c>
    </row>
    <row r="389" spans="1:17">
      <c r="A389" s="54" t="s">
        <v>338</v>
      </c>
      <c r="B389" s="22" t="s">
        <v>339</v>
      </c>
      <c r="C389" s="107" t="str" cm="1">
        <f t="array" ref="C389">" "&amp;LOWER(_xlfn.REDUCE(El_unit[[#This Row],[Location]],{",",".","(",")","/"},_xlfn.LAMBDA(_xlpm.txt,_xlpm.delim,SUBSTITUTE(_xlpm.txt,_xlpm.delim," "))))&amp;" "</f>
        <v xml:space="preserve"> tohmajärvi  saario </v>
      </c>
      <c r="D389" s="22" t="s">
        <v>3064</v>
      </c>
      <c r="E389" s="1">
        <v>1.6</v>
      </c>
      <c r="F389" s="1">
        <v>0</v>
      </c>
      <c r="G389" s="1">
        <v>0</v>
      </c>
      <c r="H389" s="1">
        <v>1.6</v>
      </c>
      <c r="L389" s="1" t="str" cm="1">
        <f t="array" ref="L389">_xlfn.XLOOKUP(TRUE,ISNUMBER(SEARCH(" "&amp;Municipality[Municipality]&amp;" ",El_unit[[#This Row],[Info sting]])),Municipality[Municipality],"")</f>
        <v>Tohmajärvi</v>
      </c>
      <c r="M389" s="1" t="str" cm="1">
        <f t="array" ref="M389">IF(El_unit[[#This Row],[Exact]]&lt;&gt;"","",_xlfn.XLOOKUP(TRUE,ISNUMBER(SEARCH(" "&amp;Municipality[Municipality]&amp;"n ",El_unit[[#This Row],[Info sting]])),Municipality[Municipality],""))</f>
        <v/>
      </c>
      <c r="O389" s="35"/>
      <c r="Q389" s="1" t="str">
        <f>_xlfn.TEXTJOIN("",TRUE,El_unit[[#This Row],[Exact]],El_unit[[#This Row],[Exact+n]],El_unit[[#This Row],[Copilot]])</f>
        <v>Tohmajärvi</v>
      </c>
    </row>
    <row r="390" spans="1:17">
      <c r="A390" s="54" t="s">
        <v>604</v>
      </c>
      <c r="B390" s="22" t="s">
        <v>773</v>
      </c>
      <c r="C390" s="107" t="str" cm="1">
        <f t="array" ref="C390">" "&amp;LOWER(_xlfn.REDUCE(El_unit[[#This Row],[Location]],{",",".","(",")","/"},_xlfn.LAMBDA(_xlpm.txt,_xlpm.delim,SUBSTITUTE(_xlpm.txt,_xlpm.delim," "))))&amp;" "</f>
        <v xml:space="preserve"> vieremä  kiuruvedentie 31  salahmi </v>
      </c>
      <c r="D390" s="22" t="s">
        <v>3068</v>
      </c>
      <c r="E390" s="1">
        <v>1.1000000000000001</v>
      </c>
      <c r="F390" s="1">
        <v>0</v>
      </c>
      <c r="G390" s="1">
        <v>0</v>
      </c>
      <c r="H390" s="1">
        <v>1.1000000000000001</v>
      </c>
      <c r="L390" s="1" t="str" cm="1">
        <f t="array" ref="L390">_xlfn.XLOOKUP(TRUE,ISNUMBER(SEARCH(" "&amp;Municipality[Municipality]&amp;" ",El_unit[[#This Row],[Info sting]])),Municipality[Municipality],"")</f>
        <v>Vieremä</v>
      </c>
      <c r="M390" s="1" t="str" cm="1">
        <f t="array" ref="M390">IF(El_unit[[#This Row],[Exact]]&lt;&gt;"","",_xlfn.XLOOKUP(TRUE,ISNUMBER(SEARCH(" "&amp;Municipality[Municipality]&amp;"n ",El_unit[[#This Row],[Info sting]])),Municipality[Municipality],""))</f>
        <v/>
      </c>
      <c r="O390" s="35"/>
      <c r="Q390" s="1" t="str">
        <f>_xlfn.TEXTJOIN("",TRUE,El_unit[[#This Row],[Exact]],El_unit[[#This Row],[Exact+n]],El_unit[[#This Row],[Copilot]])</f>
        <v>Vieremä</v>
      </c>
    </row>
    <row r="391" spans="1:17">
      <c r="A391" s="54" t="s">
        <v>340</v>
      </c>
      <c r="B391" s="22" t="s">
        <v>341</v>
      </c>
      <c r="C391" s="107" t="str" cm="1">
        <f t="array" ref="C391">" "&amp;LOWER(_xlfn.REDUCE(El_unit[[#This Row],[Location]],{",",".","(",")","/"},_xlfn.LAMBDA(_xlpm.txt,_xlpm.delim,SUBSTITUTE(_xlpm.txt,_xlpm.delim," "))))&amp;" "</f>
        <v xml:space="preserve"> sallila  vampulan kunnassa  </v>
      </c>
      <c r="D391" s="22" t="s">
        <v>3064</v>
      </c>
      <c r="E391" s="1">
        <v>1.2</v>
      </c>
      <c r="F391" s="1">
        <v>0</v>
      </c>
      <c r="G391" s="1">
        <v>0</v>
      </c>
      <c r="H391" s="1">
        <v>1.2</v>
      </c>
      <c r="L391" s="1" t="str" cm="1">
        <f t="array" ref="L391">_xlfn.XLOOKUP(TRUE,ISNUMBER(SEARCH(" "&amp;Municipality[Municipality]&amp;" ",El_unit[[#This Row],[Info sting]])),Municipality[Municipality],"")</f>
        <v/>
      </c>
      <c r="M391" s="1" t="str" cm="1">
        <f t="array" ref="M391">IF(El_unit[[#This Row],[Exact]]&lt;&gt;"","",_xlfn.XLOOKUP(TRUE,ISNUMBER(SEARCH(" "&amp;Municipality[Municipality]&amp;"n ",El_unit[[#This Row],[Info sting]])),Municipality[Municipality],""))</f>
        <v>Vampula</v>
      </c>
      <c r="O391" s="35"/>
      <c r="Q391" s="1" t="str">
        <f>_xlfn.TEXTJOIN("",TRUE,El_unit[[#This Row],[Exact]],El_unit[[#This Row],[Exact+n]],El_unit[[#This Row],[Copilot]])</f>
        <v>Vampula</v>
      </c>
    </row>
    <row r="392" spans="1:17">
      <c r="A392" s="54" t="s">
        <v>1070</v>
      </c>
      <c r="B392" s="22" t="s">
        <v>1070</v>
      </c>
      <c r="C392" s="107" t="str" cm="1">
        <f t="array" ref="C392">" "&amp;LOWER(_xlfn.REDUCE(El_unit[[#This Row],[Location]],{",",".","(",")","/"},_xlfn.LAMBDA(_xlpm.txt,_xlpm.delim,SUBSTITUTE(_xlpm.txt,_xlpm.delim," "))))&amp;" "</f>
        <v xml:space="preserve"> salo </v>
      </c>
      <c r="D392" s="22" t="s">
        <v>3067</v>
      </c>
      <c r="E392" s="1">
        <v>0</v>
      </c>
      <c r="F392" s="1">
        <v>0</v>
      </c>
      <c r="G392" s="1">
        <v>13.5</v>
      </c>
      <c r="H392" s="1">
        <v>13.5</v>
      </c>
      <c r="I392" s="1" t="s">
        <v>1022</v>
      </c>
      <c r="J392" s="1" t="s">
        <v>1130</v>
      </c>
      <c r="K392" s="1" t="s">
        <v>1015</v>
      </c>
      <c r="L392" s="1" t="str" cm="1">
        <f t="array" ref="L392">_xlfn.XLOOKUP(TRUE,ISNUMBER(SEARCH(" "&amp;Municipality[Municipality]&amp;" ",El_unit[[#This Row],[Info sting]])),Municipality[Municipality],"")</f>
        <v>Salo</v>
      </c>
      <c r="M392" s="1" t="str" cm="1">
        <f t="array" ref="M392">IF(El_unit[[#This Row],[Exact]]&lt;&gt;"","",_xlfn.XLOOKUP(TRUE,ISNUMBER(SEARCH(" "&amp;Municipality[Municipality]&amp;"n ",El_unit[[#This Row],[Info sting]])),Municipality[Municipality],""))</f>
        <v/>
      </c>
      <c r="O392" s="35"/>
      <c r="Q392" s="1" t="str">
        <f>_xlfn.TEXTJOIN("",TRUE,El_unit[[#This Row],[Exact]],El_unit[[#This Row],[Exact+n]],El_unit[[#This Row],[Copilot]])</f>
        <v>Salo</v>
      </c>
    </row>
    <row r="393" spans="1:17">
      <c r="A393" s="54" t="s">
        <v>605</v>
      </c>
      <c r="B393" s="22" t="s">
        <v>605</v>
      </c>
      <c r="C393" s="107" t="str" cm="1">
        <f t="array" ref="C393">" "&amp;LOWER(_xlfn.REDUCE(El_unit[[#This Row],[Location]],{",",".","(",")","/"},_xlfn.LAMBDA(_xlpm.txt,_xlpm.delim,SUBSTITUTE(_xlpm.txt,_xlpm.delim," "))))&amp;" "</f>
        <v xml:space="preserve"> salo märynummi </v>
      </c>
      <c r="D393" s="22" t="s">
        <v>3066</v>
      </c>
      <c r="E393" s="1">
        <v>10</v>
      </c>
      <c r="F393" s="1">
        <v>0</v>
      </c>
      <c r="G393" s="1">
        <v>0</v>
      </c>
      <c r="H393" s="1">
        <v>10</v>
      </c>
      <c r="L393" s="1" t="str" cm="1">
        <f t="array" ref="L393">_xlfn.XLOOKUP(TRUE,ISNUMBER(SEARCH(" "&amp;Municipality[Municipality]&amp;" ",El_unit[[#This Row],[Info sting]])),Municipality[Municipality],"")</f>
        <v>Salo</v>
      </c>
      <c r="M393" s="1" t="str" cm="1">
        <f t="array" ref="M393">IF(El_unit[[#This Row],[Exact]]&lt;&gt;"","",_xlfn.XLOOKUP(TRUE,ISNUMBER(SEARCH(" "&amp;Municipality[Municipality]&amp;"n ",El_unit[[#This Row],[Info sting]])),Municipality[Municipality],""))</f>
        <v/>
      </c>
      <c r="O393" s="35"/>
      <c r="Q393" s="1" t="str">
        <f>_xlfn.TEXTJOIN("",TRUE,El_unit[[#This Row],[Exact]],El_unit[[#This Row],[Exact+n]],El_unit[[#This Row],[Copilot]])</f>
        <v>Salo</v>
      </c>
    </row>
    <row r="394" spans="1:17">
      <c r="A394" s="54" t="s">
        <v>606</v>
      </c>
      <c r="B394" s="22" t="s">
        <v>606</v>
      </c>
      <c r="C394" s="107" t="str" cm="1">
        <f t="array" ref="C394">" "&amp;LOWER(_xlfn.REDUCE(El_unit[[#This Row],[Location]],{",",".","(",")","/"},_xlfn.LAMBDA(_xlpm.txt,_xlpm.delim,SUBSTITUTE(_xlpm.txt,_xlpm.delim," "))))&amp;" "</f>
        <v xml:space="preserve"> santavuori 1 </v>
      </c>
      <c r="D394" s="22" t="s">
        <v>3066</v>
      </c>
      <c r="E394" s="1">
        <v>56.1</v>
      </c>
      <c r="F394" s="1">
        <v>0</v>
      </c>
      <c r="G394" s="1">
        <v>0</v>
      </c>
      <c r="H394" s="1">
        <v>56.1</v>
      </c>
      <c r="L394" s="1" t="str" cm="1">
        <f t="array" ref="L394">_xlfn.XLOOKUP(TRUE,ISNUMBER(SEARCH(" "&amp;Municipality[Municipality]&amp;" ",El_unit[[#This Row],[Info sting]])),Municipality[Municipality],"")</f>
        <v/>
      </c>
      <c r="M394" s="1" t="str" cm="1">
        <f t="array" ref="M394">IF(El_unit[[#This Row],[Exact]]&lt;&gt;"","",_xlfn.XLOOKUP(TRUE,ISNUMBER(SEARCH(" "&amp;Municipality[Municipality]&amp;"n ",El_unit[[#This Row],[Info sting]])),Municipality[Municipality],""))</f>
        <v/>
      </c>
      <c r="O394" s="35"/>
      <c r="Q394" s="1" t="str">
        <f>_xlfn.TEXTJOIN("",TRUE,El_unit[[#This Row],[Exact]],El_unit[[#This Row],[Exact+n]],El_unit[[#This Row],[Copilot]])</f>
        <v/>
      </c>
    </row>
    <row r="395" spans="1:17">
      <c r="A395" s="54" t="s">
        <v>607</v>
      </c>
      <c r="B395" s="22" t="s">
        <v>774</v>
      </c>
      <c r="C395" s="107" t="str" cm="1">
        <f t="array" ref="C395">" "&amp;LOWER(_xlfn.REDUCE(El_unit[[#This Row],[Location]],{",",".","(",")","/"},_xlfn.LAMBDA(_xlpm.txt,_xlpm.delim,SUBSTITUTE(_xlpm.txt,_xlpm.delim," "))))&amp;" "</f>
        <v xml:space="preserve"> tw sarvankangas  raahe </v>
      </c>
      <c r="D395" s="22" t="s">
        <v>3066</v>
      </c>
      <c r="E395" s="1">
        <v>48.3</v>
      </c>
      <c r="F395" s="1">
        <v>0</v>
      </c>
      <c r="G395" s="1">
        <v>0</v>
      </c>
      <c r="H395" s="1">
        <v>48.3</v>
      </c>
      <c r="L395" s="1" t="str" cm="1">
        <f t="array" ref="L395">_xlfn.XLOOKUP(TRUE,ISNUMBER(SEARCH(" "&amp;Municipality[Municipality]&amp;" ",El_unit[[#This Row],[Info sting]])),Municipality[Municipality],"")</f>
        <v>Raahe</v>
      </c>
      <c r="M395" s="1" t="str" cm="1">
        <f t="array" ref="M395">IF(El_unit[[#This Row],[Exact]]&lt;&gt;"","",_xlfn.XLOOKUP(TRUE,ISNUMBER(SEARCH(" "&amp;Municipality[Municipality]&amp;"n ",El_unit[[#This Row],[Info sting]])),Municipality[Municipality],""))</f>
        <v/>
      </c>
      <c r="O395" s="35"/>
      <c r="Q395" s="1" t="str">
        <f>_xlfn.TEXTJOIN("",TRUE,El_unit[[#This Row],[Exact]],El_unit[[#This Row],[Exact+n]],El_unit[[#This Row],[Copilot]])</f>
        <v>Raahe</v>
      </c>
    </row>
    <row r="396" spans="1:17">
      <c r="A396" s="54" t="s">
        <v>608</v>
      </c>
      <c r="B396" s="22" t="s">
        <v>775</v>
      </c>
      <c r="C396" s="107" t="str" cm="1">
        <f t="array" ref="C396">" "&amp;LOWER(_xlfn.REDUCE(El_unit[[#This Row],[Location]],{",",".","(",")","/"},_xlfn.LAMBDA(_xlpm.txt,_xlpm.delim,SUBSTITUTE(_xlpm.txt,_xlpm.delim," "))))&amp;" "</f>
        <v xml:space="preserve"> simo sarvisuon tuulipuisto  pohjoispuolentie 33  95200 simo  </v>
      </c>
      <c r="D396" s="22" t="s">
        <v>3066</v>
      </c>
      <c r="E396" s="1">
        <v>151</v>
      </c>
      <c r="F396" s="1">
        <v>0</v>
      </c>
      <c r="G396" s="1">
        <v>0</v>
      </c>
      <c r="H396" s="1">
        <v>151</v>
      </c>
      <c r="L396" s="1" t="str" cm="1">
        <f t="array" ref="L396">_xlfn.XLOOKUP(TRUE,ISNUMBER(SEARCH(" "&amp;Municipality[Municipality]&amp;" ",El_unit[[#This Row],[Info sting]])),Municipality[Municipality],"")</f>
        <v>Simo</v>
      </c>
      <c r="M396" s="1" t="str" cm="1">
        <f t="array" ref="M396">IF(El_unit[[#This Row],[Exact]]&lt;&gt;"","",_xlfn.XLOOKUP(TRUE,ISNUMBER(SEARCH(" "&amp;Municipality[Municipality]&amp;"n ",El_unit[[#This Row],[Info sting]])),Municipality[Municipality],""))</f>
        <v/>
      </c>
      <c r="O396" s="35"/>
      <c r="Q396" s="1" t="str">
        <f>_xlfn.TEXTJOIN("",TRUE,El_unit[[#This Row],[Exact]],El_unit[[#This Row],[Exact+n]],El_unit[[#This Row],[Copilot]])</f>
        <v>Simo</v>
      </c>
    </row>
    <row r="397" spans="1:17">
      <c r="A397" s="54" t="s">
        <v>609</v>
      </c>
      <c r="B397" s="22" t="s">
        <v>776</v>
      </c>
      <c r="C397" s="107" t="str" cm="1">
        <f t="array" ref="C397">" "&amp;LOWER(_xlfn.REDUCE(El_unit[[#This Row],[Location]],{",",".","(",")","/"},_xlfn.LAMBDA(_xlpm.txt,_xlpm.delim,SUBSTITUTE(_xlpm.txt,_xlpm.delim," "))))&amp;" "</f>
        <v xml:space="preserve"> suolakangas kauhajoki </v>
      </c>
      <c r="D397" s="22" t="s">
        <v>3066</v>
      </c>
      <c r="E397" s="1">
        <v>33.6</v>
      </c>
      <c r="F397" s="1">
        <v>0</v>
      </c>
      <c r="G397" s="1">
        <v>0</v>
      </c>
      <c r="H397" s="1">
        <v>33.6</v>
      </c>
      <c r="L397" s="1" t="str" cm="1">
        <f t="array" ref="L397">_xlfn.XLOOKUP(TRUE,ISNUMBER(SEARCH(" "&amp;Municipality[Municipality]&amp;" ",El_unit[[#This Row],[Info sting]])),Municipality[Municipality],"")</f>
        <v>Kauhajoki</v>
      </c>
      <c r="M397" s="1" t="str" cm="1">
        <f t="array" ref="M397">IF(El_unit[[#This Row],[Exact]]&lt;&gt;"","",_xlfn.XLOOKUP(TRUE,ISNUMBER(SEARCH(" "&amp;Municipality[Municipality]&amp;"n ",El_unit[[#This Row],[Info sting]])),Municipality[Municipality],""))</f>
        <v/>
      </c>
      <c r="O397" s="35"/>
      <c r="Q397" s="1" t="str">
        <f>_xlfn.TEXTJOIN("",TRUE,El_unit[[#This Row],[Exact]],El_unit[[#This Row],[Exact+n]],El_unit[[#This Row],[Copilot]])</f>
        <v>Kauhajoki</v>
      </c>
    </row>
    <row r="398" spans="1:17">
      <c r="A398" s="54" t="s">
        <v>610</v>
      </c>
      <c r="B398" s="22" t="s">
        <v>610</v>
      </c>
      <c r="C398" s="107" t="str" cm="1">
        <f t="array" ref="C398">" "&amp;LOWER(_xlfn.REDUCE(El_unit[[#This Row],[Location]],{",",".","(",")","/"},_xlfn.LAMBDA(_xlpm.txt,_xlpm.delim,SUBSTITUTE(_xlpm.txt,_xlpm.delim," "))))&amp;" "</f>
        <v xml:space="preserve"> savela </v>
      </c>
      <c r="D398" s="22" t="s">
        <v>3068</v>
      </c>
      <c r="E398" s="1">
        <v>0</v>
      </c>
      <c r="F398" s="1">
        <v>0</v>
      </c>
      <c r="G398" s="1">
        <v>0</v>
      </c>
      <c r="H398" s="1">
        <v>0</v>
      </c>
      <c r="I398" s="1" t="s">
        <v>1017</v>
      </c>
      <c r="L398" s="1" t="str" cm="1">
        <f t="array" ref="L398">_xlfn.XLOOKUP(TRUE,ISNUMBER(SEARCH(" "&amp;Municipality[Municipality]&amp;" ",El_unit[[#This Row],[Info sting]])),Municipality[Municipality],"")</f>
        <v/>
      </c>
      <c r="M398" s="1" t="str" cm="1">
        <f t="array" ref="M398">IF(El_unit[[#This Row],[Exact]]&lt;&gt;"","",_xlfn.XLOOKUP(TRUE,ISNUMBER(SEARCH(" "&amp;Municipality[Municipality]&amp;"n ",El_unit[[#This Row],[Info sting]])),Municipality[Municipality],""))</f>
        <v/>
      </c>
      <c r="O398" s="35"/>
      <c r="Q398" s="1" t="str">
        <f>_xlfn.TEXTJOIN("",TRUE,El_unit[[#This Row],[Exact]],El_unit[[#This Row],[Exact+n]],El_unit[[#This Row],[Copilot]])</f>
        <v/>
      </c>
    </row>
    <row r="399" spans="1:17">
      <c r="A399" s="54" t="s">
        <v>1071</v>
      </c>
      <c r="B399" s="22" t="s">
        <v>1113</v>
      </c>
      <c r="C399" s="107" t="str" cm="1">
        <f t="array" ref="C399">" "&amp;LOWER(_xlfn.REDUCE(El_unit[[#This Row],[Location]],{",",".","(",")","/"},_xlfn.LAMBDA(_xlpm.txt,_xlpm.delim,SUBSTITUTE(_xlpm.txt,_xlpm.delim," "))))&amp;" "</f>
        <v xml:space="preserve"> savion voimalaitos </v>
      </c>
      <c r="D399" s="22" t="s">
        <v>3067</v>
      </c>
      <c r="E399" s="1">
        <v>0</v>
      </c>
      <c r="F399" s="1">
        <v>0</v>
      </c>
      <c r="G399" s="1">
        <v>3.9</v>
      </c>
      <c r="H399" s="1">
        <v>3.9</v>
      </c>
      <c r="I399" s="1" t="s">
        <v>1023</v>
      </c>
      <c r="L399" s="1" t="str" cm="1">
        <f t="array" ref="L399">_xlfn.XLOOKUP(TRUE,ISNUMBER(SEARCH(" "&amp;Municipality[Municipality]&amp;" ",El_unit[[#This Row],[Info sting]])),Municipality[Municipality],"")</f>
        <v/>
      </c>
      <c r="M399" s="1" t="str" cm="1">
        <f t="array" ref="M399">IF(El_unit[[#This Row],[Exact]]&lt;&gt;"","",_xlfn.XLOOKUP(TRUE,ISNUMBER(SEARCH(" "&amp;Municipality[Municipality]&amp;"n ",El_unit[[#This Row],[Info sting]])),Municipality[Municipality],""))</f>
        <v/>
      </c>
      <c r="O399" s="35"/>
      <c r="Q399" s="1" t="str">
        <f>_xlfn.TEXTJOIN("",TRUE,El_unit[[#This Row],[Exact]],El_unit[[#This Row],[Exact+n]],El_unit[[#This Row],[Copilot]])</f>
        <v/>
      </c>
    </row>
    <row r="400" spans="1:17">
      <c r="A400" s="54" t="s">
        <v>1072</v>
      </c>
      <c r="B400" s="22" t="s">
        <v>1072</v>
      </c>
      <c r="C400" s="107" t="str" cm="1">
        <f t="array" ref="C400">" "&amp;LOWER(_xlfn.REDUCE(El_unit[[#This Row],[Location]],{",",".","(",")","/"},_xlfn.LAMBDA(_xlpm.txt,_xlpm.delim,SUBSTITUTE(_xlpm.txt,_xlpm.delim," "))))&amp;" "</f>
        <v xml:space="preserve"> savonlinna </v>
      </c>
      <c r="D400" s="22" t="s">
        <v>3067</v>
      </c>
      <c r="E400" s="1">
        <v>0</v>
      </c>
      <c r="F400" s="1">
        <v>0</v>
      </c>
      <c r="G400" s="1">
        <v>17.5</v>
      </c>
      <c r="H400" s="1">
        <v>17.5</v>
      </c>
      <c r="I400" s="1" t="s">
        <v>1016</v>
      </c>
      <c r="J400" s="1" t="s">
        <v>1022</v>
      </c>
      <c r="K400" s="1" t="s">
        <v>1015</v>
      </c>
      <c r="L400" s="1" t="str" cm="1">
        <f t="array" ref="L400">_xlfn.XLOOKUP(TRUE,ISNUMBER(SEARCH(" "&amp;Municipality[Municipality]&amp;" ",El_unit[[#This Row],[Info sting]])),Municipality[Municipality],"")</f>
        <v>Savonlinna</v>
      </c>
      <c r="M400" s="1" t="str" cm="1">
        <f t="array" ref="M400">IF(El_unit[[#This Row],[Exact]]&lt;&gt;"","",_xlfn.XLOOKUP(TRUE,ISNUMBER(SEARCH(" "&amp;Municipality[Municipality]&amp;"n ",El_unit[[#This Row],[Info sting]])),Municipality[Municipality],""))</f>
        <v/>
      </c>
      <c r="O400" s="35"/>
      <c r="Q400" s="1" t="str">
        <f>_xlfn.TEXTJOIN("",TRUE,El_unit[[#This Row],[Exact]],El_unit[[#This Row],[Exact+n]],El_unit[[#This Row],[Copilot]])</f>
        <v>Savonlinna</v>
      </c>
    </row>
    <row r="401" spans="1:17">
      <c r="A401" s="54" t="s">
        <v>611</v>
      </c>
      <c r="B401" s="22" t="s">
        <v>777</v>
      </c>
      <c r="C401" s="107" t="str" cm="1">
        <f t="array" ref="C401">" "&amp;LOWER(_xlfn.REDUCE(El_unit[[#This Row],[Location]],{",",".","(",")","/"},_xlfn.LAMBDA(_xlpm.txt,_xlpm.delim,SUBSTITUTE(_xlpm.txt,_xlpm.delim," "))))&amp;" "</f>
        <v xml:space="preserve"> senkkerin metsätie 111  04360 tuusula </v>
      </c>
      <c r="D401" s="22" t="s">
        <v>163</v>
      </c>
      <c r="E401" s="1">
        <v>2.5299999999999998</v>
      </c>
      <c r="F401" s="1">
        <v>0</v>
      </c>
      <c r="G401" s="1">
        <v>0</v>
      </c>
      <c r="H401" s="1">
        <v>2.5299999999999998</v>
      </c>
      <c r="L401" s="1" t="str" cm="1">
        <f t="array" ref="L401">_xlfn.XLOOKUP(TRUE,ISNUMBER(SEARCH(" "&amp;Municipality[Municipality]&amp;" ",El_unit[[#This Row],[Info sting]])),Municipality[Municipality],"")</f>
        <v>Tuusula</v>
      </c>
      <c r="M401" s="1" t="str" cm="1">
        <f t="array" ref="M401">IF(El_unit[[#This Row],[Exact]]&lt;&gt;"","",_xlfn.XLOOKUP(TRUE,ISNUMBER(SEARCH(" "&amp;Municipality[Municipality]&amp;"n ",El_unit[[#This Row],[Info sting]])),Municipality[Municipality],""))</f>
        <v/>
      </c>
      <c r="O401" s="35"/>
      <c r="Q401" s="1" t="str">
        <f>_xlfn.TEXTJOIN("",TRUE,El_unit[[#This Row],[Exact]],El_unit[[#This Row],[Exact+n]],El_unit[[#This Row],[Copilot]])</f>
        <v>Tuusula</v>
      </c>
    </row>
    <row r="402" spans="1:17">
      <c r="A402" s="54" t="s">
        <v>1073</v>
      </c>
      <c r="B402" s="22" t="s">
        <v>1114</v>
      </c>
      <c r="C402" s="107" t="str" cm="1">
        <f t="array" ref="C402">" "&amp;LOWER(_xlfn.REDUCE(El_unit[[#This Row],[Location]],{",",".","(",")","/"},_xlfn.LAMBDA(_xlpm.txt,_xlpm.delim,SUBSTITUTE(_xlpm.txt,_xlpm.delim," "))))&amp;" "</f>
        <v xml:space="preserve"> seinäjoki sevo </v>
      </c>
      <c r="D402" s="22" t="s">
        <v>3067</v>
      </c>
      <c r="E402" s="1">
        <v>0</v>
      </c>
      <c r="F402" s="1">
        <v>0</v>
      </c>
      <c r="G402" s="1">
        <v>120</v>
      </c>
      <c r="H402" s="1">
        <v>120</v>
      </c>
      <c r="I402" s="1" t="s">
        <v>1015</v>
      </c>
      <c r="J402" s="1" t="s">
        <v>1017</v>
      </c>
      <c r="K402" s="1" t="s">
        <v>1020</v>
      </c>
      <c r="L402" s="1" t="str" cm="1">
        <f t="array" ref="L402">_xlfn.XLOOKUP(TRUE,ISNUMBER(SEARCH(" "&amp;Municipality[Municipality]&amp;" ",El_unit[[#This Row],[Info sting]])),Municipality[Municipality],"")</f>
        <v>Seinäjoki</v>
      </c>
      <c r="M402" s="1" t="str" cm="1">
        <f t="array" ref="M402">IF(El_unit[[#This Row],[Exact]]&lt;&gt;"","",_xlfn.XLOOKUP(TRUE,ISNUMBER(SEARCH(" "&amp;Municipality[Municipality]&amp;"n ",El_unit[[#This Row],[Info sting]])),Municipality[Municipality],""))</f>
        <v/>
      </c>
      <c r="O402" s="35"/>
      <c r="Q402" s="1" t="str">
        <f>_xlfn.TEXTJOIN("",TRUE,El_unit[[#This Row],[Exact]],El_unit[[#This Row],[Exact+n]],El_unit[[#This Row],[Copilot]])</f>
        <v>Seinäjoki</v>
      </c>
    </row>
    <row r="403" spans="1:17">
      <c r="A403" s="54" t="s">
        <v>342</v>
      </c>
      <c r="B403" s="22" t="s">
        <v>342</v>
      </c>
      <c r="C403" s="107" t="str" cm="1">
        <f t="array" ref="C403">" "&amp;LOWER(_xlfn.REDUCE(El_unit[[#This Row],[Location]],{",",".","(",")","/"},_xlfn.LAMBDA(_xlpm.txt,_xlpm.delim,SUBSTITUTE(_xlpm.txt,_xlpm.delim," "))))&amp;" "</f>
        <v xml:space="preserve"> seitakorva </v>
      </c>
      <c r="D403" s="22" t="s">
        <v>3064</v>
      </c>
      <c r="E403" s="1">
        <v>142.5</v>
      </c>
      <c r="F403" s="1">
        <v>0</v>
      </c>
      <c r="G403" s="1">
        <v>0</v>
      </c>
      <c r="H403" s="1">
        <v>142.5</v>
      </c>
      <c r="L403" s="1" t="str" cm="1">
        <f t="array" ref="L403">_xlfn.XLOOKUP(TRUE,ISNUMBER(SEARCH(" "&amp;Municipality[Municipality]&amp;" ",El_unit[[#This Row],[Info sting]])),Municipality[Municipality],"")</f>
        <v/>
      </c>
      <c r="M403" s="1" t="str" cm="1">
        <f t="array" ref="M403">IF(El_unit[[#This Row],[Exact]]&lt;&gt;"","",_xlfn.XLOOKUP(TRUE,ISNUMBER(SEARCH(" "&amp;Municipality[Municipality]&amp;"n ",El_unit[[#This Row],[Info sting]])),Municipality[Municipality],""))</f>
        <v/>
      </c>
      <c r="N403" s="1" t="s">
        <v>1044</v>
      </c>
      <c r="O403" s="35" t="s">
        <v>3130</v>
      </c>
      <c r="Q403" s="1" t="str">
        <f>_xlfn.TEXTJOIN("",TRUE,El_unit[[#This Row],[Exact]],El_unit[[#This Row],[Exact+n]],El_unit[[#This Row],[Copilot]])</f>
        <v>Kemijärvi</v>
      </c>
    </row>
    <row r="404" spans="1:17">
      <c r="A404" s="54" t="s">
        <v>343</v>
      </c>
      <c r="B404" s="22" t="s">
        <v>343</v>
      </c>
      <c r="C404" s="107" t="str" cm="1">
        <f t="array" ref="C404">" "&amp;LOWER(_xlfn.REDUCE(El_unit[[#This Row],[Location]],{",",".","(",")","/"},_xlfn.LAMBDA(_xlpm.txt,_xlpm.delim,SUBSTITUTE(_xlpm.txt,_xlpm.delim," "))))&amp;" "</f>
        <v xml:space="preserve"> seitenoikea </v>
      </c>
      <c r="D404" s="22" t="s">
        <v>3064</v>
      </c>
      <c r="E404" s="1">
        <v>37.9</v>
      </c>
      <c r="F404" s="1">
        <v>0</v>
      </c>
      <c r="G404" s="1">
        <v>0</v>
      </c>
      <c r="H404" s="1">
        <v>37.9</v>
      </c>
      <c r="L404" s="1" t="str" cm="1">
        <f t="array" ref="L404">_xlfn.XLOOKUP(TRUE,ISNUMBER(SEARCH(" "&amp;Municipality[Municipality]&amp;" ",El_unit[[#This Row],[Info sting]])),Municipality[Municipality],"")</f>
        <v/>
      </c>
      <c r="M404" s="1" t="str" cm="1">
        <f t="array" ref="M404">IF(El_unit[[#This Row],[Exact]]&lt;&gt;"","",_xlfn.XLOOKUP(TRUE,ISNUMBER(SEARCH(" "&amp;Municipality[Municipality]&amp;"n ",El_unit[[#This Row],[Info sting]])),Municipality[Municipality],""))</f>
        <v/>
      </c>
      <c r="N404" s="1" t="s">
        <v>2753</v>
      </c>
      <c r="O404" s="35" t="s">
        <v>3134</v>
      </c>
      <c r="Q404" s="1" t="str">
        <f>_xlfn.TEXTJOIN("",TRUE,El_unit[[#This Row],[Exact]],El_unit[[#This Row],[Exact+n]],El_unit[[#This Row],[Copilot]])</f>
        <v>Ristijärvi</v>
      </c>
    </row>
    <row r="405" spans="1:17">
      <c r="A405" s="54" t="s">
        <v>612</v>
      </c>
      <c r="B405" s="22" t="s">
        <v>573</v>
      </c>
      <c r="C405" s="107" t="str" cm="1">
        <f t="array" ref="C405">" "&amp;LOWER(_xlfn.REDUCE(El_unit[[#This Row],[Location]],{",",".","(",")","/"},_xlfn.LAMBDA(_xlpm.txt,_xlpm.delim,SUBSTITUTE(_xlpm.txt,_xlpm.delim," "))))&amp;" "</f>
        <v xml:space="preserve"> pihtipudas </v>
      </c>
      <c r="D405" s="22" t="s">
        <v>3066</v>
      </c>
      <c r="E405" s="1">
        <v>30</v>
      </c>
      <c r="F405" s="1">
        <v>0</v>
      </c>
      <c r="G405" s="1">
        <v>0</v>
      </c>
      <c r="H405" s="1">
        <v>30</v>
      </c>
      <c r="L405" s="1" t="str" cm="1">
        <f t="array" ref="L405">_xlfn.XLOOKUP(TRUE,ISNUMBER(SEARCH(" "&amp;Municipality[Municipality]&amp;" ",El_unit[[#This Row],[Info sting]])),Municipality[Municipality],"")</f>
        <v>Pihtipudas</v>
      </c>
      <c r="M405" s="1" t="str" cm="1">
        <f t="array" ref="M405">IF(El_unit[[#This Row],[Exact]]&lt;&gt;"","",_xlfn.XLOOKUP(TRUE,ISNUMBER(SEARCH(" "&amp;Municipality[Municipality]&amp;"n ",El_unit[[#This Row],[Info sting]])),Municipality[Municipality],""))</f>
        <v/>
      </c>
      <c r="O405" s="35"/>
      <c r="Q405" s="1" t="str">
        <f>_xlfn.TEXTJOIN("",TRUE,El_unit[[#This Row],[Exact]],El_unit[[#This Row],[Exact+n]],El_unit[[#This Row],[Copilot]])</f>
        <v>Pihtipudas</v>
      </c>
    </row>
    <row r="406" spans="1:17">
      <c r="A406" s="54" t="s">
        <v>613</v>
      </c>
      <c r="B406" s="22" t="s">
        <v>613</v>
      </c>
      <c r="C406" s="107" t="str" cm="1">
        <f t="array" ref="C406">" "&amp;LOWER(_xlfn.REDUCE(El_unit[[#This Row],[Location]],{",",".","(",")","/"},_xlfn.LAMBDA(_xlpm.txt,_xlpm.delim,SUBSTITUTE(_xlpm.txt,_xlpm.delim," "))))&amp;" "</f>
        <v xml:space="preserve"> siikainen jäneskeidas </v>
      </c>
      <c r="D406" s="22" t="s">
        <v>3066</v>
      </c>
      <c r="E406" s="1">
        <v>26.4</v>
      </c>
      <c r="F406" s="1">
        <v>0</v>
      </c>
      <c r="G406" s="1">
        <v>0</v>
      </c>
      <c r="H406" s="1">
        <v>26.4</v>
      </c>
      <c r="L406" s="1" t="str" cm="1">
        <f t="array" ref="L406">_xlfn.XLOOKUP(TRUE,ISNUMBER(SEARCH(" "&amp;Municipality[Municipality]&amp;" ",El_unit[[#This Row],[Info sting]])),Municipality[Municipality],"")</f>
        <v>Siikainen</v>
      </c>
      <c r="M406" s="1" t="str" cm="1">
        <f t="array" ref="M406">IF(El_unit[[#This Row],[Exact]]&lt;&gt;"","",_xlfn.XLOOKUP(TRUE,ISNUMBER(SEARCH(" "&amp;Municipality[Municipality]&amp;"n ",El_unit[[#This Row],[Info sting]])),Municipality[Municipality],""))</f>
        <v/>
      </c>
      <c r="O406" s="35"/>
      <c r="Q406" s="1" t="str">
        <f>_xlfn.TEXTJOIN("",TRUE,El_unit[[#This Row],[Exact]],El_unit[[#This Row],[Exact+n]],El_unit[[#This Row],[Copilot]])</f>
        <v>Siikainen</v>
      </c>
    </row>
    <row r="407" spans="1:17">
      <c r="A407" s="54" t="s">
        <v>344</v>
      </c>
      <c r="B407" s="22" t="s">
        <v>345</v>
      </c>
      <c r="C407" s="107" t="str" cm="1">
        <f t="array" ref="C407">" "&amp;LOWER(_xlfn.REDUCE(El_unit[[#This Row],[Location]],{",",".","(",")","/"},_xlfn.LAMBDA(_xlpm.txt,_xlpm.delim,SUBSTITUTE(_xlpm.txt,_xlpm.delim," "))))&amp;" "</f>
        <v xml:space="preserve"> valkeala   siikakoski </v>
      </c>
      <c r="D407" s="22" t="s">
        <v>3064</v>
      </c>
      <c r="E407" s="1">
        <v>1.8</v>
      </c>
      <c r="F407" s="1">
        <v>0</v>
      </c>
      <c r="G407" s="1">
        <v>0</v>
      </c>
      <c r="H407" s="1">
        <v>1.8</v>
      </c>
      <c r="L407" s="1" t="str" cm="1">
        <f t="array" ref="L407">_xlfn.XLOOKUP(TRUE,ISNUMBER(SEARCH(" "&amp;Municipality[Municipality]&amp;" ",El_unit[[#This Row],[Info sting]])),Municipality[Municipality],"")</f>
        <v>Valkeala</v>
      </c>
      <c r="M407" s="1" t="str" cm="1">
        <f t="array" ref="M407">IF(El_unit[[#This Row],[Exact]]&lt;&gt;"","",_xlfn.XLOOKUP(TRUE,ISNUMBER(SEARCH(" "&amp;Municipality[Municipality]&amp;"n ",El_unit[[#This Row],[Info sting]])),Municipality[Municipality],""))</f>
        <v/>
      </c>
      <c r="O407" s="35"/>
      <c r="Q407" s="1" t="str">
        <f>_xlfn.TEXTJOIN("",TRUE,El_unit[[#This Row],[Exact]],El_unit[[#This Row],[Exact+n]],El_unit[[#This Row],[Copilot]])</f>
        <v>Valkeala</v>
      </c>
    </row>
    <row r="408" spans="1:17">
      <c r="A408" s="54" t="s">
        <v>944</v>
      </c>
      <c r="B408" s="22" t="s">
        <v>999</v>
      </c>
      <c r="C408" s="107" t="str" cm="1">
        <f t="array" ref="C408">" "&amp;LOWER(_xlfn.REDUCE(El_unit[[#This Row],[Location]],{",",".","(",")","/"},_xlfn.LAMBDA(_xlpm.txt,_xlpm.delim,SUBSTITUTE(_xlpm.txt,_xlpm.delim," "))))&amp;" "</f>
        <v xml:space="preserve"> siilinjärvi </v>
      </c>
      <c r="D408" s="22" t="s">
        <v>3065</v>
      </c>
      <c r="E408" s="1">
        <v>0</v>
      </c>
      <c r="F408" s="1">
        <v>25.1</v>
      </c>
      <c r="G408" s="1">
        <v>0</v>
      </c>
      <c r="H408" s="1">
        <v>25.1</v>
      </c>
      <c r="I408" s="1" t="s">
        <v>1031</v>
      </c>
      <c r="J408" s="1" t="s">
        <v>1017</v>
      </c>
      <c r="L408" s="1" t="str" cm="1">
        <f t="array" ref="L408">_xlfn.XLOOKUP(TRUE,ISNUMBER(SEARCH(" "&amp;Municipality[Municipality]&amp;" ",El_unit[[#This Row],[Info sting]])),Municipality[Municipality],"")</f>
        <v>Siilinjärvi</v>
      </c>
      <c r="M408" s="1" t="str" cm="1">
        <f t="array" ref="M408">IF(El_unit[[#This Row],[Exact]]&lt;&gt;"","",_xlfn.XLOOKUP(TRUE,ISNUMBER(SEARCH(" "&amp;Municipality[Municipality]&amp;"n ",El_unit[[#This Row],[Info sting]])),Municipality[Municipality],""))</f>
        <v/>
      </c>
      <c r="O408" s="35"/>
      <c r="Q408" s="1" t="str">
        <f>_xlfn.TEXTJOIN("",TRUE,El_unit[[#This Row],[Exact]],El_unit[[#This Row],[Exact+n]],El_unit[[#This Row],[Copilot]])</f>
        <v>Siilinjärvi</v>
      </c>
    </row>
    <row r="409" spans="1:17">
      <c r="A409" s="54" t="s">
        <v>614</v>
      </c>
      <c r="B409" s="22" t="s">
        <v>614</v>
      </c>
      <c r="C409" s="107" t="str" cm="1">
        <f t="array" ref="C409">" "&amp;LOWER(_xlfn.REDUCE(El_unit[[#This Row],[Location]],{",",".","(",")","/"},_xlfn.LAMBDA(_xlpm.txt,_xlpm.delim,SUBSTITUTE(_xlpm.txt,_xlpm.delim," "))))&amp;" "</f>
        <v xml:space="preserve"> simo leipiö </v>
      </c>
      <c r="D409" s="22" t="s">
        <v>3066</v>
      </c>
      <c r="E409" s="1">
        <v>18</v>
      </c>
      <c r="F409" s="1">
        <v>0</v>
      </c>
      <c r="G409" s="1">
        <v>0</v>
      </c>
      <c r="H409" s="1">
        <v>18</v>
      </c>
      <c r="L409" s="1" t="str" cm="1">
        <f t="array" ref="L409">_xlfn.XLOOKUP(TRUE,ISNUMBER(SEARCH(" "&amp;Municipality[Municipality]&amp;" ",El_unit[[#This Row],[Info sting]])),Municipality[Municipality],"")</f>
        <v>Simo</v>
      </c>
      <c r="M409" s="1" t="str" cm="1">
        <f t="array" ref="M409">IF(El_unit[[#This Row],[Exact]]&lt;&gt;"","",_xlfn.XLOOKUP(TRUE,ISNUMBER(SEARCH(" "&amp;Municipality[Municipality]&amp;"n ",El_unit[[#This Row],[Info sting]])),Municipality[Municipality],""))</f>
        <v/>
      </c>
      <c r="O409" s="35"/>
      <c r="Q409" s="1" t="str">
        <f>_xlfn.TEXTJOIN("",TRUE,El_unit[[#This Row],[Exact]],El_unit[[#This Row],[Exact+n]],El_unit[[#This Row],[Copilot]])</f>
        <v>Simo</v>
      </c>
    </row>
    <row r="410" spans="1:17">
      <c r="A410" s="54" t="s">
        <v>615</v>
      </c>
      <c r="B410" s="22" t="s">
        <v>778</v>
      </c>
      <c r="C410" s="107" t="str" cm="1">
        <f t="array" ref="C410">" "&amp;LOWER(_xlfn.REDUCE(El_unit[[#This Row],[Location]],{",",".","(",")","/"},_xlfn.LAMBDA(_xlpm.txt,_xlpm.delim,SUBSTITUTE(_xlpm.txt,_xlpm.delim," "))))&amp;" "</f>
        <v xml:space="preserve"> simo  onkaloperä tv </v>
      </c>
      <c r="D410" s="22" t="s">
        <v>3066</v>
      </c>
      <c r="E410" s="1">
        <v>9</v>
      </c>
      <c r="F410" s="1">
        <v>0</v>
      </c>
      <c r="G410" s="1">
        <v>0</v>
      </c>
      <c r="H410" s="1">
        <v>9</v>
      </c>
      <c r="L410" s="1" t="str" cm="1">
        <f t="array" ref="L410">_xlfn.XLOOKUP(TRUE,ISNUMBER(SEARCH(" "&amp;Municipality[Municipality]&amp;" ",El_unit[[#This Row],[Info sting]])),Municipality[Municipality],"")</f>
        <v>Simo</v>
      </c>
      <c r="M410" s="1" t="str" cm="1">
        <f t="array" ref="M410">IF(El_unit[[#This Row],[Exact]]&lt;&gt;"","",_xlfn.XLOOKUP(TRUE,ISNUMBER(SEARCH(" "&amp;Municipality[Municipality]&amp;"n ",El_unit[[#This Row],[Info sting]])),Municipality[Municipality],""))</f>
        <v/>
      </c>
      <c r="O410" s="35"/>
      <c r="Q410" s="1" t="str">
        <f>_xlfn.TEXTJOIN("",TRUE,El_unit[[#This Row],[Exact]],El_unit[[#This Row],[Exact+n]],El_unit[[#This Row],[Copilot]])</f>
        <v>Simo</v>
      </c>
    </row>
    <row r="411" spans="1:17">
      <c r="A411" s="54" t="s">
        <v>616</v>
      </c>
      <c r="B411" s="22" t="s">
        <v>779</v>
      </c>
      <c r="C411" s="107" t="str" cm="1">
        <f t="array" ref="C411">" "&amp;LOWER(_xlfn.REDUCE(El_unit[[#This Row],[Location]],{",",".","(",")","/"},_xlfn.LAMBDA(_xlpm.txt,_xlpm.delim,SUBSTITUTE(_xlpm.txt,_xlpm.delim," "))))&amp;" "</f>
        <v xml:space="preserve"> simo  putaankangas </v>
      </c>
      <c r="D411" s="22" t="s">
        <v>3066</v>
      </c>
      <c r="E411" s="1">
        <v>9</v>
      </c>
      <c r="F411" s="1">
        <v>0</v>
      </c>
      <c r="G411" s="1">
        <v>0</v>
      </c>
      <c r="H411" s="1">
        <v>9</v>
      </c>
      <c r="L411" s="1" t="str" cm="1">
        <f t="array" ref="L411">_xlfn.XLOOKUP(TRUE,ISNUMBER(SEARCH(" "&amp;Municipality[Municipality]&amp;" ",El_unit[[#This Row],[Info sting]])),Municipality[Municipality],"")</f>
        <v>Simo</v>
      </c>
      <c r="M411" s="1" t="str" cm="1">
        <f t="array" ref="M411">IF(El_unit[[#This Row],[Exact]]&lt;&gt;"","",_xlfn.XLOOKUP(TRUE,ISNUMBER(SEARCH(" "&amp;Municipality[Municipality]&amp;"n ",El_unit[[#This Row],[Info sting]])),Municipality[Municipality],""))</f>
        <v/>
      </c>
      <c r="O411" s="35"/>
      <c r="Q411" s="1" t="str">
        <f>_xlfn.TEXTJOIN("",TRUE,El_unit[[#This Row],[Exact]],El_unit[[#This Row],[Exact+n]],El_unit[[#This Row],[Copilot]])</f>
        <v>Simo</v>
      </c>
    </row>
    <row r="412" spans="1:17">
      <c r="A412" s="54" t="s">
        <v>945</v>
      </c>
      <c r="B412" s="22" t="s">
        <v>945</v>
      </c>
      <c r="C412" s="107" t="str" cm="1">
        <f t="array" ref="C412">" "&amp;LOWER(_xlfn.REDUCE(El_unit[[#This Row],[Location]],{",",".","(",")","/"},_xlfn.LAMBDA(_xlpm.txt,_xlpm.delim,SUBSTITUTE(_xlpm.txt,_xlpm.delim," "))))&amp;" "</f>
        <v xml:space="preserve"> simpele </v>
      </c>
      <c r="D412" s="22" t="s">
        <v>3065</v>
      </c>
      <c r="E412" s="1">
        <v>0</v>
      </c>
      <c r="F412" s="1">
        <v>19.600000000000001</v>
      </c>
      <c r="G412" s="1">
        <v>0</v>
      </c>
      <c r="H412" s="1">
        <v>19.600000000000001</v>
      </c>
      <c r="I412" s="1" t="s">
        <v>1016</v>
      </c>
      <c r="J412" s="1" t="s">
        <v>1017</v>
      </c>
      <c r="L412" s="1" t="str" cm="1">
        <f t="array" ref="L412">_xlfn.XLOOKUP(TRUE,ISNUMBER(SEARCH(" "&amp;Municipality[Municipality]&amp;" ",El_unit[[#This Row],[Info sting]])),Municipality[Municipality],"")</f>
        <v/>
      </c>
      <c r="M412" s="1" t="str" cm="1">
        <f t="array" ref="M412">IF(El_unit[[#This Row],[Exact]]&lt;&gt;"","",_xlfn.XLOOKUP(TRUE,ISNUMBER(SEARCH(" "&amp;Municipality[Municipality]&amp;"n ",El_unit[[#This Row],[Info sting]])),Municipality[Municipality],""))</f>
        <v/>
      </c>
      <c r="O412" s="35"/>
      <c r="Q412" s="1" t="str">
        <f>_xlfn.TEXTJOIN("",TRUE,El_unit[[#This Row],[Exact]],El_unit[[#This Row],[Exact+n]],El_unit[[#This Row],[Copilot]])</f>
        <v/>
      </c>
    </row>
    <row r="413" spans="1:17">
      <c r="A413" s="54" t="s">
        <v>346</v>
      </c>
      <c r="B413" s="22" t="s">
        <v>347</v>
      </c>
      <c r="C413" s="107" t="str" cm="1">
        <f t="array" ref="C413">" "&amp;LOWER(_xlfn.REDUCE(El_unit[[#This Row],[Location]],{",",".","(",")","/"},_xlfn.LAMBDA(_xlpm.txt,_xlpm.delim,SUBSTITUTE(_xlpm.txt,_xlpm.delim," "))))&amp;" "</f>
        <v xml:space="preserve"> siuronkoski  nokia </v>
      </c>
      <c r="D413" s="22" t="s">
        <v>3064</v>
      </c>
      <c r="E413" s="1">
        <v>0.7</v>
      </c>
      <c r="F413" s="1">
        <v>0</v>
      </c>
      <c r="G413" s="1">
        <v>0</v>
      </c>
      <c r="H413" s="1">
        <v>0.7</v>
      </c>
      <c r="L413" s="1" t="str" cm="1">
        <f t="array" ref="L413">_xlfn.XLOOKUP(TRUE,ISNUMBER(SEARCH(" "&amp;Municipality[Municipality]&amp;" ",El_unit[[#This Row],[Info sting]])),Municipality[Municipality],"")</f>
        <v>Nokia</v>
      </c>
      <c r="M413" s="1" t="str" cm="1">
        <f t="array" ref="M413">IF(El_unit[[#This Row],[Exact]]&lt;&gt;"","",_xlfn.XLOOKUP(TRUE,ISNUMBER(SEARCH(" "&amp;Municipality[Municipality]&amp;"n ",El_unit[[#This Row],[Info sting]])),Municipality[Municipality],""))</f>
        <v/>
      </c>
      <c r="O413" s="35"/>
      <c r="Q413" s="1" t="str">
        <f>_xlfn.TEXTJOIN("",TRUE,El_unit[[#This Row],[Exact]],El_unit[[#This Row],[Exact+n]],El_unit[[#This Row],[Copilot]])</f>
        <v>Nokia</v>
      </c>
    </row>
    <row r="414" spans="1:17">
      <c r="A414" s="54" t="s">
        <v>617</v>
      </c>
      <c r="B414" s="22" t="s">
        <v>617</v>
      </c>
      <c r="C414" s="107" t="str" cm="1">
        <f t="array" ref="C414">" "&amp;LOWER(_xlfn.REDUCE(El_unit[[#This Row],[Location]],{",",".","(",")","/"},_xlfn.LAMBDA(_xlpm.txt,_xlpm.delim,SUBSTITUTE(_xlpm.txt,_xlpm.delim," "))))&amp;" "</f>
        <v xml:space="preserve"> sodankylän varuskunta </v>
      </c>
      <c r="D414" s="22" t="s">
        <v>3068</v>
      </c>
      <c r="E414" s="1">
        <v>0.9</v>
      </c>
      <c r="F414" s="1">
        <v>0</v>
      </c>
      <c r="G414" s="1">
        <v>0</v>
      </c>
      <c r="H414" s="1">
        <v>0.9</v>
      </c>
      <c r="I414" s="1" t="s">
        <v>1032</v>
      </c>
      <c r="L414" s="1" t="str" cm="1">
        <f t="array" ref="L414">_xlfn.XLOOKUP(TRUE,ISNUMBER(SEARCH(" "&amp;Municipality[Municipality]&amp;" ",El_unit[[#This Row],[Info sting]])),Municipality[Municipality],"")</f>
        <v/>
      </c>
      <c r="M414" s="1" t="str" cm="1">
        <f t="array" ref="M414">IF(El_unit[[#This Row],[Exact]]&lt;&gt;"","",_xlfn.XLOOKUP(TRUE,ISNUMBER(SEARCH(" "&amp;Municipality[Municipality]&amp;"n ",El_unit[[#This Row],[Info sting]])),Municipality[Municipality],""))</f>
        <v>Sodankylä</v>
      </c>
      <c r="O414" s="35"/>
      <c r="Q414" s="1" t="str">
        <f>_xlfn.TEXTJOIN("",TRUE,El_unit[[#This Row],[Exact]],El_unit[[#This Row],[Exact+n]],El_unit[[#This Row],[Copilot]])</f>
        <v>Sodankylä</v>
      </c>
    </row>
    <row r="415" spans="1:17">
      <c r="A415" s="54" t="s">
        <v>348</v>
      </c>
      <c r="B415" s="22" t="s">
        <v>349</v>
      </c>
      <c r="C415" s="107" t="str" cm="1">
        <f t="array" ref="C415">" "&amp;LOWER(_xlfn.REDUCE(El_unit[[#This Row],[Location]],{",",".","(",")","/"},_xlfn.LAMBDA(_xlpm.txt,_xlpm.delim,SUBSTITUTE(_xlpm.txt,_xlpm.delim," "))))&amp;" "</f>
        <v xml:space="preserve"> soilu  kurkijärventie 222  93700 kuusamo </v>
      </c>
      <c r="D415" s="22" t="s">
        <v>3064</v>
      </c>
      <c r="E415" s="1">
        <v>1.8</v>
      </c>
      <c r="F415" s="1">
        <v>0</v>
      </c>
      <c r="G415" s="1">
        <v>0</v>
      </c>
      <c r="H415" s="1">
        <v>1.8</v>
      </c>
      <c r="L415" s="1" t="str" cm="1">
        <f t="array" ref="L415">_xlfn.XLOOKUP(TRUE,ISNUMBER(SEARCH(" "&amp;Municipality[Municipality]&amp;" ",El_unit[[#This Row],[Info sting]])),Municipality[Municipality],"")</f>
        <v>Kuusamo</v>
      </c>
      <c r="M415" s="1" t="str" cm="1">
        <f t="array" ref="M415">IF(El_unit[[#This Row],[Exact]]&lt;&gt;"","",_xlfn.XLOOKUP(TRUE,ISNUMBER(SEARCH(" "&amp;Municipality[Municipality]&amp;"n ",El_unit[[#This Row],[Info sting]])),Municipality[Municipality],""))</f>
        <v/>
      </c>
      <c r="O415" s="35"/>
      <c r="Q415" s="1" t="str">
        <f>_xlfn.TEXTJOIN("",TRUE,El_unit[[#This Row],[Exact]],El_unit[[#This Row],[Exact+n]],El_unit[[#This Row],[Copilot]])</f>
        <v>Kuusamo</v>
      </c>
    </row>
    <row r="416" spans="1:17">
      <c r="A416" s="54" t="s">
        <v>350</v>
      </c>
      <c r="B416" s="22" t="s">
        <v>350</v>
      </c>
      <c r="C416" s="107" t="str" cm="1">
        <f t="array" ref="C416">" "&amp;LOWER(_xlfn.REDUCE(El_unit[[#This Row],[Location]],{",",".","(",")","/"},_xlfn.LAMBDA(_xlpm.txt,_xlpm.delim,SUBSTITUTE(_xlpm.txt,_xlpm.delim," "))))&amp;" "</f>
        <v xml:space="preserve"> soininkoski </v>
      </c>
      <c r="D416" s="22" t="s">
        <v>3064</v>
      </c>
      <c r="E416" s="1">
        <v>1.42</v>
      </c>
      <c r="F416" s="1">
        <v>0</v>
      </c>
      <c r="G416" s="1">
        <v>0</v>
      </c>
      <c r="H416" s="1">
        <v>1.42</v>
      </c>
      <c r="L416" s="1" t="str" cm="1">
        <f t="array" ref="L416">_xlfn.XLOOKUP(TRUE,ISNUMBER(SEARCH(" "&amp;Municipality[Municipality]&amp;" ",El_unit[[#This Row],[Info sting]])),Municipality[Municipality],"")</f>
        <v/>
      </c>
      <c r="M416" s="1" t="str" cm="1">
        <f t="array" ref="M416">IF(El_unit[[#This Row],[Exact]]&lt;&gt;"","",_xlfn.XLOOKUP(TRUE,ISNUMBER(SEARCH(" "&amp;Municipality[Municipality]&amp;"n ",El_unit[[#This Row],[Info sting]])),Municipality[Municipality],""))</f>
        <v/>
      </c>
      <c r="O416" s="35"/>
      <c r="Q416" s="1" t="str">
        <f>_xlfn.TEXTJOIN("",TRUE,El_unit[[#This Row],[Exact]],El_unit[[#This Row],[Exact+n]],El_unit[[#This Row],[Copilot]])</f>
        <v/>
      </c>
    </row>
    <row r="417" spans="1:17">
      <c r="A417" s="54" t="s">
        <v>618</v>
      </c>
      <c r="B417" s="22" t="s">
        <v>780</v>
      </c>
      <c r="C417" s="107" t="str" cm="1">
        <f t="array" ref="C417">" "&amp;LOWER(_xlfn.REDUCE(El_unit[[#This Row],[Location]],{",",".","(",")","/"},_xlfn.LAMBDA(_xlpm.txt,_xlpm.delim,SUBSTITUTE(_xlpm.txt,_xlpm.delim," "))))&amp;" "</f>
        <v xml:space="preserve"> sopenkorpi mestarinkatu 11  lahti </v>
      </c>
      <c r="D417" s="22" t="s">
        <v>3068</v>
      </c>
      <c r="E417" s="1">
        <v>14.5</v>
      </c>
      <c r="F417" s="1">
        <v>0</v>
      </c>
      <c r="G417" s="1">
        <v>0</v>
      </c>
      <c r="H417" s="1">
        <v>14.5</v>
      </c>
      <c r="I417" s="1" t="s">
        <v>1032</v>
      </c>
      <c r="L417" s="1" t="str" cm="1">
        <f t="array" ref="L417">_xlfn.XLOOKUP(TRUE,ISNUMBER(SEARCH(" "&amp;Municipality[Municipality]&amp;" ",El_unit[[#This Row],[Info sting]])),Municipality[Municipality],"")</f>
        <v>Lahti</v>
      </c>
      <c r="M417" s="1" t="str" cm="1">
        <f t="array" ref="M417">IF(El_unit[[#This Row],[Exact]]&lt;&gt;"","",_xlfn.XLOOKUP(TRUE,ISNUMBER(SEARCH(" "&amp;Municipality[Municipality]&amp;"n ",El_unit[[#This Row],[Info sting]])),Municipality[Municipality],""))</f>
        <v/>
      </c>
      <c r="O417" s="35"/>
      <c r="Q417" s="1" t="str">
        <f>_xlfn.TEXTJOIN("",TRUE,El_unit[[#This Row],[Exact]],El_unit[[#This Row],[Exact+n]],El_unit[[#This Row],[Copilot]])</f>
        <v>Lahti</v>
      </c>
    </row>
    <row r="418" spans="1:17">
      <c r="A418" s="54" t="s">
        <v>946</v>
      </c>
      <c r="B418" s="22" t="s">
        <v>946</v>
      </c>
      <c r="C418" s="107" t="str" cm="1">
        <f t="array" ref="C418">" "&amp;LOWER(_xlfn.REDUCE(El_unit[[#This Row],[Location]],{",",".","(",")","/"},_xlfn.LAMBDA(_xlpm.txt,_xlpm.delim,SUBSTITUTE(_xlpm.txt,_xlpm.delim," "))))&amp;" "</f>
        <v xml:space="preserve"> sotkamo </v>
      </c>
      <c r="D418" s="22" t="s">
        <v>3065</v>
      </c>
      <c r="E418" s="1">
        <v>0</v>
      </c>
      <c r="F418" s="1">
        <v>1.3</v>
      </c>
      <c r="G418" s="1">
        <v>0</v>
      </c>
      <c r="H418" s="1">
        <v>1.3</v>
      </c>
      <c r="I418" s="1" t="s">
        <v>1015</v>
      </c>
      <c r="J418" s="1" t="s">
        <v>1016</v>
      </c>
      <c r="K418" s="1" t="s">
        <v>1022</v>
      </c>
      <c r="L418" s="1" t="str" cm="1">
        <f t="array" ref="L418">_xlfn.XLOOKUP(TRUE,ISNUMBER(SEARCH(" "&amp;Municipality[Municipality]&amp;" ",El_unit[[#This Row],[Info sting]])),Municipality[Municipality],"")</f>
        <v>Sotkamo</v>
      </c>
      <c r="M418" s="1" t="str" cm="1">
        <f t="array" ref="M418">IF(El_unit[[#This Row],[Exact]]&lt;&gt;"","",_xlfn.XLOOKUP(TRUE,ISNUMBER(SEARCH(" "&amp;Municipality[Municipality]&amp;"n ",El_unit[[#This Row],[Info sting]])),Municipality[Municipality],""))</f>
        <v/>
      </c>
      <c r="O418" s="35"/>
      <c r="Q418" s="1" t="str">
        <f>_xlfn.TEXTJOIN("",TRUE,El_unit[[#This Row],[Exact]],El_unit[[#This Row],[Exact+n]],El_unit[[#This Row],[Copilot]])</f>
        <v>Sotkamo</v>
      </c>
    </row>
    <row r="419" spans="1:17">
      <c r="A419" s="54" t="s">
        <v>351</v>
      </c>
      <c r="B419" s="22" t="s">
        <v>351</v>
      </c>
      <c r="C419" s="107" t="str" cm="1">
        <f t="array" ref="C419">" "&amp;LOWER(_xlfn.REDUCE(El_unit[[#This Row],[Location]],{",",".","(",")","/"},_xlfn.LAMBDA(_xlpm.txt,_xlpm.delim,SUBSTITUTE(_xlpm.txt,_xlpm.delim," "))))&amp;" "</f>
        <v xml:space="preserve"> stadsforsens kraftverk </v>
      </c>
      <c r="D419" s="22" t="s">
        <v>3064</v>
      </c>
      <c r="E419" s="1">
        <v>4.5999999999999996</v>
      </c>
      <c r="F419" s="1">
        <v>0</v>
      </c>
      <c r="G419" s="1">
        <v>0</v>
      </c>
      <c r="H419" s="1">
        <v>4.5999999999999996</v>
      </c>
      <c r="L419" s="1" t="str" cm="1">
        <f t="array" ref="L419">_xlfn.XLOOKUP(TRUE,ISNUMBER(SEARCH(" "&amp;Municipality[Municipality]&amp;" ",El_unit[[#This Row],[Info sting]])),Municipality[Municipality],"")</f>
        <v/>
      </c>
      <c r="M419" s="1" t="str" cm="1">
        <f t="array" ref="M419">IF(El_unit[[#This Row],[Exact]]&lt;&gt;"","",_xlfn.XLOOKUP(TRUE,ISNUMBER(SEARCH(" "&amp;Municipality[Municipality]&amp;"n ",El_unit[[#This Row],[Info sting]])),Municipality[Municipality],""))</f>
        <v/>
      </c>
      <c r="O419" s="35"/>
      <c r="Q419" s="1" t="str">
        <f>_xlfn.TEXTJOIN("",TRUE,El_unit[[#This Row],[Exact]],El_unit[[#This Row],[Exact+n]],El_unit[[#This Row],[Copilot]])</f>
        <v/>
      </c>
    </row>
    <row r="420" spans="1:17">
      <c r="A420" s="54" t="s">
        <v>619</v>
      </c>
      <c r="B420" s="22" t="s">
        <v>781</v>
      </c>
      <c r="C420" s="107" t="str" cm="1">
        <f t="array" ref="C420">" "&amp;LOWER(_xlfn.REDUCE(El_unit[[#This Row],[Location]],{",",".","(",")","/"},_xlfn.LAMBDA(_xlpm.txt,_xlpm.delim,SUBSTITUTE(_xlpm.txt,_xlpm.delim," "))))&amp;" "</f>
        <v xml:space="preserve"> storbacken  vöyri </v>
      </c>
      <c r="D420" s="22" t="s">
        <v>3066</v>
      </c>
      <c r="E420" s="1">
        <v>29.5</v>
      </c>
      <c r="F420" s="1">
        <v>0</v>
      </c>
      <c r="G420" s="1">
        <v>0</v>
      </c>
      <c r="H420" s="1">
        <v>29.5</v>
      </c>
      <c r="L420" s="1" t="str" cm="1">
        <f t="array" ref="L420">_xlfn.XLOOKUP(TRUE,ISNUMBER(SEARCH(" "&amp;Municipality[Municipality]&amp;" ",El_unit[[#This Row],[Info sting]])),Municipality[Municipality],"")</f>
        <v>Vöyri</v>
      </c>
      <c r="M420" s="1" t="str" cm="1">
        <f t="array" ref="M420">IF(El_unit[[#This Row],[Exact]]&lt;&gt;"","",_xlfn.XLOOKUP(TRUE,ISNUMBER(SEARCH(" "&amp;Municipality[Municipality]&amp;"n ",El_unit[[#This Row],[Info sting]])),Municipality[Municipality],""))</f>
        <v/>
      </c>
      <c r="O420" s="35"/>
      <c r="Q420" s="1" t="str">
        <f>_xlfn.TEXTJOIN("",TRUE,El_unit[[#This Row],[Exact]],El_unit[[#This Row],[Exact+n]],El_unit[[#This Row],[Copilot]])</f>
        <v>Vöyri</v>
      </c>
    </row>
    <row r="421" spans="1:17">
      <c r="A421" s="54" t="s">
        <v>620</v>
      </c>
      <c r="B421" s="22" t="s">
        <v>782</v>
      </c>
      <c r="C421" s="107" t="str" cm="1">
        <f t="array" ref="C421">" "&amp;LOWER(_xlfn.REDUCE(El_unit[[#This Row],[Location]],{",",".","(",")","/"},_xlfn.LAMBDA(_xlpm.txt,_xlpm.delim,SUBSTITUTE(_xlpm.txt,_xlpm.delim," "))))&amp;" "</f>
        <v xml:space="preserve"> storbötet vind  lillbötesvägen  uusikaarlepyy 66840  </v>
      </c>
      <c r="D421" s="22" t="s">
        <v>3066</v>
      </c>
      <c r="E421" s="1">
        <v>105.4</v>
      </c>
      <c r="F421" s="1">
        <v>0</v>
      </c>
      <c r="G421" s="1">
        <v>0</v>
      </c>
      <c r="H421" s="1">
        <v>105.4</v>
      </c>
      <c r="L421" s="1" t="str" cm="1">
        <f t="array" ref="L421">_xlfn.XLOOKUP(TRUE,ISNUMBER(SEARCH(" "&amp;Municipality[Municipality]&amp;" ",El_unit[[#This Row],[Info sting]])),Municipality[Municipality],"")</f>
        <v>Uusikaarlepyy</v>
      </c>
      <c r="M421" s="1" t="str" cm="1">
        <f t="array" ref="M421">IF(El_unit[[#This Row],[Exact]]&lt;&gt;"","",_xlfn.XLOOKUP(TRUE,ISNUMBER(SEARCH(" "&amp;Municipality[Municipality]&amp;"n ",El_unit[[#This Row],[Info sting]])),Municipality[Municipality],""))</f>
        <v/>
      </c>
      <c r="O421" s="35"/>
      <c r="Q421" s="1" t="str">
        <f>_xlfn.TEXTJOIN("",TRUE,El_unit[[#This Row],[Exact]],El_unit[[#This Row],[Exact+n]],El_unit[[#This Row],[Copilot]])</f>
        <v>Uusikaarlepyy</v>
      </c>
    </row>
    <row r="422" spans="1:17">
      <c r="A422" s="54" t="s">
        <v>621</v>
      </c>
      <c r="B422" s="22" t="s">
        <v>783</v>
      </c>
      <c r="C422" s="107" t="str" cm="1">
        <f t="array" ref="C422">" "&amp;LOWER(_xlfn.REDUCE(El_unit[[#This Row],[Location]],{",",".","(",")","/"},_xlfn.LAMBDA(_xlpm.txt,_xlpm.delim,SUBSTITUTE(_xlpm.txt,_xlpm.delim," "))))&amp;" "</f>
        <v xml:space="preserve"> pulkkilantie 128  58700 </v>
      </c>
      <c r="D422" s="22" t="s">
        <v>163</v>
      </c>
      <c r="E422" s="1">
        <v>4</v>
      </c>
      <c r="F422" s="1">
        <v>0</v>
      </c>
      <c r="G422" s="1">
        <v>0</v>
      </c>
      <c r="H422" s="1">
        <v>4</v>
      </c>
      <c r="L422" s="1" t="str" cm="1">
        <f t="array" ref="L422">_xlfn.XLOOKUP(TRUE,ISNUMBER(SEARCH(" "&amp;Municipality[Municipality]&amp;" ",El_unit[[#This Row],[Info sting]])),Municipality[Municipality],"")</f>
        <v/>
      </c>
      <c r="M422" s="1" t="str" cm="1">
        <f t="array" ref="M422">IF(El_unit[[#This Row],[Exact]]&lt;&gt;"","",_xlfn.XLOOKUP(TRUE,ISNUMBER(SEARCH(" "&amp;Municipality[Municipality]&amp;"n ",El_unit[[#This Row],[Info sting]])),Municipality[Municipality],""))</f>
        <v/>
      </c>
      <c r="N422" s="1" t="s">
        <v>2783</v>
      </c>
      <c r="O422" s="35" t="s">
        <v>3206</v>
      </c>
      <c r="Q422" s="1" t="str">
        <f>_xlfn.TEXTJOIN("",TRUE,El_unit[[#This Row],[Exact]],El_unit[[#This Row],[Exact+n]],El_unit[[#This Row],[Copilot]])</f>
        <v>Sulkava</v>
      </c>
    </row>
    <row r="423" spans="1:17">
      <c r="A423" s="54" t="s">
        <v>622</v>
      </c>
      <c r="B423" s="22" t="s">
        <v>784</v>
      </c>
      <c r="C423" s="107" t="str" cm="1">
        <f t="array" ref="C423">" "&amp;LOWER(_xlfn.REDUCE(El_unit[[#This Row],[Location]],{",",".","(",")","/"},_xlfn.LAMBDA(_xlpm.txt,_xlpm.delim,SUBSTITUTE(_xlpm.txt,_xlpm.delim," "))))&amp;" "</f>
        <v xml:space="preserve"> suodenniemen tuulivoimpuisto oy   
sastamala </v>
      </c>
      <c r="D423" s="22" t="s">
        <v>3066</v>
      </c>
      <c r="E423" s="1">
        <v>12.6</v>
      </c>
      <c r="F423" s="1">
        <v>0</v>
      </c>
      <c r="G423" s="1">
        <v>0</v>
      </c>
      <c r="H423" s="1">
        <v>12.6</v>
      </c>
      <c r="L423" s="1" t="str" cm="1">
        <f t="array" ref="L423">_xlfn.XLOOKUP(TRUE,ISNUMBER(SEARCH(" "&amp;Municipality[Municipality]&amp;" ",El_unit[[#This Row],[Info sting]])),Municipality[Municipality],"")</f>
        <v/>
      </c>
      <c r="M423" s="1" t="str" cm="1">
        <f t="array" ref="M423">IF(El_unit[[#This Row],[Exact]]&lt;&gt;"","",_xlfn.XLOOKUP(TRUE,ISNUMBER(SEARCH(" "&amp;Municipality[Municipality]&amp;"n ",El_unit[[#This Row],[Info sting]])),Municipality[Municipality],""))</f>
        <v/>
      </c>
      <c r="N423" s="1" t="s">
        <v>2785</v>
      </c>
      <c r="O423" s="35" t="s">
        <v>3207</v>
      </c>
      <c r="P423" s="1" t="s">
        <v>3208</v>
      </c>
      <c r="Q423" s="1" t="str">
        <f>_xlfn.TEXTJOIN("",TRUE,El_unit[[#This Row],[Exact]],El_unit[[#This Row],[Exact+n]],El_unit[[#This Row],[Copilot]])</f>
        <v>Suodenniemi</v>
      </c>
    </row>
    <row r="424" spans="1:17">
      <c r="A424" s="54" t="s">
        <v>1074</v>
      </c>
      <c r="B424" s="22" t="s">
        <v>1074</v>
      </c>
      <c r="C424" s="107" t="str" cm="1">
        <f t="array" ref="C424">" "&amp;LOWER(_xlfn.REDUCE(El_unit[[#This Row],[Location]],{",",".","(",")","/"},_xlfn.LAMBDA(_xlpm.txt,_xlpm.delim,SUBSTITUTE(_xlpm.txt,_xlpm.delim," "))))&amp;" "</f>
        <v xml:space="preserve"> suomenojan voimalaitos </v>
      </c>
      <c r="D424" s="22" t="s">
        <v>3067</v>
      </c>
      <c r="E424" s="1">
        <v>0</v>
      </c>
      <c r="F424" s="1">
        <v>0</v>
      </c>
      <c r="G424" s="1">
        <v>276</v>
      </c>
      <c r="H424" s="1">
        <v>276</v>
      </c>
      <c r="I424" s="1" t="s">
        <v>1023</v>
      </c>
      <c r="J424" s="1" t="s">
        <v>1020</v>
      </c>
      <c r="L424" s="1" t="str" cm="1">
        <f t="array" ref="L424">_xlfn.XLOOKUP(TRUE,ISNUMBER(SEARCH(" "&amp;Municipality[Municipality]&amp;" ",El_unit[[#This Row],[Info sting]])),Municipality[Municipality],"")</f>
        <v/>
      </c>
      <c r="M424" s="1" t="str" cm="1">
        <f t="array" ref="M424">IF(El_unit[[#This Row],[Exact]]&lt;&gt;"","",_xlfn.XLOOKUP(TRUE,ISNUMBER(SEARCH(" "&amp;Municipality[Municipality]&amp;"n ",El_unit[[#This Row],[Info sting]])),Municipality[Municipality],""))</f>
        <v/>
      </c>
      <c r="O424" s="35"/>
      <c r="Q424" s="1" t="str">
        <f>_xlfn.TEXTJOIN("",TRUE,El_unit[[#This Row],[Exact]],El_unit[[#This Row],[Exact+n]],El_unit[[#This Row],[Copilot]])</f>
        <v/>
      </c>
    </row>
    <row r="425" spans="1:17">
      <c r="A425" s="54" t="s">
        <v>1075</v>
      </c>
      <c r="B425" s="22" t="s">
        <v>1115</v>
      </c>
      <c r="C425" s="107" t="str" cm="1">
        <f t="array" ref="C425">" "&amp;LOWER(_xlfn.REDUCE(El_unit[[#This Row],[Location]],{",",".","(",")","/"},_xlfn.LAMBDA(_xlpm.txt,_xlpm.delim,SUBSTITUTE(_xlpm.txt,_xlpm.delim," "))))&amp;" "</f>
        <v xml:space="preserve"> lampelankatu 24  suosiola </v>
      </c>
      <c r="D425" s="22" t="s">
        <v>3067</v>
      </c>
      <c r="E425" s="1">
        <v>0</v>
      </c>
      <c r="F425" s="1">
        <v>0</v>
      </c>
      <c r="G425" s="1">
        <v>30</v>
      </c>
      <c r="H425" s="1">
        <v>30</v>
      </c>
      <c r="I425" s="1" t="s">
        <v>1015</v>
      </c>
      <c r="J425" s="1" t="s">
        <v>1016</v>
      </c>
      <c r="K425" s="1" t="s">
        <v>1022</v>
      </c>
      <c r="L425" s="1" t="str" cm="1">
        <f t="array" ref="L425">_xlfn.XLOOKUP(TRUE,ISNUMBER(SEARCH(" "&amp;Municipality[Municipality]&amp;" ",El_unit[[#This Row],[Info sting]])),Municipality[Municipality],"")</f>
        <v/>
      </c>
      <c r="M425" s="1" t="str" cm="1">
        <f t="array" ref="M425">IF(El_unit[[#This Row],[Exact]]&lt;&gt;"","",_xlfn.XLOOKUP(TRUE,ISNUMBER(SEARCH(" "&amp;Municipality[Municipality]&amp;"n ",El_unit[[#This Row],[Info sting]])),Municipality[Municipality],""))</f>
        <v/>
      </c>
      <c r="N425" s="1" t="s">
        <v>2754</v>
      </c>
      <c r="O425" s="35" t="s">
        <v>3209</v>
      </c>
      <c r="Q425" s="1" t="str">
        <f>_xlfn.TEXTJOIN("",TRUE,El_unit[[#This Row],[Exact]],El_unit[[#This Row],[Exact+n]],El_unit[[#This Row],[Copilot]])</f>
        <v>Rovaniemi</v>
      </c>
    </row>
    <row r="426" spans="1:17">
      <c r="A426" s="54" t="s">
        <v>623</v>
      </c>
      <c r="B426" s="22" t="s">
        <v>785</v>
      </c>
      <c r="C426" s="107" t="str" cm="1">
        <f t="array" ref="C426">" "&amp;LOWER(_xlfn.REDUCE(El_unit[[#This Row],[Location]],{",",".","(",")","/"},_xlfn.LAMBDA(_xlpm.txt,_xlpm.delim,SUBSTITUTE(_xlpm.txt,_xlpm.delim," "))))&amp;" "</f>
        <v xml:space="preserve"> svalskulla  närpiö </v>
      </c>
      <c r="D426" s="22" t="s">
        <v>3066</v>
      </c>
      <c r="E426" s="1">
        <v>15</v>
      </c>
      <c r="F426" s="1">
        <v>0</v>
      </c>
      <c r="G426" s="1">
        <v>0</v>
      </c>
      <c r="H426" s="1">
        <v>15</v>
      </c>
      <c r="L426" s="1" t="str" cm="1">
        <f t="array" ref="L426">_xlfn.XLOOKUP(TRUE,ISNUMBER(SEARCH(" "&amp;Municipality[Municipality]&amp;" ",El_unit[[#This Row],[Info sting]])),Municipality[Municipality],"")</f>
        <v>Närpiö</v>
      </c>
      <c r="M426" s="1" t="str" cm="1">
        <f t="array" ref="M426">IF(El_unit[[#This Row],[Exact]]&lt;&gt;"","",_xlfn.XLOOKUP(TRUE,ISNUMBER(SEARCH(" "&amp;Municipality[Municipality]&amp;"n ",El_unit[[#This Row],[Info sting]])),Municipality[Municipality],""))</f>
        <v/>
      </c>
      <c r="O426" s="35"/>
      <c r="Q426" s="1" t="str">
        <f>_xlfn.TEXTJOIN("",TRUE,El_unit[[#This Row],[Exact]],El_unit[[#This Row],[Exact+n]],El_unit[[#This Row],[Copilot]])</f>
        <v>Närpiö</v>
      </c>
    </row>
    <row r="427" spans="1:17">
      <c r="A427" s="54" t="s">
        <v>624</v>
      </c>
      <c r="B427" s="22" t="s">
        <v>786</v>
      </c>
      <c r="C427" s="107" t="str" cm="1">
        <f t="array" ref="C427">" "&amp;LOWER(_xlfn.REDUCE(El_unit[[#This Row],[Location]],{",",".","(",")","/"},_xlfn.LAMBDA(_xlpm.txt,_xlpm.delim,SUBSTITUTE(_xlpm.txt,_xlpm.delim," "))))&amp;" "</f>
        <v xml:space="preserve"> luomankyläntie 591  luomankylä </v>
      </c>
      <c r="D427" s="22" t="s">
        <v>3066</v>
      </c>
      <c r="E427" s="1">
        <v>2.5</v>
      </c>
      <c r="F427" s="1">
        <v>0</v>
      </c>
      <c r="G427" s="1">
        <v>0</v>
      </c>
      <c r="H427" s="1">
        <v>2.5</v>
      </c>
      <c r="L427" s="1" t="str" cm="1">
        <f t="array" ref="L427">_xlfn.XLOOKUP(TRUE,ISNUMBER(SEARCH(" "&amp;Municipality[Municipality]&amp;" ",El_unit[[#This Row],[Info sting]])),Municipality[Municipality],"")</f>
        <v/>
      </c>
      <c r="M427" s="1" t="str" cm="1">
        <f t="array" ref="M427">IF(El_unit[[#This Row],[Exact]]&lt;&gt;"","",_xlfn.XLOOKUP(TRUE,ISNUMBER(SEARCH(" "&amp;Municipality[Municipality]&amp;"n ",El_unit[[#This Row],[Info sting]])),Municipality[Municipality],""))</f>
        <v/>
      </c>
      <c r="N427" s="1" t="s">
        <v>2577</v>
      </c>
      <c r="O427" s="35" t="s">
        <v>3210</v>
      </c>
      <c r="Q427" s="1" t="str">
        <f>_xlfn.TEXTJOIN("",TRUE,El_unit[[#This Row],[Exact]],El_unit[[#This Row],[Exact+n]],El_unit[[#This Row],[Copilot]])</f>
        <v>Kauhajoki</v>
      </c>
    </row>
    <row r="428" spans="1:17">
      <c r="A428" s="54" t="s">
        <v>625</v>
      </c>
      <c r="B428" s="22" t="s">
        <v>787</v>
      </c>
      <c r="C428" s="107" t="str" cm="1">
        <f t="array" ref="C428">" "&amp;LOWER(_xlfn.REDUCE(El_unit[[#This Row],[Location]],{",",".","(",")","/"},_xlfn.LAMBDA(_xlpm.txt,_xlpm.delim,SUBSTITUTE(_xlpm.txt,_xlpm.delim," "))))&amp;" "</f>
        <v xml:space="preserve"> sähkäle ii  lumijoki </v>
      </c>
      <c r="D428" s="22" t="s">
        <v>3066</v>
      </c>
      <c r="E428" s="1">
        <v>2</v>
      </c>
      <c r="F428" s="1">
        <v>0</v>
      </c>
      <c r="G428" s="1">
        <v>0</v>
      </c>
      <c r="H428" s="1">
        <v>2</v>
      </c>
      <c r="L428" s="1" t="str" cm="1">
        <f t="array" ref="L428">_xlfn.XLOOKUP(TRUE,ISNUMBER(SEARCH(" "&amp;Municipality[Municipality]&amp;" ",El_unit[[#This Row],[Info sting]])),Municipality[Municipality],"")</f>
        <v>Ii</v>
      </c>
      <c r="M428" s="1" t="str" cm="1">
        <f t="array" ref="M428">IF(El_unit[[#This Row],[Exact]]&lt;&gt;"","",_xlfn.XLOOKUP(TRUE,ISNUMBER(SEARCH(" "&amp;Municipality[Municipality]&amp;"n ",El_unit[[#This Row],[Info sting]])),Municipality[Municipality],""))</f>
        <v/>
      </c>
      <c r="O428" s="35"/>
      <c r="Q428" s="1" t="str">
        <f>_xlfn.TEXTJOIN("",TRUE,El_unit[[#This Row],[Exact]],El_unit[[#This Row],[Exact+n]],El_unit[[#This Row],[Copilot]])</f>
        <v>Ii</v>
      </c>
    </row>
    <row r="429" spans="1:17">
      <c r="A429" s="54" t="s">
        <v>947</v>
      </c>
      <c r="B429" s="22" t="s">
        <v>947</v>
      </c>
      <c r="C429" s="107" t="str" cm="1">
        <f t="array" ref="C429">" "&amp;LOWER(_xlfn.REDUCE(El_unit[[#This Row],[Location]],{",",".","(",")","/"},_xlfn.LAMBDA(_xlpm.txt,_xlpm.delim,SUBSTITUTE(_xlpm.txt,_xlpm.delim," "))))&amp;" "</f>
        <v xml:space="preserve"> säkylä </v>
      </c>
      <c r="D429" s="22" t="s">
        <v>3065</v>
      </c>
      <c r="E429" s="1">
        <v>0</v>
      </c>
      <c r="F429" s="1">
        <v>8.8000000000000007</v>
      </c>
      <c r="G429" s="1">
        <v>0</v>
      </c>
      <c r="H429" s="1">
        <v>8.8000000000000007</v>
      </c>
      <c r="I429" s="1" t="s">
        <v>1017</v>
      </c>
      <c r="L429" s="1" t="str" cm="1">
        <f t="array" ref="L429">_xlfn.XLOOKUP(TRUE,ISNUMBER(SEARCH(" "&amp;Municipality[Municipality]&amp;" ",El_unit[[#This Row],[Info sting]])),Municipality[Municipality],"")</f>
        <v>Säkylä</v>
      </c>
      <c r="M429" s="1" t="str" cm="1">
        <f t="array" ref="M429">IF(El_unit[[#This Row],[Exact]]&lt;&gt;"","",_xlfn.XLOOKUP(TRUE,ISNUMBER(SEARCH(" "&amp;Municipality[Municipality]&amp;"n ",El_unit[[#This Row],[Info sting]])),Municipality[Municipality],""))</f>
        <v/>
      </c>
      <c r="O429" s="35"/>
      <c r="Q429" s="1" t="str">
        <f>_xlfn.TEXTJOIN("",TRUE,El_unit[[#This Row],[Exact]],El_unit[[#This Row],[Exact+n]],El_unit[[#This Row],[Copilot]])</f>
        <v>Säkylä</v>
      </c>
    </row>
    <row r="430" spans="1:17">
      <c r="A430" s="54" t="s">
        <v>352</v>
      </c>
      <c r="B430" s="22" t="s">
        <v>353</v>
      </c>
      <c r="C430" s="107" t="str" cm="1">
        <f t="array" ref="C430">" "&amp;LOWER(_xlfn.REDUCE(El_unit[[#This Row],[Location]],{",",".","(",")","/"},_xlfn.LAMBDA(_xlpm.txt,_xlpm.delim,SUBSTITUTE(_xlpm.txt,_xlpm.delim," "))))&amp;" "</f>
        <v xml:space="preserve"> lapinlahti  itäkoskentie 53  paloinen </v>
      </c>
      <c r="D430" s="22" t="s">
        <v>3064</v>
      </c>
      <c r="E430" s="1">
        <v>3</v>
      </c>
      <c r="F430" s="1">
        <v>0</v>
      </c>
      <c r="G430" s="1">
        <v>0</v>
      </c>
      <c r="H430" s="1">
        <v>3</v>
      </c>
      <c r="L430" s="1" t="str" cm="1">
        <f t="array" ref="L430">_xlfn.XLOOKUP(TRUE,ISNUMBER(SEARCH(" "&amp;Municipality[Municipality]&amp;" ",El_unit[[#This Row],[Info sting]])),Municipality[Municipality],"")</f>
        <v>Lapinlahti</v>
      </c>
      <c r="M430" s="1" t="str" cm="1">
        <f t="array" ref="M430">IF(El_unit[[#This Row],[Exact]]&lt;&gt;"","",_xlfn.XLOOKUP(TRUE,ISNUMBER(SEARCH(" "&amp;Municipality[Municipality]&amp;"n ",El_unit[[#This Row],[Info sting]])),Municipality[Municipality],""))</f>
        <v/>
      </c>
      <c r="O430" s="35"/>
      <c r="Q430" s="1" t="str">
        <f>_xlfn.TEXTJOIN("",TRUE,El_unit[[#This Row],[Exact]],El_unit[[#This Row],[Exact+n]],El_unit[[#This Row],[Copilot]])</f>
        <v>Lapinlahti</v>
      </c>
    </row>
    <row r="431" spans="1:17">
      <c r="A431" s="54" t="s">
        <v>626</v>
      </c>
      <c r="B431" s="22" t="s">
        <v>788</v>
      </c>
      <c r="C431" s="107" t="str" cm="1">
        <f t="array" ref="C431">" "&amp;LOWER(_xlfn.REDUCE(El_unit[[#This Row],[Location]],{",",".","(",")","/"},_xlfn.LAMBDA(_xlpm.txt,_xlpm.delim,SUBSTITUTE(_xlpm.txt,_xlpm.delim," "))))&amp;" "</f>
        <v xml:space="preserve"> sänkiahon 110  20 kv sähköasema  </v>
      </c>
      <c r="D431" s="22" t="s">
        <v>3068</v>
      </c>
      <c r="E431" s="1">
        <v>2.1</v>
      </c>
      <c r="F431" s="1">
        <v>0</v>
      </c>
      <c r="G431" s="1">
        <v>0</v>
      </c>
      <c r="H431" s="1">
        <v>2.1</v>
      </c>
      <c r="I431" s="1" t="s">
        <v>1020</v>
      </c>
      <c r="L431" s="1" t="str" cm="1">
        <f t="array" ref="L431">_xlfn.XLOOKUP(TRUE,ISNUMBER(SEARCH(" "&amp;Municipality[Municipality]&amp;" ",El_unit[[#This Row],[Info sting]])),Municipality[Municipality],"")</f>
        <v/>
      </c>
      <c r="M431" s="1" t="str" cm="1">
        <f t="array" ref="M431">IF(El_unit[[#This Row],[Exact]]&lt;&gt;"","",_xlfn.XLOOKUP(TRUE,ISNUMBER(SEARCH(" "&amp;Municipality[Municipality]&amp;"n ",El_unit[[#This Row],[Info sting]])),Municipality[Municipality],""))</f>
        <v/>
      </c>
      <c r="O431" s="35"/>
      <c r="Q431" s="1" t="str">
        <f>_xlfn.TEXTJOIN("",TRUE,El_unit[[#This Row],[Exact]],El_unit[[#This Row],[Exact+n]],El_unit[[#This Row],[Copilot]])</f>
        <v/>
      </c>
    </row>
    <row r="432" spans="1:17">
      <c r="A432" s="54" t="s">
        <v>627</v>
      </c>
      <c r="B432" s="22" t="s">
        <v>789</v>
      </c>
      <c r="C432" s="107" t="str" cm="1">
        <f t="array" ref="C432">" "&amp;LOWER(_xlfn.REDUCE(El_unit[[#This Row],[Location]],{",",".","(",")","/"},_xlfn.LAMBDA(_xlpm.txt,_xlpm.delim,SUBSTITUTE(_xlpm.txt,_xlpm.delim," "))))&amp;" "</f>
        <v xml:space="preserve"> tahkoluoto kt 1  2 </v>
      </c>
      <c r="D432" s="22" t="s">
        <v>3068</v>
      </c>
      <c r="E432" s="1">
        <v>52</v>
      </c>
      <c r="F432" s="1">
        <v>0</v>
      </c>
      <c r="G432" s="1">
        <v>0</v>
      </c>
      <c r="H432" s="1">
        <v>52</v>
      </c>
      <c r="I432" s="1" t="s">
        <v>1020</v>
      </c>
      <c r="L432" s="1" t="str" cm="1">
        <f t="array" ref="L432">_xlfn.XLOOKUP(TRUE,ISNUMBER(SEARCH(" "&amp;Municipality[Municipality]&amp;" ",El_unit[[#This Row],[Info sting]])),Municipality[Municipality],"")</f>
        <v/>
      </c>
      <c r="M432" s="1" t="str" cm="1">
        <f t="array" ref="M432">IF(El_unit[[#This Row],[Exact]]&lt;&gt;"","",_xlfn.XLOOKUP(TRUE,ISNUMBER(SEARCH(" "&amp;Municipality[Municipality]&amp;"n ",El_unit[[#This Row],[Info sting]])),Municipality[Municipality],""))</f>
        <v/>
      </c>
      <c r="N432" s="1" t="s">
        <v>936</v>
      </c>
      <c r="O432" s="35"/>
      <c r="P432" s="1" t="s">
        <v>3094</v>
      </c>
      <c r="Q432" s="1" t="str">
        <f>_xlfn.TEXTJOIN("",TRUE,El_unit[[#This Row],[Exact]],El_unit[[#This Row],[Exact+n]],El_unit[[#This Row],[Copilot]])</f>
        <v>Pori</v>
      </c>
    </row>
    <row r="433" spans="1:17">
      <c r="A433" s="54" t="s">
        <v>628</v>
      </c>
      <c r="B433" s="22" t="s">
        <v>790</v>
      </c>
      <c r="C433" s="107" t="str" cm="1">
        <f t="array" ref="C433">" "&amp;LOWER(_xlfn.REDUCE(El_unit[[#This Row],[Location]],{",",".","(",")","/"},_xlfn.LAMBDA(_xlpm.txt,_xlpm.delim,SUBSTITUTE(_xlpm.txt,_xlpm.delim," "))))&amp;" "</f>
        <v xml:space="preserve"> pori  tahkoluodon edusta </v>
      </c>
      <c r="D433" s="22" t="s">
        <v>3066</v>
      </c>
      <c r="E433" s="1">
        <v>2.2999999999999998</v>
      </c>
      <c r="F433" s="1">
        <v>0</v>
      </c>
      <c r="G433" s="1">
        <v>0</v>
      </c>
      <c r="H433" s="1">
        <v>2.2999999999999998</v>
      </c>
      <c r="L433" s="1" t="str" cm="1">
        <f t="array" ref="L433">_xlfn.XLOOKUP(TRUE,ISNUMBER(SEARCH(" "&amp;Municipality[Municipality]&amp;" ",El_unit[[#This Row],[Info sting]])),Municipality[Municipality],"")</f>
        <v>Pori</v>
      </c>
      <c r="M433" s="1" t="str" cm="1">
        <f t="array" ref="M433">IF(El_unit[[#This Row],[Exact]]&lt;&gt;"","",_xlfn.XLOOKUP(TRUE,ISNUMBER(SEARCH(" "&amp;Municipality[Municipality]&amp;"n ",El_unit[[#This Row],[Info sting]])),Municipality[Municipality],""))</f>
        <v/>
      </c>
      <c r="O433" s="35"/>
      <c r="Q433" s="1" t="str">
        <f>_xlfn.TEXTJOIN("",TRUE,El_unit[[#This Row],[Exact]],El_unit[[#This Row],[Exact+n]],El_unit[[#This Row],[Copilot]])</f>
        <v>Pori</v>
      </c>
    </row>
    <row r="434" spans="1:17">
      <c r="A434" s="54" t="s">
        <v>629</v>
      </c>
      <c r="B434" s="22" t="s">
        <v>629</v>
      </c>
      <c r="C434" s="107" t="str" cm="1">
        <f t="array" ref="C434">" "&amp;LOWER(_xlfn.REDUCE(El_unit[[#This Row],[Location]],{",",".","(",")","/"},_xlfn.LAMBDA(_xlpm.txt,_xlpm.delim,SUBSTITUTE(_xlpm.txt,_xlpm.delim," "))))&amp;" "</f>
        <v xml:space="preserve"> tahkoluoto t1-t10 </v>
      </c>
      <c r="D434" s="22" t="s">
        <v>3066</v>
      </c>
      <c r="E434" s="1">
        <v>42</v>
      </c>
      <c r="F434" s="1">
        <v>0</v>
      </c>
      <c r="G434" s="1">
        <v>0</v>
      </c>
      <c r="H434" s="1">
        <v>42</v>
      </c>
      <c r="L434" s="1" t="str" cm="1">
        <f t="array" ref="L434">_xlfn.XLOOKUP(TRUE,ISNUMBER(SEARCH(" "&amp;Municipality[Municipality]&amp;" ",El_unit[[#This Row],[Info sting]])),Municipality[Municipality],"")</f>
        <v/>
      </c>
      <c r="M434" s="1" t="str" cm="1">
        <f t="array" ref="M434">IF(El_unit[[#This Row],[Exact]]&lt;&gt;"","",_xlfn.XLOOKUP(TRUE,ISNUMBER(SEARCH(" "&amp;Municipality[Municipality]&amp;"n ",El_unit[[#This Row],[Info sting]])),Municipality[Municipality],""))</f>
        <v/>
      </c>
      <c r="N434" s="1" t="s">
        <v>936</v>
      </c>
      <c r="O434" s="35"/>
      <c r="P434" s="1" t="s">
        <v>3094</v>
      </c>
      <c r="Q434" s="1" t="str">
        <f>_xlfn.TEXTJOIN("",TRUE,El_unit[[#This Row],[Exact]],El_unit[[#This Row],[Exact+n]],El_unit[[#This Row],[Copilot]])</f>
        <v>Pori</v>
      </c>
    </row>
    <row r="435" spans="1:17">
      <c r="A435" s="54" t="s">
        <v>630</v>
      </c>
      <c r="B435" s="22" t="s">
        <v>791</v>
      </c>
      <c r="C435" s="107" t="str" cm="1">
        <f t="array" ref="C435">" "&amp;LOWER(_xlfn.REDUCE(El_unit[[#This Row],[Location]],{",",".","(",")","/"},_xlfn.LAMBDA(_xlpm.txt,_xlpm.delim,SUBSTITUTE(_xlpm.txt,_xlpm.delim," "))))&amp;" "</f>
        <v xml:space="preserve"> pori  tahkoluoto </v>
      </c>
      <c r="D435" s="22" t="s">
        <v>3066</v>
      </c>
      <c r="E435" s="1">
        <v>3</v>
      </c>
      <c r="F435" s="1">
        <v>0</v>
      </c>
      <c r="G435" s="1">
        <v>0</v>
      </c>
      <c r="H435" s="1">
        <v>3</v>
      </c>
      <c r="L435" s="1" t="str" cm="1">
        <f t="array" ref="L435">_xlfn.XLOOKUP(TRUE,ISNUMBER(SEARCH(" "&amp;Municipality[Municipality]&amp;" ",El_unit[[#This Row],[Info sting]])),Municipality[Municipality],"")</f>
        <v>Pori</v>
      </c>
      <c r="M435" s="1" t="str" cm="1">
        <f t="array" ref="M435">IF(El_unit[[#This Row],[Exact]]&lt;&gt;"","",_xlfn.XLOOKUP(TRUE,ISNUMBER(SEARCH(" "&amp;Municipality[Municipality]&amp;"n ",El_unit[[#This Row],[Info sting]])),Municipality[Municipality],""))</f>
        <v/>
      </c>
      <c r="O435" s="35"/>
      <c r="Q435" s="1" t="str">
        <f>_xlfn.TEXTJOIN("",TRUE,El_unit[[#This Row],[Exact]],El_unit[[#This Row],[Exact+n]],El_unit[[#This Row],[Copilot]])</f>
        <v>Pori</v>
      </c>
    </row>
    <row r="436" spans="1:17">
      <c r="A436" s="54" t="s">
        <v>354</v>
      </c>
      <c r="B436" s="22" t="s">
        <v>354</v>
      </c>
      <c r="C436" s="107" t="str" cm="1">
        <f t="array" ref="C436">" "&amp;LOWER(_xlfn.REDUCE(El_unit[[#This Row],[Location]],{",",".","(",")","/"},_xlfn.LAMBDA(_xlpm.txt,_xlpm.delim,SUBSTITUTE(_xlpm.txt,_xlpm.delim," "))))&amp;" "</f>
        <v xml:space="preserve"> tainionkoski </v>
      </c>
      <c r="D436" s="22" t="s">
        <v>3064</v>
      </c>
      <c r="E436" s="1">
        <v>65.5</v>
      </c>
      <c r="F436" s="1">
        <v>0</v>
      </c>
      <c r="G436" s="1">
        <v>0</v>
      </c>
      <c r="H436" s="1">
        <v>65.5</v>
      </c>
      <c r="L436" s="1" t="str" cm="1">
        <f t="array" ref="L436">_xlfn.XLOOKUP(TRUE,ISNUMBER(SEARCH(" "&amp;Municipality[Municipality]&amp;" ",El_unit[[#This Row],[Info sting]])),Municipality[Municipality],"")</f>
        <v/>
      </c>
      <c r="M436" s="1" t="str" cm="1">
        <f t="array" ref="M436">IF(El_unit[[#This Row],[Exact]]&lt;&gt;"","",_xlfn.XLOOKUP(TRUE,ISNUMBER(SEARCH(" "&amp;Municipality[Municipality]&amp;"n ",El_unit[[#This Row],[Info sting]])),Municipality[Municipality],""))</f>
        <v/>
      </c>
      <c r="O436" s="35"/>
      <c r="Q436" s="1" t="str">
        <f>_xlfn.TEXTJOIN("",TRUE,El_unit[[#This Row],[Exact]],El_unit[[#This Row],[Exact+n]],El_unit[[#This Row],[Copilot]])</f>
        <v/>
      </c>
    </row>
    <row r="437" spans="1:17">
      <c r="A437" s="54" t="s">
        <v>355</v>
      </c>
      <c r="B437" s="22" t="s">
        <v>355</v>
      </c>
      <c r="C437" s="107" t="str" cm="1">
        <f t="array" ref="C437">" "&amp;LOWER(_xlfn.REDUCE(El_unit[[#This Row],[Location]],{",",".","(",")","/"},_xlfn.LAMBDA(_xlpm.txt,_xlpm.delim,SUBSTITUTE(_xlpm.txt,_xlpm.delim," "))))&amp;" "</f>
        <v xml:space="preserve"> taivalkoski </v>
      </c>
      <c r="D437" s="22" t="s">
        <v>3064</v>
      </c>
      <c r="E437" s="1">
        <v>133.19999999999999</v>
      </c>
      <c r="F437" s="1">
        <v>0</v>
      </c>
      <c r="G437" s="1">
        <v>0</v>
      </c>
      <c r="H437" s="1">
        <v>133.19999999999999</v>
      </c>
      <c r="L437" s="1" t="str" cm="1">
        <f t="array" ref="L437">_xlfn.XLOOKUP(TRUE,ISNUMBER(SEARCH(" "&amp;Municipality[Municipality]&amp;" ",El_unit[[#This Row],[Info sting]])),Municipality[Municipality],"")</f>
        <v>Taivalkoski</v>
      </c>
      <c r="M437" s="1" t="str" cm="1">
        <f t="array" ref="M437">IF(El_unit[[#This Row],[Exact]]&lt;&gt;"","",_xlfn.XLOOKUP(TRUE,ISNUMBER(SEARCH(" "&amp;Municipality[Municipality]&amp;"n ",El_unit[[#This Row],[Info sting]])),Municipality[Municipality],""))</f>
        <v/>
      </c>
      <c r="O437" s="35"/>
      <c r="Q437" s="1" t="str">
        <f>_xlfn.TEXTJOIN("",TRUE,El_unit[[#This Row],[Exact]],El_unit[[#This Row],[Exact+n]],El_unit[[#This Row],[Copilot]])</f>
        <v>Taivalkoski</v>
      </c>
    </row>
    <row r="438" spans="1:17">
      <c r="A438" s="54" t="s">
        <v>631</v>
      </c>
      <c r="B438" s="22" t="s">
        <v>631</v>
      </c>
      <c r="C438" s="107" t="str" cm="1">
        <f t="array" ref="C438">" "&amp;LOWER(_xlfn.REDUCE(El_unit[[#This Row],[Location]],{",",".","(",")","/"},_xlfn.LAMBDA(_xlpm.txt,_xlpm.delim,SUBSTITUTE(_xlpm.txt,_xlpm.delim," "))))&amp;" "</f>
        <v xml:space="preserve"> takanebacken tuulipuisto </v>
      </c>
      <c r="D438" s="22" t="s">
        <v>3066</v>
      </c>
      <c r="E438" s="1">
        <v>28.5</v>
      </c>
      <c r="F438" s="1">
        <v>0</v>
      </c>
      <c r="G438" s="1">
        <v>0</v>
      </c>
      <c r="H438" s="1">
        <v>28.5</v>
      </c>
      <c r="L438" s="1" t="str" cm="1">
        <f t="array" ref="L438">_xlfn.XLOOKUP(TRUE,ISNUMBER(SEARCH(" "&amp;Municipality[Municipality]&amp;" ",El_unit[[#This Row],[Info sting]])),Municipality[Municipality],"")</f>
        <v/>
      </c>
      <c r="M438" s="1" t="str" cm="1">
        <f t="array" ref="M438">IF(El_unit[[#This Row],[Exact]]&lt;&gt;"","",_xlfn.XLOOKUP(TRUE,ISNUMBER(SEARCH(" "&amp;Municipality[Municipality]&amp;"n ",El_unit[[#This Row],[Info sting]])),Municipality[Municipality],""))</f>
        <v/>
      </c>
      <c r="O438" s="35"/>
      <c r="Q438" s="1" t="str">
        <f>_xlfn.TEXTJOIN("",TRUE,El_unit[[#This Row],[Exact]],El_unit[[#This Row],[Exact+n]],El_unit[[#This Row],[Copilot]])</f>
        <v/>
      </c>
    </row>
    <row r="439" spans="1:17">
      <c r="A439" s="54" t="s">
        <v>948</v>
      </c>
      <c r="B439" s="22" t="s">
        <v>1000</v>
      </c>
      <c r="C439" s="107" t="str" cm="1">
        <f t="array" ref="C439">" "&amp;LOWER(_xlfn.REDUCE(El_unit[[#This Row],[Location]],{",",".","(",")","/"},_xlfn.LAMBDA(_xlpm.txt,_xlpm.delim,SUBSTITUTE(_xlpm.txt,_xlpm.delim," "))))&amp;" "</f>
        <v xml:space="preserve"> m-real tako board kartonkitehdas  tampere </v>
      </c>
      <c r="D439" s="22" t="s">
        <v>3065</v>
      </c>
      <c r="E439" s="1">
        <v>5</v>
      </c>
      <c r="F439" s="1">
        <v>11.5</v>
      </c>
      <c r="G439" s="1">
        <v>0</v>
      </c>
      <c r="H439" s="1">
        <v>16.5</v>
      </c>
      <c r="I439" s="1" t="s">
        <v>1023</v>
      </c>
      <c r="J439" s="1" t="s">
        <v>1017</v>
      </c>
      <c r="L439" s="1" t="str" cm="1">
        <f t="array" ref="L439">_xlfn.XLOOKUP(TRUE,ISNUMBER(SEARCH(" "&amp;Municipality[Municipality]&amp;" ",El_unit[[#This Row],[Info sting]])),Municipality[Municipality],"")</f>
        <v>Tampere</v>
      </c>
      <c r="M439" s="1" t="str" cm="1">
        <f t="array" ref="M439">IF(El_unit[[#This Row],[Exact]]&lt;&gt;"","",_xlfn.XLOOKUP(TRUE,ISNUMBER(SEARCH(" "&amp;Municipality[Municipality]&amp;"n ",El_unit[[#This Row],[Info sting]])),Municipality[Municipality],""))</f>
        <v/>
      </c>
      <c r="O439" s="35"/>
      <c r="Q439" s="1" t="str">
        <f>_xlfn.TEXTJOIN("",TRUE,El_unit[[#This Row],[Exact]],El_unit[[#This Row],[Exact+n]],El_unit[[#This Row],[Copilot]])</f>
        <v>Tampere</v>
      </c>
    </row>
    <row r="440" spans="1:17">
      <c r="A440" s="54" t="s">
        <v>356</v>
      </c>
      <c r="B440" s="22" t="s">
        <v>356</v>
      </c>
      <c r="C440" s="107" t="str" cm="1">
        <f t="array" ref="C440">" "&amp;LOWER(_xlfn.REDUCE(El_unit[[#This Row],[Location]],{",",".","(",")","/"},_xlfn.LAMBDA(_xlpm.txt,_xlpm.delim,SUBSTITUTE(_xlpm.txt,_xlpm.delim," "))))&amp;" "</f>
        <v xml:space="preserve"> tammerkoski </v>
      </c>
      <c r="D440" s="22" t="s">
        <v>3064</v>
      </c>
      <c r="E440" s="1">
        <v>8.6</v>
      </c>
      <c r="F440" s="1">
        <v>0</v>
      </c>
      <c r="G440" s="1">
        <v>0</v>
      </c>
      <c r="H440" s="1">
        <v>8.6</v>
      </c>
      <c r="L440" s="1" t="str" cm="1">
        <f t="array" ref="L440">_xlfn.XLOOKUP(TRUE,ISNUMBER(SEARCH(" "&amp;Municipality[Municipality]&amp;" ",El_unit[[#This Row],[Info sting]])),Municipality[Municipality],"")</f>
        <v/>
      </c>
      <c r="M440" s="1" t="str" cm="1">
        <f t="array" ref="M440">IF(El_unit[[#This Row],[Exact]]&lt;&gt;"","",_xlfn.XLOOKUP(TRUE,ISNUMBER(SEARCH(" "&amp;Municipality[Municipality]&amp;"n ",El_unit[[#This Row],[Info sting]])),Municipality[Municipality],""))</f>
        <v/>
      </c>
      <c r="N440" s="1" t="s">
        <v>2795</v>
      </c>
      <c r="O440" s="35" t="s">
        <v>3143</v>
      </c>
      <c r="Q440" s="1" t="str">
        <f>_xlfn.TEXTJOIN("",TRUE,El_unit[[#This Row],[Exact]],El_unit[[#This Row],[Exact+n]],El_unit[[#This Row],[Copilot]])</f>
        <v>Tampere</v>
      </c>
    </row>
    <row r="441" spans="1:17">
      <c r="A441" s="54" t="s">
        <v>1076</v>
      </c>
      <c r="B441" s="22" t="s">
        <v>1116</v>
      </c>
      <c r="C441" s="107" t="str" cm="1">
        <f t="array" ref="C441">" "&amp;LOWER(_xlfn.REDUCE(El_unit[[#This Row],[Location]],{",",".","(",")","/"},_xlfn.LAMBDA(_xlpm.txt,_xlpm.delim,SUBSTITUTE(_xlpm.txt,_xlpm.delim," "))))&amp;" "</f>
        <v xml:space="preserve"> tammervoima   hyötyvoimankuja 1 </v>
      </c>
      <c r="D441" s="22" t="s">
        <v>3067</v>
      </c>
      <c r="E441" s="1">
        <v>0</v>
      </c>
      <c r="F441" s="1">
        <v>0</v>
      </c>
      <c r="G441" s="1">
        <v>12.3</v>
      </c>
      <c r="H441" s="1">
        <v>12.3</v>
      </c>
      <c r="I441" s="1" t="s">
        <v>1026</v>
      </c>
      <c r="J441" s="1" t="s">
        <v>1020</v>
      </c>
      <c r="K441" s="1" t="s">
        <v>1033</v>
      </c>
      <c r="L441" s="1" t="str" cm="1">
        <f t="array" ref="L441">_xlfn.XLOOKUP(TRUE,ISNUMBER(SEARCH(" "&amp;Municipality[Municipality]&amp;" ",El_unit[[#This Row],[Info sting]])),Municipality[Municipality],"")</f>
        <v/>
      </c>
      <c r="M441" s="1" t="str" cm="1">
        <f t="array" ref="M441">IF(El_unit[[#This Row],[Exact]]&lt;&gt;"","",_xlfn.XLOOKUP(TRUE,ISNUMBER(SEARCH(" "&amp;Municipality[Municipality]&amp;"n ",El_unit[[#This Row],[Info sting]])),Municipality[Municipality],""))</f>
        <v/>
      </c>
      <c r="N441" s="1" t="s">
        <v>2795</v>
      </c>
      <c r="O441" s="35" t="s">
        <v>3144</v>
      </c>
      <c r="Q441" s="1" t="str">
        <f>_xlfn.TEXTJOIN("",TRUE,El_unit[[#This Row],[Exact]],El_unit[[#This Row],[Exact+n]],El_unit[[#This Row],[Copilot]])</f>
        <v>Tampere</v>
      </c>
    </row>
    <row r="442" spans="1:17">
      <c r="A442" s="54" t="s">
        <v>357</v>
      </c>
      <c r="B442" s="22" t="s">
        <v>357</v>
      </c>
      <c r="C442" s="107" t="str" cm="1">
        <f t="array" ref="C442">" "&amp;LOWER(_xlfn.REDUCE(El_unit[[#This Row],[Location]],{",",".","(",")","/"},_xlfn.LAMBDA(_xlpm.txt,_xlpm.delim,SUBSTITUTE(_xlpm.txt,_xlpm.delim," "))))&amp;" "</f>
        <v xml:space="preserve"> tampella ve </v>
      </c>
      <c r="D442" s="22" t="s">
        <v>3064</v>
      </c>
      <c r="E442" s="1">
        <v>3.01</v>
      </c>
      <c r="F442" s="1">
        <v>0</v>
      </c>
      <c r="G442" s="1">
        <v>0</v>
      </c>
      <c r="H442" s="1">
        <v>3.01</v>
      </c>
      <c r="L442" s="1" t="str" cm="1">
        <f t="array" ref="L442">_xlfn.XLOOKUP(TRUE,ISNUMBER(SEARCH(" "&amp;Municipality[Municipality]&amp;" ",El_unit[[#This Row],[Info sting]])),Municipality[Municipality],"")</f>
        <v/>
      </c>
      <c r="M442" s="1" t="str" cm="1">
        <f t="array" ref="M442">IF(El_unit[[#This Row],[Exact]]&lt;&gt;"","",_xlfn.XLOOKUP(TRUE,ISNUMBER(SEARCH(" "&amp;Municipality[Municipality]&amp;"n ",El_unit[[#This Row],[Info sting]])),Municipality[Municipality],""))</f>
        <v/>
      </c>
      <c r="N442" s="1" t="s">
        <v>2795</v>
      </c>
      <c r="O442" s="35" t="s">
        <v>3143</v>
      </c>
      <c r="Q442" s="1" t="str">
        <f>_xlfn.TEXTJOIN("",TRUE,El_unit[[#This Row],[Exact]],El_unit[[#This Row],[Exact+n]],El_unit[[#This Row],[Copilot]])</f>
        <v>Tampere</v>
      </c>
    </row>
    <row r="443" spans="1:17">
      <c r="A443" s="54" t="s">
        <v>949</v>
      </c>
      <c r="B443" s="22" t="s">
        <v>1001</v>
      </c>
      <c r="C443" s="107" t="str" cm="1">
        <f t="array" ref="C443">" "&amp;LOWER(_xlfn.REDUCE(El_unit[[#This Row],[Location]],{",",".","(",")","/"},_xlfn.LAMBDA(_xlpm.txt,_xlpm.delim,SUBSTITUTE(_xlpm.txt,_xlpm.delim," "))))&amp;" "</f>
        <v xml:space="preserve"> tervakoski </v>
      </c>
      <c r="D443" s="22" t="s">
        <v>3065</v>
      </c>
      <c r="E443" s="1">
        <v>3.9</v>
      </c>
      <c r="F443" s="1">
        <v>7.5</v>
      </c>
      <c r="G443" s="1">
        <v>0</v>
      </c>
      <c r="H443" s="1">
        <v>11.4</v>
      </c>
      <c r="I443" s="1" t="s">
        <v>1023</v>
      </c>
      <c r="J443" s="1" t="s">
        <v>1017</v>
      </c>
      <c r="L443" s="1" t="str" cm="1">
        <f t="array" ref="L443">_xlfn.XLOOKUP(TRUE,ISNUMBER(SEARCH(" "&amp;Municipality[Municipality]&amp;" ",El_unit[[#This Row],[Info sting]])),Municipality[Municipality],"")</f>
        <v/>
      </c>
      <c r="M443" s="1" t="str" cm="1">
        <f t="array" ref="M443">IF(El_unit[[#This Row],[Exact]]&lt;&gt;"","",_xlfn.XLOOKUP(TRUE,ISNUMBER(SEARCH(" "&amp;Municipality[Municipality]&amp;"n ",El_unit[[#This Row],[Info sting]])),Municipality[Municipality],""))</f>
        <v/>
      </c>
      <c r="O443" s="35"/>
      <c r="Q443" s="1" t="str">
        <f>_xlfn.TEXTJOIN("",TRUE,El_unit[[#This Row],[Exact]],El_unit[[#This Row],[Exact+n]],El_unit[[#This Row],[Copilot]])</f>
        <v/>
      </c>
    </row>
    <row r="444" spans="1:17">
      <c r="A444" s="54" t="s">
        <v>358</v>
      </c>
      <c r="B444" s="22" t="s">
        <v>358</v>
      </c>
      <c r="C444" s="107" t="str" cm="1">
        <f t="array" ref="C444">" "&amp;LOWER(_xlfn.REDUCE(El_unit[[#This Row],[Location]],{",",".","(",")","/"},_xlfn.LAMBDA(_xlpm.txt,_xlpm.delim,SUBSTITUTE(_xlpm.txt,_xlpm.delim," "))))&amp;" "</f>
        <v xml:space="preserve"> tervasaari vesi </v>
      </c>
      <c r="D444" s="22" t="s">
        <v>3064</v>
      </c>
      <c r="E444" s="1">
        <v>3</v>
      </c>
      <c r="F444" s="1">
        <v>0</v>
      </c>
      <c r="G444" s="1">
        <v>0</v>
      </c>
      <c r="H444" s="1">
        <v>3</v>
      </c>
      <c r="L444" s="1" t="str" cm="1">
        <f t="array" ref="L444">_xlfn.XLOOKUP(TRUE,ISNUMBER(SEARCH(" "&amp;Municipality[Municipality]&amp;" ",El_unit[[#This Row],[Info sting]])),Municipality[Municipality],"")</f>
        <v/>
      </c>
      <c r="M444" s="1" t="str" cm="1">
        <f t="array" ref="M444">IF(El_unit[[#This Row],[Exact]]&lt;&gt;"","",_xlfn.XLOOKUP(TRUE,ISNUMBER(SEARCH(" "&amp;Municipality[Municipality]&amp;"n ",El_unit[[#This Row],[Info sting]])),Municipality[Municipality],""))</f>
        <v/>
      </c>
      <c r="O444" s="35"/>
      <c r="Q444" s="1" t="str">
        <f>_xlfn.TEXTJOIN("",TRUE,El_unit[[#This Row],[Exact]],El_unit[[#This Row],[Exact+n]],El_unit[[#This Row],[Copilot]])</f>
        <v/>
      </c>
    </row>
    <row r="445" spans="1:17">
      <c r="A445" s="54" t="s">
        <v>950</v>
      </c>
      <c r="B445" s="22" t="s">
        <v>1002</v>
      </c>
      <c r="C445" s="107" t="str" cm="1">
        <f t="array" ref="C445">" "&amp;LOWER(_xlfn.REDUCE(El_unit[[#This Row],[Location]],{",",".","(",")","/"},_xlfn.LAMBDA(_xlpm.txt,_xlpm.delim,SUBSTITUTE(_xlpm.txt,_xlpm.delim," "))))&amp;" "</f>
        <v xml:space="preserve"> tervasaari vp </v>
      </c>
      <c r="D445" s="22" t="s">
        <v>3065</v>
      </c>
      <c r="E445" s="1">
        <v>0</v>
      </c>
      <c r="F445" s="1">
        <v>25</v>
      </c>
      <c r="G445" s="1">
        <v>0</v>
      </c>
      <c r="H445" s="1">
        <v>25</v>
      </c>
      <c r="I445" s="1" t="s">
        <v>1022</v>
      </c>
      <c r="J445" s="1" t="s">
        <v>1016</v>
      </c>
      <c r="K445" s="1" t="s">
        <v>1023</v>
      </c>
      <c r="L445" s="1" t="str" cm="1">
        <f t="array" ref="L445">_xlfn.XLOOKUP(TRUE,ISNUMBER(SEARCH(" "&amp;Municipality[Municipality]&amp;" ",El_unit[[#This Row],[Info sting]])),Municipality[Municipality],"")</f>
        <v/>
      </c>
      <c r="M445" s="1" t="str" cm="1">
        <f t="array" ref="M445">IF(El_unit[[#This Row],[Exact]]&lt;&gt;"","",_xlfn.XLOOKUP(TRUE,ISNUMBER(SEARCH(" "&amp;Municipality[Municipality]&amp;"n ",El_unit[[#This Row],[Info sting]])),Municipality[Municipality],""))</f>
        <v/>
      </c>
      <c r="O445" s="35"/>
      <c r="Q445" s="1" t="str">
        <f>_xlfn.TEXTJOIN("",TRUE,El_unit[[#This Row],[Exact]],El_unit[[#This Row],[Exact+n]],El_unit[[#This Row],[Copilot]])</f>
        <v/>
      </c>
    </row>
    <row r="446" spans="1:17">
      <c r="A446" s="54" t="s">
        <v>632</v>
      </c>
      <c r="B446" s="22" t="s">
        <v>792</v>
      </c>
      <c r="C446" s="107" t="str" cm="1">
        <f t="array" ref="C446">" "&amp;LOWER(_xlfn.REDUCE(El_unit[[#This Row],[Location]],{",",".","(",")","/"},_xlfn.LAMBDA(_xlpm.txt,_xlpm.delim,SUBSTITUTE(_xlpm.txt,_xlpm.delim," "))))&amp;" "</f>
        <v xml:space="preserve"> tervola varevaara </v>
      </c>
      <c r="D446" s="22" t="s">
        <v>3066</v>
      </c>
      <c r="E446" s="1">
        <v>32.25</v>
      </c>
      <c r="F446" s="1">
        <v>0</v>
      </c>
      <c r="G446" s="1">
        <v>0</v>
      </c>
      <c r="H446" s="1">
        <v>32.25</v>
      </c>
      <c r="L446" s="1" t="str" cm="1">
        <f t="array" ref="L446">_xlfn.XLOOKUP(TRUE,ISNUMBER(SEARCH(" "&amp;Municipality[Municipality]&amp;" ",El_unit[[#This Row],[Info sting]])),Municipality[Municipality],"")</f>
        <v>Tervola</v>
      </c>
      <c r="M446" s="1" t="str" cm="1">
        <f t="array" ref="M446">IF(El_unit[[#This Row],[Exact]]&lt;&gt;"","",_xlfn.XLOOKUP(TRUE,ISNUMBER(SEARCH(" "&amp;Municipality[Municipality]&amp;"n ",El_unit[[#This Row],[Info sting]])),Municipality[Municipality],""))</f>
        <v/>
      </c>
      <c r="O446" s="35"/>
      <c r="Q446" s="1" t="str">
        <f>_xlfn.TEXTJOIN("",TRUE,El_unit[[#This Row],[Exact]],El_unit[[#This Row],[Exact+n]],El_unit[[#This Row],[Copilot]])</f>
        <v>Tervola</v>
      </c>
    </row>
    <row r="447" spans="1:17">
      <c r="A447" s="54" t="s">
        <v>951</v>
      </c>
      <c r="B447" s="22" t="s">
        <v>1003</v>
      </c>
      <c r="C447" s="107" t="str" cm="1">
        <f t="array" ref="C447">" "&amp;LOWER(_xlfn.REDUCE(El_unit[[#This Row],[Location]],{",",".","(",")","/"},_xlfn.LAMBDA(_xlpm.txt,_xlpm.delim,SUBSTITUTE(_xlpm.txt,_xlpm.delim," "))))&amp;" "</f>
        <v xml:space="preserve"> tiihala  kangasala </v>
      </c>
      <c r="D447" s="22" t="s">
        <v>3065</v>
      </c>
      <c r="E447" s="1">
        <v>0</v>
      </c>
      <c r="F447" s="1">
        <v>1</v>
      </c>
      <c r="G447" s="1">
        <v>0</v>
      </c>
      <c r="H447" s="1">
        <v>1</v>
      </c>
      <c r="I447" s="1" t="s">
        <v>1032</v>
      </c>
      <c r="L447" s="1" t="str" cm="1">
        <f t="array" ref="L447">_xlfn.XLOOKUP(TRUE,ISNUMBER(SEARCH(" "&amp;Municipality[Municipality]&amp;" ",El_unit[[#This Row],[Info sting]])),Municipality[Municipality],"")</f>
        <v>Kangasala</v>
      </c>
      <c r="M447" s="1" t="str" cm="1">
        <f t="array" ref="M447">IF(El_unit[[#This Row],[Exact]]&lt;&gt;"","",_xlfn.XLOOKUP(TRUE,ISNUMBER(SEARCH(" "&amp;Municipality[Municipality]&amp;"n ",El_unit[[#This Row],[Info sting]])),Municipality[Municipality],""))</f>
        <v/>
      </c>
      <c r="O447" s="35"/>
      <c r="Q447" s="1" t="str">
        <f>_xlfn.TEXTJOIN("",TRUE,El_unit[[#This Row],[Exact]],El_unit[[#This Row],[Exact+n]],El_unit[[#This Row],[Copilot]])</f>
        <v>Kangasala</v>
      </c>
    </row>
    <row r="448" spans="1:17">
      <c r="A448" s="54" t="s">
        <v>633</v>
      </c>
      <c r="B448" s="22" t="s">
        <v>793</v>
      </c>
      <c r="C448" s="107" t="str" cm="1">
        <f t="array" ref="C448">" "&amp;LOWER(_xlfn.REDUCE(El_unit[[#This Row],[Location]],{",",".","(",")","/"},_xlfn.LAMBDA(_xlpm.txt,_xlpm.delim,SUBSTITUTE(_xlpm.txt,_xlpm.delim," "))))&amp;" "</f>
        <v xml:space="preserve"> tohkojan tuulipuisto 1 </v>
      </c>
      <c r="D448" s="22" t="s">
        <v>3066</v>
      </c>
      <c r="E448" s="1">
        <v>13.2</v>
      </c>
      <c r="F448" s="1">
        <v>0</v>
      </c>
      <c r="G448" s="1">
        <v>0</v>
      </c>
      <c r="H448" s="1">
        <v>13.2</v>
      </c>
      <c r="L448" s="1" t="str" cm="1">
        <f t="array" ref="L448">_xlfn.XLOOKUP(TRUE,ISNUMBER(SEARCH(" "&amp;Municipality[Municipality]&amp;" ",El_unit[[#This Row],[Info sting]])),Municipality[Municipality],"")</f>
        <v/>
      </c>
      <c r="M448" s="1" t="str" cm="1">
        <f t="array" ref="M448">IF(El_unit[[#This Row],[Exact]]&lt;&gt;"","",_xlfn.XLOOKUP(TRUE,ISNUMBER(SEARCH(" "&amp;Municipality[Municipality]&amp;"n ",El_unit[[#This Row],[Info sting]])),Municipality[Municipality],""))</f>
        <v/>
      </c>
      <c r="O448" s="35"/>
      <c r="Q448" s="1" t="str">
        <f>_xlfn.TEXTJOIN("",TRUE,El_unit[[#This Row],[Exact]],El_unit[[#This Row],[Exact+n]],El_unit[[#This Row],[Copilot]])</f>
        <v/>
      </c>
    </row>
    <row r="449" spans="1:17">
      <c r="A449" s="54" t="s">
        <v>634</v>
      </c>
      <c r="B449" s="22" t="s">
        <v>794</v>
      </c>
      <c r="C449" s="107" t="str" cm="1">
        <f t="array" ref="C449">" "&amp;LOWER(_xlfn.REDUCE(El_unit[[#This Row],[Location]],{",",".","(",")","/"},_xlfn.LAMBDA(_xlpm.txt,_xlpm.delim,SUBSTITUTE(_xlpm.txt,_xlpm.delim," "))))&amp;" "</f>
        <v xml:space="preserve"> tohkojan tuulipuisto 2 </v>
      </c>
      <c r="D449" s="22" t="s">
        <v>3066</v>
      </c>
      <c r="E449" s="1">
        <v>13.2</v>
      </c>
      <c r="F449" s="1">
        <v>0</v>
      </c>
      <c r="G449" s="1">
        <v>0</v>
      </c>
      <c r="H449" s="1">
        <v>13.2</v>
      </c>
      <c r="L449" s="1" t="str" cm="1">
        <f t="array" ref="L449">_xlfn.XLOOKUP(TRUE,ISNUMBER(SEARCH(" "&amp;Municipality[Municipality]&amp;" ",El_unit[[#This Row],[Info sting]])),Municipality[Municipality],"")</f>
        <v/>
      </c>
      <c r="M449" s="1" t="str" cm="1">
        <f t="array" ref="M449">IF(El_unit[[#This Row],[Exact]]&lt;&gt;"","",_xlfn.XLOOKUP(TRUE,ISNUMBER(SEARCH(" "&amp;Municipality[Municipality]&amp;"n ",El_unit[[#This Row],[Info sting]])),Municipality[Municipality],""))</f>
        <v/>
      </c>
      <c r="O449" s="35"/>
      <c r="Q449" s="1" t="str">
        <f>_xlfn.TEXTJOIN("",TRUE,El_unit[[#This Row],[Exact]],El_unit[[#This Row],[Exact+n]],El_unit[[#This Row],[Copilot]])</f>
        <v/>
      </c>
    </row>
    <row r="450" spans="1:17">
      <c r="A450" s="54" t="s">
        <v>635</v>
      </c>
      <c r="B450" s="22" t="s">
        <v>795</v>
      </c>
      <c r="C450" s="107" t="str" cm="1">
        <f t="array" ref="C450">" "&amp;LOWER(_xlfn.REDUCE(El_unit[[#This Row],[Location]],{",",".","(",")","/"},_xlfn.LAMBDA(_xlpm.txt,_xlpm.delim,SUBSTITUTE(_xlpm.txt,_xlpm.delim," "))))&amp;" "</f>
        <v xml:space="preserve"> tohkojan tuulipuisto 3 </v>
      </c>
      <c r="D450" s="22" t="s">
        <v>3066</v>
      </c>
      <c r="E450" s="1">
        <v>13.2</v>
      </c>
      <c r="F450" s="1">
        <v>0</v>
      </c>
      <c r="G450" s="1">
        <v>0</v>
      </c>
      <c r="H450" s="1">
        <v>13.2</v>
      </c>
      <c r="L450" s="1" t="str" cm="1">
        <f t="array" ref="L450">_xlfn.XLOOKUP(TRUE,ISNUMBER(SEARCH(" "&amp;Municipality[Municipality]&amp;" ",El_unit[[#This Row],[Info sting]])),Municipality[Municipality],"")</f>
        <v/>
      </c>
      <c r="M450" s="1" t="str" cm="1">
        <f t="array" ref="M450">IF(El_unit[[#This Row],[Exact]]&lt;&gt;"","",_xlfn.XLOOKUP(TRUE,ISNUMBER(SEARCH(" "&amp;Municipality[Municipality]&amp;"n ",El_unit[[#This Row],[Info sting]])),Municipality[Municipality],""))</f>
        <v/>
      </c>
      <c r="O450" s="35"/>
      <c r="Q450" s="1" t="str">
        <f>_xlfn.TEXTJOIN("",TRUE,El_unit[[#This Row],[Exact]],El_unit[[#This Row],[Exact+n]],El_unit[[#This Row],[Copilot]])</f>
        <v/>
      </c>
    </row>
    <row r="451" spans="1:17">
      <c r="A451" s="54" t="s">
        <v>636</v>
      </c>
      <c r="B451" s="22" t="s">
        <v>796</v>
      </c>
      <c r="C451" s="107" t="str" cm="1">
        <f t="array" ref="C451">" "&amp;LOWER(_xlfn.REDUCE(El_unit[[#This Row],[Location]],{",",".","(",")","/"},_xlfn.LAMBDA(_xlpm.txt,_xlpm.delim,SUBSTITUTE(_xlpm.txt,_xlpm.delim," "))))&amp;" "</f>
        <v xml:space="preserve"> tohkojan tuulipuisto 4 </v>
      </c>
      <c r="D451" s="22" t="s">
        <v>3066</v>
      </c>
      <c r="E451" s="1">
        <v>9.9</v>
      </c>
      <c r="F451" s="1">
        <v>0</v>
      </c>
      <c r="G451" s="1">
        <v>0</v>
      </c>
      <c r="H451" s="1">
        <v>9.9</v>
      </c>
      <c r="L451" s="1" t="str" cm="1">
        <f t="array" ref="L451">_xlfn.XLOOKUP(TRUE,ISNUMBER(SEARCH(" "&amp;Municipality[Municipality]&amp;" ",El_unit[[#This Row],[Info sting]])),Municipality[Municipality],"")</f>
        <v/>
      </c>
      <c r="M451" s="1" t="str" cm="1">
        <f t="array" ref="M451">IF(El_unit[[#This Row],[Exact]]&lt;&gt;"","",_xlfn.XLOOKUP(TRUE,ISNUMBER(SEARCH(" "&amp;Municipality[Municipality]&amp;"n ",El_unit[[#This Row],[Info sting]])),Municipality[Municipality],""))</f>
        <v/>
      </c>
      <c r="O451" s="35"/>
      <c r="Q451" s="1" t="str">
        <f>_xlfn.TEXTJOIN("",TRUE,El_unit[[#This Row],[Exact]],El_unit[[#This Row],[Exact+n]],El_unit[[#This Row],[Copilot]])</f>
        <v/>
      </c>
    </row>
    <row r="452" spans="1:17">
      <c r="A452" s="54" t="s">
        <v>636</v>
      </c>
      <c r="B452" s="22" t="s">
        <v>797</v>
      </c>
      <c r="C452" s="107" t="str" cm="1">
        <f t="array" ref="C452">" "&amp;LOWER(_xlfn.REDUCE(El_unit[[#This Row],[Location]],{",",".","(",")","/"},_xlfn.LAMBDA(_xlpm.txt,_xlpm.delim,SUBSTITUTE(_xlpm.txt,_xlpm.delim," "))))&amp;" "</f>
        <v xml:space="preserve"> tohkojan tuulipuisto 6 </v>
      </c>
      <c r="D452" s="22" t="s">
        <v>3066</v>
      </c>
      <c r="E452" s="1">
        <v>9.9</v>
      </c>
      <c r="F452" s="1">
        <v>0</v>
      </c>
      <c r="G452" s="1">
        <v>0</v>
      </c>
      <c r="H452" s="1">
        <v>9.9</v>
      </c>
      <c r="L452" s="1" t="str" cm="1">
        <f t="array" ref="L452">_xlfn.XLOOKUP(TRUE,ISNUMBER(SEARCH(" "&amp;Municipality[Municipality]&amp;" ",El_unit[[#This Row],[Info sting]])),Municipality[Municipality],"")</f>
        <v/>
      </c>
      <c r="M452" s="1" t="str" cm="1">
        <f t="array" ref="M452">IF(El_unit[[#This Row],[Exact]]&lt;&gt;"","",_xlfn.XLOOKUP(TRUE,ISNUMBER(SEARCH(" "&amp;Municipality[Municipality]&amp;"n ",El_unit[[#This Row],[Info sting]])),Municipality[Municipality],""))</f>
        <v/>
      </c>
      <c r="O452" s="35"/>
      <c r="Q452" s="1" t="str">
        <f>_xlfn.TEXTJOIN("",TRUE,El_unit[[#This Row],[Exact]],El_unit[[#This Row],[Exact+n]],El_unit[[#This Row],[Copilot]])</f>
        <v/>
      </c>
    </row>
    <row r="453" spans="1:17">
      <c r="A453" s="54" t="s">
        <v>637</v>
      </c>
      <c r="B453" s="22" t="s">
        <v>798</v>
      </c>
      <c r="C453" s="107" t="str" cm="1">
        <f t="array" ref="C453">" "&amp;LOWER(_xlfn.REDUCE(El_unit[[#This Row],[Location]],{",",".","(",")","/"},_xlfn.LAMBDA(_xlpm.txt,_xlpm.delim,SUBSTITUTE(_xlpm.txt,_xlpm.delim," "))))&amp;" "</f>
        <v xml:space="preserve"> tohkojan tuulipuisto 5 </v>
      </c>
      <c r="D453" s="22" t="s">
        <v>3066</v>
      </c>
      <c r="E453" s="1">
        <v>13.2</v>
      </c>
      <c r="F453" s="1">
        <v>0</v>
      </c>
      <c r="G453" s="1">
        <v>0</v>
      </c>
      <c r="H453" s="1">
        <v>13.2</v>
      </c>
      <c r="L453" s="1" t="str" cm="1">
        <f t="array" ref="L453">_xlfn.XLOOKUP(TRUE,ISNUMBER(SEARCH(" "&amp;Municipality[Municipality]&amp;" ",El_unit[[#This Row],[Info sting]])),Municipality[Municipality],"")</f>
        <v/>
      </c>
      <c r="M453" s="1" t="str" cm="1">
        <f t="array" ref="M453">IF(El_unit[[#This Row],[Exact]]&lt;&gt;"","",_xlfn.XLOOKUP(TRUE,ISNUMBER(SEARCH(" "&amp;Municipality[Municipality]&amp;"n ",El_unit[[#This Row],[Info sting]])),Municipality[Municipality],""))</f>
        <v/>
      </c>
      <c r="O453" s="35"/>
      <c r="Q453" s="1" t="str">
        <f>_xlfn.TEXTJOIN("",TRUE,El_unit[[#This Row],[Exact]],El_unit[[#This Row],[Exact+n]],El_unit[[#This Row],[Copilot]])</f>
        <v/>
      </c>
    </row>
    <row r="454" spans="1:17">
      <c r="A454" s="54" t="s">
        <v>1077</v>
      </c>
      <c r="B454" s="22" t="s">
        <v>1077</v>
      </c>
      <c r="C454" s="107" t="str" cm="1">
        <f t="array" ref="C454">" "&amp;LOWER(_xlfn.REDUCE(El_unit[[#This Row],[Location]],{",",".","(",")","/"},_xlfn.LAMBDA(_xlpm.txt,_xlpm.delim,SUBSTITUTE(_xlpm.txt,_xlpm.delim," "))))&amp;" "</f>
        <v xml:space="preserve"> toholampi </v>
      </c>
      <c r="D454" s="22" t="s">
        <v>3067</v>
      </c>
      <c r="E454" s="1">
        <v>0</v>
      </c>
      <c r="F454" s="1">
        <v>0</v>
      </c>
      <c r="G454" s="1">
        <v>1.3</v>
      </c>
      <c r="H454" s="1">
        <v>1.3</v>
      </c>
      <c r="I454" s="1" t="s">
        <v>1022</v>
      </c>
      <c r="J454" s="1" t="s">
        <v>1016</v>
      </c>
      <c r="K454" s="1" t="s">
        <v>1016</v>
      </c>
      <c r="L454" s="1" t="str" cm="1">
        <f t="array" ref="L454">_xlfn.XLOOKUP(TRUE,ISNUMBER(SEARCH(" "&amp;Municipality[Municipality]&amp;" ",El_unit[[#This Row],[Info sting]])),Municipality[Municipality],"")</f>
        <v>Toholampi</v>
      </c>
      <c r="M454" s="1" t="str" cm="1">
        <f t="array" ref="M454">IF(El_unit[[#This Row],[Exact]]&lt;&gt;"","",_xlfn.XLOOKUP(TRUE,ISNUMBER(SEARCH(" "&amp;Municipality[Municipality]&amp;"n ",El_unit[[#This Row],[Info sting]])),Municipality[Municipality],""))</f>
        <v/>
      </c>
      <c r="O454" s="35"/>
      <c r="Q454" s="1" t="str">
        <f>_xlfn.TEXTJOIN("",TRUE,El_unit[[#This Row],[Exact]],El_unit[[#This Row],[Exact+n]],El_unit[[#This Row],[Copilot]])</f>
        <v>Toholampi</v>
      </c>
    </row>
    <row r="455" spans="1:17">
      <c r="A455" s="54" t="s">
        <v>1078</v>
      </c>
      <c r="B455" s="22" t="s">
        <v>1117</v>
      </c>
      <c r="C455" s="107" t="str" cm="1">
        <f t="array" ref="C455">" "&amp;LOWER(_xlfn.REDUCE(El_unit[[#This Row],[Location]],{",",".","(",")","/"},_xlfn.LAMBDA(_xlpm.txt,_xlpm.delim,SUBSTITUTE(_xlpm.txt,_xlpm.delim," "))))&amp;" "</f>
        <v xml:space="preserve"> tolkkinen </v>
      </c>
      <c r="D455" s="22" t="s">
        <v>3067</v>
      </c>
      <c r="E455" s="1">
        <v>0</v>
      </c>
      <c r="F455" s="1">
        <v>0</v>
      </c>
      <c r="G455" s="1">
        <v>17.8</v>
      </c>
      <c r="H455" s="1">
        <v>17.8</v>
      </c>
      <c r="I455" s="1" t="s">
        <v>1022</v>
      </c>
      <c r="J455" s="1" t="s">
        <v>1020</v>
      </c>
      <c r="L455" s="1" t="str" cm="1">
        <f t="array" ref="L455">_xlfn.XLOOKUP(TRUE,ISNUMBER(SEARCH(" "&amp;Municipality[Municipality]&amp;" ",El_unit[[#This Row],[Info sting]])),Municipality[Municipality],"")</f>
        <v/>
      </c>
      <c r="M455" s="1" t="str" cm="1">
        <f t="array" ref="M455">IF(El_unit[[#This Row],[Exact]]&lt;&gt;"","",_xlfn.XLOOKUP(TRUE,ISNUMBER(SEARCH(" "&amp;Municipality[Municipality]&amp;"n ",El_unit[[#This Row],[Info sting]])),Municipality[Municipality],""))</f>
        <v/>
      </c>
      <c r="O455" s="35"/>
      <c r="Q455" s="1" t="str">
        <f>_xlfn.TEXTJOIN("",TRUE,El_unit[[#This Row],[Exact]],El_unit[[#This Row],[Exact+n]],El_unit[[#This Row],[Copilot]])</f>
        <v/>
      </c>
    </row>
    <row r="456" spans="1:17">
      <c r="A456" s="54" t="s">
        <v>1079</v>
      </c>
      <c r="B456" s="22" t="s">
        <v>1079</v>
      </c>
      <c r="C456" s="107" t="str" cm="1">
        <f t="array" ref="C456">" "&amp;LOWER(_xlfn.REDUCE(El_unit[[#This Row],[Location]],{",",".","(",")","/"},_xlfn.LAMBDA(_xlpm.txt,_xlpm.delim,SUBSTITUTE(_xlpm.txt,_xlpm.delim," "))))&amp;" "</f>
        <v xml:space="preserve"> tolkkinen  biolaitos </v>
      </c>
      <c r="D456" s="22" t="s">
        <v>3067</v>
      </c>
      <c r="E456" s="1">
        <v>0</v>
      </c>
      <c r="F456" s="1">
        <v>0</v>
      </c>
      <c r="G456" s="1">
        <v>11.3</v>
      </c>
      <c r="H456" s="1">
        <v>11.3</v>
      </c>
      <c r="I456" s="1" t="s">
        <v>1022</v>
      </c>
      <c r="J456" s="1" t="s">
        <v>1016</v>
      </c>
      <c r="K456" s="1" t="s">
        <v>1015</v>
      </c>
      <c r="L456" s="1" t="str" cm="1">
        <f t="array" ref="L456">_xlfn.XLOOKUP(TRUE,ISNUMBER(SEARCH(" "&amp;Municipality[Municipality]&amp;" ",El_unit[[#This Row],[Info sting]])),Municipality[Municipality],"")</f>
        <v/>
      </c>
      <c r="M456" s="1" t="str" cm="1">
        <f t="array" ref="M456">IF(El_unit[[#This Row],[Exact]]&lt;&gt;"","",_xlfn.XLOOKUP(TRUE,ISNUMBER(SEARCH(" "&amp;Municipality[Municipality]&amp;"n ",El_unit[[#This Row],[Info sting]])),Municipality[Municipality],""))</f>
        <v/>
      </c>
      <c r="O456" s="35"/>
      <c r="Q456" s="1" t="str">
        <f>_xlfn.TEXTJOIN("",TRUE,El_unit[[#This Row],[Exact]],El_unit[[#This Row],[Exact+n]],El_unit[[#This Row],[Copilot]])</f>
        <v/>
      </c>
    </row>
    <row r="457" spans="1:17">
      <c r="A457" s="54" t="s">
        <v>638</v>
      </c>
      <c r="B457" s="22" t="s">
        <v>799</v>
      </c>
      <c r="C457" s="107" t="str" cm="1">
        <f t="array" ref="C457">" "&amp;LOWER(_xlfn.REDUCE(El_unit[[#This Row],[Location]],{",",".","(",")","/"},_xlfn.LAMBDA(_xlpm.txt,_xlpm.delim,SUBSTITUTE(_xlpm.txt,_xlpm.delim," "))))&amp;" "</f>
        <v xml:space="preserve"> tolpanvaara  pudasjärvi </v>
      </c>
      <c r="D457" s="22" t="s">
        <v>3066</v>
      </c>
      <c r="E457" s="1">
        <v>72</v>
      </c>
      <c r="F457" s="1">
        <v>0</v>
      </c>
      <c r="G457" s="1">
        <v>0</v>
      </c>
      <c r="H457" s="1">
        <v>72</v>
      </c>
      <c r="L457" s="1" t="str" cm="1">
        <f t="array" ref="L457">_xlfn.XLOOKUP(TRUE,ISNUMBER(SEARCH(" "&amp;Municipality[Municipality]&amp;" ",El_unit[[#This Row],[Info sting]])),Municipality[Municipality],"")</f>
        <v>Pudasjärvi</v>
      </c>
      <c r="M457" s="1" t="str" cm="1">
        <f t="array" ref="M457">IF(El_unit[[#This Row],[Exact]]&lt;&gt;"","",_xlfn.XLOOKUP(TRUE,ISNUMBER(SEARCH(" "&amp;Municipality[Municipality]&amp;"n ",El_unit[[#This Row],[Info sting]])),Municipality[Municipality],""))</f>
        <v/>
      </c>
      <c r="O457" s="35"/>
      <c r="Q457" s="1" t="str">
        <f>_xlfn.TEXTJOIN("",TRUE,El_unit[[#This Row],[Exact]],El_unit[[#This Row],[Exact+n]],El_unit[[#This Row],[Copilot]])</f>
        <v>Pudasjärvi</v>
      </c>
    </row>
    <row r="458" spans="1:17">
      <c r="A458" s="54" t="s">
        <v>952</v>
      </c>
      <c r="B458" s="22" t="s">
        <v>952</v>
      </c>
      <c r="C458" s="107" t="str" cm="1">
        <f t="array" ref="C458">" "&amp;LOWER(_xlfn.REDUCE(El_unit[[#This Row],[Location]],{",",".","(",")","/"},_xlfn.LAMBDA(_xlpm.txt,_xlpm.delim,SUBSTITUTE(_xlpm.txt,_xlpm.delim," "))))&amp;" "</f>
        <v xml:space="preserve"> topinojan biokaasulaitos </v>
      </c>
      <c r="D458" s="22" t="s">
        <v>3065</v>
      </c>
      <c r="E458" s="1">
        <v>0</v>
      </c>
      <c r="F458" s="1">
        <v>0.8</v>
      </c>
      <c r="G458" s="1">
        <v>0</v>
      </c>
      <c r="H458" s="1">
        <v>0.8</v>
      </c>
      <c r="I458" s="1" t="s">
        <v>1033</v>
      </c>
      <c r="J458" s="1" t="s">
        <v>1033</v>
      </c>
      <c r="L458" s="1" t="str" cm="1">
        <f t="array" ref="L458">_xlfn.XLOOKUP(TRUE,ISNUMBER(SEARCH(" "&amp;Municipality[Municipality]&amp;" ",El_unit[[#This Row],[Info sting]])),Municipality[Municipality],"")</f>
        <v/>
      </c>
      <c r="M458" s="1" t="str" cm="1">
        <f t="array" ref="M458">IF(El_unit[[#This Row],[Exact]]&lt;&gt;"","",_xlfn.XLOOKUP(TRUE,ISNUMBER(SEARCH(" "&amp;Municipality[Municipality]&amp;"n ",El_unit[[#This Row],[Info sting]])),Municipality[Municipality],""))</f>
        <v/>
      </c>
      <c r="O458" s="35"/>
      <c r="Q458" s="1" t="str">
        <f>_xlfn.TEXTJOIN("",TRUE,El_unit[[#This Row],[Exact]],El_unit[[#This Row],[Exact+n]],El_unit[[#This Row],[Copilot]])</f>
        <v/>
      </c>
    </row>
    <row r="459" spans="1:17">
      <c r="A459" s="54" t="s">
        <v>1080</v>
      </c>
      <c r="B459" s="22" t="s">
        <v>1118</v>
      </c>
      <c r="C459" s="107" t="str" cm="1">
        <f t="array" ref="C459">" "&amp;LOWER(_xlfn.REDUCE(El_unit[[#This Row],[Location]],{",",".","(",")","/"},_xlfn.LAMBDA(_xlpm.txt,_xlpm.delim,SUBSTITUTE(_xlpm.txt,_xlpm.delim," "))))&amp;" "</f>
        <v xml:space="preserve"> tervahovintie 10  oulu  toppila 2 </v>
      </c>
      <c r="D459" s="22" t="s">
        <v>3067</v>
      </c>
      <c r="E459" s="1">
        <v>0</v>
      </c>
      <c r="F459" s="1">
        <v>0</v>
      </c>
      <c r="G459" s="1">
        <v>98</v>
      </c>
      <c r="H459" s="1">
        <v>98</v>
      </c>
      <c r="I459" s="1" t="s">
        <v>1015</v>
      </c>
      <c r="J459" s="1" t="s">
        <v>1016</v>
      </c>
      <c r="K459" s="1" t="s">
        <v>1017</v>
      </c>
      <c r="L459" s="1" t="str" cm="1">
        <f t="array" ref="L459">_xlfn.XLOOKUP(TRUE,ISNUMBER(SEARCH(" "&amp;Municipality[Municipality]&amp;" ",El_unit[[#This Row],[Info sting]])),Municipality[Municipality],"")</f>
        <v>Oulu</v>
      </c>
      <c r="M459" s="1" t="str" cm="1">
        <f t="array" ref="M459">IF(El_unit[[#This Row],[Exact]]&lt;&gt;"","",_xlfn.XLOOKUP(TRUE,ISNUMBER(SEARCH(" "&amp;Municipality[Municipality]&amp;"n ",El_unit[[#This Row],[Info sting]])),Municipality[Municipality],""))</f>
        <v/>
      </c>
      <c r="O459" s="35"/>
      <c r="Q459" s="1" t="str">
        <f>_xlfn.TEXTJOIN("",TRUE,El_unit[[#This Row],[Exact]],El_unit[[#This Row],[Exact+n]],El_unit[[#This Row],[Copilot]])</f>
        <v>Oulu</v>
      </c>
    </row>
    <row r="460" spans="1:17">
      <c r="A460" s="54" t="s">
        <v>639</v>
      </c>
      <c r="B460" s="22" t="s">
        <v>800</v>
      </c>
      <c r="C460" s="107" t="str" cm="1">
        <f t="array" ref="C460">" "&amp;LOWER(_xlfn.REDUCE(El_unit[[#This Row],[Location]],{",",".","(",")","/"},_xlfn.LAMBDA(_xlpm.txt,_xlpm.delim,SUBSTITUTE(_xlpm.txt,_xlpm.delim," "))))&amp;" "</f>
        <v xml:space="preserve"> torkkola </v>
      </c>
      <c r="D460" s="22" t="s">
        <v>3066</v>
      </c>
      <c r="E460" s="1">
        <v>52.8</v>
      </c>
      <c r="F460" s="1">
        <v>0</v>
      </c>
      <c r="G460" s="1">
        <v>0</v>
      </c>
      <c r="H460" s="1">
        <v>52.8</v>
      </c>
      <c r="L460" s="1" t="str" cm="1">
        <f t="array" ref="L460">_xlfn.XLOOKUP(TRUE,ISNUMBER(SEARCH(" "&amp;Municipality[Municipality]&amp;" ",El_unit[[#This Row],[Info sting]])),Municipality[Municipality],"")</f>
        <v/>
      </c>
      <c r="M460" s="1" t="str" cm="1">
        <f t="array" ref="M460">IF(El_unit[[#This Row],[Exact]]&lt;&gt;"","",_xlfn.XLOOKUP(TRUE,ISNUMBER(SEARCH(" "&amp;Municipality[Municipality]&amp;"n ",El_unit[[#This Row],[Info sting]])),Municipality[Municipality],""))</f>
        <v/>
      </c>
      <c r="O460" s="35"/>
      <c r="Q460" s="1" t="str">
        <f>_xlfn.TEXTJOIN("",TRUE,El_unit[[#This Row],[Exact]],El_unit[[#This Row],[Exact+n]],El_unit[[#This Row],[Copilot]])</f>
        <v/>
      </c>
    </row>
    <row r="461" spans="1:17">
      <c r="A461" s="54" t="s">
        <v>953</v>
      </c>
      <c r="B461" s="22" t="s">
        <v>1004</v>
      </c>
      <c r="C461" s="107" t="str" cm="1">
        <f t="array" ref="C461">" "&amp;LOWER(_xlfn.REDUCE(El_unit[[#This Row],[Location]],{",",".","(",")","/"},_xlfn.LAMBDA(_xlpm.txt,_xlpm.delim,SUBSTITUTE(_xlpm.txt,_xlpm.delim," "))))&amp;" "</f>
        <v xml:space="preserve"> tornio; tornion voimalaitos </v>
      </c>
      <c r="D461" s="22" t="s">
        <v>3065</v>
      </c>
      <c r="E461" s="1">
        <v>0</v>
      </c>
      <c r="F461" s="1">
        <v>39.299999999999997</v>
      </c>
      <c r="G461" s="1">
        <v>0</v>
      </c>
      <c r="H461" s="1">
        <v>39.299999999999997</v>
      </c>
      <c r="I461" s="1" t="s">
        <v>1015</v>
      </c>
      <c r="J461" s="1" t="s">
        <v>1022</v>
      </c>
      <c r="K461" s="1" t="s">
        <v>1019</v>
      </c>
      <c r="L461" s="1" t="str" cm="1">
        <f t="array" ref="L461">_xlfn.XLOOKUP(TRUE,ISNUMBER(SEARCH(" "&amp;Municipality[Municipality]&amp;" ",El_unit[[#This Row],[Info sting]])),Municipality[Municipality],"")</f>
        <v/>
      </c>
      <c r="M461" s="1" t="str" cm="1">
        <f t="array" ref="M461">IF(El_unit[[#This Row],[Exact]]&lt;&gt;"","",_xlfn.XLOOKUP(TRUE,ISNUMBER(SEARCH(" "&amp;Municipality[Municipality]&amp;"n ",El_unit[[#This Row],[Info sting]])),Municipality[Municipality],""))</f>
        <v>Tornio</v>
      </c>
      <c r="O461" s="35"/>
      <c r="Q461" s="1" t="str">
        <f>_xlfn.TEXTJOIN("",TRUE,El_unit[[#This Row],[Exact]],El_unit[[#This Row],[Exact+n]],El_unit[[#This Row],[Copilot]])</f>
        <v>Tornio</v>
      </c>
    </row>
    <row r="462" spans="1:17">
      <c r="A462" s="54" t="s">
        <v>640</v>
      </c>
      <c r="B462" s="22" t="s">
        <v>640</v>
      </c>
      <c r="C462" s="107" t="str" cm="1">
        <f t="array" ref="C462">" "&amp;LOWER(_xlfn.REDUCE(El_unit[[#This Row],[Location]],{",",".","(",")","/"},_xlfn.LAMBDA(_xlpm.txt,_xlpm.delim,SUBSTITUTE(_xlpm.txt,_xlpm.delim," "))))&amp;" "</f>
        <v xml:space="preserve"> tornio kitkiäisvaara </v>
      </c>
      <c r="D462" s="22" t="s">
        <v>3066</v>
      </c>
      <c r="E462" s="1">
        <v>36</v>
      </c>
      <c r="F462" s="1">
        <v>0</v>
      </c>
      <c r="G462" s="1">
        <v>0</v>
      </c>
      <c r="H462" s="1">
        <v>36</v>
      </c>
      <c r="L462" s="1" t="str" cm="1">
        <f t="array" ref="L462">_xlfn.XLOOKUP(TRUE,ISNUMBER(SEARCH(" "&amp;Municipality[Municipality]&amp;" ",El_unit[[#This Row],[Info sting]])),Municipality[Municipality],"")</f>
        <v>Tornio</v>
      </c>
      <c r="M462" s="1" t="str" cm="1">
        <f t="array" ref="M462">IF(El_unit[[#This Row],[Exact]]&lt;&gt;"","",_xlfn.XLOOKUP(TRUE,ISNUMBER(SEARCH(" "&amp;Municipality[Municipality]&amp;"n ",El_unit[[#This Row],[Info sting]])),Municipality[Municipality],""))</f>
        <v/>
      </c>
      <c r="O462" s="35"/>
      <c r="Q462" s="1" t="str">
        <f>_xlfn.TEXTJOIN("",TRUE,El_unit[[#This Row],[Exact]],El_unit[[#This Row],[Exact+n]],El_unit[[#This Row],[Copilot]])</f>
        <v>Tornio</v>
      </c>
    </row>
    <row r="463" spans="1:17">
      <c r="A463" s="54" t="s">
        <v>641</v>
      </c>
      <c r="B463" s="22" t="s">
        <v>801</v>
      </c>
      <c r="C463" s="107" t="str" cm="1">
        <f t="array" ref="C463">" "&amp;LOWER(_xlfn.REDUCE(El_unit[[#This Row],[Location]],{",",".","(",")","/"},_xlfn.LAMBDA(_xlpm.txt,_xlpm.delim,SUBSTITUTE(_xlpm.txt,_xlpm.delim," "))))&amp;" "</f>
        <v xml:space="preserve"> tornio; tuulivoimalaitokset a1-a8 </v>
      </c>
      <c r="D463" s="22" t="s">
        <v>3066</v>
      </c>
      <c r="E463" s="1">
        <v>28.8</v>
      </c>
      <c r="F463" s="1">
        <v>0</v>
      </c>
      <c r="G463" s="1">
        <v>0</v>
      </c>
      <c r="H463" s="1">
        <v>28.8</v>
      </c>
      <c r="L463" s="1" t="str" cm="1">
        <f t="array" ref="L463">_xlfn.XLOOKUP(TRUE,ISNUMBER(SEARCH(" "&amp;Municipality[Municipality]&amp;" ",El_unit[[#This Row],[Info sting]])),Municipality[Municipality],"")</f>
        <v/>
      </c>
      <c r="M463" s="1" t="str" cm="1">
        <f t="array" ref="M463">IF(El_unit[[#This Row],[Exact]]&lt;&gt;"","",_xlfn.XLOOKUP(TRUE,ISNUMBER(SEARCH(" "&amp;Municipality[Municipality]&amp;"n ",El_unit[[#This Row],[Info sting]])),Municipality[Municipality],""))</f>
        <v/>
      </c>
      <c r="N463" s="1" t="s">
        <v>953</v>
      </c>
      <c r="O463" s="35"/>
      <c r="P463" s="1" t="s">
        <v>3095</v>
      </c>
      <c r="Q463" s="1" t="str">
        <f>_xlfn.TEXTJOIN("",TRUE,El_unit[[#This Row],[Exact]],El_unit[[#This Row],[Exact+n]],El_unit[[#This Row],[Copilot]])</f>
        <v>Tornio</v>
      </c>
    </row>
    <row r="464" spans="1:17">
      <c r="A464" s="54" t="s">
        <v>642</v>
      </c>
      <c r="B464" s="22" t="s">
        <v>802</v>
      </c>
      <c r="C464" s="107" t="str" cm="1">
        <f t="array" ref="C464">" "&amp;LOWER(_xlfn.REDUCE(El_unit[[#This Row],[Location]],{",",".","(",")","/"},_xlfn.LAMBDA(_xlpm.txt,_xlpm.delim,SUBSTITUTE(_xlpm.txt,_xlpm.delim," "))))&amp;" "</f>
        <v xml:space="preserve"> torvenkylän tuulipuisto  kalajoki </v>
      </c>
      <c r="D464" s="22" t="s">
        <v>3066</v>
      </c>
      <c r="E464" s="1">
        <v>39.9</v>
      </c>
      <c r="F464" s="1">
        <v>0</v>
      </c>
      <c r="G464" s="1">
        <v>0</v>
      </c>
      <c r="H464" s="1">
        <v>39.9</v>
      </c>
      <c r="L464" s="1" t="str" cm="1">
        <f t="array" ref="L464">_xlfn.XLOOKUP(TRUE,ISNUMBER(SEARCH(" "&amp;Municipality[Municipality]&amp;" ",El_unit[[#This Row],[Info sting]])),Municipality[Municipality],"")</f>
        <v>Kalajoki</v>
      </c>
      <c r="M464" s="1" t="str" cm="1">
        <f t="array" ref="M464">IF(El_unit[[#This Row],[Exact]]&lt;&gt;"","",_xlfn.XLOOKUP(TRUE,ISNUMBER(SEARCH(" "&amp;Municipality[Municipality]&amp;"n ",El_unit[[#This Row],[Info sting]])),Municipality[Municipality],""))</f>
        <v/>
      </c>
      <c r="O464" s="35"/>
      <c r="Q464" s="1" t="str">
        <f>_xlfn.TEXTJOIN("",TRUE,El_unit[[#This Row],[Exact]],El_unit[[#This Row],[Exact+n]],El_unit[[#This Row],[Copilot]])</f>
        <v>Kalajoki</v>
      </c>
    </row>
    <row r="465" spans="1:17">
      <c r="A465" s="54" t="s">
        <v>643</v>
      </c>
      <c r="B465" s="22" t="s">
        <v>803</v>
      </c>
      <c r="C465" s="107" t="str" cm="1">
        <f t="array" ref="C465">" "&amp;LOWER(_xlfn.REDUCE(El_unit[[#This Row],[Location]],{",",".","(",")","/"},_xlfn.LAMBDA(_xlpm.txt,_xlpm.delim,SUBSTITUTE(_xlpm.txt,_xlpm.delim," "))))&amp;" "</f>
        <v xml:space="preserve"> muukko  lappeenranta </v>
      </c>
      <c r="D465" s="22" t="s">
        <v>3066</v>
      </c>
      <c r="E465" s="1">
        <v>21</v>
      </c>
      <c r="F465" s="1">
        <v>0</v>
      </c>
      <c r="G465" s="1">
        <v>0</v>
      </c>
      <c r="H465" s="1">
        <v>21</v>
      </c>
      <c r="L465" s="1" t="str" cm="1">
        <f t="array" ref="L465">_xlfn.XLOOKUP(TRUE,ISNUMBER(SEARCH(" "&amp;Municipality[Municipality]&amp;" ",El_unit[[#This Row],[Info sting]])),Municipality[Municipality],"")</f>
        <v>Lappeenranta</v>
      </c>
      <c r="M465" s="1" t="str" cm="1">
        <f t="array" ref="M465">IF(El_unit[[#This Row],[Exact]]&lt;&gt;"","",_xlfn.XLOOKUP(TRUE,ISNUMBER(SEARCH(" "&amp;Municipality[Municipality]&amp;"n ",El_unit[[#This Row],[Info sting]])),Municipality[Municipality],""))</f>
        <v/>
      </c>
      <c r="O465" s="35"/>
      <c r="Q465" s="1" t="str">
        <f>_xlfn.TEXTJOIN("",TRUE,El_unit[[#This Row],[Exact]],El_unit[[#This Row],[Exact+n]],El_unit[[#This Row],[Copilot]])</f>
        <v>Lappeenranta</v>
      </c>
    </row>
    <row r="466" spans="1:17">
      <c r="A466" s="54" t="s">
        <v>644</v>
      </c>
      <c r="B466" s="22" t="s">
        <v>804</v>
      </c>
      <c r="C466" s="107" t="str" cm="1">
        <f t="array" ref="C466">" "&amp;LOWER(_xlfn.REDUCE(El_unit[[#This Row],[Location]],{",",".","(",")","/"},_xlfn.LAMBDA(_xlpm.txt,_xlpm.delim,SUBSTITUTE(_xlpm.txt,_xlpm.delim," "))))&amp;" "</f>
        <v xml:space="preserve"> merjärvi </v>
      </c>
      <c r="D466" s="22" t="s">
        <v>3066</v>
      </c>
      <c r="E466" s="1">
        <v>15</v>
      </c>
      <c r="F466" s="1">
        <v>0</v>
      </c>
      <c r="G466" s="1">
        <v>0</v>
      </c>
      <c r="H466" s="1">
        <v>15</v>
      </c>
      <c r="L466" s="1" t="str" cm="1">
        <f t="array" ref="L466">_xlfn.XLOOKUP(TRUE,ISNUMBER(SEARCH(" "&amp;Municipality[Municipality]&amp;" ",El_unit[[#This Row],[Info sting]])),Municipality[Municipality],"")</f>
        <v/>
      </c>
      <c r="M466" s="1" t="str" cm="1">
        <f t="array" ref="M466">IF(El_unit[[#This Row],[Exact]]&lt;&gt;"","",_xlfn.XLOOKUP(TRUE,ISNUMBER(SEARCH(" "&amp;Municipality[Municipality]&amp;"n ",El_unit[[#This Row],[Info sting]])),Municipality[Municipality],""))</f>
        <v/>
      </c>
      <c r="O466" s="35"/>
      <c r="Q466" s="1" t="str">
        <f>_xlfn.TEXTJOIN("",TRUE,El_unit[[#This Row],[Exact]],El_unit[[#This Row],[Exact+n]],El_unit[[#This Row],[Copilot]])</f>
        <v/>
      </c>
    </row>
    <row r="467" spans="1:17">
      <c r="A467" s="54" t="s">
        <v>645</v>
      </c>
      <c r="B467" s="22" t="s">
        <v>805</v>
      </c>
      <c r="C467" s="107" t="str" cm="1">
        <f t="array" ref="C467">" "&amp;LOWER(_xlfn.REDUCE(El_unit[[#This Row],[Location]],{",",".","(",")","/"},_xlfn.LAMBDA(_xlpm.txt,_xlpm.delim,SUBSTITUTE(_xlpm.txt,_xlpm.delim," "))))&amp;" "</f>
        <v xml:space="preserve"> saarijärvi soidinmäki tuulivoimapuisto </v>
      </c>
      <c r="D467" s="22" t="s">
        <v>3066</v>
      </c>
      <c r="E467" s="1">
        <v>38.5</v>
      </c>
      <c r="F467" s="1">
        <v>0</v>
      </c>
      <c r="G467" s="1">
        <v>0</v>
      </c>
      <c r="H467" s="1">
        <v>38.5</v>
      </c>
      <c r="L467" s="1" t="str" cm="1">
        <f t="array" ref="L467">_xlfn.XLOOKUP(TRUE,ISNUMBER(SEARCH(" "&amp;Municipality[Municipality]&amp;" ",El_unit[[#This Row],[Info sting]])),Municipality[Municipality],"")</f>
        <v>Saarijärvi</v>
      </c>
      <c r="M467" s="1" t="str" cm="1">
        <f t="array" ref="M467">IF(El_unit[[#This Row],[Exact]]&lt;&gt;"","",_xlfn.XLOOKUP(TRUE,ISNUMBER(SEARCH(" "&amp;Municipality[Municipality]&amp;"n ",El_unit[[#This Row],[Info sting]])),Municipality[Municipality],""))</f>
        <v/>
      </c>
      <c r="O467" s="35"/>
      <c r="Q467" s="1" t="str">
        <f>_xlfn.TEXTJOIN("",TRUE,El_unit[[#This Row],[Exact]],El_unit[[#This Row],[Exact+n]],El_unit[[#This Row],[Copilot]])</f>
        <v>Saarijärvi</v>
      </c>
    </row>
    <row r="468" spans="1:17">
      <c r="A468" s="54" t="s">
        <v>646</v>
      </c>
      <c r="B468" s="22" t="s">
        <v>646</v>
      </c>
      <c r="C468" s="107" t="str" cm="1">
        <f t="array" ref="C468">" "&amp;LOWER(_xlfn.REDUCE(El_unit[[#This Row],[Location]],{",",".","(",")","/"},_xlfn.LAMBDA(_xlpm.txt,_xlpm.delim,SUBSTITUTE(_xlpm.txt,_xlpm.delim," "))))&amp;" "</f>
        <v xml:space="preserve"> tyrinselkä </v>
      </c>
      <c r="D468" s="22" t="s">
        <v>3066</v>
      </c>
      <c r="E468" s="1">
        <v>29.5</v>
      </c>
      <c r="F468" s="1">
        <v>0</v>
      </c>
      <c r="G468" s="1">
        <v>0</v>
      </c>
      <c r="H468" s="1">
        <v>29.5</v>
      </c>
      <c r="L468" s="1" t="str" cm="1">
        <f t="array" ref="L468">_xlfn.XLOOKUP(TRUE,ISNUMBER(SEARCH(" "&amp;Municipality[Municipality]&amp;" ",El_unit[[#This Row],[Info sting]])),Municipality[Municipality],"")</f>
        <v/>
      </c>
      <c r="M468" s="1" t="str" cm="1">
        <f t="array" ref="M468">IF(El_unit[[#This Row],[Exact]]&lt;&gt;"","",_xlfn.XLOOKUP(TRUE,ISNUMBER(SEARCH(" "&amp;Municipality[Municipality]&amp;"n ",El_unit[[#This Row],[Info sting]])),Municipality[Municipality],""))</f>
        <v/>
      </c>
      <c r="O468" s="35"/>
      <c r="Q468" s="1" t="str">
        <f>_xlfn.TEXTJOIN("",TRUE,El_unit[[#This Row],[Exact]],El_unit[[#This Row],[Exact+n]],El_unit[[#This Row],[Copilot]])</f>
        <v/>
      </c>
    </row>
    <row r="469" spans="1:17">
      <c r="A469" s="54" t="s">
        <v>359</v>
      </c>
      <c r="B469" s="22" t="s">
        <v>359</v>
      </c>
      <c r="C469" s="107" t="str" cm="1">
        <f t="array" ref="C469">" "&amp;LOWER(_xlfn.REDUCE(El_unit[[#This Row],[Location]],{",",".","(",")","/"},_xlfn.LAMBDA(_xlpm.txt,_xlpm.delim,SUBSTITUTE(_xlpm.txt,_xlpm.delim," "))))&amp;" "</f>
        <v xml:space="preserve"> tyrvää </v>
      </c>
      <c r="D469" s="22" t="s">
        <v>3064</v>
      </c>
      <c r="E469" s="1">
        <v>13.5</v>
      </c>
      <c r="F469" s="1">
        <v>0</v>
      </c>
      <c r="G469" s="1">
        <v>0</v>
      </c>
      <c r="H469" s="1">
        <v>13.5</v>
      </c>
      <c r="L469" s="1" t="str" cm="1">
        <f t="array" ref="L469">_xlfn.XLOOKUP(TRUE,ISNUMBER(SEARCH(" "&amp;Municipality[Municipality]&amp;" ",El_unit[[#This Row],[Info sting]])),Municipality[Municipality],"")</f>
        <v/>
      </c>
      <c r="M469" s="1" t="str" cm="1">
        <f t="array" ref="M469">IF(El_unit[[#This Row],[Exact]]&lt;&gt;"","",_xlfn.XLOOKUP(TRUE,ISNUMBER(SEARCH(" "&amp;Municipality[Municipality]&amp;"n ",El_unit[[#This Row],[Info sting]])),Municipality[Municipality],""))</f>
        <v/>
      </c>
      <c r="O469" s="35"/>
      <c r="Q469" s="1" t="str">
        <f>_xlfn.TEXTJOIN("",TRUE,El_unit[[#This Row],[Exact]],El_unit[[#This Row],[Exact+n]],El_unit[[#This Row],[Copilot]])</f>
        <v/>
      </c>
    </row>
    <row r="470" spans="1:17">
      <c r="A470" s="54" t="s">
        <v>954</v>
      </c>
      <c r="B470" s="22" t="s">
        <v>1005</v>
      </c>
      <c r="C470" s="107" t="str" cm="1">
        <f t="array" ref="C470">" "&amp;LOWER(_xlfn.REDUCE(El_unit[[#This Row],[Location]],{",",".","(",")","/"},_xlfn.LAMBDA(_xlpm.txt,_xlpm.delim,SUBSTITUTE(_xlpm.txt,_xlpm.delim," "))))&amp;" "</f>
        <v xml:space="preserve"> uimaharjun voimalaitos </v>
      </c>
      <c r="D470" s="22" t="s">
        <v>3065</v>
      </c>
      <c r="E470" s="1">
        <v>0</v>
      </c>
      <c r="F470" s="1">
        <v>105</v>
      </c>
      <c r="G470" s="1">
        <v>0</v>
      </c>
      <c r="H470" s="1">
        <v>105</v>
      </c>
      <c r="I470" s="1" t="s">
        <v>1024</v>
      </c>
      <c r="J470" s="1" t="s">
        <v>1016</v>
      </c>
      <c r="K470" s="1" t="s">
        <v>1017</v>
      </c>
      <c r="L470" s="1" t="str" cm="1">
        <f t="array" ref="L470">_xlfn.XLOOKUP(TRUE,ISNUMBER(SEARCH(" "&amp;Municipality[Municipality]&amp;" ",El_unit[[#This Row],[Info sting]])),Municipality[Municipality],"")</f>
        <v/>
      </c>
      <c r="M470" s="1" t="str" cm="1">
        <f t="array" ref="M470">IF(El_unit[[#This Row],[Exact]]&lt;&gt;"","",_xlfn.XLOOKUP(TRUE,ISNUMBER(SEARCH(" "&amp;Municipality[Municipality]&amp;"n ",El_unit[[#This Row],[Info sting]])),Municipality[Municipality],""))</f>
        <v/>
      </c>
      <c r="O470" s="35"/>
      <c r="Q470" s="1" t="str">
        <f>_xlfn.TEXTJOIN("",TRUE,El_unit[[#This Row],[Exact]],El_unit[[#This Row],[Exact+n]],El_unit[[#This Row],[Copilot]])</f>
        <v/>
      </c>
    </row>
    <row r="471" spans="1:17">
      <c r="A471" s="54" t="s">
        <v>360</v>
      </c>
      <c r="B471" s="22" t="s">
        <v>361</v>
      </c>
      <c r="C471" s="107" t="str" cm="1">
        <f t="array" ref="C471">" "&amp;LOWER(_xlfn.REDUCE(El_unit[[#This Row],[Location]],{",",".","(",")","/"},_xlfn.LAMBDA(_xlpm.txt,_xlpm.delim,SUBSTITUTE(_xlpm.txt,_xlpm.delim," "))))&amp;" "</f>
        <v xml:space="preserve"> pulkkila   uljua </v>
      </c>
      <c r="D471" s="22" t="s">
        <v>3064</v>
      </c>
      <c r="E471" s="1">
        <v>3.7</v>
      </c>
      <c r="F471" s="1">
        <v>0</v>
      </c>
      <c r="G471" s="1">
        <v>0</v>
      </c>
      <c r="H471" s="1">
        <v>3.7</v>
      </c>
      <c r="L471" s="1" t="str" cm="1">
        <f t="array" ref="L471">_xlfn.XLOOKUP(TRUE,ISNUMBER(SEARCH(" "&amp;Municipality[Municipality]&amp;" ",El_unit[[#This Row],[Info sting]])),Municipality[Municipality],"")</f>
        <v>Pulkkila</v>
      </c>
      <c r="M471" s="1" t="str" cm="1">
        <f t="array" ref="M471">IF(El_unit[[#This Row],[Exact]]&lt;&gt;"","",_xlfn.XLOOKUP(TRUE,ISNUMBER(SEARCH(" "&amp;Municipality[Municipality]&amp;"n ",El_unit[[#This Row],[Info sting]])),Municipality[Municipality],""))</f>
        <v/>
      </c>
      <c r="O471" s="35"/>
      <c r="Q471" s="1" t="str">
        <f>_xlfn.TEXTJOIN("",TRUE,El_unit[[#This Row],[Exact]],El_unit[[#This Row],[Exact+n]],El_unit[[#This Row],[Copilot]])</f>
        <v>Pulkkila</v>
      </c>
    </row>
    <row r="472" spans="1:17">
      <c r="A472" s="54" t="s">
        <v>362</v>
      </c>
      <c r="B472" s="22" t="s">
        <v>362</v>
      </c>
      <c r="C472" s="107" t="str" cm="1">
        <f t="array" ref="C472">" "&amp;LOWER(_xlfn.REDUCE(El_unit[[#This Row],[Location]],{",",".","(",")","/"},_xlfn.LAMBDA(_xlpm.txt,_xlpm.delim,SUBSTITUTE(_xlpm.txt,_xlpm.delim," "))))&amp;" "</f>
        <v xml:space="preserve"> utanen </v>
      </c>
      <c r="D472" s="22" t="s">
        <v>3064</v>
      </c>
      <c r="E472" s="1">
        <v>64.8</v>
      </c>
      <c r="F472" s="1">
        <v>0</v>
      </c>
      <c r="G472" s="1">
        <v>0</v>
      </c>
      <c r="H472" s="1">
        <v>64.8</v>
      </c>
      <c r="L472" s="1" t="str" cm="1">
        <f t="array" ref="L472">_xlfn.XLOOKUP(TRUE,ISNUMBER(SEARCH(" "&amp;Municipality[Municipality]&amp;" ",El_unit[[#This Row],[Info sting]])),Municipality[Municipality],"")</f>
        <v/>
      </c>
      <c r="M472" s="1" t="str" cm="1">
        <f t="array" ref="M472">IF(El_unit[[#This Row],[Exact]]&lt;&gt;"","",_xlfn.XLOOKUP(TRUE,ISNUMBER(SEARCH(" "&amp;Municipality[Municipality]&amp;"n ",El_unit[[#This Row],[Info sting]])),Municipality[Municipality],""))</f>
        <v/>
      </c>
      <c r="N472" s="1" t="s">
        <v>2815</v>
      </c>
      <c r="O472" s="35" t="s">
        <v>3134</v>
      </c>
      <c r="Q472" s="1" t="str">
        <f>_xlfn.TEXTJOIN("",TRUE,El_unit[[#This Row],[Exact]],El_unit[[#This Row],[Exact+n]],El_unit[[#This Row],[Copilot]])</f>
        <v>Utajärvi</v>
      </c>
    </row>
    <row r="473" spans="1:17">
      <c r="A473" s="54" t="s">
        <v>955</v>
      </c>
      <c r="B473" s="22" t="s">
        <v>1006</v>
      </c>
      <c r="C473" s="107" t="str" cm="1">
        <f t="array" ref="C473">" "&amp;LOWER(_xlfn.REDUCE(El_unit[[#This Row],[Location]],{",",".","(",")","/"},_xlfn.LAMBDA(_xlpm.txt,_xlpm.delim,SUBSTITUTE(_xlpm.txt,_xlpm.delim," "))))&amp;" "</f>
        <v xml:space="preserve"> uusukaupunki  hangonsaari </v>
      </c>
      <c r="D473" s="22" t="s">
        <v>3065</v>
      </c>
      <c r="E473" s="1">
        <v>0</v>
      </c>
      <c r="F473" s="1">
        <v>14.2</v>
      </c>
      <c r="G473" s="1">
        <v>0</v>
      </c>
      <c r="H473" s="1">
        <v>14.2</v>
      </c>
      <c r="I473" s="1" t="s">
        <v>1031</v>
      </c>
      <c r="J473" s="1" t="s">
        <v>1017</v>
      </c>
      <c r="L473" s="1" t="str" cm="1">
        <f t="array" ref="L473">_xlfn.XLOOKUP(TRUE,ISNUMBER(SEARCH(" "&amp;Municipality[Municipality]&amp;" ",El_unit[[#This Row],[Info sting]])),Municipality[Municipality],"")</f>
        <v/>
      </c>
      <c r="M473" s="1" t="str" cm="1">
        <f t="array" ref="M473">IF(El_unit[[#This Row],[Exact]]&lt;&gt;"","",_xlfn.XLOOKUP(TRUE,ISNUMBER(SEARCH(" "&amp;Municipality[Municipality]&amp;"n ",El_unit[[#This Row],[Info sting]])),Municipality[Municipality],""))</f>
        <v/>
      </c>
      <c r="N473" s="1" t="s">
        <v>955</v>
      </c>
      <c r="O473" s="35"/>
      <c r="P473" s="1" t="s">
        <v>3096</v>
      </c>
      <c r="Q473" s="1" t="str">
        <f>_xlfn.TEXTJOIN("",TRUE,El_unit[[#This Row],[Exact]],El_unit[[#This Row],[Exact+n]],El_unit[[#This Row],[Copilot]])</f>
        <v>Uusikaupunki</v>
      </c>
    </row>
    <row r="474" spans="1:17">
      <c r="A474" s="54" t="s">
        <v>363</v>
      </c>
      <c r="B474" s="22" t="s">
        <v>364</v>
      </c>
      <c r="C474" s="107" t="str" cm="1">
        <f t="array" ref="C474">" "&amp;LOWER(_xlfn.REDUCE(El_unit[[#This Row],[Location]],{",",".","(",")","/"},_xlfn.LAMBDA(_xlpm.txt,_xlpm.delim,SUBSTITUTE(_xlpm.txt,_xlpm.delim," "))))&amp;" "</f>
        <v xml:space="preserve"> vaajakoski  jyväskylän mlk </v>
      </c>
      <c r="D474" s="22" t="s">
        <v>3064</v>
      </c>
      <c r="E474" s="1">
        <v>3.6</v>
      </c>
      <c r="F474" s="1">
        <v>0</v>
      </c>
      <c r="G474" s="1">
        <v>0</v>
      </c>
      <c r="H474" s="1">
        <v>3.6</v>
      </c>
      <c r="L474" s="1" t="str" cm="1">
        <f t="array" ref="L474">_xlfn.XLOOKUP(TRUE,ISNUMBER(SEARCH(" "&amp;Municipality[Municipality]&amp;" ",El_unit[[#This Row],[Info sting]])),Municipality[Municipality],"")</f>
        <v>Jyväskylän</v>
      </c>
      <c r="M474" s="1" t="str" cm="1">
        <f t="array" ref="M474">IF(El_unit[[#This Row],[Exact]]&lt;&gt;"","",_xlfn.XLOOKUP(TRUE,ISNUMBER(SEARCH(" "&amp;Municipality[Municipality]&amp;"n ",El_unit[[#This Row],[Info sting]])),Municipality[Municipality],""))</f>
        <v/>
      </c>
      <c r="O474" s="35"/>
      <c r="Q474" s="1" t="str">
        <f>_xlfn.TEXTJOIN("",TRUE,El_unit[[#This Row],[Exact]],El_unit[[#This Row],[Exact+n]],El_unit[[#This Row],[Copilot]])</f>
        <v>Jyväskylän</v>
      </c>
    </row>
    <row r="475" spans="1:17">
      <c r="A475" s="54" t="s">
        <v>365</v>
      </c>
      <c r="B475" s="22" t="s">
        <v>365</v>
      </c>
      <c r="C475" s="107" t="str" cm="1">
        <f t="array" ref="C475">" "&amp;LOWER(_xlfn.REDUCE(El_unit[[#This Row],[Location]],{",",".","(",")","/"},_xlfn.LAMBDA(_xlpm.txt,_xlpm.delim,SUBSTITUTE(_xlpm.txt,_xlpm.delim," "))))&amp;" "</f>
        <v xml:space="preserve"> vajukoski </v>
      </c>
      <c r="D475" s="22" t="s">
        <v>3064</v>
      </c>
      <c r="E475" s="1">
        <v>22.4</v>
      </c>
      <c r="F475" s="1">
        <v>0</v>
      </c>
      <c r="G475" s="1">
        <v>0</v>
      </c>
      <c r="H475" s="1">
        <v>22.4</v>
      </c>
      <c r="L475" s="1" t="str" cm="1">
        <f t="array" ref="L475">_xlfn.XLOOKUP(TRUE,ISNUMBER(SEARCH(" "&amp;Municipality[Municipality]&amp;" ",El_unit[[#This Row],[Info sting]])),Municipality[Municipality],"")</f>
        <v/>
      </c>
      <c r="M475" s="1" t="str" cm="1">
        <f t="array" ref="M475">IF(El_unit[[#This Row],[Exact]]&lt;&gt;"","",_xlfn.XLOOKUP(TRUE,ISNUMBER(SEARCH(" "&amp;Municipality[Municipality]&amp;"n ",El_unit[[#This Row],[Info sting]])),Municipality[Municipality],""))</f>
        <v/>
      </c>
      <c r="N475" s="1" t="s">
        <v>2775</v>
      </c>
      <c r="O475" s="35" t="s">
        <v>3130</v>
      </c>
      <c r="Q475" s="1" t="str">
        <f>_xlfn.TEXTJOIN("",TRUE,El_unit[[#This Row],[Exact]],El_unit[[#This Row],[Exact+n]],El_unit[[#This Row],[Copilot]])</f>
        <v>Sodankylä</v>
      </c>
    </row>
    <row r="476" spans="1:17">
      <c r="A476" s="54" t="s">
        <v>366</v>
      </c>
      <c r="B476" s="22" t="s">
        <v>366</v>
      </c>
      <c r="C476" s="107" t="str" cm="1">
        <f t="array" ref="C476">" "&amp;LOWER(_xlfn.REDUCE(El_unit[[#This Row],[Location]],{",",".","(",")","/"},_xlfn.LAMBDA(_xlpm.txt,_xlpm.delim,SUBSTITUTE(_xlpm.txt,_xlpm.delim," "))))&amp;" "</f>
        <v xml:space="preserve"> valajaskoski </v>
      </c>
      <c r="D476" s="22" t="s">
        <v>3064</v>
      </c>
      <c r="E476" s="1">
        <v>92</v>
      </c>
      <c r="F476" s="1">
        <v>0</v>
      </c>
      <c r="G476" s="1">
        <v>0</v>
      </c>
      <c r="H476" s="1">
        <v>92</v>
      </c>
      <c r="L476" s="1" t="str" cm="1">
        <f t="array" ref="L476">_xlfn.XLOOKUP(TRUE,ISNUMBER(SEARCH(" "&amp;Municipality[Municipality]&amp;" ",El_unit[[#This Row],[Info sting]])),Municipality[Municipality],"")</f>
        <v/>
      </c>
      <c r="M476" s="1" t="str" cm="1">
        <f t="array" ref="M476">IF(El_unit[[#This Row],[Exact]]&lt;&gt;"","",_xlfn.XLOOKUP(TRUE,ISNUMBER(SEARCH(" "&amp;Municipality[Municipality]&amp;"n ",El_unit[[#This Row],[Info sting]])),Municipality[Municipality],""))</f>
        <v/>
      </c>
      <c r="N476" s="1" t="s">
        <v>2754</v>
      </c>
      <c r="O476" s="35" t="s">
        <v>3130</v>
      </c>
      <c r="Q476" s="1" t="str">
        <f>_xlfn.TEXTJOIN("",TRUE,El_unit[[#This Row],[Exact]],El_unit[[#This Row],[Exact+n]],El_unit[[#This Row],[Copilot]])</f>
        <v>Rovaniemi</v>
      </c>
    </row>
    <row r="477" spans="1:17">
      <c r="A477" s="54" t="s">
        <v>647</v>
      </c>
      <c r="B477" s="22" t="s">
        <v>806</v>
      </c>
      <c r="C477" s="107" t="str" cm="1">
        <f t="array" ref="C477">" "&amp;LOWER(_xlfn.REDUCE(El_unit[[#This Row],[Location]],{",",".","(",")","/"},_xlfn.LAMBDA(_xlpm.txt,_xlpm.delim,SUBSTITUTE(_xlpm.txt,_xlpm.delim," "))))&amp;" "</f>
        <v xml:space="preserve"> seinäjoki </v>
      </c>
      <c r="D477" s="22" t="s">
        <v>3066</v>
      </c>
      <c r="E477" s="1">
        <v>1.5</v>
      </c>
      <c r="F477" s="1">
        <v>0</v>
      </c>
      <c r="G477" s="1">
        <v>0</v>
      </c>
      <c r="H477" s="1">
        <v>1.5</v>
      </c>
      <c r="L477" s="1" t="str" cm="1">
        <f t="array" ref="L477">_xlfn.XLOOKUP(TRUE,ISNUMBER(SEARCH(" "&amp;Municipality[Municipality]&amp;" ",El_unit[[#This Row],[Info sting]])),Municipality[Municipality],"")</f>
        <v>Seinäjoki</v>
      </c>
      <c r="M477" s="1" t="str" cm="1">
        <f t="array" ref="M477">IF(El_unit[[#This Row],[Exact]]&lt;&gt;"","",_xlfn.XLOOKUP(TRUE,ISNUMBER(SEARCH(" "&amp;Municipality[Municipality]&amp;"n ",El_unit[[#This Row],[Info sting]])),Municipality[Municipality],""))</f>
        <v/>
      </c>
      <c r="O477" s="35"/>
      <c r="Q477" s="1" t="str">
        <f>_xlfn.TEXTJOIN("",TRUE,El_unit[[#This Row],[Exact]],El_unit[[#This Row],[Exact+n]],El_unit[[#This Row],[Copilot]])</f>
        <v>Seinäjoki</v>
      </c>
    </row>
    <row r="478" spans="1:17">
      <c r="A478" s="54" t="s">
        <v>648</v>
      </c>
      <c r="B478" s="22" t="s">
        <v>807</v>
      </c>
      <c r="C478" s="107" t="str" cm="1">
        <f t="array" ref="C478">" "&amp;LOWER(_xlfn.REDUCE(El_unit[[#This Row],[Location]],{",",".","(",")","/"},_xlfn.LAMBDA(_xlpm.txt,_xlpm.delim,SUBSTITUTE(_xlpm.txt,_xlpm.delim," "))))&amp;" "</f>
        <v xml:space="preserve"> vanaja kt </v>
      </c>
      <c r="D478" s="22" t="s">
        <v>3068</v>
      </c>
      <c r="E478" s="1">
        <v>50</v>
      </c>
      <c r="F478" s="1">
        <v>0</v>
      </c>
      <c r="G478" s="1">
        <v>0</v>
      </c>
      <c r="H478" s="1">
        <v>50</v>
      </c>
      <c r="I478" s="1" t="s">
        <v>1020</v>
      </c>
      <c r="L478" s="1" t="str" cm="1">
        <f t="array" ref="L478">_xlfn.XLOOKUP(TRUE,ISNUMBER(SEARCH(" "&amp;Municipality[Municipality]&amp;" ",El_unit[[#This Row],[Info sting]])),Municipality[Municipality],"")</f>
        <v/>
      </c>
      <c r="M478" s="1" t="str" cm="1">
        <f t="array" ref="M478">IF(El_unit[[#This Row],[Exact]]&lt;&gt;"","",_xlfn.XLOOKUP(TRUE,ISNUMBER(SEARCH(" "&amp;Municipality[Municipality]&amp;"n ",El_unit[[#This Row],[Info sting]])),Municipality[Municipality],""))</f>
        <v/>
      </c>
      <c r="O478" s="35"/>
      <c r="Q478" s="1" t="str">
        <f>_xlfn.TEXTJOIN("",TRUE,El_unit[[#This Row],[Exact]],El_unit[[#This Row],[Exact+n]],El_unit[[#This Row],[Copilot]])</f>
        <v/>
      </c>
    </row>
    <row r="479" spans="1:17">
      <c r="A479" s="54" t="s">
        <v>1081</v>
      </c>
      <c r="B479" s="22" t="s">
        <v>1119</v>
      </c>
      <c r="C479" s="107" t="str" cm="1">
        <f t="array" ref="C479">" "&amp;LOWER(_xlfn.REDUCE(El_unit[[#This Row],[Location]],{",",".","(",")","/"},_xlfn.LAMBDA(_xlpm.txt,_xlpm.delim,SUBSTITUTE(_xlpm.txt,_xlpm.delim," "))))&amp;" "</f>
        <v xml:space="preserve"> vantaan jätevoimala </v>
      </c>
      <c r="D479" s="22" t="s">
        <v>3067</v>
      </c>
      <c r="E479" s="1">
        <v>0</v>
      </c>
      <c r="F479" s="1">
        <v>0</v>
      </c>
      <c r="G479" s="1">
        <v>81.400000000000006</v>
      </c>
      <c r="H479" s="1">
        <v>81.400000000000006</v>
      </c>
      <c r="I479" s="1" t="s">
        <v>1019</v>
      </c>
      <c r="J479" s="1" t="s">
        <v>1023</v>
      </c>
      <c r="K479" s="1" t="s">
        <v>1020</v>
      </c>
      <c r="L479" s="1" t="str" cm="1">
        <f t="array" ref="L479">_xlfn.XLOOKUP(TRUE,ISNUMBER(SEARCH(" "&amp;Municipality[Municipality]&amp;" ",El_unit[[#This Row],[Info sting]])),Municipality[Municipality],"")</f>
        <v/>
      </c>
      <c r="M479" s="1" t="str" cm="1">
        <f t="array" ref="M479">IF(El_unit[[#This Row],[Exact]]&lt;&gt;"","",_xlfn.XLOOKUP(TRUE,ISNUMBER(SEARCH(" "&amp;Municipality[Municipality]&amp;"n ",El_unit[[#This Row],[Info sting]])),Municipality[Municipality],""))</f>
        <v>Vantaa</v>
      </c>
      <c r="O479" s="35"/>
      <c r="Q479" s="1" t="str">
        <f>_xlfn.TEXTJOIN("",TRUE,El_unit[[#This Row],[Exact]],El_unit[[#This Row],[Exact+n]],El_unit[[#This Row],[Copilot]])</f>
        <v>Vantaa</v>
      </c>
    </row>
    <row r="480" spans="1:17">
      <c r="A480" s="54" t="s">
        <v>367</v>
      </c>
      <c r="B480" s="22" t="s">
        <v>367</v>
      </c>
      <c r="C480" s="107" t="str" cm="1">
        <f t="array" ref="C480">" "&amp;LOWER(_xlfn.REDUCE(El_unit[[#This Row],[Location]],{",",".","(",")","/"},_xlfn.LAMBDA(_xlpm.txt,_xlpm.delim,SUBSTITUTE(_xlpm.txt,_xlpm.delim," "))))&amp;" "</f>
        <v xml:space="preserve"> vanttauskoski </v>
      </c>
      <c r="D480" s="22" t="s">
        <v>3064</v>
      </c>
      <c r="E480" s="1">
        <v>94.4</v>
      </c>
      <c r="F480" s="1">
        <v>0</v>
      </c>
      <c r="G480" s="1">
        <v>0</v>
      </c>
      <c r="H480" s="1">
        <v>94.4</v>
      </c>
      <c r="L480" s="1" t="str" cm="1">
        <f t="array" ref="L480">_xlfn.XLOOKUP(TRUE,ISNUMBER(SEARCH(" "&amp;Municipality[Municipality]&amp;" ",El_unit[[#This Row],[Info sting]])),Municipality[Municipality],"")</f>
        <v/>
      </c>
      <c r="M480" s="1" t="str" cm="1">
        <f t="array" ref="M480">IF(El_unit[[#This Row],[Exact]]&lt;&gt;"","",_xlfn.XLOOKUP(TRUE,ISNUMBER(SEARCH(" "&amp;Municipality[Municipality]&amp;"n ",El_unit[[#This Row],[Info sting]])),Municipality[Municipality],""))</f>
        <v/>
      </c>
      <c r="N480" s="1" t="s">
        <v>2754</v>
      </c>
      <c r="O480" s="35" t="s">
        <v>3130</v>
      </c>
      <c r="Q480" s="1" t="str">
        <f>_xlfn.TEXTJOIN("",TRUE,El_unit[[#This Row],[Exact]],El_unit[[#This Row],[Exact+n]],El_unit[[#This Row],[Copilot]])</f>
        <v>Rovaniemi</v>
      </c>
    </row>
    <row r="481" spans="1:17">
      <c r="A481" s="54" t="s">
        <v>649</v>
      </c>
      <c r="B481" s="22" t="s">
        <v>649</v>
      </c>
      <c r="C481" s="107" t="str" cm="1">
        <f t="array" ref="C481">" "&amp;LOWER(_xlfn.REDUCE(El_unit[[#This Row],[Location]],{",",".","(",")","/"},_xlfn.LAMBDA(_xlpm.txt,_xlpm.delim,SUBSTITUTE(_xlpm.txt,_xlpm.delim," "))))&amp;" "</f>
        <v xml:space="preserve"> varessäikkä </v>
      </c>
      <c r="D481" s="22" t="s">
        <v>3066</v>
      </c>
      <c r="E481" s="1">
        <v>2</v>
      </c>
      <c r="F481" s="1">
        <v>0</v>
      </c>
      <c r="G481" s="1">
        <v>0</v>
      </c>
      <c r="H481" s="1">
        <v>2</v>
      </c>
      <c r="L481" s="1" t="str" cm="1">
        <f t="array" ref="L481">_xlfn.XLOOKUP(TRUE,ISNUMBER(SEARCH(" "&amp;Municipality[Municipality]&amp;" ",El_unit[[#This Row],[Info sting]])),Municipality[Municipality],"")</f>
        <v/>
      </c>
      <c r="M481" s="1" t="str" cm="1">
        <f t="array" ref="M481">IF(El_unit[[#This Row],[Exact]]&lt;&gt;"","",_xlfn.XLOOKUP(TRUE,ISNUMBER(SEARCH(" "&amp;Municipality[Municipality]&amp;"n ",El_unit[[#This Row],[Info sting]])),Municipality[Municipality],""))</f>
        <v/>
      </c>
      <c r="O481" s="35"/>
      <c r="Q481" s="1" t="str">
        <f>_xlfn.TEXTJOIN("",TRUE,El_unit[[#This Row],[Exact]],El_unit[[#This Row],[Exact+n]],El_unit[[#This Row],[Copilot]])</f>
        <v/>
      </c>
    </row>
    <row r="482" spans="1:17">
      <c r="A482" s="54" t="s">
        <v>1082</v>
      </c>
      <c r="B482" s="22" t="s">
        <v>1082</v>
      </c>
      <c r="C482" s="107" t="str" cm="1">
        <f t="array" ref="C482">" "&amp;LOWER(_xlfn.REDUCE(El_unit[[#This Row],[Location]],{",",".","(",")","/"},_xlfn.LAMBDA(_xlpm.txt,_xlpm.delim,SUBSTITUTE(_xlpm.txt,_xlpm.delim," "))))&amp;" "</f>
        <v xml:space="preserve"> varissaari </v>
      </c>
      <c r="D482" s="22" t="s">
        <v>3067</v>
      </c>
      <c r="E482" s="1">
        <v>0</v>
      </c>
      <c r="F482" s="1">
        <v>0</v>
      </c>
      <c r="G482" s="1">
        <v>4.5</v>
      </c>
      <c r="H482" s="1">
        <v>4.5</v>
      </c>
      <c r="I482" s="1" t="s">
        <v>1022</v>
      </c>
      <c r="J482" s="1" t="s">
        <v>1015</v>
      </c>
      <c r="K482" s="1" t="s">
        <v>1020</v>
      </c>
      <c r="L482" s="1" t="str" cm="1">
        <f t="array" ref="L482">_xlfn.XLOOKUP(TRUE,ISNUMBER(SEARCH(" "&amp;Municipality[Municipality]&amp;" ",El_unit[[#This Row],[Info sting]])),Municipality[Municipality],"")</f>
        <v/>
      </c>
      <c r="M482" s="1" t="str" cm="1">
        <f t="array" ref="M482">IF(El_unit[[#This Row],[Exact]]&lt;&gt;"","",_xlfn.XLOOKUP(TRUE,ISNUMBER(SEARCH(" "&amp;Municipality[Municipality]&amp;"n ",El_unit[[#This Row],[Info sting]])),Municipality[Municipality],""))</f>
        <v/>
      </c>
      <c r="O482" s="35"/>
      <c r="Q482" s="1" t="str">
        <f>_xlfn.TEXTJOIN("",TRUE,El_unit[[#This Row],[Exact]],El_unit[[#This Row],[Exact+n]],El_unit[[#This Row],[Copilot]])</f>
        <v/>
      </c>
    </row>
    <row r="483" spans="1:17">
      <c r="A483" s="54" t="s">
        <v>956</v>
      </c>
      <c r="B483" s="22" t="s">
        <v>1007</v>
      </c>
      <c r="C483" s="107" t="str" cm="1">
        <f t="array" ref="C483">" "&amp;LOWER(_xlfn.REDUCE(El_unit[[#This Row],[Location]],{",",".","(",")","/"},_xlfn.LAMBDA(_xlpm.txt,_xlpm.delim,SUBSTITUTE(_xlpm.txt,_xlpm.delim," "))))&amp;" "</f>
        <v xml:space="preserve"> varkaus </v>
      </c>
      <c r="D483" s="22" t="s">
        <v>3065</v>
      </c>
      <c r="E483" s="1">
        <v>4.8</v>
      </c>
      <c r="F483" s="1">
        <v>47</v>
      </c>
      <c r="G483" s="1">
        <v>0</v>
      </c>
      <c r="H483" s="1">
        <v>51.8</v>
      </c>
      <c r="I483" s="1" t="s">
        <v>1024</v>
      </c>
      <c r="J483" s="1" t="s">
        <v>1022</v>
      </c>
      <c r="K483" s="1" t="s">
        <v>1026</v>
      </c>
      <c r="L483" s="1" t="str" cm="1">
        <f t="array" ref="L483">_xlfn.XLOOKUP(TRUE,ISNUMBER(SEARCH(" "&amp;Municipality[Municipality]&amp;" ",El_unit[[#This Row],[Info sting]])),Municipality[Municipality],"")</f>
        <v>Varkaus</v>
      </c>
      <c r="M483" s="1" t="str" cm="1">
        <f t="array" ref="M483">IF(El_unit[[#This Row],[Exact]]&lt;&gt;"","",_xlfn.XLOOKUP(TRUE,ISNUMBER(SEARCH(" "&amp;Municipality[Municipality]&amp;"n ",El_unit[[#This Row],[Info sting]])),Municipality[Municipality],""))</f>
        <v/>
      </c>
      <c r="O483" s="35"/>
      <c r="Q483" s="1" t="str">
        <f>_xlfn.TEXTJOIN("",TRUE,El_unit[[#This Row],[Exact]],El_unit[[#This Row],[Exact+n]],El_unit[[#This Row],[Copilot]])</f>
        <v>Varkaus</v>
      </c>
    </row>
    <row r="484" spans="1:17">
      <c r="A484" s="54" t="s">
        <v>650</v>
      </c>
      <c r="B484" s="22" t="s">
        <v>650</v>
      </c>
      <c r="C484" s="107" t="str" cm="1">
        <f t="array" ref="C484">" "&amp;LOWER(_xlfn.REDUCE(El_unit[[#This Row],[Location]],{",",".","(",")","/"},_xlfn.LAMBDA(_xlpm.txt,_xlpm.delim,SUBSTITUTE(_xlpm.txt,_xlpm.delim," "))))&amp;" "</f>
        <v xml:space="preserve"> vartinoja 1 </v>
      </c>
      <c r="D484" s="22" t="s">
        <v>3066</v>
      </c>
      <c r="E484" s="1">
        <v>25.65</v>
      </c>
      <c r="F484" s="1">
        <v>0</v>
      </c>
      <c r="G484" s="1">
        <v>0</v>
      </c>
      <c r="H484" s="1">
        <v>25.65</v>
      </c>
      <c r="L484" s="1" t="str" cm="1">
        <f t="array" ref="L484">_xlfn.XLOOKUP(TRUE,ISNUMBER(SEARCH(" "&amp;Municipality[Municipality]&amp;" ",El_unit[[#This Row],[Info sting]])),Municipality[Municipality],"")</f>
        <v/>
      </c>
      <c r="M484" s="1" t="str" cm="1">
        <f t="array" ref="M484">IF(El_unit[[#This Row],[Exact]]&lt;&gt;"","",_xlfn.XLOOKUP(TRUE,ISNUMBER(SEARCH(" "&amp;Municipality[Municipality]&amp;"n ",El_unit[[#This Row],[Info sting]])),Municipality[Municipality],""))</f>
        <v/>
      </c>
      <c r="O484" s="35"/>
      <c r="Q484" s="1" t="str">
        <f>_xlfn.TEXTJOIN("",TRUE,El_unit[[#This Row],[Exact]],El_unit[[#This Row],[Exact+n]],El_unit[[#This Row],[Copilot]])</f>
        <v/>
      </c>
    </row>
    <row r="485" spans="1:17">
      <c r="A485" s="54" t="s">
        <v>1083</v>
      </c>
      <c r="B485" s="22" t="s">
        <v>1120</v>
      </c>
      <c r="C485" s="107" t="str" cm="1">
        <f t="array" ref="C485">" "&amp;LOWER(_xlfn.REDUCE(El_unit[[#This Row],[Location]],{",",".","(",")","/"},_xlfn.LAMBDA(_xlpm.txt,_xlpm.delim,SUBSTITUTE(_xlpm.txt,_xlpm.delim," "))))&amp;" "</f>
        <v xml:space="preserve"> vaasa   vaskiluoto 2   </v>
      </c>
      <c r="D485" s="22" t="s">
        <v>3067</v>
      </c>
      <c r="E485" s="1">
        <v>0</v>
      </c>
      <c r="F485" s="1">
        <v>0</v>
      </c>
      <c r="G485" s="1">
        <v>230</v>
      </c>
      <c r="H485" s="1">
        <v>230</v>
      </c>
      <c r="I485" s="1" t="s">
        <v>1018</v>
      </c>
      <c r="J485" s="1" t="s">
        <v>1017</v>
      </c>
      <c r="L485" s="1" t="str" cm="1">
        <f t="array" ref="L485">_xlfn.XLOOKUP(TRUE,ISNUMBER(SEARCH(" "&amp;Municipality[Municipality]&amp;" ",El_unit[[#This Row],[Info sting]])),Municipality[Municipality],"")</f>
        <v>Vaasa</v>
      </c>
      <c r="M485" s="1" t="str" cm="1">
        <f t="array" ref="M485">IF(El_unit[[#This Row],[Exact]]&lt;&gt;"","",_xlfn.XLOOKUP(TRUE,ISNUMBER(SEARCH(" "&amp;Municipality[Municipality]&amp;"n ",El_unit[[#This Row],[Info sting]])),Municipality[Municipality],""))</f>
        <v/>
      </c>
      <c r="O485" s="35"/>
      <c r="Q485" s="1" t="str">
        <f>_xlfn.TEXTJOIN("",TRUE,El_unit[[#This Row],[Exact]],El_unit[[#This Row],[Exact+n]],El_unit[[#This Row],[Copilot]])</f>
        <v>Vaasa</v>
      </c>
    </row>
    <row r="486" spans="1:17">
      <c r="A486" s="54" t="s">
        <v>1084</v>
      </c>
      <c r="B486" s="22" t="s">
        <v>1121</v>
      </c>
      <c r="C486" s="107" t="str" cm="1">
        <f t="array" ref="C486">" "&amp;LOWER(_xlfn.REDUCE(El_unit[[#This Row],[Location]],{",",".","(",")","/"},_xlfn.LAMBDA(_xlpm.txt,_xlpm.delim,SUBSTITUTE(_xlpm.txt,_xlpm.delim," "))))&amp;" "</f>
        <v xml:space="preserve"> vaasa    vaskiluoto 3   </v>
      </c>
      <c r="D486" s="22" t="s">
        <v>3067</v>
      </c>
      <c r="E486" s="1">
        <v>0</v>
      </c>
      <c r="F486" s="1">
        <v>0</v>
      </c>
      <c r="G486" s="1">
        <v>0</v>
      </c>
      <c r="H486" s="1">
        <v>0</v>
      </c>
      <c r="I486" s="1" t="s">
        <v>1017</v>
      </c>
      <c r="L486" s="1" t="str" cm="1">
        <f t="array" ref="L486">_xlfn.XLOOKUP(TRUE,ISNUMBER(SEARCH(" "&amp;Municipality[Municipality]&amp;" ",El_unit[[#This Row],[Info sting]])),Municipality[Municipality],"")</f>
        <v>Vaasa</v>
      </c>
      <c r="M486" s="1" t="str" cm="1">
        <f t="array" ref="M486">IF(El_unit[[#This Row],[Exact]]&lt;&gt;"","",_xlfn.XLOOKUP(TRUE,ISNUMBER(SEARCH(" "&amp;Municipality[Municipality]&amp;"n ",El_unit[[#This Row],[Info sting]])),Municipality[Municipality],""))</f>
        <v/>
      </c>
      <c r="O486" s="35"/>
      <c r="Q486" s="1" t="str">
        <f>_xlfn.TEXTJOIN("",TRUE,El_unit[[#This Row],[Exact]],El_unit[[#This Row],[Exact+n]],El_unit[[#This Row],[Copilot]])</f>
        <v>Vaasa</v>
      </c>
    </row>
    <row r="487" spans="1:17">
      <c r="A487" s="54" t="s">
        <v>651</v>
      </c>
      <c r="B487" s="22" t="s">
        <v>808</v>
      </c>
      <c r="C487" s="107" t="str" cm="1">
        <f t="array" ref="C487">" "&amp;LOWER(_xlfn.REDUCE(El_unit[[#This Row],[Location]],{",",".","(",")","/"},_xlfn.LAMBDA(_xlpm.txt,_xlpm.delim,SUBSTITUTE(_xlpm.txt,_xlpm.delim," "))))&amp;" "</f>
        <v xml:space="preserve"> vaskiluoto kt 2 </v>
      </c>
      <c r="D487" s="22" t="s">
        <v>3068</v>
      </c>
      <c r="E487" s="1">
        <v>26</v>
      </c>
      <c r="F487" s="1">
        <v>0</v>
      </c>
      <c r="G487" s="1">
        <v>0</v>
      </c>
      <c r="H487" s="1">
        <v>26</v>
      </c>
      <c r="I487" s="1" t="s">
        <v>1020</v>
      </c>
      <c r="L487" s="1" t="str" cm="1">
        <f t="array" ref="L487">_xlfn.XLOOKUP(TRUE,ISNUMBER(SEARCH(" "&amp;Municipality[Municipality]&amp;" ",El_unit[[#This Row],[Info sting]])),Municipality[Municipality],"")</f>
        <v/>
      </c>
      <c r="M487" s="1" t="str" cm="1">
        <f t="array" ref="M487">IF(El_unit[[#This Row],[Exact]]&lt;&gt;"","",_xlfn.XLOOKUP(TRUE,ISNUMBER(SEARCH(" "&amp;Municipality[Municipality]&amp;"n ",El_unit[[#This Row],[Info sting]])),Municipality[Municipality],""))</f>
        <v/>
      </c>
      <c r="N487" s="1" t="s">
        <v>2825</v>
      </c>
      <c r="O487" s="35"/>
      <c r="P487" s="1" t="s">
        <v>3097</v>
      </c>
      <c r="Q487" s="1" t="str">
        <f>_xlfn.TEXTJOIN("",TRUE,El_unit[[#This Row],[Exact]],El_unit[[#This Row],[Exact+n]],El_unit[[#This Row],[Copilot]])</f>
        <v>Vaasa</v>
      </c>
    </row>
    <row r="488" spans="1:17">
      <c r="A488" s="54" t="s">
        <v>368</v>
      </c>
      <c r="B488" s="22" t="s">
        <v>368</v>
      </c>
      <c r="C488" s="107" t="str" cm="1">
        <f t="array" ref="C488">" "&amp;LOWER(_xlfn.REDUCE(El_unit[[#This Row],[Location]],{",",".","(",")","/"},_xlfn.LAMBDA(_xlpm.txt,_xlpm.delim,SUBSTITUTE(_xlpm.txt,_xlpm.delim," "))))&amp;" "</f>
        <v xml:space="preserve"> vatajankoski </v>
      </c>
      <c r="D488" s="22" t="s">
        <v>3064</v>
      </c>
      <c r="E488" s="1">
        <v>0.75</v>
      </c>
      <c r="F488" s="1">
        <v>0</v>
      </c>
      <c r="G488" s="1">
        <v>0</v>
      </c>
      <c r="H488" s="1">
        <v>0.75</v>
      </c>
      <c r="L488" s="1" t="str" cm="1">
        <f t="array" ref="L488">_xlfn.XLOOKUP(TRUE,ISNUMBER(SEARCH(" "&amp;Municipality[Municipality]&amp;" ",El_unit[[#This Row],[Info sting]])),Municipality[Municipality],"")</f>
        <v/>
      </c>
      <c r="M488" s="1" t="str" cm="1">
        <f t="array" ref="M488">IF(El_unit[[#This Row],[Exact]]&lt;&gt;"","",_xlfn.XLOOKUP(TRUE,ISNUMBER(SEARCH(" "&amp;Municipality[Municipality]&amp;"n ",El_unit[[#This Row],[Info sting]])),Municipality[Municipality],""))</f>
        <v/>
      </c>
      <c r="O488" s="35"/>
      <c r="Q488" s="1" t="str">
        <f>_xlfn.TEXTJOIN("",TRUE,El_unit[[#This Row],[Exact]],El_unit[[#This Row],[Exact+n]],El_unit[[#This Row],[Copilot]])</f>
        <v/>
      </c>
    </row>
    <row r="489" spans="1:17">
      <c r="A489" s="54" t="s">
        <v>957</v>
      </c>
      <c r="B489" s="22" t="s">
        <v>1008</v>
      </c>
      <c r="C489" s="107" t="str" cm="1">
        <f t="array" ref="C489">" "&amp;LOWER(_xlfn.REDUCE(El_unit[[#This Row],[Location]],{",",".","(",")","/"},_xlfn.LAMBDA(_xlpm.txt,_xlpm.delim,SUBSTITUTE(_xlpm.txt,_xlpm.delim," "))))&amp;" "</f>
        <v xml:space="preserve"> markku ahlqvist@biovakka fi </v>
      </c>
      <c r="D489" s="22" t="s">
        <v>3065</v>
      </c>
      <c r="E489" s="1">
        <v>0</v>
      </c>
      <c r="F489" s="1">
        <v>1.4</v>
      </c>
      <c r="G489" s="1">
        <v>0</v>
      </c>
      <c r="H489" s="1">
        <v>1.4</v>
      </c>
      <c r="I489" s="1" t="s">
        <v>1033</v>
      </c>
      <c r="L489" s="1" t="str" cm="1">
        <f t="array" ref="L489">_xlfn.XLOOKUP(TRUE,ISNUMBER(SEARCH(" "&amp;Municipality[Municipality]&amp;" ",El_unit[[#This Row],[Info sting]])),Municipality[Municipality],"")</f>
        <v/>
      </c>
      <c r="M489" s="1" t="str" cm="1">
        <f t="array" ref="M489">IF(El_unit[[#This Row],[Exact]]&lt;&gt;"","",_xlfn.XLOOKUP(TRUE,ISNUMBER(SEARCH(" "&amp;Municipality[Municipality]&amp;"n ",El_unit[[#This Row],[Info sting]])),Municipality[Municipality],""))</f>
        <v/>
      </c>
      <c r="N489" s="1" t="s">
        <v>957</v>
      </c>
      <c r="O489" s="35"/>
      <c r="P489" s="1" t="s">
        <v>3098</v>
      </c>
      <c r="Q489" s="1" t="str">
        <f>_xlfn.TEXTJOIN("",TRUE,El_unit[[#This Row],[Exact]],El_unit[[#This Row],[Exact+n]],El_unit[[#This Row],[Copilot]])</f>
        <v>Vehmaa</v>
      </c>
    </row>
    <row r="490" spans="1:17">
      <c r="A490" s="54" t="s">
        <v>958</v>
      </c>
      <c r="B490" s="22" t="s">
        <v>958</v>
      </c>
      <c r="C490" s="107" t="str" cm="1">
        <f t="array" ref="C490">" "&amp;LOWER(_xlfn.REDUCE(El_unit[[#This Row],[Location]],{",",".","(",")","/"},_xlfn.LAMBDA(_xlpm.txt,_xlpm.delim,SUBSTITUTE(_xlpm.txt,_xlpm.delim," "))))&amp;" "</f>
        <v xml:space="preserve"> veitsiluoto </v>
      </c>
      <c r="D490" s="22" t="s">
        <v>3065</v>
      </c>
      <c r="E490" s="1">
        <v>0</v>
      </c>
      <c r="F490" s="1">
        <v>25</v>
      </c>
      <c r="G490" s="1">
        <v>0</v>
      </c>
      <c r="H490" s="1">
        <v>25</v>
      </c>
      <c r="I490" s="1" t="s">
        <v>1024</v>
      </c>
      <c r="J490" s="1" t="s">
        <v>1016</v>
      </c>
      <c r="K490" s="1" t="s">
        <v>1015</v>
      </c>
      <c r="L490" s="1" t="str" cm="1">
        <f t="array" ref="L490">_xlfn.XLOOKUP(TRUE,ISNUMBER(SEARCH(" "&amp;Municipality[Municipality]&amp;" ",El_unit[[#This Row],[Info sting]])),Municipality[Municipality],"")</f>
        <v/>
      </c>
      <c r="M490" s="1" t="str" cm="1">
        <f t="array" ref="M490">IF(El_unit[[#This Row],[Exact]]&lt;&gt;"","",_xlfn.XLOOKUP(TRUE,ISNUMBER(SEARCH(" "&amp;Municipality[Municipality]&amp;"n ",El_unit[[#This Row],[Info sting]])),Municipality[Municipality],""))</f>
        <v/>
      </c>
      <c r="O490" s="35"/>
      <c r="Q490" s="1" t="str">
        <f>_xlfn.TEXTJOIN("",TRUE,El_unit[[#This Row],[Exact]],El_unit[[#This Row],[Exact+n]],El_unit[[#This Row],[Copilot]])</f>
        <v/>
      </c>
    </row>
    <row r="491" spans="1:17">
      <c r="A491" s="54" t="s">
        <v>369</v>
      </c>
      <c r="B491" s="22" t="s">
        <v>370</v>
      </c>
      <c r="C491" s="107" t="str" cm="1">
        <f t="array" ref="C491">" "&amp;LOWER(_xlfn.REDUCE(El_unit[[#This Row],[Location]],{",",".","(",")","/"},_xlfn.LAMBDA(_xlpm.txt,_xlpm.delim,SUBSTITUTE(_xlpm.txt,_xlpm.delim," "))))&amp;" "</f>
        <v xml:space="preserve"> kärsämäki   venetpalo </v>
      </c>
      <c r="D491" s="22" t="s">
        <v>3064</v>
      </c>
      <c r="E491" s="1">
        <v>1.8</v>
      </c>
      <c r="F491" s="1">
        <v>0</v>
      </c>
      <c r="G491" s="1">
        <v>0</v>
      </c>
      <c r="H491" s="1">
        <v>1.8</v>
      </c>
      <c r="L491" s="1" t="str" cm="1">
        <f t="array" ref="L491">_xlfn.XLOOKUP(TRUE,ISNUMBER(SEARCH(" "&amp;Municipality[Municipality]&amp;" ",El_unit[[#This Row],[Info sting]])),Municipality[Municipality],"")</f>
        <v>Kärsämäki</v>
      </c>
      <c r="M491" s="1" t="str" cm="1">
        <f t="array" ref="M491">IF(El_unit[[#This Row],[Exact]]&lt;&gt;"","",_xlfn.XLOOKUP(TRUE,ISNUMBER(SEARCH(" "&amp;Municipality[Municipality]&amp;"n ",El_unit[[#This Row],[Info sting]])),Municipality[Municipality],""))</f>
        <v/>
      </c>
      <c r="O491" s="35"/>
      <c r="Q491" s="1" t="str">
        <f>_xlfn.TEXTJOIN("",TRUE,El_unit[[#This Row],[Exact]],El_unit[[#This Row],[Exact+n]],El_unit[[#This Row],[Copilot]])</f>
        <v>Kärsämäki</v>
      </c>
    </row>
    <row r="492" spans="1:17">
      <c r="A492" s="54" t="s">
        <v>652</v>
      </c>
      <c r="B492" s="22" t="s">
        <v>809</v>
      </c>
      <c r="C492" s="107" t="str" cm="1">
        <f t="array" ref="C492">" "&amp;LOWER(_xlfn.REDUCE(El_unit[[#This Row],[Location]],{",",".","(",")","/"},_xlfn.LAMBDA(_xlpm.txt,_xlpm.delim,SUBSTITUTE(_xlpm.txt,_xlpm.delim," "))))&amp;" "</f>
        <v xml:space="preserve"> verhonkulma   marttilan kunta </v>
      </c>
      <c r="D492" s="22" t="s">
        <v>3066</v>
      </c>
      <c r="E492" s="1">
        <v>25.9</v>
      </c>
      <c r="F492" s="1">
        <v>0</v>
      </c>
      <c r="G492" s="1">
        <v>0</v>
      </c>
      <c r="H492" s="1">
        <v>25.9</v>
      </c>
      <c r="L492" s="1" t="str" cm="1">
        <f t="array" ref="L492">_xlfn.XLOOKUP(TRUE,ISNUMBER(SEARCH(" "&amp;Municipality[Municipality]&amp;" ",El_unit[[#This Row],[Info sting]])),Municipality[Municipality],"")</f>
        <v/>
      </c>
      <c r="M492" s="1" t="str" cm="1">
        <f t="array" ref="M492">IF(El_unit[[#This Row],[Exact]]&lt;&gt;"","",_xlfn.XLOOKUP(TRUE,ISNUMBER(SEARCH(" "&amp;Municipality[Municipality]&amp;"n ",El_unit[[#This Row],[Info sting]])),Municipality[Municipality],""))</f>
        <v>Marttila</v>
      </c>
      <c r="O492" s="35"/>
      <c r="Q492" s="1" t="str">
        <f>_xlfn.TEXTJOIN("",TRUE,El_unit[[#This Row],[Exact]],El_unit[[#This Row],[Exact+n]],El_unit[[#This Row],[Copilot]])</f>
        <v>Marttila</v>
      </c>
    </row>
    <row r="493" spans="1:17">
      <c r="A493" s="54" t="s">
        <v>371</v>
      </c>
      <c r="B493" s="22" t="s">
        <v>372</v>
      </c>
      <c r="C493" s="107" t="str" cm="1">
        <f t="array" ref="C493">" "&amp;LOWER(_xlfn.REDUCE(El_unit[[#This Row],[Location]],{",",".","(",")","/"},_xlfn.LAMBDA(_xlpm.txt,_xlpm.delim,SUBSTITUTE(_xlpm.txt,_xlpm.delim," "))))&amp;" "</f>
        <v xml:space="preserve"> valkeala   verla </v>
      </c>
      <c r="D493" s="22" t="s">
        <v>3064</v>
      </c>
      <c r="E493" s="1">
        <v>3</v>
      </c>
      <c r="F493" s="1">
        <v>0</v>
      </c>
      <c r="G493" s="1">
        <v>0</v>
      </c>
      <c r="H493" s="1">
        <v>3</v>
      </c>
      <c r="L493" s="1" t="str" cm="1">
        <f t="array" ref="L493">_xlfn.XLOOKUP(TRUE,ISNUMBER(SEARCH(" "&amp;Municipality[Municipality]&amp;" ",El_unit[[#This Row],[Info sting]])),Municipality[Municipality],"")</f>
        <v>Valkeala</v>
      </c>
      <c r="M493" s="1" t="str" cm="1">
        <f t="array" ref="M493">IF(El_unit[[#This Row],[Exact]]&lt;&gt;"","",_xlfn.XLOOKUP(TRUE,ISNUMBER(SEARCH(" "&amp;Municipality[Municipality]&amp;"n ",El_unit[[#This Row],[Info sting]])),Municipality[Municipality],""))</f>
        <v/>
      </c>
      <c r="O493" s="35"/>
      <c r="Q493" s="1" t="str">
        <f>_xlfn.TEXTJOIN("",TRUE,El_unit[[#This Row],[Exact]],El_unit[[#This Row],[Exact+n]],El_unit[[#This Row],[Copilot]])</f>
        <v>Valkeala</v>
      </c>
    </row>
    <row r="494" spans="1:17">
      <c r="A494" s="54" t="s">
        <v>653</v>
      </c>
      <c r="B494" s="22" t="s">
        <v>810</v>
      </c>
      <c r="C494" s="107" t="str" cm="1">
        <f t="array" ref="C494">" "&amp;LOWER(_xlfn.REDUCE(El_unit[[#This Row],[Location]],{",",".","(",")","/"},_xlfn.LAMBDA(_xlpm.txt,_xlpm.delim,SUBSTITUTE(_xlpm.txt,_xlpm.delim," "))))&amp;" "</f>
        <v xml:space="preserve"> oulu  vihreäsaari </v>
      </c>
      <c r="D494" s="22" t="s">
        <v>163</v>
      </c>
      <c r="E494" s="1">
        <v>4.9000000000000004</v>
      </c>
      <c r="F494" s="1">
        <v>0</v>
      </c>
      <c r="G494" s="1">
        <v>0</v>
      </c>
      <c r="H494" s="1">
        <v>4.9000000000000004</v>
      </c>
      <c r="L494" s="1" t="str" cm="1">
        <f t="array" ref="L494">_xlfn.XLOOKUP(TRUE,ISNUMBER(SEARCH(" "&amp;Municipality[Municipality]&amp;" ",El_unit[[#This Row],[Info sting]])),Municipality[Municipality],"")</f>
        <v>Oulu</v>
      </c>
      <c r="M494" s="1" t="str" cm="1">
        <f t="array" ref="M494">IF(El_unit[[#This Row],[Exact]]&lt;&gt;"","",_xlfn.XLOOKUP(TRUE,ISNUMBER(SEARCH(" "&amp;Municipality[Municipality]&amp;"n ",El_unit[[#This Row],[Info sting]])),Municipality[Municipality],""))</f>
        <v/>
      </c>
      <c r="O494" s="35"/>
      <c r="Q494" s="1" t="str">
        <f>_xlfn.TEXTJOIN("",TRUE,El_unit[[#This Row],[Exact]],El_unit[[#This Row],[Exact+n]],El_unit[[#This Row],[Copilot]])</f>
        <v>Oulu</v>
      </c>
    </row>
    <row r="495" spans="1:17">
      <c r="A495" s="54" t="s">
        <v>654</v>
      </c>
      <c r="B495" s="22" t="s">
        <v>810</v>
      </c>
      <c r="C495" s="107" t="str" cm="1">
        <f t="array" ref="C495">" "&amp;LOWER(_xlfn.REDUCE(El_unit[[#This Row],[Location]],{",",".","(",")","/"},_xlfn.LAMBDA(_xlpm.txt,_xlpm.delim,SUBSTITUTE(_xlpm.txt,_xlpm.delim," "))))&amp;" "</f>
        <v xml:space="preserve"> oulu  vihreäsaari </v>
      </c>
      <c r="D495" s="22" t="s">
        <v>163</v>
      </c>
      <c r="E495" s="1">
        <v>4.4000000000000004</v>
      </c>
      <c r="F495" s="1">
        <v>0</v>
      </c>
      <c r="G495" s="1">
        <v>0</v>
      </c>
      <c r="H495" s="1">
        <v>4.4000000000000004</v>
      </c>
      <c r="L495" s="1" t="str" cm="1">
        <f t="array" ref="L495">_xlfn.XLOOKUP(TRUE,ISNUMBER(SEARCH(" "&amp;Municipality[Municipality]&amp;" ",El_unit[[#This Row],[Info sting]])),Municipality[Municipality],"")</f>
        <v>Oulu</v>
      </c>
      <c r="M495" s="1" t="str" cm="1">
        <f t="array" ref="M495">IF(El_unit[[#This Row],[Exact]]&lt;&gt;"","",_xlfn.XLOOKUP(TRUE,ISNUMBER(SEARCH(" "&amp;Municipality[Municipality]&amp;"n ",El_unit[[#This Row],[Info sting]])),Municipality[Municipality],""))</f>
        <v/>
      </c>
      <c r="O495" s="35"/>
      <c r="Q495" s="1" t="str">
        <f>_xlfn.TEXTJOIN("",TRUE,El_unit[[#This Row],[Exact]],El_unit[[#This Row],[Exact+n]],El_unit[[#This Row],[Copilot]])</f>
        <v>Oulu</v>
      </c>
    </row>
    <row r="496" spans="1:17">
      <c r="A496" s="54" t="s">
        <v>655</v>
      </c>
      <c r="B496" s="22" t="s">
        <v>655</v>
      </c>
      <c r="C496" s="107" t="str" cm="1">
        <f t="array" ref="C496">" "&amp;LOWER(_xlfn.REDUCE(El_unit[[#This Row],[Location]],{",",".","(",")","/"},_xlfn.LAMBDA(_xlpm.txt,_xlpm.delim,SUBSTITUTE(_xlpm.txt,_xlpm.delim," "))))&amp;" "</f>
        <v xml:space="preserve"> vihreäsaari retrofit </v>
      </c>
      <c r="D496" s="22" t="s">
        <v>3066</v>
      </c>
      <c r="E496" s="1">
        <v>3.45</v>
      </c>
      <c r="F496" s="1">
        <v>0</v>
      </c>
      <c r="G496" s="1">
        <v>0</v>
      </c>
      <c r="H496" s="1">
        <v>3.45</v>
      </c>
      <c r="L496" s="1" t="str" cm="1">
        <f t="array" ref="L496">_xlfn.XLOOKUP(TRUE,ISNUMBER(SEARCH(" "&amp;Municipality[Municipality]&amp;" ",El_unit[[#This Row],[Info sting]])),Municipality[Municipality],"")</f>
        <v/>
      </c>
      <c r="M496" s="1" t="str" cm="1">
        <f t="array" ref="M496">IF(El_unit[[#This Row],[Exact]]&lt;&gt;"","",_xlfn.XLOOKUP(TRUE,ISNUMBER(SEARCH(" "&amp;Municipality[Municipality]&amp;"n ",El_unit[[#This Row],[Info sting]])),Municipality[Municipality],""))</f>
        <v/>
      </c>
      <c r="O496" s="35"/>
      <c r="Q496" s="1" t="str">
        <f>_xlfn.TEXTJOIN("",TRUE,El_unit[[#This Row],[Exact]],El_unit[[#This Row],[Exact+n]],El_unit[[#This Row],[Copilot]])</f>
        <v/>
      </c>
    </row>
    <row r="497" spans="1:17">
      <c r="A497" s="54" t="s">
        <v>373</v>
      </c>
      <c r="B497" s="22" t="s">
        <v>374</v>
      </c>
      <c r="C497" s="107" t="str" cm="1">
        <f t="array" ref="C497">" "&amp;LOWER(_xlfn.REDUCE(El_unit[[#This Row],[Location]],{",",".","(",")","/"},_xlfn.LAMBDA(_xlpm.txt,_xlpm.delim,SUBSTITUTE(_xlpm.txt,_xlpm.delim," "))))&amp;" "</f>
        <v xml:space="preserve"> joensuu  vihtakoski </v>
      </c>
      <c r="D497" s="22" t="s">
        <v>3064</v>
      </c>
      <c r="E497" s="1">
        <v>1.5</v>
      </c>
      <c r="F497" s="1">
        <v>0</v>
      </c>
      <c r="G497" s="1">
        <v>0</v>
      </c>
      <c r="H497" s="1">
        <v>1.5</v>
      </c>
      <c r="L497" s="1" t="str" cm="1">
        <f t="array" ref="L497">_xlfn.XLOOKUP(TRUE,ISNUMBER(SEARCH(" "&amp;Municipality[Municipality]&amp;" ",El_unit[[#This Row],[Info sting]])),Municipality[Municipality],"")</f>
        <v>Joensuu</v>
      </c>
      <c r="M497" s="1" t="str" cm="1">
        <f t="array" ref="M497">IF(El_unit[[#This Row],[Exact]]&lt;&gt;"","",_xlfn.XLOOKUP(TRUE,ISNUMBER(SEARCH(" "&amp;Municipality[Municipality]&amp;"n ",El_unit[[#This Row],[Info sting]])),Municipality[Municipality],""))</f>
        <v/>
      </c>
      <c r="O497" s="35"/>
      <c r="Q497" s="1" t="str">
        <f>_xlfn.TEXTJOIN("",TRUE,El_unit[[#This Row],[Exact]],El_unit[[#This Row],[Exact+n]],El_unit[[#This Row],[Copilot]])</f>
        <v>Joensuu</v>
      </c>
    </row>
    <row r="498" spans="1:17">
      <c r="A498" s="54" t="s">
        <v>959</v>
      </c>
      <c r="B498" s="22" t="s">
        <v>1009</v>
      </c>
      <c r="C498" s="107" t="str" cm="1">
        <f t="array" ref="C498">" "&amp;LOWER(_xlfn.REDUCE(El_unit[[#This Row],[Location]],{",",".","(",")","/"},_xlfn.LAMBDA(_xlpm.txt,_xlpm.delim,SUBSTITUTE(_xlpm.txt,_xlpm.delim," "))))&amp;" "</f>
        <v xml:space="preserve"> viikinmäen jätevedenpuhdistamo </v>
      </c>
      <c r="D498" s="22" t="s">
        <v>3065</v>
      </c>
      <c r="E498" s="1">
        <v>0</v>
      </c>
      <c r="F498" s="1">
        <v>2.7</v>
      </c>
      <c r="G498" s="1">
        <v>0</v>
      </c>
      <c r="H498" s="1">
        <v>2.7</v>
      </c>
      <c r="I498" s="1" t="s">
        <v>1033</v>
      </c>
      <c r="J498" s="1" t="s">
        <v>1020</v>
      </c>
      <c r="L498" s="1" t="str" cm="1">
        <f t="array" ref="L498">_xlfn.XLOOKUP(TRUE,ISNUMBER(SEARCH(" "&amp;Municipality[Municipality]&amp;" ",El_unit[[#This Row],[Info sting]])),Municipality[Municipality],"")</f>
        <v/>
      </c>
      <c r="M498" s="1" t="str" cm="1">
        <f t="array" ref="M498">IF(El_unit[[#This Row],[Exact]]&lt;&gt;"","",_xlfn.XLOOKUP(TRUE,ISNUMBER(SEARCH(" "&amp;Municipality[Municipality]&amp;"n ",El_unit[[#This Row],[Info sting]])),Municipality[Municipality],""))</f>
        <v/>
      </c>
      <c r="O498" s="35"/>
      <c r="Q498" s="1" t="str">
        <f>_xlfn.TEXTJOIN("",TRUE,El_unit[[#This Row],[Exact]],El_unit[[#This Row],[Exact+n]],El_unit[[#This Row],[Copilot]])</f>
        <v/>
      </c>
    </row>
    <row r="499" spans="1:17">
      <c r="A499" s="54" t="s">
        <v>960</v>
      </c>
      <c r="B499" s="22" t="s">
        <v>1010</v>
      </c>
      <c r="C499" s="107" t="str" cm="1">
        <f t="array" ref="C499">" "&amp;LOWER(_xlfn.REDUCE(El_unit[[#This Row],[Location]],{",",".","(",")","/"},_xlfn.LAMBDA(_xlpm.txt,_xlpm.delim,SUBSTITUTE(_xlpm.txt,_xlpm.delim," "))))&amp;" "</f>
        <v xml:space="preserve"> vilppula </v>
      </c>
      <c r="D499" s="22" t="s">
        <v>3065</v>
      </c>
      <c r="E499" s="1">
        <v>0</v>
      </c>
      <c r="F499" s="1">
        <v>2.9</v>
      </c>
      <c r="G499" s="1">
        <v>0</v>
      </c>
      <c r="H499" s="1">
        <v>2.9</v>
      </c>
      <c r="I499" s="1" t="s">
        <v>1016</v>
      </c>
      <c r="J499" s="1" t="s">
        <v>1016</v>
      </c>
      <c r="L499" s="1" t="str" cm="1">
        <f t="array" ref="L499">_xlfn.XLOOKUP(TRUE,ISNUMBER(SEARCH(" "&amp;Municipality[Municipality]&amp;" ",El_unit[[#This Row],[Info sting]])),Municipality[Municipality],"")</f>
        <v>Vilppula</v>
      </c>
      <c r="M499" s="1" t="str" cm="1">
        <f t="array" ref="M499">IF(El_unit[[#This Row],[Exact]]&lt;&gt;"","",_xlfn.XLOOKUP(TRUE,ISNUMBER(SEARCH(" "&amp;Municipality[Municipality]&amp;"n ",El_unit[[#This Row],[Info sting]])),Municipality[Municipality],""))</f>
        <v/>
      </c>
      <c r="O499" s="35"/>
      <c r="Q499" s="1" t="str">
        <f>_xlfn.TEXTJOIN("",TRUE,El_unit[[#This Row],[Exact]],El_unit[[#This Row],[Exact+n]],El_unit[[#This Row],[Copilot]])</f>
        <v>Vilppula</v>
      </c>
    </row>
    <row r="500" spans="1:17">
      <c r="A500" s="54" t="s">
        <v>375</v>
      </c>
      <c r="B500" s="22" t="s">
        <v>376</v>
      </c>
      <c r="C500" s="107" t="str" cm="1">
        <f t="array" ref="C500">" "&amp;LOWER(_xlfn.REDUCE(El_unit[[#This Row],[Location]],{",",".","(",")","/"},_xlfn.LAMBDA(_xlpm.txt,_xlpm.delim,SUBSTITUTE(_xlpm.txt,_xlpm.delim," "))))&amp;" "</f>
        <v xml:space="preserve"> voikkaa 1 </v>
      </c>
      <c r="D500" s="22" t="s">
        <v>3064</v>
      </c>
      <c r="E500" s="1">
        <v>8.9</v>
      </c>
      <c r="F500" s="1">
        <v>0</v>
      </c>
      <c r="G500" s="1">
        <v>0</v>
      </c>
      <c r="H500" s="1">
        <v>8.9</v>
      </c>
      <c r="L500" s="1" t="str" cm="1">
        <f t="array" ref="L500">_xlfn.XLOOKUP(TRUE,ISNUMBER(SEARCH(" "&amp;Municipality[Municipality]&amp;" ",El_unit[[#This Row],[Info sting]])),Municipality[Municipality],"")</f>
        <v/>
      </c>
      <c r="M500" s="1" t="str" cm="1">
        <f t="array" ref="M500">IF(El_unit[[#This Row],[Exact]]&lt;&gt;"","",_xlfn.XLOOKUP(TRUE,ISNUMBER(SEARCH(" "&amp;Municipality[Municipality]&amp;"n ",El_unit[[#This Row],[Info sting]])),Municipality[Municipality],""))</f>
        <v/>
      </c>
      <c r="O500" s="35"/>
      <c r="Q500" s="1" t="str">
        <f>_xlfn.TEXTJOIN("",TRUE,El_unit[[#This Row],[Exact]],El_unit[[#This Row],[Exact+n]],El_unit[[#This Row],[Copilot]])</f>
        <v/>
      </c>
    </row>
    <row r="501" spans="1:17">
      <c r="A501" s="54" t="s">
        <v>377</v>
      </c>
      <c r="B501" s="22" t="s">
        <v>378</v>
      </c>
      <c r="C501" s="107" t="str" cm="1">
        <f t="array" ref="C501">" "&amp;LOWER(_xlfn.REDUCE(El_unit[[#This Row],[Location]],{",",".","(",")","/"},_xlfn.LAMBDA(_xlpm.txt,_xlpm.delim,SUBSTITUTE(_xlpm.txt,_xlpm.delim," "))))&amp;" "</f>
        <v xml:space="preserve"> voikkaa 2 </v>
      </c>
      <c r="D501" s="22" t="s">
        <v>3064</v>
      </c>
      <c r="E501" s="1">
        <v>24</v>
      </c>
      <c r="F501" s="1">
        <v>0</v>
      </c>
      <c r="G501" s="1">
        <v>0</v>
      </c>
      <c r="H501" s="1">
        <v>24</v>
      </c>
      <c r="L501" s="1" t="str" cm="1">
        <f t="array" ref="L501">_xlfn.XLOOKUP(TRUE,ISNUMBER(SEARCH(" "&amp;Municipality[Municipality]&amp;" ",El_unit[[#This Row],[Info sting]])),Municipality[Municipality],"")</f>
        <v/>
      </c>
      <c r="M501" s="1" t="str" cm="1">
        <f t="array" ref="M501">IF(El_unit[[#This Row],[Exact]]&lt;&gt;"","",_xlfn.XLOOKUP(TRUE,ISNUMBER(SEARCH(" "&amp;Municipality[Municipality]&amp;"n ",El_unit[[#This Row],[Info sting]])),Municipality[Municipality],""))</f>
        <v/>
      </c>
      <c r="O501" s="35"/>
      <c r="Q501" s="1" t="str">
        <f>_xlfn.TEXTJOIN("",TRUE,El_unit[[#This Row],[Exact]],El_unit[[#This Row],[Exact+n]],El_unit[[#This Row],[Copilot]])</f>
        <v/>
      </c>
    </row>
    <row r="502" spans="1:17">
      <c r="A502" s="54" t="s">
        <v>656</v>
      </c>
      <c r="B502" s="22" t="s">
        <v>656</v>
      </c>
      <c r="C502" s="107" t="str" cm="1">
        <f t="array" ref="C502">" "&amp;LOWER(_xlfn.REDUCE(El_unit[[#This Row],[Location]],{",",".","(",")","/"},_xlfn.LAMBDA(_xlpm.txt,_xlpm.delim,SUBSTITUTE(_xlpm.txt,_xlpm.delim," "))))&amp;" "</f>
        <v xml:space="preserve"> voimala 1 - etelänkylä-kalajoki </v>
      </c>
      <c r="D502" s="22" t="s">
        <v>3066</v>
      </c>
      <c r="E502" s="1">
        <v>3.3</v>
      </c>
      <c r="F502" s="1">
        <v>0</v>
      </c>
      <c r="G502" s="1">
        <v>0</v>
      </c>
      <c r="H502" s="1">
        <v>3.3</v>
      </c>
      <c r="L502" s="1" t="str" cm="1">
        <f t="array" ref="L502">_xlfn.XLOOKUP(TRUE,ISNUMBER(SEARCH(" "&amp;Municipality[Municipality]&amp;" ",El_unit[[#This Row],[Info sting]])),Municipality[Municipality],"")</f>
        <v/>
      </c>
      <c r="M502" s="1" t="str" cm="1">
        <f t="array" ref="M502">IF(El_unit[[#This Row],[Exact]]&lt;&gt;"","",_xlfn.XLOOKUP(TRUE,ISNUMBER(SEARCH(" "&amp;Municipality[Municipality]&amp;"n ",El_unit[[#This Row],[Info sting]])),Municipality[Municipality],""))</f>
        <v/>
      </c>
      <c r="N502" s="1" t="s">
        <v>2562</v>
      </c>
      <c r="O502" s="35"/>
      <c r="P502" s="1" t="s">
        <v>3099</v>
      </c>
      <c r="Q502" s="1" t="str">
        <f>_xlfn.TEXTJOIN("",TRUE,El_unit[[#This Row],[Exact]],El_unit[[#This Row],[Exact+n]],El_unit[[#This Row],[Copilot]])</f>
        <v>Kalajoki</v>
      </c>
    </row>
    <row r="503" spans="1:17">
      <c r="A503" s="54" t="s">
        <v>657</v>
      </c>
      <c r="B503" s="22" t="s">
        <v>657</v>
      </c>
      <c r="C503" s="107" t="str" cm="1">
        <f t="array" ref="C503">" "&amp;LOWER(_xlfn.REDUCE(El_unit[[#This Row],[Location]],{",",".","(",")","/"},_xlfn.LAMBDA(_xlpm.txt,_xlpm.delim,SUBSTITUTE(_xlpm.txt,_xlpm.delim," "))))&amp;" "</f>
        <v xml:space="preserve"> voimala 2 - etelänkylä-kalajoki </v>
      </c>
      <c r="D503" s="22" t="s">
        <v>3066</v>
      </c>
      <c r="E503" s="1">
        <v>3.3</v>
      </c>
      <c r="F503" s="1">
        <v>0</v>
      </c>
      <c r="G503" s="1">
        <v>0</v>
      </c>
      <c r="H503" s="1">
        <v>3.3</v>
      </c>
      <c r="L503" s="1" t="str" cm="1">
        <f t="array" ref="L503">_xlfn.XLOOKUP(TRUE,ISNUMBER(SEARCH(" "&amp;Municipality[Municipality]&amp;" ",El_unit[[#This Row],[Info sting]])),Municipality[Municipality],"")</f>
        <v/>
      </c>
      <c r="M503" s="1" t="str" cm="1">
        <f t="array" ref="M503">IF(El_unit[[#This Row],[Exact]]&lt;&gt;"","",_xlfn.XLOOKUP(TRUE,ISNUMBER(SEARCH(" "&amp;Municipality[Municipality]&amp;"n ",El_unit[[#This Row],[Info sting]])),Municipality[Municipality],""))</f>
        <v/>
      </c>
      <c r="N503" s="1" t="s">
        <v>2562</v>
      </c>
      <c r="O503" s="35"/>
      <c r="P503" s="1" t="s">
        <v>3099</v>
      </c>
      <c r="Q503" s="1" t="str">
        <f>_xlfn.TEXTJOIN("",TRUE,El_unit[[#This Row],[Exact]],El_unit[[#This Row],[Exact+n]],El_unit[[#This Row],[Copilot]])</f>
        <v>Kalajoki</v>
      </c>
    </row>
    <row r="504" spans="1:17">
      <c r="A504" s="54" t="s">
        <v>379</v>
      </c>
      <c r="B504" s="22" t="s">
        <v>379</v>
      </c>
      <c r="C504" s="107" t="str" cm="1">
        <f t="array" ref="C504">" "&amp;LOWER(_xlfn.REDUCE(El_unit[[#This Row],[Location]],{",",".","(",")","/"},_xlfn.LAMBDA(_xlpm.txt,_xlpm.delim,SUBSTITUTE(_xlpm.txt,_xlpm.delim," "))))&amp;" "</f>
        <v xml:space="preserve"> vuolenkosken vesivoimalaitos </v>
      </c>
      <c r="D504" s="22" t="s">
        <v>3064</v>
      </c>
      <c r="E504" s="1">
        <v>9.5</v>
      </c>
      <c r="F504" s="1">
        <v>0</v>
      </c>
      <c r="G504" s="1">
        <v>0</v>
      </c>
      <c r="H504" s="1">
        <v>9.5</v>
      </c>
      <c r="L504" s="1" t="str" cm="1">
        <f t="array" ref="L504">_xlfn.XLOOKUP(TRUE,ISNUMBER(SEARCH(" "&amp;Municipality[Municipality]&amp;" ",El_unit[[#This Row],[Info sting]])),Municipality[Municipality],"")</f>
        <v/>
      </c>
      <c r="M504" s="1" t="str" cm="1">
        <f t="array" ref="M504">IF(El_unit[[#This Row],[Exact]]&lt;&gt;"","",_xlfn.XLOOKUP(TRUE,ISNUMBER(SEARCH(" "&amp;Municipality[Municipality]&amp;"n ",El_unit[[#This Row],[Info sting]])),Municipality[Municipality],""))</f>
        <v/>
      </c>
      <c r="O504" s="35"/>
      <c r="Q504" s="1" t="str">
        <f>_xlfn.TEXTJOIN("",TRUE,El_unit[[#This Row],[Exact]],El_unit[[#This Row],[Exact+n]],El_unit[[#This Row],[Copilot]])</f>
        <v/>
      </c>
    </row>
    <row r="505" spans="1:17">
      <c r="A505" s="54" t="s">
        <v>1085</v>
      </c>
      <c r="B505" s="22" t="s">
        <v>1122</v>
      </c>
      <c r="C505" s="107" t="str" cm="1">
        <f t="array" ref="C505">" "&amp;LOWER(_xlfn.REDUCE(El_unit[[#This Row],[Location]],{",",".","(",")","/"},_xlfn.LAMBDA(_xlpm.txt,_xlpm.delim,SUBSTITUTE(_xlpm.txt,_xlpm.delim," "))))&amp;" "</f>
        <v xml:space="preserve"> vuosaari a-voimalaitos </v>
      </c>
      <c r="D505" s="22" t="s">
        <v>3067</v>
      </c>
      <c r="E505" s="1">
        <v>0</v>
      </c>
      <c r="F505" s="1">
        <v>0</v>
      </c>
      <c r="G505" s="1">
        <v>163</v>
      </c>
      <c r="H505" s="1">
        <v>163</v>
      </c>
      <c r="I505" s="1" t="s">
        <v>1023</v>
      </c>
      <c r="J505" s="1" t="s">
        <v>1020</v>
      </c>
      <c r="L505" s="1" t="str" cm="1">
        <f t="array" ref="L505">_xlfn.XLOOKUP(TRUE,ISNUMBER(SEARCH(" "&amp;Municipality[Municipality]&amp;" ",El_unit[[#This Row],[Info sting]])),Municipality[Municipality],"")</f>
        <v/>
      </c>
      <c r="M505" s="1" t="str" cm="1">
        <f t="array" ref="M505">IF(El_unit[[#This Row],[Exact]]&lt;&gt;"","",_xlfn.XLOOKUP(TRUE,ISNUMBER(SEARCH(" "&amp;Municipality[Municipality]&amp;"n ",El_unit[[#This Row],[Info sting]])),Municipality[Municipality],""))</f>
        <v/>
      </c>
      <c r="O505" s="35"/>
      <c r="Q505" s="1" t="str">
        <f>_xlfn.TEXTJOIN("",TRUE,El_unit[[#This Row],[Exact]],El_unit[[#This Row],[Exact+n]],El_unit[[#This Row],[Copilot]])</f>
        <v/>
      </c>
    </row>
    <row r="506" spans="1:17">
      <c r="A506" s="54" t="s">
        <v>1086</v>
      </c>
      <c r="B506" s="22" t="s">
        <v>1123</v>
      </c>
      <c r="C506" s="107" t="str" cm="1">
        <f t="array" ref="C506">" "&amp;LOWER(_xlfn.REDUCE(El_unit[[#This Row],[Location]],{",",".","(",")","/"},_xlfn.LAMBDA(_xlpm.txt,_xlpm.delim,SUBSTITUTE(_xlpm.txt,_xlpm.delim," "))))&amp;" "</f>
        <v xml:space="preserve"> vuosaari b-voimalaitos </v>
      </c>
      <c r="D506" s="22" t="s">
        <v>3067</v>
      </c>
      <c r="E506" s="1">
        <v>0</v>
      </c>
      <c r="F506" s="1">
        <v>0</v>
      </c>
      <c r="G506" s="1">
        <v>485</v>
      </c>
      <c r="H506" s="1">
        <v>485</v>
      </c>
      <c r="I506" s="1" t="s">
        <v>1023</v>
      </c>
      <c r="J506" s="1" t="s">
        <v>1020</v>
      </c>
      <c r="L506" s="1" t="str" cm="1">
        <f t="array" ref="L506">_xlfn.XLOOKUP(TRUE,ISNUMBER(SEARCH(" "&amp;Municipality[Municipality]&amp;" ",El_unit[[#This Row],[Info sting]])),Municipality[Municipality],"")</f>
        <v/>
      </c>
      <c r="M506" s="1" t="str" cm="1">
        <f t="array" ref="M506">IF(El_unit[[#This Row],[Exact]]&lt;&gt;"","",_xlfn.XLOOKUP(TRUE,ISNUMBER(SEARCH(" "&amp;Municipality[Municipality]&amp;"n ",El_unit[[#This Row],[Info sting]])),Municipality[Municipality],""))</f>
        <v/>
      </c>
      <c r="O506" s="35"/>
      <c r="Q506" s="1" t="str">
        <f>_xlfn.TEXTJOIN("",TRUE,El_unit[[#This Row],[Exact]],El_unit[[#This Row],[Exact+n]],El_unit[[#This Row],[Copilot]])</f>
        <v/>
      </c>
    </row>
    <row r="507" spans="1:17">
      <c r="A507" s="54" t="s">
        <v>658</v>
      </c>
      <c r="B507" s="22" t="s">
        <v>811</v>
      </c>
      <c r="C507" s="107" t="str" cm="1">
        <f t="array" ref="C507">" "&amp;LOWER(_xlfn.REDUCE(El_unit[[#This Row],[Location]],{",",".","(",")","/"},_xlfn.LAMBDA(_xlpm.txt,_xlpm.delim,SUBSTITUTE(_xlpm.txt,_xlpm.delim," "))))&amp;" "</f>
        <v xml:space="preserve"> haapajärvi välikangas </v>
      </c>
      <c r="D507" s="22" t="s">
        <v>3066</v>
      </c>
      <c r="E507" s="1">
        <v>103.2</v>
      </c>
      <c r="F507" s="1">
        <v>0</v>
      </c>
      <c r="G507" s="1">
        <v>0</v>
      </c>
      <c r="H507" s="1">
        <v>103.2</v>
      </c>
      <c r="L507" s="1" t="str" cm="1">
        <f t="array" ref="L507">_xlfn.XLOOKUP(TRUE,ISNUMBER(SEARCH(" "&amp;Municipality[Municipality]&amp;" ",El_unit[[#This Row],[Info sting]])),Municipality[Municipality],"")</f>
        <v>Haapajärvi</v>
      </c>
      <c r="M507" s="1" t="str" cm="1">
        <f t="array" ref="M507">IF(El_unit[[#This Row],[Exact]]&lt;&gt;"","",_xlfn.XLOOKUP(TRUE,ISNUMBER(SEARCH(" "&amp;Municipality[Municipality]&amp;"n ",El_unit[[#This Row],[Info sting]])),Municipality[Municipality],""))</f>
        <v/>
      </c>
      <c r="O507" s="35"/>
      <c r="Q507" s="1" t="str">
        <f>_xlfn.TEXTJOIN("",TRUE,El_unit[[#This Row],[Exact]],El_unit[[#This Row],[Exact+n]],El_unit[[#This Row],[Copilot]])</f>
        <v>Haapajärvi</v>
      </c>
    </row>
    <row r="508" spans="1:17">
      <c r="A508" s="54" t="s">
        <v>380</v>
      </c>
      <c r="B508" s="22" t="s">
        <v>381</v>
      </c>
      <c r="C508" s="107" t="str" cm="1">
        <f t="array" ref="C508">" "&amp;LOWER(_xlfn.REDUCE(El_unit[[#This Row],[Location]],{",",".","(",")","/"},_xlfn.LAMBDA(_xlpm.txt,_xlpm.delim,SUBSTITUTE(_xlpm.txt,_xlpm.delim," "))))&amp;" "</f>
        <v xml:space="preserve"> värnå 1  värnå 2 </v>
      </c>
      <c r="D508" s="22" t="s">
        <v>3064</v>
      </c>
      <c r="E508" s="1">
        <v>1.2</v>
      </c>
      <c r="F508" s="1">
        <v>0</v>
      </c>
      <c r="G508" s="1">
        <v>0</v>
      </c>
      <c r="H508" s="1">
        <v>1.2</v>
      </c>
      <c r="L508" s="1" t="str" cm="1">
        <f t="array" ref="L508">_xlfn.XLOOKUP(TRUE,ISNUMBER(SEARCH(" "&amp;Municipality[Municipality]&amp;" ",El_unit[[#This Row],[Info sting]])),Municipality[Municipality],"")</f>
        <v/>
      </c>
      <c r="M508" s="1" t="str" cm="1">
        <f t="array" ref="M508">IF(El_unit[[#This Row],[Exact]]&lt;&gt;"","",_xlfn.XLOOKUP(TRUE,ISNUMBER(SEARCH(" "&amp;Municipality[Municipality]&amp;"n ",El_unit[[#This Row],[Info sting]])),Municipality[Municipality],""))</f>
        <v/>
      </c>
      <c r="N508" s="1" t="s">
        <v>2712</v>
      </c>
      <c r="O508" s="35" t="s">
        <v>3126</v>
      </c>
      <c r="P508" s="1" t="s">
        <v>3127</v>
      </c>
      <c r="Q508" s="1" t="str">
        <f>_xlfn.TEXTJOIN("",TRUE,El_unit[[#This Row],[Exact]],El_unit[[#This Row],[Exact+n]],El_unit[[#This Row],[Copilot]])</f>
        <v>Pedersören kunta</v>
      </c>
    </row>
    <row r="509" spans="1:17">
      <c r="A509" s="54" t="s">
        <v>659</v>
      </c>
      <c r="B509" s="22" t="s">
        <v>659</v>
      </c>
      <c r="C509" s="107" t="str" cm="1">
        <f t="array" ref="C509">" "&amp;LOWER(_xlfn.REDUCE(El_unit[[#This Row],[Location]],{",",".","(",")","/"},_xlfn.LAMBDA(_xlpm.txt,_xlpm.delim,SUBSTITUTE(_xlpm.txt,_xlpm.delim," "))))&amp;" "</f>
        <v xml:space="preserve"> västervik </v>
      </c>
      <c r="D509" s="22" t="s">
        <v>3066</v>
      </c>
      <c r="E509" s="1">
        <v>55.8</v>
      </c>
      <c r="F509" s="1">
        <v>0</v>
      </c>
      <c r="G509" s="1">
        <v>0</v>
      </c>
      <c r="H509" s="1">
        <v>55.8</v>
      </c>
      <c r="L509" s="1" t="str" cm="1">
        <f t="array" ref="L509">_xlfn.XLOOKUP(TRUE,ISNUMBER(SEARCH(" "&amp;Municipality[Municipality]&amp;" ",El_unit[[#This Row],[Info sting]])),Municipality[Municipality],"")</f>
        <v/>
      </c>
      <c r="M509" s="1" t="str" cm="1">
        <f t="array" ref="M509">IF(El_unit[[#This Row],[Exact]]&lt;&gt;"","",_xlfn.XLOOKUP(TRUE,ISNUMBER(SEARCH(" "&amp;Municipality[Municipality]&amp;"n ",El_unit[[#This Row],[Info sting]])),Municipality[Municipality],""))</f>
        <v/>
      </c>
      <c r="O509" s="35"/>
      <c r="Q509" s="1" t="str">
        <f>_xlfn.TEXTJOIN("",TRUE,El_unit[[#This Row],[Exact]],El_unit[[#This Row],[Exact+n]],El_unit[[#This Row],[Copilot]])</f>
        <v/>
      </c>
    </row>
    <row r="510" spans="1:17">
      <c r="A510" s="54" t="s">
        <v>382</v>
      </c>
      <c r="B510" s="22" t="s">
        <v>383</v>
      </c>
      <c r="C510" s="107" t="str" cm="1">
        <f t="array" ref="C510">" "&amp;LOWER(_xlfn.REDUCE(El_unit[[#This Row],[Location]],{",",".","(",")","/"},_xlfn.LAMBDA(_xlpm.txt,_xlpm.delim,SUBSTITUTE(_xlpm.txt,_xlpm.delim," "))))&amp;" "</f>
        <v xml:space="preserve"> tohmajärvi  vääräkoski </v>
      </c>
      <c r="D510" s="22" t="s">
        <v>3064</v>
      </c>
      <c r="E510" s="1">
        <v>1.8</v>
      </c>
      <c r="F510" s="1">
        <v>0</v>
      </c>
      <c r="G510" s="1">
        <v>0</v>
      </c>
      <c r="H510" s="1">
        <v>1.8</v>
      </c>
      <c r="L510" s="1" t="str" cm="1">
        <f t="array" ref="L510">_xlfn.XLOOKUP(TRUE,ISNUMBER(SEARCH(" "&amp;Municipality[Municipality]&amp;" ",El_unit[[#This Row],[Info sting]])),Municipality[Municipality],"")</f>
        <v>Tohmajärvi</v>
      </c>
      <c r="M510" s="1" t="str" cm="1">
        <f t="array" ref="M510">IF(El_unit[[#This Row],[Exact]]&lt;&gt;"","",_xlfn.XLOOKUP(TRUE,ISNUMBER(SEARCH(" "&amp;Municipality[Municipality]&amp;"n ",El_unit[[#This Row],[Info sting]])),Municipality[Municipality],""))</f>
        <v/>
      </c>
      <c r="O510" s="35"/>
      <c r="Q510" s="1" t="str">
        <f>_xlfn.TEXTJOIN("",TRUE,El_unit[[#This Row],[Exact]],El_unit[[#This Row],[Exact+n]],El_unit[[#This Row],[Copilot]])</f>
        <v>Tohmajärvi</v>
      </c>
    </row>
    <row r="511" spans="1:17">
      <c r="A511" s="54" t="s">
        <v>660</v>
      </c>
      <c r="B511" s="22" t="s">
        <v>812</v>
      </c>
      <c r="C511" s="107" t="str" cm="1">
        <f t="array" ref="C511">" "&amp;LOWER(_xlfn.REDUCE(El_unit[[#This Row],[Location]],{",",".","(",")","/"},_xlfn.LAMBDA(_xlpm.txt,_xlpm.delim,SUBSTITUTE(_xlpm.txt,_xlpm.delim," "))))&amp;" "</f>
        <v xml:space="preserve"> norinkylä teuva kurikka </v>
      </c>
      <c r="D511" s="22" t="s">
        <v>3066</v>
      </c>
      <c r="E511" s="1">
        <v>37.800000000000004</v>
      </c>
      <c r="F511" s="1">
        <v>0</v>
      </c>
      <c r="G511" s="1">
        <v>0</v>
      </c>
      <c r="H511" s="1">
        <v>37.800000000000004</v>
      </c>
      <c r="L511" s="1" t="str" cm="1">
        <f t="array" ref="L511">_xlfn.XLOOKUP(TRUE,ISNUMBER(SEARCH(" "&amp;Municipality[Municipality]&amp;" ",El_unit[[#This Row],[Info sting]])),Municipality[Municipality],"")</f>
        <v>Kurikka</v>
      </c>
      <c r="M511" s="1" t="str" cm="1">
        <f t="array" ref="M511">IF(El_unit[[#This Row],[Exact]]&lt;&gt;"","",_xlfn.XLOOKUP(TRUE,ISNUMBER(SEARCH(" "&amp;Municipality[Municipality]&amp;"n ",El_unit[[#This Row],[Info sting]])),Municipality[Municipality],""))</f>
        <v/>
      </c>
      <c r="O511" s="35"/>
      <c r="Q511" s="1" t="str">
        <f>_xlfn.TEXTJOIN("",TRUE,El_unit[[#This Row],[Exact]],El_unit[[#This Row],[Exact+n]],El_unit[[#This Row],[Copilot]])</f>
        <v>Kurikka</v>
      </c>
    </row>
    <row r="512" spans="1:17">
      <c r="A512" s="54" t="s">
        <v>661</v>
      </c>
      <c r="B512" s="22" t="s">
        <v>813</v>
      </c>
      <c r="C512" s="107" t="str" cm="1">
        <f t="array" ref="C512">" "&amp;LOWER(_xlfn.REDUCE(El_unit[[#This Row],[Location]],{",",".","(",")","/"},_xlfn.LAMBDA(_xlpm.txt,_xlpm.delim,SUBSTITUTE(_xlpm.txt,_xlpm.delim," "))))&amp;" "</f>
        <v xml:space="preserve"> myrgrundintie 346 b  65410 vaasa </v>
      </c>
      <c r="D512" s="22" t="s">
        <v>3066</v>
      </c>
      <c r="E512" s="1">
        <v>3.6</v>
      </c>
      <c r="F512" s="1">
        <v>0</v>
      </c>
      <c r="G512" s="1">
        <v>0</v>
      </c>
      <c r="H512" s="1">
        <v>3.6</v>
      </c>
      <c r="L512" s="1" t="str" cm="1">
        <f t="array" ref="L512">_xlfn.XLOOKUP(TRUE,ISNUMBER(SEARCH(" "&amp;Municipality[Municipality]&amp;" ",El_unit[[#This Row],[Info sting]])),Municipality[Municipality],"")</f>
        <v>Vaasa</v>
      </c>
      <c r="M512" s="1" t="str" cm="1">
        <f t="array" ref="M512">IF(El_unit[[#This Row],[Exact]]&lt;&gt;"","",_xlfn.XLOOKUP(TRUE,ISNUMBER(SEARCH(" "&amp;Municipality[Municipality]&amp;"n ",El_unit[[#This Row],[Info sting]])),Municipality[Municipality],""))</f>
        <v/>
      </c>
      <c r="O512" s="35"/>
      <c r="Q512" s="1" t="str">
        <f>_xlfn.TEXTJOIN("",TRUE,El_unit[[#This Row],[Exact]],El_unit[[#This Row],[Exact+n]],El_unit[[#This Row],[Copilot]])</f>
        <v>Vaasa</v>
      </c>
    </row>
    <row r="513" spans="1:17">
      <c r="A513" s="54" t="s">
        <v>662</v>
      </c>
      <c r="B513" s="22" t="s">
        <v>662</v>
      </c>
      <c r="C513" s="107" t="str" cm="1">
        <f t="array" ref="C513">" "&amp;LOWER(_xlfn.REDUCE(El_unit[[#This Row],[Location]],{",",".","(",")","/"},_xlfn.LAMBDA(_xlpm.txt,_xlpm.delim,SUBSTITUTE(_xlpm.txt,_xlpm.delim," "))))&amp;" "</f>
        <v xml:space="preserve"> waskiluoto validation center </v>
      </c>
      <c r="D513" s="22" t="s">
        <v>3068</v>
      </c>
      <c r="E513" s="1">
        <v>5.5</v>
      </c>
      <c r="F513" s="1">
        <v>0</v>
      </c>
      <c r="G513" s="1">
        <v>0</v>
      </c>
      <c r="H513" s="1">
        <v>5.5</v>
      </c>
      <c r="I513" s="1" t="s">
        <v>1017</v>
      </c>
      <c r="J513" s="1" t="s">
        <v>1017</v>
      </c>
      <c r="K513" s="1" t="s">
        <v>1020</v>
      </c>
      <c r="L513" s="1" t="str" cm="1">
        <f t="array" ref="L513">_xlfn.XLOOKUP(TRUE,ISNUMBER(SEARCH(" "&amp;Municipality[Municipality]&amp;" ",El_unit[[#This Row],[Info sting]])),Municipality[Municipality],"")</f>
        <v/>
      </c>
      <c r="M513" s="1" t="str" cm="1">
        <f t="array" ref="M513">IF(El_unit[[#This Row],[Exact]]&lt;&gt;"","",_xlfn.XLOOKUP(TRUE,ISNUMBER(SEARCH(" "&amp;Municipality[Municipality]&amp;"n ",El_unit[[#This Row],[Info sting]])),Municipality[Municipality],""))</f>
        <v/>
      </c>
      <c r="O513" s="35"/>
      <c r="Q513" s="1" t="str">
        <f>_xlfn.TEXTJOIN("",TRUE,El_unit[[#This Row],[Exact]],El_unit[[#This Row],[Exact+n]],El_unit[[#This Row],[Copilot]])</f>
        <v/>
      </c>
    </row>
    <row r="514" spans="1:17">
      <c r="A514" s="54" t="s">
        <v>1087</v>
      </c>
      <c r="B514" s="22" t="s">
        <v>1124</v>
      </c>
      <c r="C514" s="107" t="str" cm="1">
        <f t="array" ref="C514">" "&amp;LOWER(_xlfn.REDUCE(El_unit[[#This Row],[Location]],{",",".","(",")","/"},_xlfn.LAMBDA(_xlpm.txt,_xlpm.delim,SUBSTITUTE(_xlpm.txt,_xlpm.delim," "))))&amp;" "</f>
        <v xml:space="preserve"> energiatie 37  66530 koivulahti </v>
      </c>
      <c r="D514" s="22" t="s">
        <v>3067</v>
      </c>
      <c r="E514" s="1">
        <v>0</v>
      </c>
      <c r="F514" s="1">
        <v>0</v>
      </c>
      <c r="G514" s="1">
        <v>13.2</v>
      </c>
      <c r="H514" s="1">
        <v>13.2</v>
      </c>
      <c r="I514" s="1" t="s">
        <v>1019</v>
      </c>
      <c r="L514" s="1" t="str" cm="1">
        <f t="array" ref="L514">_xlfn.XLOOKUP(TRUE,ISNUMBER(SEARCH(" "&amp;Municipality[Municipality]&amp;" ",El_unit[[#This Row],[Info sting]])),Municipality[Municipality],"")</f>
        <v/>
      </c>
      <c r="M514" s="1" t="str" cm="1">
        <f t="array" ref="M514">IF(El_unit[[#This Row],[Exact]]&lt;&gt;"","",_xlfn.XLOOKUP(TRUE,ISNUMBER(SEARCH(" "&amp;Municipality[Municipality]&amp;"n ",El_unit[[#This Row],[Info sting]])),Municipality[Municipality],""))</f>
        <v/>
      </c>
      <c r="O514" s="35"/>
      <c r="Q514" s="1" t="str">
        <f>_xlfn.TEXTJOIN("",TRUE,El_unit[[#This Row],[Exact]],El_unit[[#This Row],[Exact+n]],El_unit[[#This Row],[Copilot]])</f>
        <v/>
      </c>
    </row>
    <row r="515" spans="1:17">
      <c r="A515" s="54" t="s">
        <v>663</v>
      </c>
      <c r="B515" s="22" t="s">
        <v>814</v>
      </c>
      <c r="C515" s="107" t="str" cm="1">
        <f t="array" ref="C515">" "&amp;LOWER(_xlfn.REDUCE(El_unit[[#This Row],[Location]],{",",".","(",")","/"},_xlfn.LAMBDA(_xlpm.txt,_xlpm.delim,SUBSTITUTE(_xlpm.txt,_xlpm.delim," "))))&amp;" "</f>
        <v xml:space="preserve"> wärtsilä engine laboratory </v>
      </c>
      <c r="D515" s="22" t="s">
        <v>3068</v>
      </c>
      <c r="E515" s="1">
        <v>10.4</v>
      </c>
      <c r="F515" s="1">
        <v>0</v>
      </c>
      <c r="G515" s="1">
        <v>0</v>
      </c>
      <c r="H515" s="1">
        <v>10.4</v>
      </c>
      <c r="I515" s="1" t="s">
        <v>1017</v>
      </c>
      <c r="J515" s="1" t="s">
        <v>1017</v>
      </c>
      <c r="K515" s="1" t="s">
        <v>1020</v>
      </c>
      <c r="L515" s="1" t="str" cm="1">
        <f t="array" ref="L515">_xlfn.XLOOKUP(TRUE,ISNUMBER(SEARCH(" "&amp;Municipality[Municipality]&amp;" ",El_unit[[#This Row],[Info sting]])),Municipality[Municipality],"")</f>
        <v/>
      </c>
      <c r="M515" s="1" t="str" cm="1">
        <f t="array" ref="M515">IF(El_unit[[#This Row],[Exact]]&lt;&gt;"","",_xlfn.XLOOKUP(TRUE,ISNUMBER(SEARCH(" "&amp;Municipality[Municipality]&amp;"n ",El_unit[[#This Row],[Info sting]])),Municipality[Municipality],""))</f>
        <v/>
      </c>
      <c r="O515" s="35"/>
      <c r="Q515" s="1" t="str">
        <f>_xlfn.TEXTJOIN("",TRUE,El_unit[[#This Row],[Exact]],El_unit[[#This Row],[Exact+n]],El_unit[[#This Row],[Copilot]])</f>
        <v/>
      </c>
    </row>
    <row r="516" spans="1:17">
      <c r="A516" s="54" t="s">
        <v>664</v>
      </c>
      <c r="B516" s="22" t="s">
        <v>664</v>
      </c>
      <c r="C516" s="107" t="str" cm="1">
        <f t="array" ref="C516">" "&amp;LOWER(_xlfn.REDUCE(El_unit[[#This Row],[Location]],{",",".","(",")","/"},_xlfn.LAMBDA(_xlpm.txt,_xlpm.delim,SUBSTITUTE(_xlpm.txt,_xlpm.delim," "))))&amp;" "</f>
        <v xml:space="preserve"> ykspihlaja wind oy </v>
      </c>
      <c r="D516" s="22" t="s">
        <v>3066</v>
      </c>
      <c r="E516" s="1">
        <v>14.4</v>
      </c>
      <c r="F516" s="1">
        <v>0</v>
      </c>
      <c r="G516" s="1">
        <v>0</v>
      </c>
      <c r="H516" s="1">
        <v>14.4</v>
      </c>
      <c r="L516" s="1" t="str" cm="1">
        <f t="array" ref="L516">_xlfn.XLOOKUP(TRUE,ISNUMBER(SEARCH(" "&amp;Municipality[Municipality]&amp;" ",El_unit[[#This Row],[Info sting]])),Municipality[Municipality],"")</f>
        <v/>
      </c>
      <c r="M516" s="1" t="str" cm="1">
        <f t="array" ref="M516">IF(El_unit[[#This Row],[Exact]]&lt;&gt;"","",_xlfn.XLOOKUP(TRUE,ISNUMBER(SEARCH(" "&amp;Municipality[Municipality]&amp;"n ",El_unit[[#This Row],[Info sting]])),Municipality[Municipality],""))</f>
        <v/>
      </c>
      <c r="O516" s="35"/>
      <c r="Q516" s="1" t="str">
        <f>_xlfn.TEXTJOIN("",TRUE,El_unit[[#This Row],[Exact]],El_unit[[#This Row],[Exact+n]],El_unit[[#This Row],[Copilot]])</f>
        <v/>
      </c>
    </row>
    <row r="517" spans="1:17">
      <c r="A517" s="54" t="s">
        <v>1088</v>
      </c>
      <c r="B517" s="22" t="s">
        <v>1125</v>
      </c>
      <c r="C517" s="107" t="str" cm="1">
        <f t="array" ref="C517">" "&amp;LOWER(_xlfn.REDUCE(El_unit[[#This Row],[Location]],{",",".","(",")","/"},_xlfn.LAMBDA(_xlpm.txt,_xlpm.delim,SUBSTITUTE(_xlpm.txt,_xlpm.delim," "))))&amp;" "</f>
        <v xml:space="preserve"> tulolantien voimalaitos  ylivieska  vieskan voima </v>
      </c>
      <c r="D517" s="22" t="s">
        <v>3067</v>
      </c>
      <c r="E517" s="1">
        <v>0</v>
      </c>
      <c r="F517" s="1">
        <v>0</v>
      </c>
      <c r="G517" s="1">
        <v>6.2</v>
      </c>
      <c r="H517" s="1">
        <v>6.2</v>
      </c>
      <c r="I517" s="1" t="s">
        <v>1015</v>
      </c>
      <c r="L517" s="1" t="str" cm="1">
        <f t="array" ref="L517">_xlfn.XLOOKUP(TRUE,ISNUMBER(SEARCH(" "&amp;Municipality[Municipality]&amp;" ",El_unit[[#This Row],[Info sting]])),Municipality[Municipality],"")</f>
        <v>Ylivieska</v>
      </c>
      <c r="M517" s="1" t="str" cm="1">
        <f t="array" ref="M517">IF(El_unit[[#This Row],[Exact]]&lt;&gt;"","",_xlfn.XLOOKUP(TRUE,ISNUMBER(SEARCH(" "&amp;Municipality[Municipality]&amp;"n ",El_unit[[#This Row],[Info sting]])),Municipality[Municipality],""))</f>
        <v/>
      </c>
      <c r="O517" s="35"/>
      <c r="Q517" s="1" t="str">
        <f>_xlfn.TEXTJOIN("",TRUE,El_unit[[#This Row],[Exact]],El_unit[[#This Row],[Exact+n]],El_unit[[#This Row],[Copilot]])</f>
        <v>Ylivieska</v>
      </c>
    </row>
    <row r="518" spans="1:17">
      <c r="A518" s="54" t="s">
        <v>384</v>
      </c>
      <c r="B518" s="22" t="s">
        <v>385</v>
      </c>
      <c r="C518" s="107" t="str" cm="1">
        <f t="array" ref="C518">" "&amp;LOWER(_xlfn.REDUCE(El_unit[[#This Row],[Location]],{",",".","(",")","/"},_xlfn.LAMBDA(_xlpm.txt,_xlpm.delim,SUBSTITUTE(_xlpm.txt,_xlpm.delim," "))))&amp;" "</f>
        <v xml:space="preserve"> åminnefors  pohja </v>
      </c>
      <c r="D518" s="22" t="s">
        <v>3064</v>
      </c>
      <c r="E518" s="1">
        <v>1</v>
      </c>
      <c r="F518" s="1">
        <v>0</v>
      </c>
      <c r="G518" s="1">
        <v>0</v>
      </c>
      <c r="H518" s="1">
        <v>1</v>
      </c>
      <c r="L518" s="1" t="str" cm="1">
        <f t="array" ref="L518">_xlfn.XLOOKUP(TRUE,ISNUMBER(SEARCH(" "&amp;Municipality[Municipality]&amp;" ",El_unit[[#This Row],[Info sting]])),Municipality[Municipality],"")</f>
        <v>Pohja</v>
      </c>
      <c r="M518" s="1" t="str" cm="1">
        <f t="array" ref="M518">IF(El_unit[[#This Row],[Exact]]&lt;&gt;"","",_xlfn.XLOOKUP(TRUE,ISNUMBER(SEARCH(" "&amp;Municipality[Municipality]&amp;"n ",El_unit[[#This Row],[Info sting]])),Municipality[Municipality],""))</f>
        <v/>
      </c>
      <c r="O518" s="35"/>
      <c r="Q518" s="1" t="str">
        <f>_xlfn.TEXTJOIN("",TRUE,El_unit[[#This Row],[Exact]],El_unit[[#This Row],[Exact+n]],El_unit[[#This Row],[Copilot]])</f>
        <v>Pohja</v>
      </c>
    </row>
    <row r="519" spans="1:17">
      <c r="A519" s="54" t="s">
        <v>386</v>
      </c>
      <c r="B519" s="22" t="s">
        <v>386</v>
      </c>
      <c r="C519" s="107" t="str" cm="1">
        <f t="array" ref="C519">" "&amp;LOWER(_xlfn.REDUCE(El_unit[[#This Row],[Location]],{",",".","(",")","/"},_xlfn.LAMBDA(_xlpm.txt,_xlpm.delim,SUBSTITUTE(_xlpm.txt,_xlpm.delim," "))))&amp;" "</f>
        <v xml:space="preserve"> äetsä </v>
      </c>
      <c r="D519" s="22" t="s">
        <v>3064</v>
      </c>
      <c r="E519" s="1">
        <v>19.7</v>
      </c>
      <c r="F519" s="1">
        <v>0</v>
      </c>
      <c r="G519" s="1">
        <v>0</v>
      </c>
      <c r="H519" s="1">
        <v>19.7</v>
      </c>
      <c r="L519" s="1" t="str" cm="1">
        <f t="array" ref="L519">_xlfn.XLOOKUP(TRUE,ISNUMBER(SEARCH(" "&amp;Municipality[Municipality]&amp;" ",El_unit[[#This Row],[Info sting]])),Municipality[Municipality],"")</f>
        <v>Äetsä</v>
      </c>
      <c r="M519" s="1" t="str" cm="1">
        <f t="array" ref="M519">IF(El_unit[[#This Row],[Exact]]&lt;&gt;"","",_xlfn.XLOOKUP(TRUE,ISNUMBER(SEARCH(" "&amp;Municipality[Municipality]&amp;"n ",El_unit[[#This Row],[Info sting]])),Municipality[Municipality],""))</f>
        <v/>
      </c>
      <c r="O519" s="35"/>
      <c r="Q519" s="1" t="str">
        <f>_xlfn.TEXTJOIN("",TRUE,El_unit[[#This Row],[Exact]],El_unit[[#This Row],[Exact+n]],El_unit[[#This Row],[Copilot]])</f>
        <v>Äetsä</v>
      </c>
    </row>
    <row r="520" spans="1:17">
      <c r="A520" s="54" t="s">
        <v>387</v>
      </c>
      <c r="B520" s="22" t="s">
        <v>387</v>
      </c>
      <c r="C520" s="107" t="str" cm="1">
        <f t="array" ref="C520">" "&amp;LOWER(_xlfn.REDUCE(El_unit[[#This Row],[Location]],{",",".","(",")","/"},_xlfn.LAMBDA(_xlpm.txt,_xlpm.delim,SUBSTITUTE(_xlpm.txt,_xlpm.delim," "))))&amp;" "</f>
        <v xml:space="preserve"> ämmä </v>
      </c>
      <c r="D520" s="22" t="s">
        <v>3064</v>
      </c>
      <c r="E520" s="1">
        <v>14</v>
      </c>
      <c r="F520" s="1">
        <v>0</v>
      </c>
      <c r="G520" s="1">
        <v>0</v>
      </c>
      <c r="H520" s="1">
        <v>14</v>
      </c>
      <c r="L520" s="1" t="str" cm="1">
        <f t="array" ref="L520">_xlfn.XLOOKUP(TRUE,ISNUMBER(SEARCH(" "&amp;Municipality[Municipality]&amp;" ",El_unit[[#This Row],[Info sting]])),Municipality[Municipality],"")</f>
        <v/>
      </c>
      <c r="M520" s="1" t="str" cm="1">
        <f t="array" ref="M520">IF(El_unit[[#This Row],[Exact]]&lt;&gt;"","",_xlfn.XLOOKUP(TRUE,ISNUMBER(SEARCH(" "&amp;Municipality[Municipality]&amp;"n ",El_unit[[#This Row],[Info sting]])),Municipality[Municipality],""))</f>
        <v/>
      </c>
      <c r="N520" s="1" t="s">
        <v>2789</v>
      </c>
      <c r="O520" s="35" t="s">
        <v>3134</v>
      </c>
      <c r="Q520" s="1" t="str">
        <f>_xlfn.TEXTJOIN("",TRUE,El_unit[[#This Row],[Exact]],El_unit[[#This Row],[Exact+n]],El_unit[[#This Row],[Copilot]])</f>
        <v>Suomussalmi</v>
      </c>
    </row>
    <row r="521" spans="1:17">
      <c r="A521" s="54" t="s">
        <v>388</v>
      </c>
      <c r="B521" s="22" t="s">
        <v>388</v>
      </c>
      <c r="C521" s="107" t="str" cm="1">
        <f t="array" ref="C521">" "&amp;LOWER(_xlfn.REDUCE(El_unit[[#This Row],[Location]],{",",".","(",")","/"},_xlfn.LAMBDA(_xlpm.txt,_xlpm.delim,SUBSTITUTE(_xlpm.txt,_xlpm.delim," "))))&amp;" "</f>
        <v xml:space="preserve"> ämmäkoski </v>
      </c>
      <c r="D521" s="22" t="s">
        <v>3064</v>
      </c>
      <c r="E521" s="1">
        <v>1.8</v>
      </c>
      <c r="F521" s="1">
        <v>0</v>
      </c>
      <c r="G521" s="1">
        <v>0</v>
      </c>
      <c r="H521" s="1">
        <v>1.8</v>
      </c>
      <c r="L521" s="1" t="str" cm="1">
        <f t="array" ref="L521">_xlfn.XLOOKUP(TRUE,ISNUMBER(SEARCH(" "&amp;Municipality[Municipality]&amp;" ",El_unit[[#This Row],[Info sting]])),Municipality[Municipality],"")</f>
        <v/>
      </c>
      <c r="M521" s="1" t="str" cm="1">
        <f t="array" ref="M521">IF(El_unit[[#This Row],[Exact]]&lt;&gt;"","",_xlfn.XLOOKUP(TRUE,ISNUMBER(SEARCH(" "&amp;Municipality[Municipality]&amp;"n ",El_unit[[#This Row],[Info sting]])),Municipality[Municipality],""))</f>
        <v/>
      </c>
      <c r="O521" s="35"/>
      <c r="Q521" s="1" t="str">
        <f>_xlfn.TEXTJOIN("",TRUE,El_unit[[#This Row],[Exact]],El_unit[[#This Row],[Exact+n]],El_unit[[#This Row],[Copilot]])</f>
        <v/>
      </c>
    </row>
    <row r="522" spans="1:17">
      <c r="A522" s="54" t="s">
        <v>1089</v>
      </c>
      <c r="B522" s="22" t="s">
        <v>1126</v>
      </c>
      <c r="C522" s="107" t="str" cm="1">
        <f t="array" ref="C522">" "&amp;LOWER(_xlfn.REDUCE(El_unit[[#This Row],[Location]],{",",".","(",")","/"},_xlfn.LAMBDA(_xlpm.txt,_xlpm.delim,SUBSTITUTE(_xlpm.txt,_xlpm.delim," "))))&amp;" "</f>
        <v xml:space="preserve"> ämmässuon jätteenkäsittelykeskus chp1 </v>
      </c>
      <c r="D522" s="22" t="s">
        <v>3067</v>
      </c>
      <c r="E522" s="1">
        <v>0</v>
      </c>
      <c r="F522" s="1">
        <v>0</v>
      </c>
      <c r="G522" s="1">
        <v>15.700000000000001</v>
      </c>
      <c r="H522" s="1">
        <v>15.700000000000001</v>
      </c>
      <c r="I522" s="1" t="s">
        <v>1033</v>
      </c>
      <c r="L522" s="1" t="str" cm="1">
        <f t="array" ref="L522">_xlfn.XLOOKUP(TRUE,ISNUMBER(SEARCH(" "&amp;Municipality[Municipality]&amp;" ",El_unit[[#This Row],[Info sting]])),Municipality[Municipality],"")</f>
        <v/>
      </c>
      <c r="M522" s="1" t="str" cm="1">
        <f t="array" ref="M522">IF(El_unit[[#This Row],[Exact]]&lt;&gt;"","",_xlfn.XLOOKUP(TRUE,ISNUMBER(SEARCH(" "&amp;Municipality[Municipality]&amp;"n ",El_unit[[#This Row],[Info sting]])),Municipality[Municipality],""))</f>
        <v/>
      </c>
      <c r="O522" s="35"/>
      <c r="Q522" s="1" t="str">
        <f>_xlfn.TEXTJOIN("",TRUE,El_unit[[#This Row],[Exact]],El_unit[[#This Row],[Exact+n]],El_unit[[#This Row],[Copilot]])</f>
        <v/>
      </c>
    </row>
    <row r="523" spans="1:17">
      <c r="A523" s="54" t="s">
        <v>1090</v>
      </c>
      <c r="B523" s="22" t="s">
        <v>1127</v>
      </c>
      <c r="C523" s="107" t="str" cm="1">
        <f t="array" ref="C523">" "&amp;LOWER(_xlfn.REDUCE(El_unit[[#This Row],[Location]],{",",".","(",")","/"},_xlfn.LAMBDA(_xlpm.txt,_xlpm.delim,SUBSTITUTE(_xlpm.txt,_xlpm.delim," "))))&amp;" "</f>
        <v xml:space="preserve"> ämmässuon jätteenkäsittelykeskus chp2 </v>
      </c>
      <c r="D523" s="22" t="s">
        <v>3067</v>
      </c>
      <c r="E523" s="1">
        <v>0</v>
      </c>
      <c r="F523" s="1">
        <v>0</v>
      </c>
      <c r="G523" s="1">
        <v>3.125</v>
      </c>
      <c r="H523" s="1">
        <v>3.125</v>
      </c>
      <c r="I523" s="1" t="s">
        <v>1033</v>
      </c>
      <c r="L523" s="1" t="str" cm="1">
        <f t="array" ref="L523">_xlfn.XLOOKUP(TRUE,ISNUMBER(SEARCH(" "&amp;Municipality[Municipality]&amp;" ",El_unit[[#This Row],[Info sting]])),Municipality[Municipality],"")</f>
        <v/>
      </c>
      <c r="M523" s="1" t="str" cm="1">
        <f t="array" ref="M523">IF(El_unit[[#This Row],[Exact]]&lt;&gt;"","",_xlfn.XLOOKUP(TRUE,ISNUMBER(SEARCH(" "&amp;Municipality[Municipality]&amp;"n ",El_unit[[#This Row],[Info sting]])),Municipality[Municipality],""))</f>
        <v/>
      </c>
      <c r="O523" s="35"/>
      <c r="Q523" s="1" t="str">
        <f>_xlfn.TEXTJOIN("",TRUE,El_unit[[#This Row],[Exact]],El_unit[[#This Row],[Exact+n]],El_unit[[#This Row],[Copilot]])</f>
        <v/>
      </c>
    </row>
    <row r="524" spans="1:17">
      <c r="A524" s="54" t="s">
        <v>961</v>
      </c>
      <c r="B524" s="22" t="s">
        <v>1011</v>
      </c>
      <c r="C524" s="107" t="str" cm="1">
        <f t="array" ref="C524">" "&amp;LOWER(_xlfn.REDUCE(El_unit[[#This Row],[Location]],{",",".","(",")","/"},_xlfn.LAMBDA(_xlpm.txt,_xlpm.delim,SUBSTITUTE(_xlpm.txt,_xlpm.delim," "))))&amp;" "</f>
        <v xml:space="preserve"> metsä fibre oy äänekosken voimalaitos </v>
      </c>
      <c r="D524" s="22" t="s">
        <v>3065</v>
      </c>
      <c r="E524" s="1">
        <v>0</v>
      </c>
      <c r="F524" s="1">
        <v>35</v>
      </c>
      <c r="G524" s="1">
        <v>0</v>
      </c>
      <c r="H524" s="1">
        <v>35</v>
      </c>
      <c r="I524" s="1" t="s">
        <v>1016</v>
      </c>
      <c r="J524" s="1" t="s">
        <v>1022</v>
      </c>
      <c r="K524" s="1" t="s">
        <v>1015</v>
      </c>
      <c r="L524" s="1" t="str" cm="1">
        <f t="array" ref="L524">_xlfn.XLOOKUP(TRUE,ISNUMBER(SEARCH(" "&amp;Municipality[Municipality]&amp;" ",El_unit[[#This Row],[Info sting]])),Municipality[Municipality],"")</f>
        <v/>
      </c>
      <c r="M524" s="1" t="str" cm="1">
        <f t="array" ref="M524">IF(El_unit[[#This Row],[Exact]]&lt;&gt;"","",_xlfn.XLOOKUP(TRUE,ISNUMBER(SEARCH(" "&amp;Municipality[Municipality]&amp;"n ",El_unit[[#This Row],[Info sting]])),Municipality[Municipality],""))</f>
        <v/>
      </c>
      <c r="N524" s="1" t="s">
        <v>2856</v>
      </c>
      <c r="O524" s="35"/>
      <c r="P524" s="1" t="s">
        <v>3100</v>
      </c>
      <c r="Q524" s="1" t="str">
        <f>_xlfn.TEXTJOIN("",TRUE,El_unit[[#This Row],[Exact]],El_unit[[#This Row],[Exact+n]],El_unit[[#This Row],[Copilot]])</f>
        <v>Äänekoski</v>
      </c>
    </row>
    <row r="525" spans="1:17">
      <c r="A525" s="54" t="s">
        <v>389</v>
      </c>
      <c r="B525" s="22" t="s">
        <v>390</v>
      </c>
      <c r="C525" s="107" t="str" cm="1">
        <f t="array" ref="C525">" "&amp;LOWER(_xlfn.REDUCE(El_unit[[#This Row],[Location]],{",",".","(",")","/"},_xlfn.LAMBDA(_xlpm.txt,_xlpm.delim,SUBSTITUTE(_xlpm.txt,_xlpm.delim," "))))&amp;" "</f>
        <v xml:space="preserve"> metsä board äänekosken vesivoimalaitos </v>
      </c>
      <c r="D525" s="22" t="s">
        <v>3064</v>
      </c>
      <c r="E525" s="1">
        <v>6</v>
      </c>
      <c r="F525" s="1">
        <v>0</v>
      </c>
      <c r="G525" s="1">
        <v>0</v>
      </c>
      <c r="H525" s="1">
        <v>6</v>
      </c>
      <c r="L525" s="1" t="str" cm="1">
        <f t="array" ref="L525">_xlfn.XLOOKUP(TRUE,ISNUMBER(SEARCH(" "&amp;Municipality[Municipality]&amp;" ",El_unit[[#This Row],[Info sting]])),Municipality[Municipality],"")</f>
        <v/>
      </c>
      <c r="M525" s="1" t="str" cm="1">
        <f t="array" ref="M525">IF(El_unit[[#This Row],[Exact]]&lt;&gt;"","",_xlfn.XLOOKUP(TRUE,ISNUMBER(SEARCH(" "&amp;Municipality[Municipality]&amp;"n ",El_unit[[#This Row],[Info sting]])),Municipality[Municipality],""))</f>
        <v/>
      </c>
      <c r="N525" s="1" t="s">
        <v>2856</v>
      </c>
      <c r="O525" s="35"/>
      <c r="P525" s="1" t="s">
        <v>3100</v>
      </c>
      <c r="Q525" s="1" t="str">
        <f>_xlfn.TEXTJOIN("",TRUE,El_unit[[#This Row],[Exact]],El_unit[[#This Row],[Exact+n]],El_unit[[#This Row],[Copilot]])</f>
        <v>Äänekoski</v>
      </c>
    </row>
    <row r="526" spans="1:17">
      <c r="A526" s="54" t="s">
        <v>962</v>
      </c>
      <c r="B526" s="22" t="s">
        <v>962</v>
      </c>
      <c r="C526" s="107" t="str" cm="1">
        <f t="array" ref="C526">" "&amp;LOWER(_xlfn.REDUCE(El_unit[[#This Row],[Location]],{",",".","(",")","/"},_xlfn.LAMBDA(_xlpm.txt,_xlpm.delim,SUBSTITUTE(_xlpm.txt,_xlpm.delim," "))))&amp;" "</f>
        <v xml:space="preserve"> äänekoski  biotuotetehdas </v>
      </c>
      <c r="D526" s="22" t="s">
        <v>3065</v>
      </c>
      <c r="E526" s="1">
        <v>0</v>
      </c>
      <c r="F526" s="1">
        <v>280</v>
      </c>
      <c r="G526" s="1">
        <v>0</v>
      </c>
      <c r="H526" s="1">
        <v>280</v>
      </c>
      <c r="I526" s="1" t="s">
        <v>1024</v>
      </c>
      <c r="L526" s="1" t="str" cm="1">
        <f t="array" ref="L526">_xlfn.XLOOKUP(TRUE,ISNUMBER(SEARCH(" "&amp;Municipality[Municipality]&amp;" ",El_unit[[#This Row],[Info sting]])),Municipality[Municipality],"")</f>
        <v>Äänekoski</v>
      </c>
      <c r="M526" s="1" t="str" cm="1">
        <f t="array" ref="M526">IF(El_unit[[#This Row],[Exact]]&lt;&gt;"","",_xlfn.XLOOKUP(TRUE,ISNUMBER(SEARCH(" "&amp;Municipality[Municipality]&amp;"n ",El_unit[[#This Row],[Info sting]])),Municipality[Municipality],""))</f>
        <v/>
      </c>
      <c r="O526" s="35"/>
      <c r="Q526" s="1" t="str">
        <f>_xlfn.TEXTJOIN("",TRUE,El_unit[[#This Row],[Exact]],El_unit[[#This Row],[Exact+n]],El_unit[[#This Row],[Copilot]])</f>
        <v>Äänekoski</v>
      </c>
    </row>
  </sheetData>
  <phoneticPr fontId="22" type="noConversion"/>
  <hyperlinks>
    <hyperlink ref="G1" r:id="rId1" display="https://energiavirasto.fi/toimitusvarmuus" xr:uid="{98E53148-813D-4FAC-AC35-C3064BC17A6F}"/>
  </hyperlinks>
  <pageMargins left="0.7" right="0.7" top="0.75" bottom="0.75" header="0.3" footer="0.3"/>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089D-9B6C-4792-ACAD-0037950CA586}">
  <sheetPr>
    <tabColor rgb="FF002060"/>
  </sheetPr>
  <dimension ref="A1:G35"/>
  <sheetViews>
    <sheetView workbookViewId="0">
      <selection activeCell="C2" sqref="C2"/>
    </sheetView>
  </sheetViews>
  <sheetFormatPr defaultColWidth="9.109375" defaultRowHeight="14.4"/>
  <cols>
    <col min="1" max="1" width="9.109375" style="1"/>
    <col min="2" max="2" width="13.6640625" style="1" bestFit="1" customWidth="1"/>
    <col min="3" max="3" width="10.44140625" style="1" bestFit="1" customWidth="1"/>
    <col min="4" max="5" width="9.109375" style="35"/>
    <col min="6" max="6" width="9.88671875" style="1" bestFit="1" customWidth="1"/>
    <col min="7" max="7" width="15" style="1" bestFit="1" customWidth="1"/>
    <col min="8" max="16384" width="9.109375" style="1"/>
  </cols>
  <sheetData>
    <row r="1" spans="1:7">
      <c r="A1" s="201" t="s">
        <v>1355</v>
      </c>
      <c r="B1" s="201" t="s">
        <v>158</v>
      </c>
      <c r="C1" s="201" t="s">
        <v>3020</v>
      </c>
      <c r="D1" s="208" t="s">
        <v>1356</v>
      </c>
      <c r="E1" s="208" t="s">
        <v>1357</v>
      </c>
      <c r="F1" s="201" t="s">
        <v>1358</v>
      </c>
      <c r="G1" s="202" t="s">
        <v>1359</v>
      </c>
    </row>
    <row r="2" spans="1:7">
      <c r="A2" s="1" t="s">
        <v>1366</v>
      </c>
      <c r="B2" s="1" t="s">
        <v>1360</v>
      </c>
      <c r="D2" s="35" t="s">
        <v>1361</v>
      </c>
      <c r="E2" s="35">
        <v>2035</v>
      </c>
      <c r="F2" s="43">
        <f>D_el!O88/1000</f>
        <v>21.316642708811258</v>
      </c>
    </row>
    <row r="3" spans="1:7">
      <c r="A3" s="1" t="s">
        <v>1216</v>
      </c>
      <c r="B3" s="1" t="s">
        <v>1360</v>
      </c>
      <c r="D3" s="35" t="s">
        <v>1361</v>
      </c>
      <c r="E3" s="35">
        <v>2035</v>
      </c>
      <c r="F3" s="43">
        <f>D_el!O89/1000</f>
        <v>20.268354776241612</v>
      </c>
    </row>
    <row r="4" spans="1:7">
      <c r="A4" s="1" t="s">
        <v>1368</v>
      </c>
      <c r="B4" s="1" t="s">
        <v>1360</v>
      </c>
      <c r="D4" s="35" t="s">
        <v>1361</v>
      </c>
      <c r="E4" s="35">
        <v>2035</v>
      </c>
      <c r="F4" s="43">
        <f>D_el!O90/1000</f>
        <v>17.24336299621908</v>
      </c>
    </row>
    <row r="5" spans="1:7">
      <c r="A5" s="1" t="s">
        <v>1367</v>
      </c>
      <c r="B5" s="1" t="s">
        <v>1360</v>
      </c>
      <c r="D5" s="35" t="s">
        <v>1361</v>
      </c>
      <c r="E5" s="35">
        <v>2035</v>
      </c>
      <c r="F5" s="43">
        <f>D_el!O91/1000</f>
        <v>12.918619449746208</v>
      </c>
    </row>
    <row r="6" spans="1:7">
      <c r="A6" s="1" t="s">
        <v>1217</v>
      </c>
      <c r="B6" s="1" t="s">
        <v>1360</v>
      </c>
      <c r="D6" s="35" t="s">
        <v>1361</v>
      </c>
      <c r="E6" s="35">
        <v>2035</v>
      </c>
      <c r="F6" s="43">
        <f>D_el!O92/1000</f>
        <v>9.2379832337915033</v>
      </c>
    </row>
    <row r="7" spans="1:7">
      <c r="A7" s="1" t="s">
        <v>1218</v>
      </c>
      <c r="B7" s="1" t="s">
        <v>1360</v>
      </c>
      <c r="D7" s="35" t="s">
        <v>1361</v>
      </c>
      <c r="E7" s="35">
        <v>2035</v>
      </c>
      <c r="F7" s="43">
        <f>D_el!O93/1000</f>
        <v>24.32943316399226</v>
      </c>
    </row>
    <row r="8" spans="1:7">
      <c r="A8" s="21" t="s">
        <v>1219</v>
      </c>
      <c r="B8" s="21" t="s">
        <v>1360</v>
      </c>
      <c r="C8" s="21"/>
      <c r="D8" s="212" t="s">
        <v>1361</v>
      </c>
      <c r="E8" s="212">
        <v>2035</v>
      </c>
      <c r="F8" s="258">
        <f>D_el!O94/1000</f>
        <v>26.561478720603613</v>
      </c>
      <c r="G8" s="21"/>
    </row>
    <row r="9" spans="1:7">
      <c r="A9" s="1" t="s">
        <v>1366</v>
      </c>
      <c r="B9" s="1" t="s">
        <v>1397</v>
      </c>
      <c r="D9" s="35" t="s">
        <v>1361</v>
      </c>
      <c r="E9" s="35">
        <v>2035</v>
      </c>
      <c r="F9" s="154">
        <f>'H2'!C35</f>
        <v>2.0138915737488277</v>
      </c>
    </row>
    <row r="10" spans="1:7">
      <c r="A10" s="1" t="s">
        <v>1216</v>
      </c>
      <c r="B10" s="1" t="s">
        <v>1397</v>
      </c>
      <c r="D10" s="35" t="s">
        <v>1361</v>
      </c>
      <c r="E10" s="35">
        <v>2035</v>
      </c>
      <c r="F10" s="154">
        <f>'H2'!C36</f>
        <v>1.6403900423905364</v>
      </c>
    </row>
    <row r="11" spans="1:7">
      <c r="A11" s="1" t="s">
        <v>1368</v>
      </c>
      <c r="B11" s="1" t="s">
        <v>1397</v>
      </c>
      <c r="D11" s="35" t="s">
        <v>1361</v>
      </c>
      <c r="E11" s="35">
        <v>2035</v>
      </c>
      <c r="F11" s="154">
        <f>'H2'!C37</f>
        <v>1.4444284643690559</v>
      </c>
    </row>
    <row r="12" spans="1:7">
      <c r="A12" s="1" t="s">
        <v>1217</v>
      </c>
      <c r="B12" s="1" t="s">
        <v>1397</v>
      </c>
      <c r="D12" s="35" t="s">
        <v>1361</v>
      </c>
      <c r="E12" s="35">
        <v>2035</v>
      </c>
      <c r="F12" s="154">
        <f>'H2'!C39</f>
        <v>0.34877451835873546</v>
      </c>
    </row>
    <row r="13" spans="1:7">
      <c r="A13" s="1" t="s">
        <v>1218</v>
      </c>
      <c r="B13" s="1" t="s">
        <v>1397</v>
      </c>
      <c r="D13" s="35" t="s">
        <v>1361</v>
      </c>
      <c r="E13" s="35">
        <v>2035</v>
      </c>
      <c r="F13" s="154">
        <f>'H2'!C40</f>
        <v>2.950179920977011</v>
      </c>
    </row>
    <row r="14" spans="1:7">
      <c r="A14" s="21" t="s">
        <v>1219</v>
      </c>
      <c r="B14" s="21" t="s">
        <v>1397</v>
      </c>
      <c r="C14" s="21"/>
      <c r="D14" s="212" t="s">
        <v>1361</v>
      </c>
      <c r="E14" s="212">
        <v>2035</v>
      </c>
      <c r="F14" s="259">
        <f>'H2'!C41</f>
        <v>2.0694037179328308</v>
      </c>
      <c r="G14" s="21"/>
    </row>
    <row r="15" spans="1:7">
      <c r="A15" s="1" t="s">
        <v>1219</v>
      </c>
      <c r="B15" s="1" t="s">
        <v>1380</v>
      </c>
      <c r="C15" s="1" t="s">
        <v>80</v>
      </c>
      <c r="D15" s="35" t="s">
        <v>1361</v>
      </c>
      <c r="E15" s="35">
        <v>2035</v>
      </c>
      <c r="F15" s="154">
        <f>D_heat!K33</f>
        <v>6.8940564264295006</v>
      </c>
      <c r="G15" s="22">
        <v>0.3</v>
      </c>
    </row>
    <row r="16" spans="1:7">
      <c r="A16" s="1" t="s">
        <v>1219</v>
      </c>
      <c r="B16" s="1" t="s">
        <v>1380</v>
      </c>
      <c r="C16" s="1" t="s">
        <v>81</v>
      </c>
      <c r="D16" s="35" t="s">
        <v>1361</v>
      </c>
      <c r="E16" s="35">
        <v>2035</v>
      </c>
      <c r="F16" s="154">
        <f>D_heat!K34</f>
        <v>2.3116653064160797</v>
      </c>
      <c r="G16" s="22">
        <v>0.3</v>
      </c>
    </row>
    <row r="17" spans="1:7">
      <c r="A17" s="1" t="s">
        <v>1219</v>
      </c>
      <c r="B17" s="1" t="s">
        <v>1380</v>
      </c>
      <c r="C17" s="1" t="s">
        <v>82</v>
      </c>
      <c r="D17" s="35" t="s">
        <v>1361</v>
      </c>
      <c r="E17" s="35">
        <v>2035</v>
      </c>
      <c r="F17" s="154">
        <f>D_heat!K35</f>
        <v>1.9534342636259119</v>
      </c>
      <c r="G17" s="22">
        <v>0.3</v>
      </c>
    </row>
    <row r="18" spans="1:7">
      <c r="A18" s="1" t="s">
        <v>1217</v>
      </c>
      <c r="B18" s="1" t="s">
        <v>1380</v>
      </c>
      <c r="C18" s="1" t="s">
        <v>83</v>
      </c>
      <c r="D18" s="35" t="s">
        <v>1361</v>
      </c>
      <c r="E18" s="35">
        <v>2035</v>
      </c>
      <c r="F18" s="154">
        <f>D_heat!K36</f>
        <v>2.0619270698705732</v>
      </c>
      <c r="G18" s="22">
        <v>0.3</v>
      </c>
    </row>
    <row r="19" spans="1:7">
      <c r="A19" s="1" t="s">
        <v>1368</v>
      </c>
      <c r="B19" s="1" t="s">
        <v>1380</v>
      </c>
      <c r="C19" s="1" t="s">
        <v>84</v>
      </c>
      <c r="D19" s="35" t="s">
        <v>1361</v>
      </c>
      <c r="E19" s="35">
        <v>2035</v>
      </c>
      <c r="F19" s="154">
        <f>D_heat!K37</f>
        <v>2.2303641536293948</v>
      </c>
      <c r="G19" s="22">
        <v>0.3</v>
      </c>
    </row>
    <row r="20" spans="1:7">
      <c r="A20" s="1" t="s">
        <v>1366</v>
      </c>
      <c r="B20" s="1" t="s">
        <v>1380</v>
      </c>
      <c r="C20" s="1" t="s">
        <v>85</v>
      </c>
      <c r="D20" s="35" t="s">
        <v>1361</v>
      </c>
      <c r="E20" s="35">
        <v>2035</v>
      </c>
      <c r="F20" s="154">
        <f>D_heat!K38</f>
        <v>1.9174791297331568</v>
      </c>
      <c r="G20" s="22">
        <v>0.3</v>
      </c>
    </row>
    <row r="21" spans="1:7">
      <c r="A21" s="1" t="s">
        <v>1368</v>
      </c>
      <c r="B21" s="1" t="s">
        <v>1380</v>
      </c>
      <c r="C21" s="1" t="s">
        <v>86</v>
      </c>
      <c r="D21" s="35" t="s">
        <v>1361</v>
      </c>
      <c r="E21" s="35">
        <v>2035</v>
      </c>
      <c r="F21" s="154">
        <f>D_heat!K39</f>
        <v>1.2125035647713862</v>
      </c>
      <c r="G21" s="22">
        <v>0.3</v>
      </c>
    </row>
    <row r="22" spans="1:7">
      <c r="A22" s="1" t="s">
        <v>1366</v>
      </c>
      <c r="B22" s="1" t="s">
        <v>1380</v>
      </c>
      <c r="D22" s="35" t="s">
        <v>1361</v>
      </c>
      <c r="E22" s="35">
        <v>2035</v>
      </c>
      <c r="F22" s="154">
        <f>D_heat!K40</f>
        <v>2.2351716332909808</v>
      </c>
      <c r="G22" s="22">
        <v>0.3</v>
      </c>
    </row>
    <row r="23" spans="1:7">
      <c r="A23" s="1" t="s">
        <v>1216</v>
      </c>
      <c r="B23" s="1" t="s">
        <v>1380</v>
      </c>
      <c r="D23" s="35" t="s">
        <v>1361</v>
      </c>
      <c r="E23" s="35">
        <v>2035</v>
      </c>
      <c r="F23" s="154">
        <f>D_heat!K41</f>
        <v>4.0792072221804618</v>
      </c>
      <c r="G23" s="22">
        <v>0.3</v>
      </c>
    </row>
    <row r="24" spans="1:7">
      <c r="A24" s="1" t="s">
        <v>1368</v>
      </c>
      <c r="B24" s="1" t="s">
        <v>1380</v>
      </c>
      <c r="D24" s="35" t="s">
        <v>1361</v>
      </c>
      <c r="E24" s="35">
        <v>2035</v>
      </c>
      <c r="F24" s="154">
        <f>D_heat!K42</f>
        <v>1.5801047190718767</v>
      </c>
      <c r="G24" s="22">
        <v>0.3</v>
      </c>
    </row>
    <row r="25" spans="1:7">
      <c r="A25" s="1" t="s">
        <v>1367</v>
      </c>
      <c r="B25" s="1" t="s">
        <v>1380</v>
      </c>
      <c r="D25" s="35" t="s">
        <v>1361</v>
      </c>
      <c r="E25" s="35">
        <v>2035</v>
      </c>
      <c r="F25" s="154">
        <f>D_heat!K43</f>
        <v>4.304776328366529</v>
      </c>
      <c r="G25" s="22">
        <v>0.3</v>
      </c>
    </row>
    <row r="26" spans="1:7">
      <c r="A26" s="1" t="s">
        <v>1217</v>
      </c>
      <c r="B26" s="1" t="s">
        <v>1380</v>
      </c>
      <c r="D26" s="35" t="s">
        <v>1361</v>
      </c>
      <c r="E26" s="35">
        <v>2035</v>
      </c>
      <c r="F26" s="154">
        <f>D_heat!K44</f>
        <v>2.070293606898904</v>
      </c>
      <c r="G26" s="22">
        <v>0.3</v>
      </c>
    </row>
    <row r="27" spans="1:7">
      <c r="A27" s="1" t="s">
        <v>1218</v>
      </c>
      <c r="B27" s="1" t="s">
        <v>1380</v>
      </c>
      <c r="D27" s="35" t="s">
        <v>1361</v>
      </c>
      <c r="E27" s="35">
        <v>2035</v>
      </c>
      <c r="F27" s="154">
        <f>D_heat!K45</f>
        <v>3.4130816406054429</v>
      </c>
      <c r="G27" s="22">
        <v>0.3</v>
      </c>
    </row>
    <row r="28" spans="1:7">
      <c r="A28" s="21" t="s">
        <v>1219</v>
      </c>
      <c r="B28" s="21" t="s">
        <v>1380</v>
      </c>
      <c r="C28" s="21"/>
      <c r="D28" s="212" t="s">
        <v>1361</v>
      </c>
      <c r="E28" s="212">
        <v>2035</v>
      </c>
      <c r="F28" s="259">
        <f>D_heat!K46</f>
        <v>2.3626275532666536</v>
      </c>
      <c r="G28" s="23">
        <v>0.3</v>
      </c>
    </row>
    <row r="29" spans="1:7">
      <c r="A29" s="1" t="s">
        <v>1366</v>
      </c>
      <c r="B29" s="222" t="s">
        <v>1398</v>
      </c>
      <c r="C29" s="222" t="s">
        <v>1394</v>
      </c>
      <c r="D29" s="35" t="s">
        <v>1361</v>
      </c>
      <c r="E29" s="35">
        <v>2035</v>
      </c>
      <c r="F29" s="43">
        <f>D_heat!V4</f>
        <v>3.6748371915111178</v>
      </c>
    </row>
    <row r="30" spans="1:7">
      <c r="A30" s="1" t="s">
        <v>1216</v>
      </c>
      <c r="B30" s="1" t="s">
        <v>1398</v>
      </c>
      <c r="C30" s="1" t="s">
        <v>1394</v>
      </c>
      <c r="D30" s="35" t="s">
        <v>1361</v>
      </c>
      <c r="E30" s="35">
        <v>2035</v>
      </c>
      <c r="F30" s="43">
        <f>D_heat!V5</f>
        <v>2.993292397137302</v>
      </c>
    </row>
    <row r="31" spans="1:7">
      <c r="A31" s="1" t="s">
        <v>1368</v>
      </c>
      <c r="B31" s="1" t="s">
        <v>1398</v>
      </c>
      <c r="C31" s="1" t="s">
        <v>1394</v>
      </c>
      <c r="D31" s="35" t="s">
        <v>1361</v>
      </c>
      <c r="E31" s="35">
        <v>2035</v>
      </c>
      <c r="F31" s="43">
        <f>D_heat!V6</f>
        <v>2.6357126225320391</v>
      </c>
    </row>
    <row r="32" spans="1:7">
      <c r="A32" s="1" t="s">
        <v>1367</v>
      </c>
      <c r="B32" s="1" t="s">
        <v>1398</v>
      </c>
      <c r="C32" s="1" t="s">
        <v>1394</v>
      </c>
      <c r="D32" s="35" t="s">
        <v>1361</v>
      </c>
      <c r="E32" s="35">
        <v>2035</v>
      </c>
      <c r="F32" s="43">
        <f>D_heat!V7</f>
        <v>1.6403549155551191</v>
      </c>
    </row>
    <row r="33" spans="1:7">
      <c r="A33" s="1" t="s">
        <v>1217</v>
      </c>
      <c r="B33" s="1" t="s">
        <v>1398</v>
      </c>
      <c r="C33" s="1" t="s">
        <v>1394</v>
      </c>
      <c r="D33" s="35" t="s">
        <v>1361</v>
      </c>
      <c r="E33" s="35">
        <v>2035</v>
      </c>
      <c r="F33" s="43">
        <f>D_heat!V8</f>
        <v>0.63642431808293098</v>
      </c>
    </row>
    <row r="34" spans="1:7">
      <c r="A34" s="1" t="s">
        <v>1218</v>
      </c>
      <c r="B34" s="1" t="s">
        <v>1398</v>
      </c>
      <c r="C34" s="1" t="s">
        <v>1394</v>
      </c>
      <c r="D34" s="35" t="s">
        <v>1361</v>
      </c>
      <c r="E34" s="35">
        <v>2035</v>
      </c>
      <c r="F34" s="43">
        <f>D_heat!V9</f>
        <v>5.3833240262654733</v>
      </c>
    </row>
    <row r="35" spans="1:7">
      <c r="A35" s="21" t="s">
        <v>1219</v>
      </c>
      <c r="B35" s="21" t="s">
        <v>1398</v>
      </c>
      <c r="C35" s="21" t="s">
        <v>1394</v>
      </c>
      <c r="D35" s="212" t="s">
        <v>1361</v>
      </c>
      <c r="E35" s="212">
        <v>2035</v>
      </c>
      <c r="F35" s="258">
        <f>D_heat!V10</f>
        <v>3.7761326607841537</v>
      </c>
      <c r="G35" s="2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74D7-2A14-4134-9AA3-2BCEBD68C535}">
  <sheetPr>
    <tabColor rgb="FF002060"/>
  </sheetPr>
  <dimension ref="A1:L51"/>
  <sheetViews>
    <sheetView workbookViewId="0">
      <pane ySplit="1" topLeftCell="A2" activePane="bottomLeft" state="frozen"/>
      <selection pane="bottomLeft" activeCell="D20" sqref="D20"/>
    </sheetView>
  </sheetViews>
  <sheetFormatPr defaultColWidth="9.109375" defaultRowHeight="14.4"/>
  <cols>
    <col min="1" max="1" width="12.6640625" style="1" bestFit="1" customWidth="1"/>
    <col min="2" max="2" width="10.6640625" style="1" bestFit="1" customWidth="1"/>
    <col min="3" max="3" width="10.33203125" style="1" bestFit="1" customWidth="1"/>
    <col min="4" max="4" width="8.33203125" style="1" bestFit="1" customWidth="1"/>
    <col min="5" max="5" width="9.109375" style="1"/>
    <col min="6" max="7" width="9.109375" style="35"/>
    <col min="8" max="8" width="10.77734375" style="1" bestFit="1" customWidth="1"/>
    <col min="9" max="16384" width="9.109375" style="1"/>
  </cols>
  <sheetData>
    <row r="1" spans="1:12">
      <c r="A1" s="203" t="s">
        <v>1399</v>
      </c>
      <c r="B1" s="203" t="s">
        <v>1400</v>
      </c>
      <c r="C1" s="203" t="s">
        <v>1401</v>
      </c>
      <c r="D1" s="203" t="s">
        <v>1402</v>
      </c>
      <c r="E1" s="204" t="s">
        <v>1362</v>
      </c>
      <c r="F1" s="210" t="s">
        <v>1363</v>
      </c>
      <c r="G1" s="211" t="s">
        <v>1357</v>
      </c>
      <c r="H1" s="205" t="s">
        <v>1381</v>
      </c>
      <c r="I1" s="205" t="s">
        <v>1364</v>
      </c>
      <c r="J1" s="205" t="s">
        <v>1365</v>
      </c>
    </row>
    <row r="2" spans="1:12">
      <c r="A2" s="1" t="s">
        <v>1272</v>
      </c>
      <c r="C2" s="1" t="s">
        <v>1220</v>
      </c>
      <c r="E2" s="1" t="s">
        <v>1360</v>
      </c>
      <c r="F2" s="35" t="s">
        <v>1361</v>
      </c>
      <c r="G2" s="35">
        <v>2035</v>
      </c>
      <c r="H2" s="261">
        <f>Tr_el!O5</f>
        <v>4400</v>
      </c>
      <c r="I2" s="22">
        <v>1.5</v>
      </c>
      <c r="J2" s="22">
        <v>0.01</v>
      </c>
    </row>
    <row r="3" spans="1:12">
      <c r="A3" s="1" t="s">
        <v>1383</v>
      </c>
      <c r="C3" s="1" t="s">
        <v>1225</v>
      </c>
      <c r="E3" s="1" t="s">
        <v>1360</v>
      </c>
      <c r="F3" s="35" t="s">
        <v>1361</v>
      </c>
      <c r="G3" s="35">
        <v>2035</v>
      </c>
      <c r="H3" s="261">
        <f>Tr_el!O6</f>
        <v>1700</v>
      </c>
      <c r="I3" s="22">
        <v>1.5</v>
      </c>
      <c r="J3" s="22">
        <v>0.01</v>
      </c>
    </row>
    <row r="4" spans="1:12">
      <c r="A4" s="21" t="s">
        <v>1384</v>
      </c>
      <c r="B4" s="21"/>
      <c r="C4" s="21" t="s">
        <v>1382</v>
      </c>
      <c r="D4" s="21"/>
      <c r="E4" s="21" t="s">
        <v>1360</v>
      </c>
      <c r="F4" s="212" t="s">
        <v>1361</v>
      </c>
      <c r="G4" s="212">
        <v>2035</v>
      </c>
      <c r="H4" s="262">
        <f>Tr_el!O7</f>
        <v>1716</v>
      </c>
      <c r="I4" s="23">
        <v>1.5</v>
      </c>
      <c r="J4" s="23">
        <v>0.01</v>
      </c>
    </row>
    <row r="5" spans="1:12">
      <c r="A5" s="1" t="s">
        <v>1220</v>
      </c>
      <c r="C5" s="1" t="s">
        <v>1272</v>
      </c>
      <c r="E5" s="1" t="s">
        <v>1360</v>
      </c>
      <c r="F5" s="35" t="s">
        <v>1361</v>
      </c>
      <c r="G5" s="35">
        <v>2035</v>
      </c>
      <c r="H5" s="261">
        <f>Tr_el!P5</f>
        <v>4500</v>
      </c>
      <c r="I5" s="22">
        <v>1.5</v>
      </c>
      <c r="J5" s="22">
        <v>0.01</v>
      </c>
    </row>
    <row r="6" spans="1:12">
      <c r="A6" s="1" t="s">
        <v>1225</v>
      </c>
      <c r="C6" s="1" t="s">
        <v>1383</v>
      </c>
      <c r="E6" s="1" t="s">
        <v>1360</v>
      </c>
      <c r="F6" s="35" t="s">
        <v>1361</v>
      </c>
      <c r="G6" s="35">
        <v>2035</v>
      </c>
      <c r="H6" s="261">
        <f>Tr_el!P6</f>
        <v>1700</v>
      </c>
      <c r="I6" s="22">
        <v>1.5</v>
      </c>
      <c r="J6" s="22">
        <v>0.01</v>
      </c>
    </row>
    <row r="7" spans="1:12">
      <c r="A7" s="21" t="s">
        <v>1382</v>
      </c>
      <c r="B7" s="21"/>
      <c r="C7" s="21" t="s">
        <v>1384</v>
      </c>
      <c r="D7" s="21"/>
      <c r="E7" s="21" t="s">
        <v>1360</v>
      </c>
      <c r="F7" s="212" t="s">
        <v>1361</v>
      </c>
      <c r="G7" s="212">
        <v>2035</v>
      </c>
      <c r="H7" s="262">
        <f>Tr_el!P7</f>
        <v>1716</v>
      </c>
      <c r="I7" s="23">
        <v>1.5</v>
      </c>
      <c r="J7" s="23">
        <v>0.01</v>
      </c>
    </row>
    <row r="8" spans="1:12">
      <c r="A8" s="1" t="s">
        <v>1272</v>
      </c>
      <c r="C8" s="35" t="s">
        <v>1277</v>
      </c>
      <c r="D8" s="35"/>
      <c r="E8" s="1" t="s">
        <v>1360</v>
      </c>
      <c r="F8" s="35" t="s">
        <v>1361</v>
      </c>
      <c r="G8" s="35">
        <v>2035</v>
      </c>
      <c r="H8" s="24">
        <f>Tr_el!O39</f>
        <v>3000</v>
      </c>
      <c r="I8" s="22">
        <v>1.5</v>
      </c>
      <c r="J8" s="22">
        <v>0.01</v>
      </c>
      <c r="L8" s="35"/>
    </row>
    <row r="9" spans="1:12">
      <c r="A9" s="1" t="s">
        <v>1272</v>
      </c>
      <c r="C9" s="35" t="s">
        <v>1278</v>
      </c>
      <c r="D9" s="35"/>
      <c r="E9" s="1" t="s">
        <v>1360</v>
      </c>
      <c r="F9" s="35" t="s">
        <v>1361</v>
      </c>
      <c r="G9" s="35">
        <v>2035</v>
      </c>
      <c r="H9" s="24">
        <f>Tr_el!O40</f>
        <v>2000</v>
      </c>
      <c r="I9" s="22">
        <v>1.5</v>
      </c>
      <c r="J9" s="22">
        <v>0.01</v>
      </c>
      <c r="L9" s="35"/>
    </row>
    <row r="10" spans="1:12">
      <c r="A10" s="1" t="s">
        <v>1272</v>
      </c>
      <c r="C10" s="35" t="s">
        <v>1279</v>
      </c>
      <c r="D10" s="35"/>
      <c r="E10" s="1" t="s">
        <v>1360</v>
      </c>
      <c r="F10" s="35" t="s">
        <v>1361</v>
      </c>
      <c r="G10" s="35">
        <v>2035</v>
      </c>
      <c r="H10" s="24">
        <f>Tr_el!O41</f>
        <v>1400</v>
      </c>
      <c r="I10" s="22">
        <v>1.5</v>
      </c>
      <c r="J10" s="22">
        <v>0.01</v>
      </c>
      <c r="L10" s="35"/>
    </row>
    <row r="11" spans="1:12">
      <c r="A11" s="1" t="s">
        <v>1271</v>
      </c>
      <c r="C11" s="35" t="s">
        <v>1278</v>
      </c>
      <c r="D11" s="35"/>
      <c r="E11" s="1" t="s">
        <v>1360</v>
      </c>
      <c r="F11" s="35" t="s">
        <v>1361</v>
      </c>
      <c r="G11" s="35">
        <v>2035</v>
      </c>
      <c r="H11" s="24">
        <f>Tr_el!O42</f>
        <v>6700</v>
      </c>
      <c r="I11" s="22">
        <v>1.5</v>
      </c>
      <c r="J11" s="22">
        <v>0.01</v>
      </c>
      <c r="L11" s="35"/>
    </row>
    <row r="12" spans="1:12">
      <c r="A12" s="1" t="s">
        <v>1271</v>
      </c>
      <c r="C12" s="35" t="s">
        <v>1280</v>
      </c>
      <c r="D12" s="35"/>
      <c r="E12" s="1" t="s">
        <v>1360</v>
      </c>
      <c r="F12" s="35" t="s">
        <v>1361</v>
      </c>
      <c r="G12" s="35">
        <v>2035</v>
      </c>
      <c r="H12" s="24">
        <f>Tr_el!O43</f>
        <v>2300</v>
      </c>
      <c r="I12" s="22">
        <v>1.5</v>
      </c>
      <c r="J12" s="22">
        <v>0.01</v>
      </c>
      <c r="L12" s="35"/>
    </row>
    <row r="13" spans="1:12">
      <c r="A13" s="1" t="s">
        <v>1273</v>
      </c>
      <c r="C13" s="35" t="s">
        <v>1280</v>
      </c>
      <c r="D13" s="35"/>
      <c r="E13" s="1" t="s">
        <v>1360</v>
      </c>
      <c r="F13" s="35" t="s">
        <v>1361</v>
      </c>
      <c r="G13" s="35">
        <v>2035</v>
      </c>
      <c r="H13" s="24">
        <f>Tr_el!O44</f>
        <v>3100</v>
      </c>
      <c r="I13" s="22">
        <v>1.5</v>
      </c>
      <c r="J13" s="22">
        <v>0.01</v>
      </c>
      <c r="L13" s="35"/>
    </row>
    <row r="14" spans="1:12">
      <c r="A14" s="1" t="s">
        <v>1273</v>
      </c>
      <c r="C14" s="35" t="s">
        <v>1282</v>
      </c>
      <c r="D14" s="35"/>
      <c r="E14" s="1" t="s">
        <v>1360</v>
      </c>
      <c r="F14" s="35" t="s">
        <v>1361</v>
      </c>
      <c r="G14" s="35">
        <v>2035</v>
      </c>
      <c r="H14" s="24">
        <f>Tr_el!O46</f>
        <v>1300</v>
      </c>
      <c r="I14" s="22">
        <v>1.5</v>
      </c>
      <c r="J14" s="22">
        <v>0.01</v>
      </c>
      <c r="L14" s="35"/>
    </row>
    <row r="15" spans="1:12">
      <c r="A15" s="1" t="s">
        <v>1274</v>
      </c>
      <c r="C15" s="35" t="s">
        <v>1281</v>
      </c>
      <c r="D15" s="35"/>
      <c r="E15" s="1" t="s">
        <v>1360</v>
      </c>
      <c r="F15" s="35" t="s">
        <v>1361</v>
      </c>
      <c r="G15" s="35">
        <v>2035</v>
      </c>
      <c r="H15" s="24">
        <f>Tr_el!O47</f>
        <v>1900</v>
      </c>
      <c r="I15" s="22">
        <v>1.5</v>
      </c>
      <c r="J15" s="22">
        <v>0.01</v>
      </c>
      <c r="L15" s="35"/>
    </row>
    <row r="16" spans="1:12">
      <c r="A16" s="1" t="s">
        <v>1275</v>
      </c>
      <c r="C16" s="35" t="s">
        <v>1281</v>
      </c>
      <c r="D16" s="35"/>
      <c r="E16" s="1" t="s">
        <v>1360</v>
      </c>
      <c r="F16" s="35" t="s">
        <v>1361</v>
      </c>
      <c r="G16" s="35">
        <v>2035</v>
      </c>
      <c r="H16" s="24">
        <f>Tr_el!O48</f>
        <v>300</v>
      </c>
      <c r="I16" s="22">
        <v>1.5</v>
      </c>
      <c r="J16" s="22">
        <v>0.01</v>
      </c>
      <c r="L16" s="35"/>
    </row>
    <row r="17" spans="1:12">
      <c r="A17" s="1" t="s">
        <v>1275</v>
      </c>
      <c r="C17" s="35" t="s">
        <v>1283</v>
      </c>
      <c r="D17" s="35"/>
      <c r="E17" s="1" t="s">
        <v>1360</v>
      </c>
      <c r="F17" s="35" t="s">
        <v>1361</v>
      </c>
      <c r="G17" s="35">
        <v>2035</v>
      </c>
      <c r="H17" s="24">
        <f>Tr_el!O49</f>
        <v>5900</v>
      </c>
      <c r="I17" s="22">
        <v>1.5</v>
      </c>
      <c r="J17" s="22">
        <v>0.01</v>
      </c>
      <c r="L17" s="35"/>
    </row>
    <row r="18" spans="1:12">
      <c r="A18" s="21" t="s">
        <v>1276</v>
      </c>
      <c r="B18" s="21"/>
      <c r="C18" s="212" t="s">
        <v>1283</v>
      </c>
      <c r="D18" s="212"/>
      <c r="E18" s="21" t="s">
        <v>1360</v>
      </c>
      <c r="F18" s="212" t="s">
        <v>1361</v>
      </c>
      <c r="G18" s="212">
        <v>2035</v>
      </c>
      <c r="H18" s="263">
        <f>Tr_el!O50</f>
        <v>2300</v>
      </c>
      <c r="I18" s="23">
        <v>1.5</v>
      </c>
      <c r="J18" s="23">
        <v>0.01</v>
      </c>
    </row>
    <row r="19" spans="1:12">
      <c r="A19" s="35" t="s">
        <v>1277</v>
      </c>
      <c r="B19" s="35"/>
      <c r="C19" s="1" t="s">
        <v>1272</v>
      </c>
      <c r="E19" s="1" t="s">
        <v>1360</v>
      </c>
      <c r="F19" s="35" t="s">
        <v>1361</v>
      </c>
      <c r="G19" s="35">
        <v>2035</v>
      </c>
      <c r="H19" s="24">
        <f>Tr_el!O39</f>
        <v>3000</v>
      </c>
      <c r="I19" s="22">
        <v>1.5</v>
      </c>
      <c r="J19" s="22">
        <v>0.01</v>
      </c>
    </row>
    <row r="20" spans="1:12">
      <c r="A20" s="35" t="s">
        <v>1278</v>
      </c>
      <c r="B20" s="35"/>
      <c r="C20" s="1" t="s">
        <v>1272</v>
      </c>
      <c r="E20" s="1" t="s">
        <v>1360</v>
      </c>
      <c r="F20" s="35" t="s">
        <v>1361</v>
      </c>
      <c r="G20" s="35">
        <v>2035</v>
      </c>
      <c r="H20" s="24">
        <f>Tr_el!O40</f>
        <v>2000</v>
      </c>
      <c r="I20" s="22">
        <v>1.5</v>
      </c>
      <c r="J20" s="22">
        <v>0.01</v>
      </c>
    </row>
    <row r="21" spans="1:12">
      <c r="A21" s="35" t="s">
        <v>1279</v>
      </c>
      <c r="B21" s="35"/>
      <c r="C21" s="1" t="s">
        <v>1272</v>
      </c>
      <c r="E21" s="1" t="s">
        <v>1360</v>
      </c>
      <c r="F21" s="35" t="s">
        <v>1361</v>
      </c>
      <c r="G21" s="35">
        <v>2035</v>
      </c>
      <c r="H21" s="24">
        <f>Tr_el!O41</f>
        <v>1400</v>
      </c>
      <c r="I21" s="22">
        <v>1.5</v>
      </c>
      <c r="J21" s="22">
        <v>0.01</v>
      </c>
    </row>
    <row r="22" spans="1:12">
      <c r="A22" s="35" t="s">
        <v>1278</v>
      </c>
      <c r="B22" s="35"/>
      <c r="C22" s="1" t="s">
        <v>1271</v>
      </c>
      <c r="E22" s="1" t="s">
        <v>1360</v>
      </c>
      <c r="F22" s="35" t="s">
        <v>1361</v>
      </c>
      <c r="G22" s="35">
        <v>2035</v>
      </c>
      <c r="H22" s="24">
        <f>Tr_el!O42</f>
        <v>6700</v>
      </c>
      <c r="I22" s="22">
        <v>1.5</v>
      </c>
      <c r="J22" s="22">
        <v>0.01</v>
      </c>
    </row>
    <row r="23" spans="1:12">
      <c r="A23" s="35" t="s">
        <v>1280</v>
      </c>
      <c r="B23" s="35"/>
      <c r="C23" s="1" t="s">
        <v>1271</v>
      </c>
      <c r="E23" s="1" t="s">
        <v>1360</v>
      </c>
      <c r="F23" s="35" t="s">
        <v>1361</v>
      </c>
      <c r="G23" s="35">
        <v>2035</v>
      </c>
      <c r="H23" s="24">
        <f>Tr_el!O43</f>
        <v>2300</v>
      </c>
      <c r="I23" s="22">
        <v>1.5</v>
      </c>
      <c r="J23" s="22">
        <v>0.01</v>
      </c>
    </row>
    <row r="24" spans="1:12">
      <c r="A24" s="35" t="s">
        <v>1280</v>
      </c>
      <c r="B24" s="35"/>
      <c r="C24" s="1" t="s">
        <v>1273</v>
      </c>
      <c r="E24" s="1" t="s">
        <v>1360</v>
      </c>
      <c r="F24" s="35" t="s">
        <v>1361</v>
      </c>
      <c r="G24" s="35">
        <v>2035</v>
      </c>
      <c r="H24" s="24">
        <f>Tr_el!O44</f>
        <v>3100</v>
      </c>
      <c r="I24" s="22">
        <v>1.5</v>
      </c>
      <c r="J24" s="22">
        <v>0.01</v>
      </c>
    </row>
    <row r="25" spans="1:12">
      <c r="A25" s="35" t="s">
        <v>1282</v>
      </c>
      <c r="B25" s="35"/>
      <c r="C25" s="1" t="s">
        <v>1273</v>
      </c>
      <c r="E25" s="1" t="s">
        <v>1360</v>
      </c>
      <c r="F25" s="35" t="s">
        <v>1361</v>
      </c>
      <c r="G25" s="35">
        <v>2035</v>
      </c>
      <c r="H25" s="24">
        <f>Tr_el!O46</f>
        <v>1300</v>
      </c>
      <c r="I25" s="22">
        <v>1.5</v>
      </c>
      <c r="J25" s="22">
        <v>0.01</v>
      </c>
    </row>
    <row r="26" spans="1:12">
      <c r="A26" s="35" t="s">
        <v>1281</v>
      </c>
      <c r="B26" s="35"/>
      <c r="C26" s="1" t="s">
        <v>1274</v>
      </c>
      <c r="E26" s="1" t="s">
        <v>1360</v>
      </c>
      <c r="F26" s="35" t="s">
        <v>1361</v>
      </c>
      <c r="G26" s="35">
        <v>2035</v>
      </c>
      <c r="H26" s="24">
        <f>Tr_el!O47</f>
        <v>1900</v>
      </c>
      <c r="I26" s="22">
        <v>1.5</v>
      </c>
      <c r="J26" s="22">
        <v>0.01</v>
      </c>
    </row>
    <row r="27" spans="1:12">
      <c r="A27" s="35" t="s">
        <v>1281</v>
      </c>
      <c r="B27" s="35"/>
      <c r="C27" s="1" t="s">
        <v>1275</v>
      </c>
      <c r="E27" s="1" t="s">
        <v>1360</v>
      </c>
      <c r="F27" s="35" t="s">
        <v>1361</v>
      </c>
      <c r="G27" s="35">
        <v>2035</v>
      </c>
      <c r="H27" s="24">
        <f>Tr_el!O48</f>
        <v>300</v>
      </c>
      <c r="I27" s="22">
        <v>1.5</v>
      </c>
      <c r="J27" s="22">
        <v>0.01</v>
      </c>
    </row>
    <row r="28" spans="1:12">
      <c r="A28" s="35" t="s">
        <v>1283</v>
      </c>
      <c r="B28" s="35"/>
      <c r="C28" s="1" t="s">
        <v>1275</v>
      </c>
      <c r="E28" s="1" t="s">
        <v>1360</v>
      </c>
      <c r="F28" s="35" t="s">
        <v>1361</v>
      </c>
      <c r="G28" s="35">
        <v>2035</v>
      </c>
      <c r="H28" s="24">
        <f>Tr_el!O49</f>
        <v>5900</v>
      </c>
      <c r="I28" s="22">
        <v>1.5</v>
      </c>
      <c r="J28" s="22">
        <v>0.01</v>
      </c>
    </row>
    <row r="29" spans="1:12">
      <c r="A29" s="213" t="s">
        <v>1283</v>
      </c>
      <c r="B29" s="213"/>
      <c r="C29" s="44" t="s">
        <v>1276</v>
      </c>
      <c r="D29" s="44"/>
      <c r="E29" s="44" t="s">
        <v>1360</v>
      </c>
      <c r="F29" s="213" t="s">
        <v>1361</v>
      </c>
      <c r="G29" s="213">
        <v>2035</v>
      </c>
      <c r="H29" s="264">
        <f>Tr_el!O50</f>
        <v>2300</v>
      </c>
      <c r="I29" s="260">
        <v>1.5</v>
      </c>
      <c r="J29" s="260">
        <v>0.01</v>
      </c>
    </row>
    <row r="30" spans="1:12">
      <c r="A30" s="1" t="s">
        <v>1385</v>
      </c>
      <c r="C30" s="1" t="s">
        <v>1220</v>
      </c>
      <c r="E30" s="1" t="s">
        <v>1370</v>
      </c>
      <c r="F30" s="35" t="s">
        <v>1361</v>
      </c>
      <c r="G30" s="35">
        <v>2035</v>
      </c>
      <c r="H30" s="24">
        <f>'H2'!N3</f>
        <v>7899</v>
      </c>
      <c r="I30" s="22">
        <v>1.5</v>
      </c>
      <c r="J30" s="22"/>
    </row>
    <row r="31" spans="1:12">
      <c r="A31" s="1" t="s">
        <v>1383</v>
      </c>
      <c r="C31" s="1" t="s">
        <v>1222</v>
      </c>
      <c r="E31" s="1" t="s">
        <v>1370</v>
      </c>
      <c r="F31" s="35" t="s">
        <v>1361</v>
      </c>
      <c r="G31" s="35">
        <v>2035</v>
      </c>
      <c r="H31" s="24">
        <f>'H2'!N4</f>
        <v>21000</v>
      </c>
      <c r="I31" s="22">
        <v>1.5</v>
      </c>
      <c r="J31" s="22"/>
    </row>
    <row r="32" spans="1:12">
      <c r="A32" s="21" t="s">
        <v>1384</v>
      </c>
      <c r="B32" s="21"/>
      <c r="C32" s="21" t="s">
        <v>1382</v>
      </c>
      <c r="D32" s="21"/>
      <c r="E32" s="21" t="s">
        <v>1370</v>
      </c>
      <c r="F32" s="212" t="s">
        <v>1361</v>
      </c>
      <c r="G32" s="212">
        <v>2035</v>
      </c>
      <c r="H32" s="263">
        <f>'H2'!N5</f>
        <v>8330</v>
      </c>
      <c r="I32" s="23">
        <v>1.5</v>
      </c>
      <c r="J32" s="23"/>
    </row>
    <row r="33" spans="1:10">
      <c r="A33" s="1" t="s">
        <v>1220</v>
      </c>
      <c r="C33" s="1" t="s">
        <v>1385</v>
      </c>
      <c r="E33" s="1" t="s">
        <v>1370</v>
      </c>
      <c r="F33" s="35" t="s">
        <v>1361</v>
      </c>
      <c r="G33" s="35">
        <v>2035</v>
      </c>
      <c r="H33" s="24">
        <f>'H2'!O3</f>
        <v>7546</v>
      </c>
      <c r="I33" s="22">
        <v>1.5</v>
      </c>
      <c r="J33" s="22"/>
    </row>
    <row r="34" spans="1:10">
      <c r="A34" s="1" t="s">
        <v>1222</v>
      </c>
      <c r="C34" s="1" t="s">
        <v>1383</v>
      </c>
      <c r="E34" s="1" t="s">
        <v>1370</v>
      </c>
      <c r="F34" s="35" t="s">
        <v>1361</v>
      </c>
      <c r="G34" s="35">
        <v>2035</v>
      </c>
      <c r="H34" s="24">
        <f>'H2'!O4</f>
        <v>21000</v>
      </c>
      <c r="I34" s="22">
        <v>1.5</v>
      </c>
      <c r="J34" s="22"/>
    </row>
    <row r="35" spans="1:10">
      <c r="A35" s="21" t="s">
        <v>1382</v>
      </c>
      <c r="B35" s="21"/>
      <c r="C35" s="21" t="s">
        <v>1384</v>
      </c>
      <c r="D35" s="21"/>
      <c r="E35" s="21" t="s">
        <v>1370</v>
      </c>
      <c r="F35" s="212" t="s">
        <v>1361</v>
      </c>
      <c r="G35" s="212">
        <v>2035</v>
      </c>
      <c r="H35" s="263">
        <f>'H2'!O5</f>
        <v>4205</v>
      </c>
      <c r="I35" s="23">
        <v>1.5</v>
      </c>
      <c r="J35" s="23"/>
    </row>
    <row r="36" spans="1:10">
      <c r="A36" s="1" t="s">
        <v>1385</v>
      </c>
      <c r="C36" s="1" t="s">
        <v>1386</v>
      </c>
      <c r="E36" s="1" t="s">
        <v>1370</v>
      </c>
      <c r="F36" s="35" t="s">
        <v>1361</v>
      </c>
      <c r="G36" s="35">
        <v>2035</v>
      </c>
      <c r="H36" s="24">
        <f>'H2'!N8</f>
        <v>8000</v>
      </c>
      <c r="I36" s="22">
        <v>1.5</v>
      </c>
      <c r="J36" s="22"/>
    </row>
    <row r="37" spans="1:10">
      <c r="A37" s="1" t="s">
        <v>1386</v>
      </c>
      <c r="C37" s="1" t="s">
        <v>1389</v>
      </c>
      <c r="E37" s="1" t="s">
        <v>1370</v>
      </c>
      <c r="F37" s="35" t="s">
        <v>1361</v>
      </c>
      <c r="G37" s="35">
        <v>2035</v>
      </c>
      <c r="H37" s="24">
        <f>'H2'!N9</f>
        <v>8000</v>
      </c>
      <c r="I37" s="22">
        <v>1.5</v>
      </c>
      <c r="J37" s="22"/>
    </row>
    <row r="38" spans="1:10">
      <c r="A38" s="1" t="s">
        <v>1383</v>
      </c>
      <c r="C38" s="1" t="s">
        <v>1387</v>
      </c>
      <c r="E38" s="1" t="s">
        <v>1370</v>
      </c>
      <c r="F38" s="35" t="s">
        <v>1361</v>
      </c>
      <c r="G38" s="35">
        <v>2035</v>
      </c>
      <c r="H38" s="24">
        <f>'H2'!N10</f>
        <v>8000</v>
      </c>
      <c r="I38" s="22">
        <v>1.5</v>
      </c>
      <c r="J38" s="22"/>
    </row>
    <row r="39" spans="1:10">
      <c r="A39" s="1" t="s">
        <v>1387</v>
      </c>
      <c r="C39" s="1" t="s">
        <v>1388</v>
      </c>
      <c r="E39" s="1" t="s">
        <v>1370</v>
      </c>
      <c r="F39" s="35" t="s">
        <v>1361</v>
      </c>
      <c r="G39" s="35">
        <v>2035</v>
      </c>
      <c r="H39" s="24">
        <f>'H2'!N11</f>
        <v>8000</v>
      </c>
      <c r="I39" s="22">
        <v>1.5</v>
      </c>
      <c r="J39" s="22"/>
    </row>
    <row r="40" spans="1:10">
      <c r="A40" s="21" t="s">
        <v>1388</v>
      </c>
      <c r="B40" s="21"/>
      <c r="C40" s="21" t="s">
        <v>1384</v>
      </c>
      <c r="D40" s="21"/>
      <c r="E40" s="21" t="s">
        <v>1370</v>
      </c>
      <c r="F40" s="212" t="s">
        <v>1361</v>
      </c>
      <c r="G40" s="212">
        <v>2035</v>
      </c>
      <c r="H40" s="263">
        <f>'H2'!N12</f>
        <v>8000</v>
      </c>
      <c r="I40" s="23">
        <v>1.5</v>
      </c>
      <c r="J40" s="23"/>
    </row>
    <row r="41" spans="1:10">
      <c r="A41" s="1" t="s">
        <v>1386</v>
      </c>
      <c r="C41" s="1" t="s">
        <v>1385</v>
      </c>
      <c r="E41" s="1" t="s">
        <v>1370</v>
      </c>
      <c r="F41" s="35" t="s">
        <v>1361</v>
      </c>
      <c r="G41" s="35">
        <v>2035</v>
      </c>
      <c r="H41" s="24">
        <f>'H2'!N8</f>
        <v>8000</v>
      </c>
      <c r="I41" s="22">
        <v>1.5</v>
      </c>
      <c r="J41" s="22"/>
    </row>
    <row r="42" spans="1:10">
      <c r="A42" s="1" t="s">
        <v>1389</v>
      </c>
      <c r="C42" s="1" t="s">
        <v>1386</v>
      </c>
      <c r="E42" s="1" t="s">
        <v>1370</v>
      </c>
      <c r="F42" s="35" t="s">
        <v>1361</v>
      </c>
      <c r="G42" s="35">
        <v>2035</v>
      </c>
      <c r="H42" s="24">
        <f>'H2'!N9</f>
        <v>8000</v>
      </c>
      <c r="I42" s="22">
        <v>1.5</v>
      </c>
      <c r="J42" s="22"/>
    </row>
    <row r="43" spans="1:10">
      <c r="A43" s="1" t="s">
        <v>1387</v>
      </c>
      <c r="C43" s="1" t="s">
        <v>1383</v>
      </c>
      <c r="E43" s="1" t="s">
        <v>1370</v>
      </c>
      <c r="F43" s="35" t="s">
        <v>1361</v>
      </c>
      <c r="G43" s="35">
        <v>2035</v>
      </c>
      <c r="H43" s="24">
        <f>'H2'!N10</f>
        <v>8000</v>
      </c>
      <c r="I43" s="22">
        <v>1.5</v>
      </c>
      <c r="J43" s="22"/>
    </row>
    <row r="44" spans="1:10">
      <c r="A44" s="1" t="s">
        <v>1388</v>
      </c>
      <c r="C44" s="1" t="s">
        <v>1387</v>
      </c>
      <c r="E44" s="1" t="s">
        <v>1370</v>
      </c>
      <c r="F44" s="35" t="s">
        <v>1361</v>
      </c>
      <c r="G44" s="35">
        <v>2035</v>
      </c>
      <c r="H44" s="24">
        <f>'H2'!N11</f>
        <v>8000</v>
      </c>
      <c r="I44" s="22">
        <v>1.5</v>
      </c>
      <c r="J44" s="22"/>
    </row>
    <row r="45" spans="1:10">
      <c r="A45" s="44" t="s">
        <v>1384</v>
      </c>
      <c r="B45" s="44"/>
      <c r="C45" s="44" t="s">
        <v>1388</v>
      </c>
      <c r="D45" s="44"/>
      <c r="E45" s="44" t="s">
        <v>1370</v>
      </c>
      <c r="F45" s="213" t="s">
        <v>1361</v>
      </c>
      <c r="G45" s="213">
        <v>2035</v>
      </c>
      <c r="H45" s="264">
        <f>'H2'!N12</f>
        <v>8000</v>
      </c>
      <c r="I45" s="260">
        <v>1.5</v>
      </c>
      <c r="J45" s="260"/>
    </row>
    <row r="46" spans="1:10">
      <c r="A46" s="1" t="s">
        <v>1384</v>
      </c>
      <c r="B46" s="1" t="s">
        <v>82</v>
      </c>
      <c r="C46" s="1" t="s">
        <v>1384</v>
      </c>
      <c r="D46" s="1" t="s">
        <v>80</v>
      </c>
      <c r="E46" s="1" t="s">
        <v>1380</v>
      </c>
      <c r="F46" s="35" t="s">
        <v>1361</v>
      </c>
      <c r="G46" s="35">
        <v>2035</v>
      </c>
      <c r="H46" s="22">
        <v>130</v>
      </c>
      <c r="I46" s="22">
        <v>1</v>
      </c>
      <c r="J46" s="22">
        <v>0.01</v>
      </c>
    </row>
    <row r="47" spans="1:10">
      <c r="A47" s="1" t="s">
        <v>1384</v>
      </c>
      <c r="B47" s="1" t="s">
        <v>80</v>
      </c>
      <c r="C47" s="1" t="s">
        <v>1384</v>
      </c>
      <c r="D47" s="1" t="s">
        <v>82</v>
      </c>
      <c r="E47" s="1" t="s">
        <v>1380</v>
      </c>
      <c r="F47" s="35" t="s">
        <v>1361</v>
      </c>
      <c r="G47" s="35">
        <v>2035</v>
      </c>
      <c r="H47" s="22">
        <v>130</v>
      </c>
      <c r="I47" s="22">
        <v>1</v>
      </c>
      <c r="J47" s="22">
        <v>0.01</v>
      </c>
    </row>
    <row r="48" spans="1:10">
      <c r="A48" s="1" t="s">
        <v>1384</v>
      </c>
      <c r="B48" s="1" t="s">
        <v>81</v>
      </c>
      <c r="C48" s="1" t="s">
        <v>1384</v>
      </c>
      <c r="D48" s="1" t="s">
        <v>80</v>
      </c>
      <c r="E48" s="1" t="s">
        <v>1380</v>
      </c>
      <c r="F48" s="35" t="s">
        <v>1361</v>
      </c>
      <c r="G48" s="35">
        <v>2035</v>
      </c>
      <c r="H48" s="22">
        <v>120</v>
      </c>
      <c r="I48" s="22">
        <v>1</v>
      </c>
      <c r="J48" s="22">
        <v>0.01</v>
      </c>
    </row>
    <row r="49" spans="1:10">
      <c r="A49" s="1" t="s">
        <v>1384</v>
      </c>
      <c r="B49" s="1" t="s">
        <v>80</v>
      </c>
      <c r="C49" s="1" t="s">
        <v>1384</v>
      </c>
      <c r="D49" s="1" t="s">
        <v>81</v>
      </c>
      <c r="E49" s="1" t="s">
        <v>1380</v>
      </c>
      <c r="F49" s="35" t="s">
        <v>1361</v>
      </c>
      <c r="G49" s="35">
        <v>2035</v>
      </c>
      <c r="H49" s="22">
        <v>120</v>
      </c>
      <c r="I49" s="22">
        <v>1</v>
      </c>
      <c r="J49" s="22">
        <v>0.01</v>
      </c>
    </row>
    <row r="50" spans="1:10">
      <c r="A50" s="1" t="s">
        <v>1384</v>
      </c>
      <c r="B50" s="1" t="s">
        <v>81</v>
      </c>
      <c r="C50" s="1" t="s">
        <v>1384</v>
      </c>
      <c r="D50" s="1" t="s">
        <v>82</v>
      </c>
      <c r="E50" s="1" t="s">
        <v>1380</v>
      </c>
      <c r="F50" s="35" t="s">
        <v>1361</v>
      </c>
      <c r="G50" s="35">
        <v>2035</v>
      </c>
      <c r="H50" s="22">
        <v>50</v>
      </c>
      <c r="I50" s="22">
        <v>1</v>
      </c>
      <c r="J50" s="22">
        <v>0.01</v>
      </c>
    </row>
    <row r="51" spans="1:10">
      <c r="A51" s="44" t="s">
        <v>1384</v>
      </c>
      <c r="B51" s="44" t="s">
        <v>82</v>
      </c>
      <c r="C51" s="44" t="s">
        <v>1384</v>
      </c>
      <c r="D51" s="44" t="s">
        <v>81</v>
      </c>
      <c r="E51" s="44" t="s">
        <v>1380</v>
      </c>
      <c r="F51" s="213" t="s">
        <v>1361</v>
      </c>
      <c r="G51" s="213">
        <v>2035</v>
      </c>
      <c r="H51" s="260">
        <v>50</v>
      </c>
      <c r="I51" s="260">
        <v>1</v>
      </c>
      <c r="J51" s="260">
        <v>0.01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85DF-3360-4CEE-84B6-D4486580D605}">
  <sheetPr>
    <tabColor rgb="FF002060"/>
  </sheetPr>
  <dimension ref="A1:O224"/>
  <sheetViews>
    <sheetView workbookViewId="0">
      <pane ySplit="1" topLeftCell="A44" activePane="bottomLeft" state="frozen"/>
      <selection pane="bottomLeft" activeCell="I51" sqref="I51"/>
    </sheetView>
  </sheetViews>
  <sheetFormatPr defaultColWidth="9.109375" defaultRowHeight="14.4"/>
  <cols>
    <col min="1" max="1" width="8" style="1" bestFit="1" customWidth="1"/>
    <col min="2" max="2" width="18.6640625" style="1" bestFit="1" customWidth="1"/>
    <col min="3" max="3" width="16" style="1" bestFit="1" customWidth="1"/>
    <col min="4" max="4" width="8.5546875" style="35" bestFit="1" customWidth="1"/>
    <col min="5" max="5" width="5" style="35" bestFit="1" customWidth="1"/>
    <col min="6" max="6" width="15" style="1" bestFit="1" customWidth="1"/>
    <col min="7" max="7" width="18.5546875" style="1" bestFit="1" customWidth="1"/>
    <col min="8" max="8" width="17.44140625" style="1" customWidth="1"/>
    <col min="9" max="9" width="19.88671875" style="1" bestFit="1" customWidth="1"/>
    <col min="10" max="10" width="16.33203125" style="1" bestFit="1" customWidth="1"/>
    <col min="11" max="11" width="19.88671875" style="1" bestFit="1" customWidth="1"/>
    <col min="12" max="16384" width="9.109375" style="1"/>
  </cols>
  <sheetData>
    <row r="1" spans="1:15">
      <c r="A1" s="207" t="s">
        <v>1355</v>
      </c>
      <c r="B1" s="207" t="s">
        <v>1371</v>
      </c>
      <c r="C1" s="217" t="s">
        <v>1395</v>
      </c>
      <c r="D1" s="209" t="s">
        <v>1356</v>
      </c>
      <c r="E1" s="209" t="s">
        <v>1357</v>
      </c>
      <c r="F1" s="207" t="s">
        <v>1372</v>
      </c>
      <c r="G1" s="207" t="s">
        <v>1373</v>
      </c>
      <c r="H1" s="207" t="s">
        <v>1374</v>
      </c>
      <c r="I1" s="207" t="s">
        <v>1403</v>
      </c>
      <c r="J1" s="207" t="s">
        <v>1376</v>
      </c>
      <c r="K1" s="207" t="s">
        <v>1375</v>
      </c>
      <c r="L1" s="223" t="s">
        <v>1404</v>
      </c>
      <c r="M1" s="217" t="s">
        <v>1405</v>
      </c>
      <c r="N1" s="217" t="s">
        <v>1406</v>
      </c>
      <c r="O1" s="217" t="s">
        <v>1407</v>
      </c>
    </row>
    <row r="2" spans="1:15">
      <c r="A2" s="1" t="s">
        <v>1366</v>
      </c>
      <c r="B2" s="1" t="s">
        <v>1377</v>
      </c>
      <c r="D2" s="35" t="s">
        <v>1361</v>
      </c>
      <c r="E2" s="35">
        <v>2035</v>
      </c>
      <c r="H2" s="24">
        <f>P_el1!AL15</f>
        <v>2066.3930093362978</v>
      </c>
    </row>
    <row r="3" spans="1:15">
      <c r="A3" s="1" t="s">
        <v>1216</v>
      </c>
      <c r="B3" s="1" t="s">
        <v>1377</v>
      </c>
      <c r="D3" s="35" t="s">
        <v>1361</v>
      </c>
      <c r="E3" s="35">
        <v>2035</v>
      </c>
      <c r="H3" s="24">
        <f>P_el1!AL16</f>
        <v>7869.4987055912188</v>
      </c>
    </row>
    <row r="4" spans="1:15">
      <c r="A4" s="1" t="s">
        <v>1368</v>
      </c>
      <c r="B4" s="1" t="s">
        <v>1377</v>
      </c>
      <c r="D4" s="35" t="s">
        <v>1361</v>
      </c>
      <c r="E4" s="35">
        <v>2035</v>
      </c>
      <c r="H4" s="24">
        <f>P_el1!AL17</f>
        <v>645.83508632721851</v>
      </c>
    </row>
    <row r="5" spans="1:15">
      <c r="A5" s="1" t="s">
        <v>1367</v>
      </c>
      <c r="B5" s="1" t="s">
        <v>1377</v>
      </c>
      <c r="D5" s="35" t="s">
        <v>1361</v>
      </c>
      <c r="E5" s="35">
        <v>2035</v>
      </c>
      <c r="H5" s="24">
        <f>P_el1!AL18</f>
        <v>2895.0872120404274</v>
      </c>
    </row>
    <row r="6" spans="1:15">
      <c r="A6" s="1" t="s">
        <v>1217</v>
      </c>
      <c r="B6" s="1" t="s">
        <v>1377</v>
      </c>
      <c r="D6" s="35" t="s">
        <v>1361</v>
      </c>
      <c r="E6" s="35">
        <v>2035</v>
      </c>
      <c r="H6" s="24">
        <f>P_el1!AL19</f>
        <v>2762.8604007957688</v>
      </c>
    </row>
    <row r="7" spans="1:15">
      <c r="A7" s="1" t="s">
        <v>1218</v>
      </c>
      <c r="B7" s="1" t="s">
        <v>1377</v>
      </c>
      <c r="D7" s="35" t="s">
        <v>1361</v>
      </c>
      <c r="E7" s="35">
        <v>2035</v>
      </c>
      <c r="H7" s="24">
        <f>P_el1!AL20</f>
        <v>3283.025377262361</v>
      </c>
    </row>
    <row r="8" spans="1:15">
      <c r="A8" s="1" t="s">
        <v>1219</v>
      </c>
      <c r="B8" s="1" t="s">
        <v>1377</v>
      </c>
      <c r="D8" s="35" t="s">
        <v>1361</v>
      </c>
      <c r="E8" s="35">
        <v>2035</v>
      </c>
      <c r="H8" s="24">
        <f>P_el1!AL21</f>
        <v>1747.3002086467079</v>
      </c>
    </row>
    <row r="9" spans="1:15">
      <c r="A9" s="1" t="s">
        <v>1366</v>
      </c>
      <c r="B9" s="1" t="s">
        <v>1378</v>
      </c>
      <c r="D9" s="35" t="s">
        <v>1361</v>
      </c>
      <c r="E9" s="35">
        <v>2035</v>
      </c>
      <c r="H9" s="24">
        <f>P_el1!AH15</f>
        <v>22638.197509624475</v>
      </c>
    </row>
    <row r="10" spans="1:15">
      <c r="A10" s="1" t="s">
        <v>1216</v>
      </c>
      <c r="B10" s="1" t="s">
        <v>1378</v>
      </c>
      <c r="D10" s="35" t="s">
        <v>1361</v>
      </c>
      <c r="E10" s="35">
        <v>2035</v>
      </c>
      <c r="H10" s="24">
        <f>P_el1!AH16</f>
        <v>18945.898495339359</v>
      </c>
    </row>
    <row r="11" spans="1:15">
      <c r="A11" s="1" t="s">
        <v>1368</v>
      </c>
      <c r="B11" s="1" t="s">
        <v>1378</v>
      </c>
      <c r="D11" s="35" t="s">
        <v>1361</v>
      </c>
      <c r="E11" s="35">
        <v>2035</v>
      </c>
      <c r="H11" s="24">
        <f>P_el1!AH17</f>
        <v>2004.4279610226617</v>
      </c>
    </row>
    <row r="12" spans="1:15">
      <c r="A12" s="1" t="s">
        <v>1367</v>
      </c>
      <c r="B12" s="1" t="s">
        <v>1378</v>
      </c>
      <c r="D12" s="35" t="s">
        <v>1361</v>
      </c>
      <c r="E12" s="35">
        <v>2035</v>
      </c>
      <c r="H12" s="24">
        <f>P_el1!AH18</f>
        <v>1253.0377598841774</v>
      </c>
    </row>
    <row r="13" spans="1:15">
      <c r="A13" s="1" t="s">
        <v>1217</v>
      </c>
      <c r="B13" s="1" t="s">
        <v>1378</v>
      </c>
      <c r="D13" s="35" t="s">
        <v>1361</v>
      </c>
      <c r="E13" s="35">
        <v>2035</v>
      </c>
      <c r="H13" s="24">
        <f>P_el1!AH19</f>
        <v>750.57934840344262</v>
      </c>
    </row>
    <row r="14" spans="1:15">
      <c r="A14" s="1" t="s">
        <v>1218</v>
      </c>
      <c r="B14" s="1" t="s">
        <v>1378</v>
      </c>
      <c r="D14" s="35" t="s">
        <v>1361</v>
      </c>
      <c r="E14" s="35">
        <v>2035</v>
      </c>
      <c r="H14" s="24">
        <f>P_el1!AH20</f>
        <v>263.79742313351102</v>
      </c>
    </row>
    <row r="15" spans="1:15">
      <c r="A15" s="1" t="s">
        <v>1219</v>
      </c>
      <c r="B15" s="1" t="s">
        <v>1378</v>
      </c>
      <c r="D15" s="35" t="s">
        <v>1361</v>
      </c>
      <c r="E15" s="35">
        <v>2035</v>
      </c>
      <c r="H15" s="24">
        <f>P_el1!AH21</f>
        <v>144.06150259237845</v>
      </c>
    </row>
    <row r="16" spans="1:15">
      <c r="A16" s="1" t="s">
        <v>1366</v>
      </c>
      <c r="B16" s="1" t="s">
        <v>1379</v>
      </c>
      <c r="D16" s="35" t="s">
        <v>1361</v>
      </c>
      <c r="E16" s="35">
        <v>2035</v>
      </c>
      <c r="H16" s="24">
        <f>P_el1!AI15</f>
        <v>1925.0770285679264</v>
      </c>
    </row>
    <row r="17" spans="1:15">
      <c r="A17" s="1" t="s">
        <v>1216</v>
      </c>
      <c r="B17" s="1" t="s">
        <v>1379</v>
      </c>
      <c r="D17" s="35" t="s">
        <v>1361</v>
      </c>
      <c r="E17" s="35">
        <v>2035</v>
      </c>
      <c r="H17" s="24">
        <f>P_el1!AI16</f>
        <v>1611.0961998388561</v>
      </c>
    </row>
    <row r="18" spans="1:15">
      <c r="A18" s="21" t="s">
        <v>1217</v>
      </c>
      <c r="B18" s="21" t="s">
        <v>1379</v>
      </c>
      <c r="C18" s="21"/>
      <c r="D18" s="212" t="s">
        <v>1361</v>
      </c>
      <c r="E18" s="212">
        <v>2035</v>
      </c>
      <c r="F18" s="21"/>
      <c r="G18" s="21"/>
      <c r="H18" s="263">
        <f>P_el1!AI19</f>
        <v>63.82677159321765</v>
      </c>
      <c r="I18" s="21"/>
      <c r="J18" s="21"/>
      <c r="K18" s="21"/>
      <c r="L18" s="21"/>
      <c r="M18" s="21"/>
      <c r="N18" s="21"/>
      <c r="O18" s="21"/>
    </row>
    <row r="19" spans="1:15">
      <c r="A19" s="1" t="s">
        <v>1216</v>
      </c>
      <c r="B19" s="1" t="s">
        <v>835</v>
      </c>
      <c r="D19" s="35" t="s">
        <v>1361</v>
      </c>
      <c r="E19" s="35">
        <v>2035</v>
      </c>
      <c r="H19" s="24">
        <f>P_el1!AG16</f>
        <v>3355</v>
      </c>
    </row>
    <row r="20" spans="1:15">
      <c r="A20" s="1" t="s">
        <v>1216</v>
      </c>
      <c r="B20" s="1" t="s">
        <v>843</v>
      </c>
      <c r="D20" s="35" t="s">
        <v>1361</v>
      </c>
      <c r="E20" s="35">
        <v>2035</v>
      </c>
      <c r="H20" s="24">
        <f>P_el1!AJ16</f>
        <v>625</v>
      </c>
    </row>
    <row r="21" spans="1:15">
      <c r="A21" s="1" t="s">
        <v>1272</v>
      </c>
      <c r="B21" s="1" t="s">
        <v>845</v>
      </c>
      <c r="D21" s="35" t="s">
        <v>1361</v>
      </c>
      <c r="E21" s="35">
        <v>2035</v>
      </c>
      <c r="H21" s="24">
        <f>P_el1!AK15</f>
        <v>120.1</v>
      </c>
    </row>
    <row r="22" spans="1:15">
      <c r="A22" s="1" t="s">
        <v>1271</v>
      </c>
      <c r="B22" s="1" t="s">
        <v>845</v>
      </c>
      <c r="D22" s="35" t="s">
        <v>1361</v>
      </c>
      <c r="E22" s="35">
        <v>2035</v>
      </c>
      <c r="H22" s="24">
        <f>P_el1!AK16</f>
        <v>205.09999999999991</v>
      </c>
    </row>
    <row r="23" spans="1:15">
      <c r="A23" s="1" t="s">
        <v>1273</v>
      </c>
      <c r="B23" s="1" t="s">
        <v>845</v>
      </c>
      <c r="D23" s="35" t="s">
        <v>1361</v>
      </c>
      <c r="E23" s="35">
        <v>2035</v>
      </c>
      <c r="H23" s="24">
        <f>P_el1!AK17</f>
        <v>7</v>
      </c>
    </row>
    <row r="24" spans="1:15">
      <c r="A24" s="1" t="s">
        <v>1274</v>
      </c>
      <c r="B24" s="1" t="s">
        <v>845</v>
      </c>
      <c r="D24" s="35" t="s">
        <v>1361</v>
      </c>
      <c r="E24" s="35">
        <v>2035</v>
      </c>
      <c r="H24" s="24">
        <f>P_el1!AK18</f>
        <v>182.6</v>
      </c>
    </row>
    <row r="25" spans="1:15">
      <c r="A25" s="1" t="s">
        <v>1383</v>
      </c>
      <c r="B25" s="1" t="s">
        <v>845</v>
      </c>
      <c r="D25" s="35" t="s">
        <v>1361</v>
      </c>
      <c r="E25" s="35">
        <v>2035</v>
      </c>
      <c r="H25" s="24">
        <f>P_el1!AK19</f>
        <v>443.1</v>
      </c>
    </row>
    <row r="26" spans="1:15">
      <c r="A26" s="1" t="s">
        <v>1388</v>
      </c>
      <c r="B26" s="1" t="s">
        <v>845</v>
      </c>
      <c r="D26" s="35" t="s">
        <v>1361</v>
      </c>
      <c r="E26" s="35">
        <v>2035</v>
      </c>
      <c r="H26" s="24">
        <f>P_el1!AK20</f>
        <v>17.2</v>
      </c>
    </row>
    <row r="27" spans="1:15">
      <c r="A27" s="21" t="s">
        <v>1384</v>
      </c>
      <c r="B27" s="21" t="s">
        <v>845</v>
      </c>
      <c r="C27" s="21"/>
      <c r="D27" s="212" t="s">
        <v>1361</v>
      </c>
      <c r="E27" s="212">
        <v>2035</v>
      </c>
      <c r="F27" s="21"/>
      <c r="G27" s="21"/>
      <c r="H27" s="263">
        <f>P_el1!AK21</f>
        <v>226.25</v>
      </c>
      <c r="I27" s="21"/>
      <c r="J27" s="21"/>
      <c r="K27" s="21"/>
      <c r="L27" s="21"/>
      <c r="M27" s="21"/>
      <c r="N27" s="21"/>
      <c r="O27" s="21"/>
    </row>
    <row r="28" spans="1:15">
      <c r="A28" s="1" t="s">
        <v>1272</v>
      </c>
      <c r="B28" s="1" t="s">
        <v>1390</v>
      </c>
      <c r="D28" s="35" t="s">
        <v>1361</v>
      </c>
      <c r="E28" s="35">
        <v>2035</v>
      </c>
      <c r="H28" s="107" cm="1">
        <f t="array" ref="H28:H32">_xlfn._xlws.FILTER(P_hydro_3[Capacity],P_hydro_3[Capacity]&gt;15)</f>
        <v>1767</v>
      </c>
    </row>
    <row r="29" spans="1:15">
      <c r="A29" s="1" t="s">
        <v>1271</v>
      </c>
      <c r="B29" s="1" t="s">
        <v>1390</v>
      </c>
      <c r="D29" s="35" t="s">
        <v>1361</v>
      </c>
      <c r="E29" s="35">
        <v>2035</v>
      </c>
      <c r="H29" s="104">
        <v>150</v>
      </c>
    </row>
    <row r="30" spans="1:15">
      <c r="A30" s="1" t="s">
        <v>1273</v>
      </c>
      <c r="B30" s="1" t="s">
        <v>1390</v>
      </c>
      <c r="D30" s="35" t="s">
        <v>1361</v>
      </c>
      <c r="E30" s="35">
        <v>2035</v>
      </c>
      <c r="H30" s="104">
        <v>116.10000000000001</v>
      </c>
    </row>
    <row r="31" spans="1:15">
      <c r="A31" s="1" t="s">
        <v>1274</v>
      </c>
      <c r="B31" s="1" t="s">
        <v>1390</v>
      </c>
      <c r="D31" s="35" t="s">
        <v>1361</v>
      </c>
      <c r="E31" s="35">
        <v>2035</v>
      </c>
      <c r="H31" s="104">
        <v>457.9</v>
      </c>
    </row>
    <row r="32" spans="1:15">
      <c r="A32" s="1" t="s">
        <v>1388</v>
      </c>
      <c r="B32" s="1" t="s">
        <v>1390</v>
      </c>
      <c r="D32" s="35" t="s">
        <v>1361</v>
      </c>
      <c r="E32" s="35">
        <v>2035</v>
      </c>
      <c r="F32" s="24"/>
      <c r="H32" s="104">
        <v>452.70000000000005</v>
      </c>
    </row>
    <row r="33" spans="1:15">
      <c r="A33" s="1" t="s">
        <v>1272</v>
      </c>
      <c r="B33" s="308" t="s">
        <v>3014</v>
      </c>
      <c r="D33" s="35" t="s">
        <v>1361</v>
      </c>
      <c r="E33" s="35">
        <v>2035</v>
      </c>
      <c r="F33" s="24" cm="1">
        <f t="array" ref="F33:F39">Battery[Battery]</f>
        <v>458.3816004035163</v>
      </c>
      <c r="H33" s="104"/>
    </row>
    <row r="34" spans="1:15">
      <c r="A34" s="1" t="s">
        <v>1271</v>
      </c>
      <c r="B34" s="308" t="s">
        <v>3014</v>
      </c>
      <c r="D34" s="35" t="s">
        <v>1361</v>
      </c>
      <c r="E34" s="35">
        <v>2035</v>
      </c>
      <c r="F34" s="24">
        <v>526.61338946585442</v>
      </c>
      <c r="H34" s="104"/>
    </row>
    <row r="35" spans="1:15">
      <c r="A35" s="1" t="s">
        <v>1273</v>
      </c>
      <c r="B35" s="308" t="s">
        <v>3014</v>
      </c>
      <c r="D35" s="35" t="s">
        <v>1361</v>
      </c>
      <c r="E35" s="35">
        <v>2035</v>
      </c>
      <c r="F35" s="24">
        <v>44.579337052329407</v>
      </c>
      <c r="H35" s="104"/>
    </row>
    <row r="36" spans="1:15">
      <c r="A36" s="1" t="s">
        <v>1274</v>
      </c>
      <c r="B36" s="308" t="s">
        <v>3014</v>
      </c>
      <c r="D36" s="35" t="s">
        <v>1361</v>
      </c>
      <c r="E36" s="35">
        <v>2035</v>
      </c>
      <c r="F36" s="24">
        <v>76.972874807939675</v>
      </c>
      <c r="H36" s="104"/>
    </row>
    <row r="37" spans="1:15">
      <c r="A37" s="1" t="s">
        <v>1383</v>
      </c>
      <c r="B37" s="308" t="s">
        <v>3014</v>
      </c>
      <c r="D37" s="35" t="s">
        <v>1361</v>
      </c>
      <c r="E37" s="35">
        <v>2035</v>
      </c>
      <c r="F37" s="24">
        <v>64.848843030088119</v>
      </c>
      <c r="H37" s="104"/>
    </row>
    <row r="38" spans="1:15">
      <c r="A38" s="1" t="s">
        <v>1388</v>
      </c>
      <c r="B38" s="308" t="s">
        <v>3014</v>
      </c>
      <c r="D38" s="35" t="s">
        <v>1361</v>
      </c>
      <c r="E38" s="35">
        <v>2035</v>
      </c>
      <c r="F38" s="24">
        <v>64.565235963509949</v>
      </c>
      <c r="H38" s="104"/>
    </row>
    <row r="39" spans="1:15">
      <c r="A39" s="1" t="s">
        <v>1384</v>
      </c>
      <c r="B39" s="308" t="s">
        <v>3014</v>
      </c>
      <c r="D39" s="35" t="s">
        <v>1361</v>
      </c>
      <c r="E39" s="35">
        <v>2035</v>
      </c>
      <c r="F39" s="24">
        <v>34.038719276761832</v>
      </c>
      <c r="H39" s="104"/>
    </row>
    <row r="40" spans="1:15">
      <c r="A40" s="1" t="s">
        <v>1272</v>
      </c>
      <c r="B40" s="1" t="s">
        <v>3015</v>
      </c>
      <c r="D40" s="35" t="s">
        <v>1361</v>
      </c>
      <c r="E40" s="35">
        <v>2035</v>
      </c>
      <c r="H40" s="24" cm="1">
        <f t="array" ref="H40:H46">Battery[Battery]</f>
        <v>458.3816004035163</v>
      </c>
    </row>
    <row r="41" spans="1:15">
      <c r="A41" s="1" t="s">
        <v>1271</v>
      </c>
      <c r="B41" s="1" t="s">
        <v>3015</v>
      </c>
      <c r="D41" s="35" t="s">
        <v>1361</v>
      </c>
      <c r="E41" s="35">
        <v>2035</v>
      </c>
      <c r="H41" s="104">
        <v>526.61338946585442</v>
      </c>
    </row>
    <row r="42" spans="1:15">
      <c r="A42" s="1" t="s">
        <v>1273</v>
      </c>
      <c r="B42" s="1" t="s">
        <v>3015</v>
      </c>
      <c r="D42" s="35" t="s">
        <v>1361</v>
      </c>
      <c r="E42" s="35">
        <v>2035</v>
      </c>
      <c r="H42" s="104">
        <v>44.579337052329407</v>
      </c>
    </row>
    <row r="43" spans="1:15">
      <c r="A43" s="1" t="s">
        <v>1274</v>
      </c>
      <c r="B43" s="1" t="s">
        <v>3015</v>
      </c>
      <c r="D43" s="35" t="s">
        <v>1361</v>
      </c>
      <c r="E43" s="35">
        <v>2035</v>
      </c>
      <c r="H43" s="104">
        <v>76.972874807939675</v>
      </c>
    </row>
    <row r="44" spans="1:15">
      <c r="A44" s="1" t="s">
        <v>1383</v>
      </c>
      <c r="B44" s="1" t="s">
        <v>3015</v>
      </c>
      <c r="D44" s="35" t="s">
        <v>1361</v>
      </c>
      <c r="E44" s="35">
        <v>2035</v>
      </c>
      <c r="H44" s="104">
        <v>64.848843030088119</v>
      </c>
    </row>
    <row r="45" spans="1:15">
      <c r="A45" s="1" t="s">
        <v>1388</v>
      </c>
      <c r="B45" s="1" t="s">
        <v>3015</v>
      </c>
      <c r="D45" s="35" t="s">
        <v>1361</v>
      </c>
      <c r="E45" s="35">
        <v>2035</v>
      </c>
      <c r="H45" s="104">
        <v>64.565235963509949</v>
      </c>
    </row>
    <row r="46" spans="1:15">
      <c r="A46" s="256" t="s">
        <v>1384</v>
      </c>
      <c r="B46" s="256" t="s">
        <v>3015</v>
      </c>
      <c r="C46" s="256"/>
      <c r="D46" s="257" t="s">
        <v>1361</v>
      </c>
      <c r="E46" s="257">
        <v>2035</v>
      </c>
      <c r="F46" s="256"/>
      <c r="G46" s="256"/>
      <c r="H46" s="265">
        <v>34.038719276761832</v>
      </c>
      <c r="I46" s="256"/>
      <c r="J46" s="256"/>
      <c r="K46" s="256"/>
      <c r="L46" s="256"/>
      <c r="M46" s="256"/>
      <c r="N46" s="256"/>
      <c r="O46" s="256"/>
    </row>
    <row r="47" spans="1:15">
      <c r="A47" s="14" t="s">
        <v>1272</v>
      </c>
      <c r="B47" s="14" t="s">
        <v>894</v>
      </c>
      <c r="C47" s="14"/>
      <c r="D47" s="101" t="s">
        <v>1361</v>
      </c>
      <c r="E47" s="101">
        <v>2035</v>
      </c>
      <c r="F47" s="281">
        <f>H47/P_ind_chp!$P$8</f>
        <v>1253.25</v>
      </c>
      <c r="G47" s="14"/>
      <c r="H47" s="282">
        <f>P_ind_chp!O24</f>
        <v>501.3</v>
      </c>
      <c r="I47" s="14"/>
      <c r="J47" s="281">
        <f>H47*P_ind_chp!$P$7</f>
        <v>807.09300000000007</v>
      </c>
      <c r="K47" s="14" t="s">
        <v>1394</v>
      </c>
      <c r="L47" s="14"/>
      <c r="M47" s="14"/>
      <c r="N47" s="14"/>
      <c r="O47" s="14"/>
    </row>
    <row r="48" spans="1:15">
      <c r="A48" s="14" t="s">
        <v>1271</v>
      </c>
      <c r="B48" s="14" t="s">
        <v>894</v>
      </c>
      <c r="C48" s="14"/>
      <c r="D48" s="101" t="s">
        <v>1361</v>
      </c>
      <c r="E48" s="101">
        <v>2035</v>
      </c>
      <c r="F48" s="281">
        <f>H48/P_ind_chp!$P$8</f>
        <v>1632.2499999999998</v>
      </c>
      <c r="G48" s="14"/>
      <c r="H48" s="282">
        <f>P_ind_chp!O25</f>
        <v>652.9</v>
      </c>
      <c r="I48" s="14"/>
      <c r="J48" s="281">
        <f>H48*P_ind_chp!$P$7</f>
        <v>1051.1690000000001</v>
      </c>
      <c r="K48" s="14" t="s">
        <v>1394</v>
      </c>
      <c r="L48" s="14"/>
      <c r="M48" s="14"/>
      <c r="N48" s="14"/>
      <c r="O48" s="14"/>
    </row>
    <row r="49" spans="1:15">
      <c r="A49" s="14" t="s">
        <v>1273</v>
      </c>
      <c r="B49" s="14" t="s">
        <v>894</v>
      </c>
      <c r="C49" s="14"/>
      <c r="D49" s="101" t="s">
        <v>1361</v>
      </c>
      <c r="E49" s="101">
        <v>2035</v>
      </c>
      <c r="F49" s="281">
        <f>H49/P_ind_chp!$P$8</f>
        <v>1321.25</v>
      </c>
      <c r="G49" s="14"/>
      <c r="H49" s="282">
        <f>P_ind_chp!O26</f>
        <v>528.5</v>
      </c>
      <c r="I49" s="14"/>
      <c r="J49" s="281">
        <f>H49*P_ind_chp!$P$7</f>
        <v>850.8850000000001</v>
      </c>
      <c r="K49" s="14" t="s">
        <v>1394</v>
      </c>
      <c r="L49" s="14"/>
      <c r="M49" s="14"/>
      <c r="N49" s="14"/>
      <c r="O49" s="14"/>
    </row>
    <row r="50" spans="1:15">
      <c r="A50" s="14" t="s">
        <v>1274</v>
      </c>
      <c r="B50" s="14" t="s">
        <v>894</v>
      </c>
      <c r="C50" s="14"/>
      <c r="D50" s="101" t="s">
        <v>1361</v>
      </c>
      <c r="E50" s="101">
        <v>2035</v>
      </c>
      <c r="F50" s="281">
        <f>H50/P_ind_chp!$P$8</f>
        <v>704</v>
      </c>
      <c r="G50" s="14"/>
      <c r="H50" s="282">
        <f>P_ind_chp!O27</f>
        <v>281.60000000000002</v>
      </c>
      <c r="I50" s="14"/>
      <c r="J50" s="281">
        <f>H50*P_ind_chp!$P$7</f>
        <v>453.37600000000009</v>
      </c>
      <c r="K50" s="14" t="s">
        <v>1394</v>
      </c>
      <c r="L50" s="14"/>
      <c r="M50" s="14"/>
      <c r="N50" s="14"/>
      <c r="O50" s="14"/>
    </row>
    <row r="51" spans="1:15">
      <c r="A51" s="14" t="s">
        <v>1383</v>
      </c>
      <c r="B51" s="14" t="s">
        <v>894</v>
      </c>
      <c r="C51" s="14"/>
      <c r="D51" s="101" t="s">
        <v>1361</v>
      </c>
      <c r="E51" s="101">
        <v>2035</v>
      </c>
      <c r="F51" s="281">
        <f>H51/P_ind_chp!$P$8</f>
        <v>125.31238798656564</v>
      </c>
      <c r="G51" s="14"/>
      <c r="H51" s="282">
        <f>P_ind_chp!O28</f>
        <v>50.12495519462626</v>
      </c>
      <c r="I51" s="14"/>
      <c r="J51" s="281">
        <f>H51*P_ind_chp!$P$7</f>
        <v>80.701177863348278</v>
      </c>
      <c r="K51" s="14" t="s">
        <v>1394</v>
      </c>
      <c r="L51" s="14"/>
      <c r="M51" s="14"/>
      <c r="N51" s="14"/>
      <c r="O51" s="14"/>
    </row>
    <row r="52" spans="1:15">
      <c r="A52" s="14" t="s">
        <v>1388</v>
      </c>
      <c r="B52" s="14" t="s">
        <v>894</v>
      </c>
      <c r="C52" s="14"/>
      <c r="D52" s="101" t="s">
        <v>1361</v>
      </c>
      <c r="E52" s="101">
        <v>2035</v>
      </c>
      <c r="F52" s="281">
        <f>H52/P_ind_chp!$P$8</f>
        <v>1913.5000000000002</v>
      </c>
      <c r="G52" s="14"/>
      <c r="H52" s="282">
        <f>P_ind_chp!O29</f>
        <v>765.40000000000009</v>
      </c>
      <c r="I52" s="14"/>
      <c r="J52" s="281">
        <f>H52*P_ind_chp!$P$7</f>
        <v>1232.2940000000003</v>
      </c>
      <c r="K52" s="14" t="s">
        <v>1394</v>
      </c>
      <c r="L52" s="14"/>
      <c r="M52" s="14"/>
      <c r="N52" s="14"/>
      <c r="O52" s="14"/>
    </row>
    <row r="53" spans="1:15">
      <c r="A53" s="14" t="s">
        <v>1384</v>
      </c>
      <c r="B53" s="14" t="s">
        <v>894</v>
      </c>
      <c r="C53" s="14"/>
      <c r="D53" s="101" t="s">
        <v>1361</v>
      </c>
      <c r="E53" s="101">
        <v>2035</v>
      </c>
      <c r="F53" s="281">
        <f>H53/P_ind_chp!$P$8</f>
        <v>366.46275770601682</v>
      </c>
      <c r="G53" s="14"/>
      <c r="H53" s="282">
        <f>P_ind_chp!O30</f>
        <v>146.58510308240673</v>
      </c>
      <c r="I53" s="14"/>
      <c r="J53" s="281">
        <f>H53*P_ind_chp!$P$7</f>
        <v>236.00201596267485</v>
      </c>
      <c r="K53" s="14" t="s">
        <v>1394</v>
      </c>
      <c r="L53" s="14"/>
      <c r="M53" s="14"/>
      <c r="N53" s="14"/>
      <c r="O53" s="14"/>
    </row>
    <row r="54" spans="1:15">
      <c r="A54" s="283" t="s">
        <v>1384</v>
      </c>
      <c r="B54" s="283" t="s">
        <v>895</v>
      </c>
      <c r="C54" s="283"/>
      <c r="D54" s="284" t="s">
        <v>1361</v>
      </c>
      <c r="E54" s="284">
        <v>2035</v>
      </c>
      <c r="F54" s="285">
        <f>H54/P_ind_chp!$P$8</f>
        <v>357.53724229398318</v>
      </c>
      <c r="G54" s="283"/>
      <c r="H54" s="286">
        <f>P_ind_chp!P30</f>
        <v>143.01489691759329</v>
      </c>
      <c r="I54" s="283"/>
      <c r="J54" s="285">
        <f>H54*P_ind_chp!$P$7</f>
        <v>230.25398403732521</v>
      </c>
      <c r="K54" s="283" t="s">
        <v>1394</v>
      </c>
      <c r="L54" s="283"/>
      <c r="M54" s="283"/>
      <c r="N54" s="283"/>
      <c r="O54" s="283"/>
    </row>
    <row r="55" spans="1:15">
      <c r="A55" s="14" t="s">
        <v>1386</v>
      </c>
      <c r="B55" s="14" t="s">
        <v>1145</v>
      </c>
      <c r="C55" s="14"/>
      <c r="D55" s="101" t="s">
        <v>1361</v>
      </c>
      <c r="E55" s="101">
        <v>2035</v>
      </c>
      <c r="F55" s="287"/>
      <c r="G55" s="14"/>
      <c r="H55" s="281">
        <f>P_dh_chp!AF14</f>
        <v>233.13870246085008</v>
      </c>
      <c r="I55" s="14"/>
      <c r="J55" s="281">
        <f>P_dh_chp!AF25</f>
        <v>393.4560402155189</v>
      </c>
      <c r="K55" s="14"/>
      <c r="L55" s="288">
        <v>0.592540661805945</v>
      </c>
      <c r="M55" s="289"/>
      <c r="N55" s="289"/>
      <c r="O55" s="289"/>
    </row>
    <row r="56" spans="1:15">
      <c r="A56" s="14" t="s">
        <v>1388</v>
      </c>
      <c r="B56" s="14" t="s">
        <v>1145</v>
      </c>
      <c r="C56" s="127"/>
      <c r="D56" s="101" t="s">
        <v>1361</v>
      </c>
      <c r="E56" s="101">
        <v>2035</v>
      </c>
      <c r="F56" s="287"/>
      <c r="G56" s="14"/>
      <c r="H56" s="281">
        <f>P_dh_chp!AF18</f>
        <v>45.614093959731541</v>
      </c>
      <c r="I56" s="14"/>
      <c r="J56" s="281">
        <f>P_dh_chp!AF29</f>
        <v>76.980529607384128</v>
      </c>
      <c r="K56" s="127"/>
      <c r="L56" s="288">
        <v>0.592540661805945</v>
      </c>
      <c r="M56" s="289"/>
      <c r="N56" s="289"/>
      <c r="O56" s="289"/>
    </row>
    <row r="57" spans="1:15">
      <c r="A57" s="14" t="s">
        <v>1387</v>
      </c>
      <c r="B57" s="14" t="s">
        <v>1145</v>
      </c>
      <c r="C57" s="127" t="s">
        <v>84</v>
      </c>
      <c r="D57" s="101" t="s">
        <v>1361</v>
      </c>
      <c r="E57" s="101">
        <v>2035</v>
      </c>
      <c r="F57" s="290">
        <v>336</v>
      </c>
      <c r="G57" s="14"/>
      <c r="H57" s="290">
        <v>147</v>
      </c>
      <c r="I57" s="14"/>
      <c r="J57" s="290">
        <v>170</v>
      </c>
      <c r="K57" s="127" t="s">
        <v>84</v>
      </c>
      <c r="L57" s="288">
        <v>0.86470588235294121</v>
      </c>
      <c r="M57" s="289"/>
      <c r="N57" s="288">
        <v>0.94345238095238093</v>
      </c>
      <c r="O57" s="288">
        <v>0.94345238095238093</v>
      </c>
    </row>
    <row r="58" spans="1:15">
      <c r="A58" s="14" t="s">
        <v>1384</v>
      </c>
      <c r="B58" s="14" t="s">
        <v>1145</v>
      </c>
      <c r="C58" s="127" t="s">
        <v>82</v>
      </c>
      <c r="D58" s="101" t="s">
        <v>1361</v>
      </c>
      <c r="E58" s="101">
        <v>2035</v>
      </c>
      <c r="F58" s="290">
        <v>220</v>
      </c>
      <c r="G58" s="14"/>
      <c r="H58" s="290">
        <v>88</v>
      </c>
      <c r="I58" s="14"/>
      <c r="J58" s="290">
        <v>90</v>
      </c>
      <c r="K58" s="127" t="s">
        <v>82</v>
      </c>
      <c r="L58" s="288">
        <v>0.97777777777777775</v>
      </c>
      <c r="M58" s="289"/>
      <c r="N58" s="288">
        <v>0.80909090909090908</v>
      </c>
      <c r="O58" s="288">
        <v>0.80909090909090908</v>
      </c>
    </row>
    <row r="59" spans="1:15">
      <c r="A59" s="14" t="s">
        <v>1384</v>
      </c>
      <c r="B59" s="14" t="s">
        <v>1145</v>
      </c>
      <c r="C59" s="127" t="s">
        <v>81</v>
      </c>
      <c r="D59" s="101" t="s">
        <v>1361</v>
      </c>
      <c r="E59" s="101">
        <v>2035</v>
      </c>
      <c r="F59" s="290">
        <v>498</v>
      </c>
      <c r="G59" s="14"/>
      <c r="H59" s="290">
        <v>234</v>
      </c>
      <c r="I59" s="14"/>
      <c r="J59" s="290">
        <v>213</v>
      </c>
      <c r="K59" s="127" t="s">
        <v>81</v>
      </c>
      <c r="L59" s="288">
        <v>1.0985915492957747</v>
      </c>
      <c r="M59" s="289"/>
      <c r="N59" s="288">
        <v>0.89759036144578308</v>
      </c>
      <c r="O59" s="288">
        <v>0.89759036144578308</v>
      </c>
    </row>
    <row r="60" spans="1:15">
      <c r="A60" s="14" t="s">
        <v>1384</v>
      </c>
      <c r="B60" s="14" t="s">
        <v>1145</v>
      </c>
      <c r="C60" s="127" t="s">
        <v>80</v>
      </c>
      <c r="D60" s="101" t="s">
        <v>1361</v>
      </c>
      <c r="E60" s="101">
        <v>2035</v>
      </c>
      <c r="F60" s="290">
        <v>1343</v>
      </c>
      <c r="G60" s="14"/>
      <c r="H60" s="290">
        <v>630</v>
      </c>
      <c r="I60" s="14"/>
      <c r="J60" s="290">
        <v>587</v>
      </c>
      <c r="K60" s="127" t="s">
        <v>80</v>
      </c>
      <c r="L60" s="288">
        <v>1.0732538330494037</v>
      </c>
      <c r="M60" s="289"/>
      <c r="N60" s="288">
        <v>0.90618019359642588</v>
      </c>
      <c r="O60" s="288">
        <v>0.90618019359642588</v>
      </c>
    </row>
    <row r="61" spans="1:15">
      <c r="A61" s="18" t="s">
        <v>1384</v>
      </c>
      <c r="B61" s="18" t="s">
        <v>1151</v>
      </c>
      <c r="C61" s="18" t="s">
        <v>81</v>
      </c>
      <c r="D61" s="291" t="s">
        <v>1361</v>
      </c>
      <c r="E61" s="291">
        <v>2035</v>
      </c>
      <c r="F61" s="292">
        <v>132</v>
      </c>
      <c r="G61" s="18"/>
      <c r="H61" s="293">
        <v>49</v>
      </c>
      <c r="I61" s="18"/>
      <c r="J61" s="293">
        <v>80</v>
      </c>
      <c r="K61" s="18" t="s">
        <v>81</v>
      </c>
      <c r="L61" s="294">
        <v>0.61250000000000004</v>
      </c>
      <c r="M61" s="295"/>
      <c r="N61" s="294">
        <v>0.97727272727272729</v>
      </c>
      <c r="O61" s="294">
        <v>0.97727272727272729</v>
      </c>
    </row>
    <row r="62" spans="1:15">
      <c r="A62" s="14" t="s">
        <v>1272</v>
      </c>
      <c r="B62" s="14" t="s">
        <v>1153</v>
      </c>
      <c r="C62" s="14"/>
      <c r="D62" s="101" t="s">
        <v>1361</v>
      </c>
      <c r="E62" s="101">
        <v>2035</v>
      </c>
      <c r="F62" s="287"/>
      <c r="G62" s="14"/>
      <c r="H62" s="281">
        <f>P_dh_chp!AG13</f>
        <v>112.25895562522135</v>
      </c>
      <c r="I62" s="14"/>
      <c r="J62" s="281">
        <f>P_dh_chp!AG24</f>
        <v>243.88348602919424</v>
      </c>
      <c r="K62" s="14"/>
      <c r="L62" s="288">
        <v>0.46029748652921598</v>
      </c>
      <c r="M62" s="289"/>
      <c r="N62" s="289"/>
      <c r="O62" s="289"/>
    </row>
    <row r="63" spans="1:15">
      <c r="A63" s="14" t="s">
        <v>1271</v>
      </c>
      <c r="B63" s="14" t="s">
        <v>1153</v>
      </c>
      <c r="C63" s="14"/>
      <c r="D63" s="101" t="s">
        <v>1361</v>
      </c>
      <c r="E63" s="101">
        <v>2035</v>
      </c>
      <c r="F63" s="287"/>
      <c r="G63" s="14"/>
      <c r="H63" s="281">
        <f>P_dh_chp!AG14</f>
        <v>207.46705667851566</v>
      </c>
      <c r="I63" s="14"/>
      <c r="J63" s="281">
        <f>P_dh_chp!AG25</f>
        <v>450.72385305181797</v>
      </c>
      <c r="K63" s="14"/>
      <c r="L63" s="288">
        <v>0.46029748652921598</v>
      </c>
      <c r="M63" s="289"/>
      <c r="N63" s="289"/>
      <c r="O63" s="289"/>
    </row>
    <row r="64" spans="1:15">
      <c r="A64" s="14" t="s">
        <v>1273</v>
      </c>
      <c r="B64" s="14" t="s">
        <v>1153</v>
      </c>
      <c r="C64" s="14"/>
      <c r="D64" s="101" t="s">
        <v>1361</v>
      </c>
      <c r="E64" s="101">
        <v>2035</v>
      </c>
      <c r="F64" s="287"/>
      <c r="G64" s="14"/>
      <c r="H64" s="281">
        <f>P_dh_chp!AG15</f>
        <v>34.664467384603256</v>
      </c>
      <c r="I64" s="14"/>
      <c r="J64" s="281">
        <f>P_dh_chp!AG26</f>
        <v>75.308834827632737</v>
      </c>
      <c r="K64" s="14"/>
      <c r="L64" s="288">
        <v>0.46029748652921598</v>
      </c>
      <c r="M64" s="289"/>
      <c r="N64" s="289"/>
      <c r="O64" s="289"/>
    </row>
    <row r="65" spans="1:15">
      <c r="A65" s="14" t="s">
        <v>1274</v>
      </c>
      <c r="B65" s="14" t="s">
        <v>1153</v>
      </c>
      <c r="C65" s="14"/>
      <c r="D65" s="101" t="s">
        <v>1361</v>
      </c>
      <c r="E65" s="101">
        <v>2035</v>
      </c>
      <c r="F65" s="287"/>
      <c r="G65" s="14"/>
      <c r="H65" s="281">
        <f>P_dh_chp!AG16</f>
        <v>473.3564017471831</v>
      </c>
      <c r="I65" s="14"/>
      <c r="J65" s="281">
        <f>P_dh_chp!AG27</f>
        <v>1028.3705985805723</v>
      </c>
      <c r="K65" s="14"/>
      <c r="L65" s="288">
        <v>0.46029748652921598</v>
      </c>
      <c r="M65" s="289"/>
      <c r="N65" s="289"/>
      <c r="O65" s="289"/>
    </row>
    <row r="66" spans="1:15">
      <c r="A66" s="14" t="s">
        <v>1383</v>
      </c>
      <c r="B66" s="14" t="s">
        <v>1153</v>
      </c>
      <c r="C66" s="14"/>
      <c r="D66" s="101" t="s">
        <v>1361</v>
      </c>
      <c r="E66" s="101">
        <v>2035</v>
      </c>
      <c r="F66" s="287"/>
      <c r="G66" s="14"/>
      <c r="H66" s="281">
        <f>P_dh_chp!AG17</f>
        <v>123.28016579875913</v>
      </c>
      <c r="I66" s="14"/>
      <c r="J66" s="281">
        <f>P_dh_chp!AG28</f>
        <v>267.82715397455075</v>
      </c>
      <c r="K66" s="14"/>
      <c r="L66" s="288">
        <v>0.46029748652921598</v>
      </c>
      <c r="M66" s="289"/>
      <c r="N66" s="289"/>
      <c r="O66" s="289"/>
    </row>
    <row r="67" spans="1:15">
      <c r="A67" s="14" t="s">
        <v>1388</v>
      </c>
      <c r="B67" s="14" t="s">
        <v>1153</v>
      </c>
      <c r="C67" s="14"/>
      <c r="D67" s="101" t="s">
        <v>1361</v>
      </c>
      <c r="E67" s="101">
        <v>2035</v>
      </c>
      <c r="F67" s="287"/>
      <c r="G67" s="14"/>
      <c r="H67" s="281">
        <f>P_dh_chp!AG18</f>
        <v>223.49921953906895</v>
      </c>
      <c r="I67" s="14"/>
      <c r="J67" s="281">
        <f>P_dh_chp!AG29</f>
        <v>485.55385610362845</v>
      </c>
      <c r="K67" s="14"/>
      <c r="L67" s="288">
        <v>0.46029748652921626</v>
      </c>
      <c r="M67" s="289"/>
      <c r="N67" s="289"/>
      <c r="O67" s="289"/>
    </row>
    <row r="68" spans="1:15">
      <c r="A68" s="14" t="s">
        <v>1384</v>
      </c>
      <c r="B68" s="14" t="s">
        <v>1153</v>
      </c>
      <c r="C68" s="14"/>
      <c r="D68" s="101" t="s">
        <v>1361</v>
      </c>
      <c r="E68" s="101">
        <v>2035</v>
      </c>
      <c r="F68" s="287"/>
      <c r="G68" s="14"/>
      <c r="H68" s="281">
        <f>P_dh_chp!AG19</f>
        <v>252.07373322664847</v>
      </c>
      <c r="I68" s="14"/>
      <c r="J68" s="281">
        <f>P_dh_chp!AG30</f>
        <v>547.63221743260306</v>
      </c>
      <c r="K68" s="14"/>
      <c r="L68" s="288">
        <v>0.46029748652921626</v>
      </c>
      <c r="M68" s="289"/>
      <c r="N68" s="289"/>
      <c r="O68" s="289"/>
    </row>
    <row r="69" spans="1:15">
      <c r="A69" s="14" t="s">
        <v>1273</v>
      </c>
      <c r="B69" s="14" t="s">
        <v>1153</v>
      </c>
      <c r="C69" s="14" t="s">
        <v>86</v>
      </c>
      <c r="D69" s="101" t="s">
        <v>1361</v>
      </c>
      <c r="E69" s="101">
        <v>2035</v>
      </c>
      <c r="F69" s="290">
        <v>790</v>
      </c>
      <c r="G69" s="14"/>
      <c r="H69" s="296">
        <v>250</v>
      </c>
      <c r="I69" s="14"/>
      <c r="J69" s="296">
        <v>435</v>
      </c>
      <c r="K69" s="14" t="s">
        <v>86</v>
      </c>
      <c r="L69" s="288">
        <v>0.57471264367816088</v>
      </c>
      <c r="M69" s="289"/>
      <c r="N69" s="288">
        <v>0.86708860759493667</v>
      </c>
      <c r="O69" s="288">
        <v>0.86708860759493667</v>
      </c>
    </row>
    <row r="70" spans="1:15">
      <c r="A70" s="14" t="s">
        <v>1383</v>
      </c>
      <c r="B70" s="14" t="s">
        <v>1153</v>
      </c>
      <c r="C70" s="14" t="s">
        <v>83</v>
      </c>
      <c r="D70" s="101" t="s">
        <v>1361</v>
      </c>
      <c r="E70" s="101">
        <v>2035</v>
      </c>
      <c r="F70" s="290">
        <v>424</v>
      </c>
      <c r="G70" s="14"/>
      <c r="H70" s="296">
        <v>160</v>
      </c>
      <c r="I70" s="14"/>
      <c r="J70" s="296">
        <v>260</v>
      </c>
      <c r="K70" s="14" t="s">
        <v>83</v>
      </c>
      <c r="L70" s="288">
        <v>0.61538461538461542</v>
      </c>
      <c r="M70" s="289"/>
      <c r="N70" s="288">
        <v>0.99056603773584906</v>
      </c>
      <c r="O70" s="288">
        <v>0.99056603773584906</v>
      </c>
    </row>
    <row r="71" spans="1:15">
      <c r="A71" s="14" t="s">
        <v>1272</v>
      </c>
      <c r="B71" s="14" t="s">
        <v>1153</v>
      </c>
      <c r="C71" s="14" t="s">
        <v>85</v>
      </c>
      <c r="D71" s="101" t="s">
        <v>1361</v>
      </c>
      <c r="E71" s="101">
        <v>2035</v>
      </c>
      <c r="F71" s="290">
        <v>530</v>
      </c>
      <c r="G71" s="14"/>
      <c r="H71" s="296">
        <v>152</v>
      </c>
      <c r="I71" s="14"/>
      <c r="J71" s="296">
        <v>395</v>
      </c>
      <c r="K71" s="14" t="s">
        <v>85</v>
      </c>
      <c r="L71" s="288">
        <v>0.38481012658227848</v>
      </c>
      <c r="M71" s="289"/>
      <c r="N71" s="288">
        <v>1.0320754716981133</v>
      </c>
      <c r="O71" s="288">
        <v>1.0320754716981133</v>
      </c>
    </row>
    <row r="72" spans="1:15">
      <c r="A72" s="14" t="s">
        <v>1273</v>
      </c>
      <c r="B72" s="14" t="s">
        <v>1153</v>
      </c>
      <c r="C72" s="14" t="s">
        <v>84</v>
      </c>
      <c r="D72" s="101" t="s">
        <v>1361</v>
      </c>
      <c r="E72" s="101">
        <v>2035</v>
      </c>
      <c r="F72" s="290">
        <v>210</v>
      </c>
      <c r="G72" s="14"/>
      <c r="H72" s="296">
        <v>55</v>
      </c>
      <c r="I72" s="14"/>
      <c r="J72" s="296">
        <v>160</v>
      </c>
      <c r="K72" s="14" t="s">
        <v>84</v>
      </c>
      <c r="L72" s="288">
        <v>0.34375</v>
      </c>
      <c r="M72" s="289"/>
      <c r="N72" s="288">
        <v>1.0238095238095237</v>
      </c>
      <c r="O72" s="288">
        <v>1.0238095238095237</v>
      </c>
    </row>
    <row r="73" spans="1:15">
      <c r="A73" s="18" t="s">
        <v>1384</v>
      </c>
      <c r="B73" s="18" t="s">
        <v>1153</v>
      </c>
      <c r="C73" s="18" t="s">
        <v>82</v>
      </c>
      <c r="D73" s="291" t="s">
        <v>1361</v>
      </c>
      <c r="E73" s="291">
        <v>2035</v>
      </c>
      <c r="F73" s="293">
        <v>120</v>
      </c>
      <c r="G73" s="18"/>
      <c r="H73" s="297">
        <v>28</v>
      </c>
      <c r="I73" s="18"/>
      <c r="J73" s="297">
        <v>105</v>
      </c>
      <c r="K73" s="18" t="s">
        <v>82</v>
      </c>
      <c r="L73" s="294">
        <v>0.26666666666666666</v>
      </c>
      <c r="M73" s="295"/>
      <c r="N73" s="294">
        <v>1.1083333333333334</v>
      </c>
      <c r="O73" s="294">
        <v>1.1083333333333334</v>
      </c>
    </row>
    <row r="74" spans="1:15">
      <c r="A74" s="14" t="s">
        <v>1273</v>
      </c>
      <c r="B74" s="14" t="s">
        <v>1154</v>
      </c>
      <c r="C74" s="14"/>
      <c r="D74" s="101" t="s">
        <v>1361</v>
      </c>
      <c r="E74" s="101">
        <v>2035</v>
      </c>
      <c r="F74" s="287"/>
      <c r="G74" s="14"/>
      <c r="H74" s="281" cm="1">
        <f t="array" ref="H74:H76">_xlfn._xlws.FILTER(P_dh_chp!AH13:AH19,P_dh_chp!AH13:AH19&gt;0)</f>
        <v>20.245513654096236</v>
      </c>
      <c r="I74" s="14"/>
      <c r="J74" s="281" cm="1">
        <f t="array" ref="J74:J76">_xlfn._xlws.FILTER(P_dh_chp!AH24:AH30,P_dh_chp!AH24:AH30&gt;0)</f>
        <v>61.70231634861485</v>
      </c>
      <c r="K74" s="14"/>
      <c r="L74" s="288">
        <v>0.32811594202898553</v>
      </c>
      <c r="M74" s="289"/>
      <c r="N74" s="289"/>
      <c r="O74" s="289"/>
    </row>
    <row r="75" spans="1:15">
      <c r="A75" s="14" t="s">
        <v>1383</v>
      </c>
      <c r="B75" s="14" t="s">
        <v>1154</v>
      </c>
      <c r="C75" s="14"/>
      <c r="D75" s="101" t="s">
        <v>1361</v>
      </c>
      <c r="E75" s="101">
        <v>2035</v>
      </c>
      <c r="F75" s="287"/>
      <c r="G75" s="14"/>
      <c r="H75" s="281">
        <v>51.383094928478556</v>
      </c>
      <c r="I75" s="14"/>
      <c r="J75" s="281">
        <v>156.60042182265991</v>
      </c>
      <c r="K75" s="14"/>
      <c r="L75" s="288">
        <v>0.32811594202898553</v>
      </c>
      <c r="M75" s="289"/>
      <c r="N75" s="289"/>
      <c r="O75" s="289"/>
    </row>
    <row r="76" spans="1:15">
      <c r="A76" s="14" t="s">
        <v>1388</v>
      </c>
      <c r="B76" s="14" t="s">
        <v>1154</v>
      </c>
      <c r="C76" s="14"/>
      <c r="D76" s="101" t="s">
        <v>1361</v>
      </c>
      <c r="E76" s="101">
        <v>2035</v>
      </c>
      <c r="F76" s="287"/>
      <c r="G76" s="14"/>
      <c r="H76" s="281">
        <v>117.97139141742524</v>
      </c>
      <c r="I76" s="14"/>
      <c r="J76" s="281">
        <v>359.5417847969232</v>
      </c>
      <c r="K76" s="14"/>
      <c r="L76" s="288">
        <v>0.32811594202898553</v>
      </c>
      <c r="M76" s="289"/>
      <c r="N76" s="289"/>
      <c r="O76" s="289"/>
    </row>
    <row r="77" spans="1:15">
      <c r="A77" s="14" t="s">
        <v>1273</v>
      </c>
      <c r="B77" s="14" t="s">
        <v>1154</v>
      </c>
      <c r="C77" s="14" t="s">
        <v>84</v>
      </c>
      <c r="D77" s="101" t="s">
        <v>1361</v>
      </c>
      <c r="E77" s="101">
        <v>2035</v>
      </c>
      <c r="F77" s="298">
        <v>66</v>
      </c>
      <c r="G77" s="14"/>
      <c r="H77" s="296">
        <v>12</v>
      </c>
      <c r="I77" s="14"/>
      <c r="J77" s="296">
        <v>46</v>
      </c>
      <c r="K77" s="14" t="s">
        <v>84</v>
      </c>
      <c r="L77" s="288">
        <v>0.2608695652173913</v>
      </c>
      <c r="M77" s="289"/>
      <c r="N77" s="288">
        <v>0.87878787878787878</v>
      </c>
      <c r="O77" s="288">
        <v>0.87878787878787878</v>
      </c>
    </row>
    <row r="78" spans="1:15">
      <c r="A78" s="299" t="s">
        <v>1384</v>
      </c>
      <c r="B78" s="299" t="s">
        <v>1154</v>
      </c>
      <c r="C78" s="299" t="s">
        <v>82</v>
      </c>
      <c r="D78" s="300" t="s">
        <v>1361</v>
      </c>
      <c r="E78" s="300">
        <v>2035</v>
      </c>
      <c r="F78" s="301">
        <v>202</v>
      </c>
      <c r="G78" s="299"/>
      <c r="H78" s="302">
        <v>76.400000000000006</v>
      </c>
      <c r="I78" s="299"/>
      <c r="J78" s="302">
        <v>147</v>
      </c>
      <c r="K78" s="299" t="s">
        <v>82</v>
      </c>
      <c r="L78" s="303">
        <v>0.51972789115646267</v>
      </c>
      <c r="M78" s="304"/>
      <c r="N78" s="303">
        <v>1.105940594059406</v>
      </c>
      <c r="O78" s="303">
        <v>1.105940594059406</v>
      </c>
    </row>
    <row r="79" spans="1:15">
      <c r="A79" s="1" t="s">
        <v>1384</v>
      </c>
      <c r="B79" s="1" t="s">
        <v>1141</v>
      </c>
      <c r="C79" s="1" t="s">
        <v>80</v>
      </c>
      <c r="D79" s="35" t="s">
        <v>1361</v>
      </c>
      <c r="E79" s="35">
        <v>2035</v>
      </c>
      <c r="F79" s="1" t="s">
        <v>1137</v>
      </c>
      <c r="G79" s="1" t="s">
        <v>1137</v>
      </c>
      <c r="H79" s="138">
        <v>671</v>
      </c>
      <c r="I79" s="1" t="s">
        <v>80</v>
      </c>
      <c r="K79" s="1" t="s">
        <v>1137</v>
      </c>
      <c r="L79" s="1" t="s">
        <v>1137</v>
      </c>
      <c r="N79" s="1" t="s">
        <v>1137</v>
      </c>
      <c r="O79" s="1" t="s">
        <v>1137</v>
      </c>
    </row>
    <row r="80" spans="1:15">
      <c r="A80" s="1" t="s">
        <v>1384</v>
      </c>
      <c r="B80" s="1" t="s">
        <v>1142</v>
      </c>
      <c r="C80" s="1" t="s">
        <v>80</v>
      </c>
      <c r="D80" s="35" t="s">
        <v>1361</v>
      </c>
      <c r="E80" s="35">
        <v>2035</v>
      </c>
      <c r="F80" s="1" t="s">
        <v>1137</v>
      </c>
      <c r="G80" s="1" t="s">
        <v>1137</v>
      </c>
      <c r="H80" s="138">
        <v>912</v>
      </c>
      <c r="I80" s="1" t="s">
        <v>80</v>
      </c>
      <c r="K80" s="1" t="s">
        <v>1137</v>
      </c>
      <c r="L80" s="1" t="s">
        <v>1137</v>
      </c>
      <c r="N80" s="1" t="s">
        <v>1137</v>
      </c>
      <c r="O80" s="1" t="s">
        <v>1137</v>
      </c>
    </row>
    <row r="81" spans="1:15">
      <c r="A81" s="1" t="s">
        <v>1384</v>
      </c>
      <c r="B81" s="1" t="s">
        <v>1143</v>
      </c>
      <c r="C81" s="1" t="s">
        <v>80</v>
      </c>
      <c r="D81" s="35" t="s">
        <v>1361</v>
      </c>
      <c r="E81" s="35">
        <v>2035</v>
      </c>
      <c r="F81" s="1" t="s">
        <v>1137</v>
      </c>
      <c r="G81" s="1" t="s">
        <v>1137</v>
      </c>
      <c r="H81" s="138">
        <v>527</v>
      </c>
      <c r="I81" s="1" t="s">
        <v>80</v>
      </c>
      <c r="K81" s="1" t="s">
        <v>1137</v>
      </c>
      <c r="L81" s="1" t="s">
        <v>1137</v>
      </c>
      <c r="N81" s="1" t="s">
        <v>1137</v>
      </c>
      <c r="O81" s="1" t="s">
        <v>1137</v>
      </c>
    </row>
    <row r="82" spans="1:15">
      <c r="A82" s="1" t="s">
        <v>1384</v>
      </c>
      <c r="B82" s="1" t="s">
        <v>1144</v>
      </c>
      <c r="C82" s="1" t="s">
        <v>80</v>
      </c>
      <c r="D82" s="35" t="s">
        <v>1361</v>
      </c>
      <c r="E82" s="35">
        <v>2035</v>
      </c>
      <c r="F82" s="1" t="s">
        <v>1137</v>
      </c>
      <c r="G82" s="1" t="s">
        <v>1137</v>
      </c>
      <c r="H82" s="138">
        <v>343.2</v>
      </c>
      <c r="I82" s="1" t="s">
        <v>80</v>
      </c>
      <c r="K82" s="1" t="s">
        <v>1137</v>
      </c>
      <c r="L82" s="1" t="s">
        <v>1137</v>
      </c>
      <c r="N82" s="1" t="s">
        <v>1137</v>
      </c>
      <c r="O82" s="1" t="s">
        <v>1137</v>
      </c>
    </row>
    <row r="83" spans="1:15">
      <c r="A83" s="1" t="s">
        <v>1384</v>
      </c>
      <c r="B83" s="1" t="s">
        <v>1146</v>
      </c>
      <c r="C83" s="1" t="s">
        <v>80</v>
      </c>
      <c r="D83" s="35" t="s">
        <v>1361</v>
      </c>
      <c r="E83" s="35">
        <v>2035</v>
      </c>
      <c r="F83" s="1" t="s">
        <v>1137</v>
      </c>
      <c r="G83" s="1" t="s">
        <v>1137</v>
      </c>
      <c r="H83" s="138">
        <v>540</v>
      </c>
      <c r="I83" s="1" t="s">
        <v>80</v>
      </c>
      <c r="K83" s="1" t="s">
        <v>1137</v>
      </c>
      <c r="L83" s="1" t="s">
        <v>1137</v>
      </c>
      <c r="N83" s="1" t="s">
        <v>1137</v>
      </c>
      <c r="O83" s="1" t="s">
        <v>1137</v>
      </c>
    </row>
    <row r="84" spans="1:15">
      <c r="A84" s="1" t="s">
        <v>1384</v>
      </c>
      <c r="B84" s="1" t="s">
        <v>1147</v>
      </c>
      <c r="C84" s="1" t="s">
        <v>80</v>
      </c>
      <c r="D84" s="35" t="s">
        <v>1361</v>
      </c>
      <c r="E84" s="35">
        <v>2035</v>
      </c>
      <c r="F84" s="1" t="s">
        <v>1137</v>
      </c>
      <c r="G84" s="1" t="s">
        <v>80</v>
      </c>
      <c r="H84" s="138">
        <v>340</v>
      </c>
      <c r="I84" s="1" t="s">
        <v>80</v>
      </c>
      <c r="K84" s="1" t="s">
        <v>1137</v>
      </c>
      <c r="L84" s="1" t="s">
        <v>1137</v>
      </c>
      <c r="N84" s="1" t="s">
        <v>1137</v>
      </c>
      <c r="O84" s="1" t="s">
        <v>1137</v>
      </c>
    </row>
    <row r="85" spans="1:15">
      <c r="A85" s="1" t="s">
        <v>1384</v>
      </c>
      <c r="B85" s="1" t="s">
        <v>1148</v>
      </c>
      <c r="C85" s="1" t="s">
        <v>80</v>
      </c>
      <c r="D85" s="35" t="s">
        <v>1361</v>
      </c>
      <c r="E85" s="35">
        <v>2035</v>
      </c>
      <c r="F85" s="1" t="s">
        <v>1137</v>
      </c>
      <c r="G85" s="1" t="s">
        <v>80</v>
      </c>
      <c r="H85" s="138">
        <v>340</v>
      </c>
      <c r="I85" s="1" t="s">
        <v>80</v>
      </c>
      <c r="K85" s="1" t="s">
        <v>1137</v>
      </c>
      <c r="L85" s="1" t="s">
        <v>1137</v>
      </c>
      <c r="N85" s="1" t="s">
        <v>1137</v>
      </c>
      <c r="O85" s="1" t="s">
        <v>1137</v>
      </c>
    </row>
    <row r="86" spans="1:15">
      <c r="A86" s="1" t="s">
        <v>1384</v>
      </c>
      <c r="B86" s="1" t="s">
        <v>1149</v>
      </c>
      <c r="C86" s="1" t="s">
        <v>80</v>
      </c>
      <c r="D86" s="35" t="s">
        <v>1361</v>
      </c>
      <c r="E86" s="35">
        <v>2035</v>
      </c>
      <c r="F86" s="1" t="s">
        <v>1137</v>
      </c>
      <c r="G86" s="1" t="s">
        <v>80</v>
      </c>
      <c r="H86" s="138">
        <v>120</v>
      </c>
      <c r="I86" s="1" t="s">
        <v>80</v>
      </c>
      <c r="K86" s="1" t="s">
        <v>1137</v>
      </c>
      <c r="L86" s="1" t="s">
        <v>1137</v>
      </c>
      <c r="N86" s="1" t="s">
        <v>1137</v>
      </c>
      <c r="O86" s="1" t="s">
        <v>1137</v>
      </c>
    </row>
    <row r="87" spans="1:15">
      <c r="A87" s="1" t="s">
        <v>1384</v>
      </c>
      <c r="B87" s="1" t="s">
        <v>1150</v>
      </c>
      <c r="C87" s="1" t="s">
        <v>80</v>
      </c>
      <c r="D87" s="35" t="s">
        <v>1361</v>
      </c>
      <c r="E87" s="35">
        <v>2035</v>
      </c>
      <c r="F87" s="1" t="s">
        <v>1137</v>
      </c>
      <c r="G87" s="1" t="s">
        <v>80</v>
      </c>
      <c r="H87" s="138">
        <v>120</v>
      </c>
      <c r="I87" s="1" t="s">
        <v>80</v>
      </c>
      <c r="K87" s="1" t="s">
        <v>1137</v>
      </c>
      <c r="L87" s="1" t="s">
        <v>1137</v>
      </c>
      <c r="N87" s="1" t="s">
        <v>1137</v>
      </c>
      <c r="O87" s="1" t="s">
        <v>1137</v>
      </c>
    </row>
    <row r="88" spans="1:15">
      <c r="A88" s="1" t="s">
        <v>1384</v>
      </c>
      <c r="B88" s="1" t="s">
        <v>1143</v>
      </c>
      <c r="C88" s="1" t="s">
        <v>81</v>
      </c>
      <c r="D88" s="35" t="s">
        <v>1361</v>
      </c>
      <c r="E88" s="35">
        <v>2035</v>
      </c>
      <c r="F88" s="1" t="s">
        <v>1137</v>
      </c>
      <c r="G88" s="1" t="s">
        <v>1137</v>
      </c>
      <c r="H88" s="138">
        <v>139</v>
      </c>
      <c r="I88" s="1" t="s">
        <v>81</v>
      </c>
      <c r="K88" s="1" t="s">
        <v>1137</v>
      </c>
      <c r="L88" s="1" t="s">
        <v>1137</v>
      </c>
      <c r="N88" s="1" t="s">
        <v>1137</v>
      </c>
      <c r="O88" s="1" t="s">
        <v>1137</v>
      </c>
    </row>
    <row r="89" spans="1:15">
      <c r="A89" s="1" t="s">
        <v>1384</v>
      </c>
      <c r="B89" s="1" t="s">
        <v>1142</v>
      </c>
      <c r="C89" s="1" t="s">
        <v>81</v>
      </c>
      <c r="D89" s="35" t="s">
        <v>1361</v>
      </c>
      <c r="E89" s="35">
        <v>2035</v>
      </c>
      <c r="F89" s="1" t="s">
        <v>1137</v>
      </c>
      <c r="G89" s="1" t="s">
        <v>1137</v>
      </c>
      <c r="H89" s="138">
        <v>757.4</v>
      </c>
      <c r="I89" s="1" t="s">
        <v>81</v>
      </c>
      <c r="K89" s="1" t="s">
        <v>1137</v>
      </c>
      <c r="L89" s="1" t="s">
        <v>1137</v>
      </c>
      <c r="N89" s="1" t="s">
        <v>1137</v>
      </c>
      <c r="O89" s="1" t="s">
        <v>1137</v>
      </c>
    </row>
    <row r="90" spans="1:15">
      <c r="A90" s="1" t="s">
        <v>1384</v>
      </c>
      <c r="B90" s="1" t="s">
        <v>1141</v>
      </c>
      <c r="C90" s="1" t="s">
        <v>81</v>
      </c>
      <c r="D90" s="35" t="s">
        <v>1361</v>
      </c>
      <c r="E90" s="35">
        <v>2035</v>
      </c>
      <c r="F90" s="1" t="s">
        <v>1137</v>
      </c>
      <c r="G90" s="1" t="s">
        <v>1137</v>
      </c>
      <c r="H90" s="138">
        <v>88</v>
      </c>
      <c r="I90" s="1" t="s">
        <v>81</v>
      </c>
      <c r="K90" s="1" t="s">
        <v>1137</v>
      </c>
      <c r="L90" s="1" t="s">
        <v>1137</v>
      </c>
      <c r="N90" s="1" t="s">
        <v>1137</v>
      </c>
      <c r="O90" s="1" t="s">
        <v>1137</v>
      </c>
    </row>
    <row r="91" spans="1:15">
      <c r="A91" s="1" t="s">
        <v>1384</v>
      </c>
      <c r="B91" s="1" t="s">
        <v>1144</v>
      </c>
      <c r="C91" s="1" t="s">
        <v>81</v>
      </c>
      <c r="D91" s="35" t="s">
        <v>1361</v>
      </c>
      <c r="E91" s="35">
        <v>2035</v>
      </c>
      <c r="F91" s="1" t="s">
        <v>1137</v>
      </c>
      <c r="G91" s="1" t="s">
        <v>1137</v>
      </c>
      <c r="H91" s="138">
        <v>295</v>
      </c>
      <c r="I91" s="1" t="s">
        <v>81</v>
      </c>
      <c r="K91" s="1" t="s">
        <v>1137</v>
      </c>
      <c r="L91" s="1" t="s">
        <v>1137</v>
      </c>
      <c r="N91" s="1" t="s">
        <v>1137</v>
      </c>
      <c r="O91" s="1" t="s">
        <v>1137</v>
      </c>
    </row>
    <row r="92" spans="1:15">
      <c r="A92" s="1" t="s">
        <v>1384</v>
      </c>
      <c r="B92" s="1" t="s">
        <v>1146</v>
      </c>
      <c r="C92" s="1" t="s">
        <v>81</v>
      </c>
      <c r="D92" s="35" t="s">
        <v>1361</v>
      </c>
      <c r="E92" s="35">
        <v>2035</v>
      </c>
      <c r="F92" s="1" t="s">
        <v>1137</v>
      </c>
      <c r="G92" s="1" t="s">
        <v>1137</v>
      </c>
      <c r="H92" s="138">
        <v>150</v>
      </c>
      <c r="I92" s="1" t="s">
        <v>81</v>
      </c>
      <c r="K92" s="1" t="s">
        <v>1137</v>
      </c>
      <c r="L92" s="1" t="s">
        <v>1137</v>
      </c>
      <c r="N92" s="1" t="s">
        <v>1137</v>
      </c>
      <c r="O92" s="1" t="s">
        <v>1137</v>
      </c>
    </row>
    <row r="93" spans="1:15">
      <c r="A93" s="1" t="s">
        <v>1384</v>
      </c>
      <c r="B93" s="1" t="s">
        <v>1147</v>
      </c>
      <c r="C93" s="1" t="s">
        <v>81</v>
      </c>
      <c r="D93" s="35" t="s">
        <v>1361</v>
      </c>
      <c r="E93" s="35">
        <v>2035</v>
      </c>
      <c r="F93" s="1" t="s">
        <v>1137</v>
      </c>
      <c r="G93" s="1" t="s">
        <v>81</v>
      </c>
      <c r="H93" s="138">
        <v>280</v>
      </c>
      <c r="I93" s="1" t="s">
        <v>81</v>
      </c>
      <c r="K93" s="1" t="s">
        <v>1137</v>
      </c>
      <c r="L93" s="1" t="s">
        <v>1137</v>
      </c>
      <c r="N93" s="1" t="s">
        <v>1137</v>
      </c>
      <c r="O93" s="1" t="s">
        <v>1137</v>
      </c>
    </row>
    <row r="94" spans="1:15">
      <c r="A94" s="1" t="s">
        <v>1384</v>
      </c>
      <c r="B94" s="1" t="s">
        <v>1148</v>
      </c>
      <c r="C94" s="1" t="s">
        <v>81</v>
      </c>
      <c r="D94" s="35" t="s">
        <v>1361</v>
      </c>
      <c r="E94" s="35">
        <v>2035</v>
      </c>
      <c r="F94" s="1" t="s">
        <v>1137</v>
      </c>
      <c r="G94" s="1" t="s">
        <v>81</v>
      </c>
      <c r="H94" s="138">
        <v>280</v>
      </c>
      <c r="I94" s="1" t="s">
        <v>81</v>
      </c>
      <c r="K94" s="1" t="s">
        <v>1137</v>
      </c>
      <c r="L94" s="1" t="s">
        <v>1137</v>
      </c>
      <c r="N94" s="1" t="s">
        <v>1137</v>
      </c>
      <c r="O94" s="1" t="s">
        <v>1137</v>
      </c>
    </row>
    <row r="95" spans="1:15">
      <c r="A95" s="1" t="s">
        <v>1384</v>
      </c>
      <c r="B95" s="1" t="s">
        <v>1142</v>
      </c>
      <c r="C95" s="1" t="s">
        <v>82</v>
      </c>
      <c r="D95" s="35" t="s">
        <v>1361</v>
      </c>
      <c r="E95" s="35">
        <v>2035</v>
      </c>
      <c r="F95" s="1" t="s">
        <v>1137</v>
      </c>
      <c r="G95" s="1" t="s">
        <v>1137</v>
      </c>
      <c r="H95" s="138">
        <v>427</v>
      </c>
      <c r="I95" s="1" t="s">
        <v>82</v>
      </c>
      <c r="K95" s="1" t="s">
        <v>1137</v>
      </c>
      <c r="L95" s="1" t="s">
        <v>1137</v>
      </c>
      <c r="N95" s="1" t="s">
        <v>1137</v>
      </c>
      <c r="O95" s="1" t="s">
        <v>1137</v>
      </c>
    </row>
    <row r="96" spans="1:15">
      <c r="A96" s="1" t="s">
        <v>1384</v>
      </c>
      <c r="B96" s="1" t="s">
        <v>1141</v>
      </c>
      <c r="C96" s="1" t="s">
        <v>82</v>
      </c>
      <c r="D96" s="35" t="s">
        <v>1361</v>
      </c>
      <c r="E96" s="35">
        <v>2035</v>
      </c>
      <c r="F96" s="1" t="s">
        <v>1137</v>
      </c>
      <c r="G96" s="1" t="s">
        <v>1137</v>
      </c>
      <c r="H96" s="138">
        <v>92</v>
      </c>
      <c r="I96" s="1" t="s">
        <v>82</v>
      </c>
      <c r="K96" s="1" t="s">
        <v>1137</v>
      </c>
      <c r="L96" s="1" t="s">
        <v>1137</v>
      </c>
      <c r="N96" s="1" t="s">
        <v>1137</v>
      </c>
      <c r="O96" s="1" t="s">
        <v>1137</v>
      </c>
    </row>
    <row r="97" spans="1:15">
      <c r="A97" s="1" t="s">
        <v>1384</v>
      </c>
      <c r="B97" s="1" t="s">
        <v>1152</v>
      </c>
      <c r="C97" s="1" t="s">
        <v>82</v>
      </c>
      <c r="D97" s="35" t="s">
        <v>1361</v>
      </c>
      <c r="E97" s="35">
        <v>2035</v>
      </c>
      <c r="F97" s="1" t="s">
        <v>1137</v>
      </c>
      <c r="G97" s="1" t="s">
        <v>1137</v>
      </c>
      <c r="H97" s="138">
        <v>80</v>
      </c>
      <c r="I97" s="1" t="s">
        <v>82</v>
      </c>
      <c r="K97" s="1" t="s">
        <v>1137</v>
      </c>
      <c r="L97" s="1" t="s">
        <v>1137</v>
      </c>
      <c r="N97" s="1" t="s">
        <v>1137</v>
      </c>
      <c r="O97" s="1" t="s">
        <v>1137</v>
      </c>
    </row>
    <row r="98" spans="1:15">
      <c r="A98" s="1" t="s">
        <v>1384</v>
      </c>
      <c r="B98" s="1" t="s">
        <v>1146</v>
      </c>
      <c r="C98" s="1" t="s">
        <v>82</v>
      </c>
      <c r="D98" s="35" t="s">
        <v>1361</v>
      </c>
      <c r="E98" s="35">
        <v>2035</v>
      </c>
      <c r="F98" s="1" t="s">
        <v>1137</v>
      </c>
      <c r="G98" s="1" t="s">
        <v>1137</v>
      </c>
      <c r="H98" s="138">
        <v>180</v>
      </c>
      <c r="I98" s="1" t="s">
        <v>82</v>
      </c>
      <c r="K98" s="1" t="s">
        <v>1137</v>
      </c>
      <c r="L98" s="1" t="s">
        <v>1137</v>
      </c>
      <c r="N98" s="1" t="s">
        <v>1137</v>
      </c>
      <c r="O98" s="1" t="s">
        <v>1137</v>
      </c>
    </row>
    <row r="99" spans="1:15">
      <c r="A99" s="1" t="s">
        <v>1384</v>
      </c>
      <c r="B99" s="1" t="s">
        <v>1144</v>
      </c>
      <c r="C99" s="1" t="s">
        <v>82</v>
      </c>
      <c r="D99" s="35" t="s">
        <v>1361</v>
      </c>
      <c r="E99" s="35">
        <v>2035</v>
      </c>
      <c r="F99" s="1" t="s">
        <v>1137</v>
      </c>
      <c r="G99" s="1" t="s">
        <v>1137</v>
      </c>
      <c r="H99" s="138">
        <v>35</v>
      </c>
      <c r="I99" s="1" t="s">
        <v>82</v>
      </c>
      <c r="K99" s="1" t="s">
        <v>1137</v>
      </c>
      <c r="L99" s="1" t="s">
        <v>1137</v>
      </c>
      <c r="N99" s="1" t="s">
        <v>1137</v>
      </c>
      <c r="O99" s="1" t="s">
        <v>1137</v>
      </c>
    </row>
    <row r="100" spans="1:15">
      <c r="A100" s="1" t="s">
        <v>1384</v>
      </c>
      <c r="B100" s="1" t="s">
        <v>1143</v>
      </c>
      <c r="C100" s="1" t="s">
        <v>82</v>
      </c>
      <c r="D100" s="35" t="s">
        <v>1361</v>
      </c>
      <c r="E100" s="35">
        <v>2035</v>
      </c>
      <c r="F100" s="1" t="s">
        <v>1137</v>
      </c>
      <c r="G100" s="1" t="s">
        <v>1137</v>
      </c>
      <c r="H100" s="138">
        <v>23</v>
      </c>
      <c r="I100" s="1" t="s">
        <v>82</v>
      </c>
      <c r="K100" s="1" t="s">
        <v>1137</v>
      </c>
      <c r="L100" s="1" t="s">
        <v>1137</v>
      </c>
      <c r="N100" s="1" t="s">
        <v>1137</v>
      </c>
      <c r="O100" s="1" t="s">
        <v>1137</v>
      </c>
    </row>
    <row r="101" spans="1:15">
      <c r="A101" s="1" t="s">
        <v>1384</v>
      </c>
      <c r="B101" s="1" t="s">
        <v>1147</v>
      </c>
      <c r="C101" s="1" t="s">
        <v>82</v>
      </c>
      <c r="D101" s="35" t="s">
        <v>1361</v>
      </c>
      <c r="E101" s="35">
        <v>2035</v>
      </c>
      <c r="F101" s="1" t="s">
        <v>1137</v>
      </c>
      <c r="G101" s="1" t="s">
        <v>82</v>
      </c>
      <c r="H101" s="138">
        <v>180</v>
      </c>
      <c r="I101" s="1" t="s">
        <v>82</v>
      </c>
      <c r="K101" s="1" t="s">
        <v>1137</v>
      </c>
      <c r="L101" s="1" t="s">
        <v>1137</v>
      </c>
      <c r="N101" s="1" t="s">
        <v>1137</v>
      </c>
      <c r="O101" s="1" t="s">
        <v>1137</v>
      </c>
    </row>
    <row r="102" spans="1:15">
      <c r="A102" s="1" t="s">
        <v>1384</v>
      </c>
      <c r="B102" s="1" t="s">
        <v>1148</v>
      </c>
      <c r="C102" s="1" t="s">
        <v>82</v>
      </c>
      <c r="D102" s="35" t="s">
        <v>1361</v>
      </c>
      <c r="E102" s="35">
        <v>2035</v>
      </c>
      <c r="F102" s="1" t="s">
        <v>1137</v>
      </c>
      <c r="G102" s="1" t="s">
        <v>82</v>
      </c>
      <c r="H102" s="138">
        <v>180</v>
      </c>
      <c r="I102" s="1" t="s">
        <v>82</v>
      </c>
      <c r="K102" s="1" t="s">
        <v>1137</v>
      </c>
      <c r="L102" s="1" t="s">
        <v>1137</v>
      </c>
      <c r="N102" s="1" t="s">
        <v>1137</v>
      </c>
      <c r="O102" s="1" t="s">
        <v>1137</v>
      </c>
    </row>
    <row r="103" spans="1:15">
      <c r="A103" s="1" t="s">
        <v>1384</v>
      </c>
      <c r="B103" s="1" t="s">
        <v>1155</v>
      </c>
      <c r="C103" s="1" t="s">
        <v>82</v>
      </c>
      <c r="D103" s="35" t="s">
        <v>1361</v>
      </c>
      <c r="E103" s="35">
        <v>2035</v>
      </c>
      <c r="F103" s="1" t="s">
        <v>1137</v>
      </c>
      <c r="G103" s="1" t="s">
        <v>82</v>
      </c>
      <c r="H103" s="138">
        <v>200</v>
      </c>
      <c r="I103" s="1" t="s">
        <v>82</v>
      </c>
      <c r="K103" s="1" t="s">
        <v>1137</v>
      </c>
      <c r="L103" s="1" t="s">
        <v>1137</v>
      </c>
      <c r="N103" s="1" t="s">
        <v>1137</v>
      </c>
      <c r="O103" s="1" t="s">
        <v>1137</v>
      </c>
    </row>
    <row r="104" spans="1:15">
      <c r="A104" s="1" t="s">
        <v>1384</v>
      </c>
      <c r="B104" s="1" t="s">
        <v>1156</v>
      </c>
      <c r="C104" s="1" t="s">
        <v>82</v>
      </c>
      <c r="D104" s="35" t="s">
        <v>1361</v>
      </c>
      <c r="E104" s="35">
        <v>2035</v>
      </c>
      <c r="F104" s="1" t="s">
        <v>1137</v>
      </c>
      <c r="G104" s="1" t="s">
        <v>82</v>
      </c>
      <c r="H104" s="138">
        <v>200</v>
      </c>
      <c r="I104" s="1" t="s">
        <v>82</v>
      </c>
      <c r="K104" s="1" t="s">
        <v>1137</v>
      </c>
      <c r="L104" s="1" t="s">
        <v>1137</v>
      </c>
      <c r="N104" s="1" t="s">
        <v>1137</v>
      </c>
      <c r="O104" s="1" t="s">
        <v>1137</v>
      </c>
    </row>
    <row r="105" spans="1:15">
      <c r="A105" s="1" t="s">
        <v>1273</v>
      </c>
      <c r="B105" s="1" t="s">
        <v>1142</v>
      </c>
      <c r="C105" s="1" t="s">
        <v>84</v>
      </c>
      <c r="D105" s="35" t="s">
        <v>1361</v>
      </c>
      <c r="E105" s="35">
        <v>2035</v>
      </c>
      <c r="F105" s="1" t="s">
        <v>1137</v>
      </c>
      <c r="G105" s="1" t="s">
        <v>1137</v>
      </c>
      <c r="H105" s="138">
        <v>235</v>
      </c>
      <c r="I105" s="1" t="s">
        <v>84</v>
      </c>
      <c r="K105" s="1" t="s">
        <v>1137</v>
      </c>
      <c r="L105" s="1" t="s">
        <v>1137</v>
      </c>
      <c r="N105" s="1" t="s">
        <v>1137</v>
      </c>
      <c r="O105" s="1" t="s">
        <v>1137</v>
      </c>
    </row>
    <row r="106" spans="1:15">
      <c r="A106" s="1" t="s">
        <v>1273</v>
      </c>
      <c r="B106" s="1" t="s">
        <v>1141</v>
      </c>
      <c r="C106" s="1" t="s">
        <v>84</v>
      </c>
      <c r="D106" s="35" t="s">
        <v>1361</v>
      </c>
      <c r="E106" s="35">
        <v>2035</v>
      </c>
      <c r="F106" s="1" t="s">
        <v>1137</v>
      </c>
      <c r="G106" s="1" t="s">
        <v>1137</v>
      </c>
      <c r="H106" s="138">
        <v>305</v>
      </c>
      <c r="I106" s="1" t="s">
        <v>84</v>
      </c>
      <c r="K106" s="1" t="s">
        <v>1137</v>
      </c>
      <c r="L106" s="1" t="s">
        <v>1137</v>
      </c>
      <c r="N106" s="1" t="s">
        <v>1137</v>
      </c>
      <c r="O106" s="1" t="s">
        <v>1137</v>
      </c>
    </row>
    <row r="107" spans="1:15">
      <c r="A107" s="1" t="s">
        <v>2950</v>
      </c>
      <c r="B107" s="1" t="s">
        <v>1143</v>
      </c>
      <c r="C107" s="1" t="s">
        <v>84</v>
      </c>
      <c r="D107" s="35" t="s">
        <v>1361</v>
      </c>
      <c r="E107" s="35">
        <v>2035</v>
      </c>
      <c r="F107" s="1" t="s">
        <v>1137</v>
      </c>
      <c r="G107" s="1" t="s">
        <v>1137</v>
      </c>
      <c r="H107" s="138">
        <v>92</v>
      </c>
      <c r="I107" s="1" t="s">
        <v>84</v>
      </c>
      <c r="K107" s="1" t="s">
        <v>1137</v>
      </c>
      <c r="L107" s="1" t="s">
        <v>1137</v>
      </c>
      <c r="N107" s="1" t="s">
        <v>1137</v>
      </c>
      <c r="O107" s="1" t="s">
        <v>1137</v>
      </c>
    </row>
    <row r="108" spans="1:15">
      <c r="A108" s="1" t="s">
        <v>2950</v>
      </c>
      <c r="B108" s="1" t="s">
        <v>1146</v>
      </c>
      <c r="C108" s="1" t="s">
        <v>84</v>
      </c>
      <c r="D108" s="35" t="s">
        <v>1361</v>
      </c>
      <c r="E108" s="35">
        <v>2035</v>
      </c>
      <c r="F108" s="1" t="s">
        <v>1137</v>
      </c>
      <c r="G108" s="1" t="s">
        <v>1137</v>
      </c>
      <c r="H108" s="138">
        <v>145</v>
      </c>
      <c r="I108" s="1" t="s">
        <v>84</v>
      </c>
      <c r="K108" s="1" t="s">
        <v>1137</v>
      </c>
      <c r="L108" s="1" t="s">
        <v>1137</v>
      </c>
      <c r="N108" s="1" t="s">
        <v>1137</v>
      </c>
      <c r="O108" s="1" t="s">
        <v>1137</v>
      </c>
    </row>
    <row r="109" spans="1:15">
      <c r="A109" s="1" t="s">
        <v>2950</v>
      </c>
      <c r="B109" s="1" t="s">
        <v>1147</v>
      </c>
      <c r="C109" s="1" t="s">
        <v>84</v>
      </c>
      <c r="D109" s="35" t="s">
        <v>1361</v>
      </c>
      <c r="E109" s="35">
        <v>2035</v>
      </c>
      <c r="F109" s="1" t="s">
        <v>1137</v>
      </c>
      <c r="G109" s="1" t="s">
        <v>84</v>
      </c>
      <c r="H109" s="138">
        <v>100</v>
      </c>
      <c r="I109" s="1" t="s">
        <v>84</v>
      </c>
      <c r="K109" s="1" t="s">
        <v>1137</v>
      </c>
      <c r="L109" s="1" t="s">
        <v>1137</v>
      </c>
      <c r="N109" s="1" t="s">
        <v>1137</v>
      </c>
      <c r="O109" s="1" t="s">
        <v>1137</v>
      </c>
    </row>
    <row r="110" spans="1:15">
      <c r="A110" s="1" t="s">
        <v>2950</v>
      </c>
      <c r="B110" s="1" t="s">
        <v>1148</v>
      </c>
      <c r="C110" s="1" t="s">
        <v>84</v>
      </c>
      <c r="D110" s="35" t="s">
        <v>1361</v>
      </c>
      <c r="E110" s="35">
        <v>2035</v>
      </c>
      <c r="F110" s="1" t="s">
        <v>1137</v>
      </c>
      <c r="G110" s="1" t="s">
        <v>84</v>
      </c>
      <c r="H110" s="138">
        <v>100</v>
      </c>
      <c r="I110" s="1" t="s">
        <v>84</v>
      </c>
      <c r="K110" s="1" t="s">
        <v>1137</v>
      </c>
      <c r="L110" s="1" t="s">
        <v>1137</v>
      </c>
      <c r="N110" s="1" t="s">
        <v>1137</v>
      </c>
      <c r="O110" s="1" t="s">
        <v>1137</v>
      </c>
    </row>
    <row r="111" spans="1:15">
      <c r="A111" s="1" t="s">
        <v>1272</v>
      </c>
      <c r="B111" s="1" t="s">
        <v>1141</v>
      </c>
      <c r="C111" s="1" t="s">
        <v>85</v>
      </c>
      <c r="D111" s="35" t="s">
        <v>1361</v>
      </c>
      <c r="E111" s="35">
        <v>2035</v>
      </c>
      <c r="F111" s="1" t="s">
        <v>1137</v>
      </c>
      <c r="G111" s="1" t="s">
        <v>1137</v>
      </c>
      <c r="H111" s="138">
        <v>348</v>
      </c>
      <c r="I111" s="1" t="s">
        <v>85</v>
      </c>
      <c r="K111" s="1" t="s">
        <v>1137</v>
      </c>
      <c r="L111" s="1" t="s">
        <v>1137</v>
      </c>
      <c r="N111" s="1" t="s">
        <v>1137</v>
      </c>
      <c r="O111" s="1" t="s">
        <v>1137</v>
      </c>
    </row>
    <row r="112" spans="1:15">
      <c r="A112" s="1" t="s">
        <v>1272</v>
      </c>
      <c r="B112" s="1" t="s">
        <v>1146</v>
      </c>
      <c r="C112" s="1" t="s">
        <v>85</v>
      </c>
      <c r="D112" s="35" t="s">
        <v>1361</v>
      </c>
      <c r="E112" s="35">
        <v>2035</v>
      </c>
      <c r="F112" s="1" t="s">
        <v>1137</v>
      </c>
      <c r="G112" s="1" t="s">
        <v>1137</v>
      </c>
      <c r="H112" s="138">
        <v>140</v>
      </c>
      <c r="I112" s="1" t="s">
        <v>85</v>
      </c>
      <c r="K112" s="1" t="s">
        <v>1137</v>
      </c>
      <c r="L112" s="1" t="s">
        <v>1137</v>
      </c>
      <c r="N112" s="1" t="s">
        <v>1137</v>
      </c>
      <c r="O112" s="1" t="s">
        <v>1137</v>
      </c>
    </row>
    <row r="113" spans="1:15">
      <c r="A113" s="1" t="s">
        <v>2951</v>
      </c>
      <c r="B113" s="1" t="s">
        <v>1144</v>
      </c>
      <c r="C113" s="1" t="s">
        <v>85</v>
      </c>
      <c r="D113" s="35" t="s">
        <v>1361</v>
      </c>
      <c r="E113" s="35">
        <v>2035</v>
      </c>
      <c r="F113" s="1" t="s">
        <v>1137</v>
      </c>
      <c r="G113" s="1" t="s">
        <v>1137</v>
      </c>
      <c r="H113" s="138">
        <v>2.1</v>
      </c>
      <c r="I113" s="1" t="s">
        <v>85</v>
      </c>
      <c r="K113" s="1" t="s">
        <v>1137</v>
      </c>
      <c r="L113" s="1" t="s">
        <v>1137</v>
      </c>
      <c r="N113" s="1" t="s">
        <v>1137</v>
      </c>
      <c r="O113" s="1" t="s">
        <v>1137</v>
      </c>
    </row>
    <row r="114" spans="1:15">
      <c r="A114" s="1" t="s">
        <v>2951</v>
      </c>
      <c r="B114" s="1" t="s">
        <v>1149</v>
      </c>
      <c r="C114" s="1" t="s">
        <v>85</v>
      </c>
      <c r="D114" s="35" t="s">
        <v>1361</v>
      </c>
      <c r="E114" s="35">
        <v>2035</v>
      </c>
      <c r="F114" s="1" t="s">
        <v>1137</v>
      </c>
      <c r="G114" s="1" t="s">
        <v>85</v>
      </c>
      <c r="H114" s="138">
        <v>80</v>
      </c>
      <c r="I114" s="1" t="s">
        <v>85</v>
      </c>
      <c r="K114" s="1" t="s">
        <v>1137</v>
      </c>
      <c r="L114" s="1" t="s">
        <v>1137</v>
      </c>
      <c r="N114" s="1" t="s">
        <v>1137</v>
      </c>
      <c r="O114" s="1" t="s">
        <v>1137</v>
      </c>
    </row>
    <row r="115" spans="1:15">
      <c r="A115" s="1" t="s">
        <v>2951</v>
      </c>
      <c r="B115" s="1" t="s">
        <v>1150</v>
      </c>
      <c r="C115" s="1" t="s">
        <v>85</v>
      </c>
      <c r="D115" s="35" t="s">
        <v>1361</v>
      </c>
      <c r="E115" s="35">
        <v>2035</v>
      </c>
      <c r="F115" s="1" t="s">
        <v>1137</v>
      </c>
      <c r="G115" s="1" t="s">
        <v>85</v>
      </c>
      <c r="H115" s="138">
        <v>80</v>
      </c>
      <c r="I115" s="1" t="s">
        <v>85</v>
      </c>
      <c r="K115" s="1" t="s">
        <v>1137</v>
      </c>
      <c r="L115" s="1" t="s">
        <v>1137</v>
      </c>
      <c r="N115" s="1" t="s">
        <v>1137</v>
      </c>
      <c r="O115" s="1" t="s">
        <v>1137</v>
      </c>
    </row>
    <row r="116" spans="1:15">
      <c r="A116" s="1" t="s">
        <v>2951</v>
      </c>
      <c r="B116" s="1" t="s">
        <v>1147</v>
      </c>
      <c r="C116" s="1" t="s">
        <v>85</v>
      </c>
      <c r="D116" s="35" t="s">
        <v>1361</v>
      </c>
      <c r="E116" s="35">
        <v>2035</v>
      </c>
      <c r="F116" s="1" t="s">
        <v>1137</v>
      </c>
      <c r="G116" s="1" t="s">
        <v>85</v>
      </c>
      <c r="H116" s="138">
        <v>55</v>
      </c>
      <c r="I116" s="1" t="s">
        <v>85</v>
      </c>
      <c r="K116" s="1" t="s">
        <v>1137</v>
      </c>
      <c r="L116" s="1" t="s">
        <v>1137</v>
      </c>
      <c r="N116" s="1" t="s">
        <v>1137</v>
      </c>
      <c r="O116" s="1" t="s">
        <v>1137</v>
      </c>
    </row>
    <row r="117" spans="1:15">
      <c r="A117" s="1" t="s">
        <v>2951</v>
      </c>
      <c r="B117" s="1" t="s">
        <v>1148</v>
      </c>
      <c r="C117" s="1" t="s">
        <v>85</v>
      </c>
      <c r="D117" s="35" t="s">
        <v>1361</v>
      </c>
      <c r="E117" s="35">
        <v>2035</v>
      </c>
      <c r="F117" s="1" t="s">
        <v>1137</v>
      </c>
      <c r="G117" s="1" t="s">
        <v>85</v>
      </c>
      <c r="H117" s="138">
        <v>55</v>
      </c>
      <c r="I117" s="1" t="s">
        <v>85</v>
      </c>
      <c r="K117" s="1" t="s">
        <v>1137</v>
      </c>
      <c r="L117" s="1" t="s">
        <v>1137</v>
      </c>
      <c r="N117" s="1" t="s">
        <v>1137</v>
      </c>
      <c r="O117" s="1" t="s">
        <v>1137</v>
      </c>
    </row>
    <row r="118" spans="1:15">
      <c r="A118" s="1" t="s">
        <v>1383</v>
      </c>
      <c r="B118" s="1" t="s">
        <v>1141</v>
      </c>
      <c r="C118" s="1" t="s">
        <v>83</v>
      </c>
      <c r="D118" s="35" t="s">
        <v>1361</v>
      </c>
      <c r="E118" s="35">
        <v>2035</v>
      </c>
      <c r="F118" s="1" t="s">
        <v>1137</v>
      </c>
      <c r="G118" s="1" t="s">
        <v>1137</v>
      </c>
      <c r="H118" s="138">
        <v>624</v>
      </c>
      <c r="I118" s="1" t="s">
        <v>83</v>
      </c>
      <c r="K118" s="1" t="s">
        <v>1137</v>
      </c>
      <c r="L118" s="1" t="s">
        <v>1137</v>
      </c>
      <c r="N118" s="1" t="s">
        <v>1137</v>
      </c>
      <c r="O118" s="1" t="s">
        <v>1137</v>
      </c>
    </row>
    <row r="119" spans="1:15">
      <c r="A119" s="1" t="s">
        <v>1383</v>
      </c>
      <c r="B119" s="1" t="s">
        <v>1144</v>
      </c>
      <c r="C119" s="1" t="s">
        <v>83</v>
      </c>
      <c r="D119" s="35" t="s">
        <v>1361</v>
      </c>
      <c r="E119" s="35">
        <v>2035</v>
      </c>
      <c r="F119" s="1" t="s">
        <v>1137</v>
      </c>
      <c r="G119" s="1" t="s">
        <v>1137</v>
      </c>
      <c r="H119" s="138">
        <v>64.400000000000006</v>
      </c>
      <c r="I119" s="1" t="s">
        <v>83</v>
      </c>
      <c r="K119" s="1" t="s">
        <v>1137</v>
      </c>
      <c r="L119" s="1" t="s">
        <v>1137</v>
      </c>
      <c r="N119" s="1" t="s">
        <v>1137</v>
      </c>
      <c r="O119" s="1" t="s">
        <v>1137</v>
      </c>
    </row>
    <row r="120" spans="1:15">
      <c r="A120" s="1" t="s">
        <v>1383</v>
      </c>
      <c r="B120" s="1" t="s">
        <v>1143</v>
      </c>
      <c r="C120" s="1" t="s">
        <v>83</v>
      </c>
      <c r="D120" s="35" t="s">
        <v>1361</v>
      </c>
      <c r="E120" s="35">
        <v>2035</v>
      </c>
      <c r="F120" s="1" t="s">
        <v>1137</v>
      </c>
      <c r="G120" s="1" t="s">
        <v>1137</v>
      </c>
      <c r="H120" s="138">
        <v>106.8</v>
      </c>
      <c r="I120" s="1" t="s">
        <v>83</v>
      </c>
      <c r="K120" s="1" t="s">
        <v>1137</v>
      </c>
      <c r="L120" s="1" t="s">
        <v>1137</v>
      </c>
      <c r="N120" s="1" t="s">
        <v>1137</v>
      </c>
      <c r="O120" s="1" t="s">
        <v>1137</v>
      </c>
    </row>
    <row r="121" spans="1:15">
      <c r="A121" s="1" t="s">
        <v>1383</v>
      </c>
      <c r="B121" s="1" t="s">
        <v>1146</v>
      </c>
      <c r="C121" s="1" t="s">
        <v>83</v>
      </c>
      <c r="D121" s="35" t="s">
        <v>1361</v>
      </c>
      <c r="E121" s="35">
        <v>2035</v>
      </c>
      <c r="F121" s="1" t="s">
        <v>1137</v>
      </c>
      <c r="G121" s="1" t="s">
        <v>1137</v>
      </c>
      <c r="H121" s="138">
        <v>50</v>
      </c>
      <c r="I121" s="1" t="s">
        <v>83</v>
      </c>
      <c r="K121" s="1" t="s">
        <v>1137</v>
      </c>
      <c r="L121" s="1" t="s">
        <v>1137</v>
      </c>
      <c r="N121" s="1" t="s">
        <v>1137</v>
      </c>
      <c r="O121" s="1" t="s">
        <v>1137</v>
      </c>
    </row>
    <row r="122" spans="1:15">
      <c r="A122" s="1" t="s">
        <v>1383</v>
      </c>
      <c r="B122" s="1" t="s">
        <v>1147</v>
      </c>
      <c r="C122" s="1" t="s">
        <v>83</v>
      </c>
      <c r="D122" s="35" t="s">
        <v>1361</v>
      </c>
      <c r="E122" s="35">
        <v>2035</v>
      </c>
      <c r="F122" s="1" t="s">
        <v>1137</v>
      </c>
      <c r="G122" s="1" t="s">
        <v>83</v>
      </c>
      <c r="H122" s="138">
        <v>75</v>
      </c>
      <c r="I122" s="1" t="s">
        <v>83</v>
      </c>
      <c r="K122" s="1" t="s">
        <v>1137</v>
      </c>
      <c r="L122" s="1" t="s">
        <v>1137</v>
      </c>
      <c r="N122" s="1" t="s">
        <v>1137</v>
      </c>
      <c r="O122" s="1" t="s">
        <v>1137</v>
      </c>
    </row>
    <row r="123" spans="1:15">
      <c r="A123" s="1" t="s">
        <v>1383</v>
      </c>
      <c r="B123" s="1" t="s">
        <v>1148</v>
      </c>
      <c r="C123" s="1" t="s">
        <v>83</v>
      </c>
      <c r="D123" s="35" t="s">
        <v>1361</v>
      </c>
      <c r="E123" s="35">
        <v>2035</v>
      </c>
      <c r="F123" s="1" t="s">
        <v>1137</v>
      </c>
      <c r="G123" s="1" t="s">
        <v>83</v>
      </c>
      <c r="H123" s="138">
        <v>75</v>
      </c>
      <c r="I123" s="1" t="s">
        <v>83</v>
      </c>
      <c r="K123" s="1" t="s">
        <v>1137</v>
      </c>
      <c r="L123" s="1" t="s">
        <v>1137</v>
      </c>
      <c r="N123" s="1" t="s">
        <v>1137</v>
      </c>
      <c r="O123" s="1" t="s">
        <v>1137</v>
      </c>
    </row>
    <row r="124" spans="1:15">
      <c r="A124" s="1" t="s">
        <v>2950</v>
      </c>
      <c r="B124" s="1" t="s">
        <v>1143</v>
      </c>
      <c r="C124" s="1" t="s">
        <v>86</v>
      </c>
      <c r="D124" s="35" t="s">
        <v>1361</v>
      </c>
      <c r="E124" s="35">
        <v>2035</v>
      </c>
      <c r="F124" s="1" t="s">
        <v>1137</v>
      </c>
      <c r="G124" s="1" t="s">
        <v>1137</v>
      </c>
      <c r="H124" s="138">
        <v>26.8</v>
      </c>
      <c r="I124" s="1" t="s">
        <v>86</v>
      </c>
      <c r="K124" s="1" t="s">
        <v>1137</v>
      </c>
      <c r="L124" s="1" t="s">
        <v>1137</v>
      </c>
      <c r="N124" s="1" t="s">
        <v>1137</v>
      </c>
      <c r="O124" s="1" t="s">
        <v>1137</v>
      </c>
    </row>
    <row r="125" spans="1:15">
      <c r="A125" s="1" t="s">
        <v>2950</v>
      </c>
      <c r="B125" s="1" t="s">
        <v>1142</v>
      </c>
      <c r="C125" s="1" t="s">
        <v>86</v>
      </c>
      <c r="D125" s="35" t="s">
        <v>1361</v>
      </c>
      <c r="E125" s="35">
        <v>2035</v>
      </c>
      <c r="F125" s="1" t="s">
        <v>1137</v>
      </c>
      <c r="G125" s="1" t="s">
        <v>1137</v>
      </c>
      <c r="H125" s="138">
        <v>3.1</v>
      </c>
      <c r="I125" s="1" t="s">
        <v>86</v>
      </c>
      <c r="K125" s="1" t="s">
        <v>1137</v>
      </c>
      <c r="L125" s="1" t="s">
        <v>1137</v>
      </c>
      <c r="N125" s="1" t="s">
        <v>1137</v>
      </c>
      <c r="O125" s="1" t="s">
        <v>1137</v>
      </c>
    </row>
    <row r="126" spans="1:15">
      <c r="A126" s="1" t="s">
        <v>2950</v>
      </c>
      <c r="B126" s="1" t="s">
        <v>1141</v>
      </c>
      <c r="C126" s="1" t="s">
        <v>86</v>
      </c>
      <c r="D126" s="35" t="s">
        <v>1361</v>
      </c>
      <c r="E126" s="35">
        <v>2035</v>
      </c>
      <c r="F126" s="1" t="s">
        <v>1137</v>
      </c>
      <c r="G126" s="1" t="s">
        <v>1137</v>
      </c>
      <c r="H126" s="138">
        <v>200</v>
      </c>
      <c r="I126" s="1" t="s">
        <v>86</v>
      </c>
      <c r="K126" s="1" t="s">
        <v>1137</v>
      </c>
      <c r="L126" s="1" t="s">
        <v>1137</v>
      </c>
      <c r="N126" s="1" t="s">
        <v>1137</v>
      </c>
      <c r="O126" s="1" t="s">
        <v>1137</v>
      </c>
    </row>
    <row r="127" spans="1:15">
      <c r="A127" s="1" t="s">
        <v>2950</v>
      </c>
      <c r="B127" s="1" t="s">
        <v>1144</v>
      </c>
      <c r="C127" s="1" t="s">
        <v>86</v>
      </c>
      <c r="D127" s="35" t="s">
        <v>1361</v>
      </c>
      <c r="E127" s="35">
        <v>2035</v>
      </c>
      <c r="F127" s="1" t="s">
        <v>1137</v>
      </c>
      <c r="G127" s="1" t="s">
        <v>1137</v>
      </c>
      <c r="H127" s="138">
        <v>45</v>
      </c>
      <c r="I127" s="1" t="s">
        <v>86</v>
      </c>
      <c r="K127" s="1" t="s">
        <v>1137</v>
      </c>
      <c r="L127" s="1" t="s">
        <v>1137</v>
      </c>
      <c r="N127" s="1" t="s">
        <v>1137</v>
      </c>
      <c r="O127" s="1" t="s">
        <v>1137</v>
      </c>
    </row>
    <row r="128" spans="1:15">
      <c r="A128" s="1" t="s">
        <v>2950</v>
      </c>
      <c r="B128" s="1" t="s">
        <v>1146</v>
      </c>
      <c r="C128" s="1" t="s">
        <v>86</v>
      </c>
      <c r="D128" s="35" t="s">
        <v>1361</v>
      </c>
      <c r="E128" s="35">
        <v>2035</v>
      </c>
      <c r="F128" s="1" t="s">
        <v>1137</v>
      </c>
      <c r="G128" s="1" t="s">
        <v>1137</v>
      </c>
      <c r="H128" s="138">
        <v>120</v>
      </c>
      <c r="I128" s="1" t="s">
        <v>86</v>
      </c>
      <c r="K128" s="1" t="s">
        <v>1137</v>
      </c>
      <c r="L128" s="1" t="s">
        <v>1137</v>
      </c>
      <c r="N128" s="1" t="s">
        <v>1137</v>
      </c>
      <c r="O128" s="1" t="s">
        <v>1137</v>
      </c>
    </row>
    <row r="129" spans="1:15">
      <c r="A129" s="1" t="s">
        <v>2950</v>
      </c>
      <c r="B129" s="1" t="s">
        <v>1147</v>
      </c>
      <c r="C129" s="1" t="s">
        <v>86</v>
      </c>
      <c r="D129" s="35" t="s">
        <v>1361</v>
      </c>
      <c r="E129" s="35">
        <v>2035</v>
      </c>
      <c r="F129" s="1" t="s">
        <v>1137</v>
      </c>
      <c r="G129" s="1" t="s">
        <v>86</v>
      </c>
      <c r="H129" s="138">
        <v>80</v>
      </c>
      <c r="I129" s="1" t="s">
        <v>86</v>
      </c>
      <c r="K129" s="1" t="s">
        <v>1137</v>
      </c>
      <c r="L129" s="1" t="s">
        <v>1137</v>
      </c>
      <c r="N129" s="1" t="s">
        <v>1137</v>
      </c>
      <c r="O129" s="1" t="s">
        <v>1137</v>
      </c>
    </row>
    <row r="130" spans="1:15">
      <c r="A130" s="44" t="s">
        <v>2950</v>
      </c>
      <c r="B130" s="44" t="s">
        <v>1148</v>
      </c>
      <c r="C130" s="44" t="s">
        <v>86</v>
      </c>
      <c r="D130" s="213" t="s">
        <v>1361</v>
      </c>
      <c r="E130" s="213">
        <v>2035</v>
      </c>
      <c r="F130" s="44" t="s">
        <v>1137</v>
      </c>
      <c r="G130" s="44" t="s">
        <v>86</v>
      </c>
      <c r="H130" s="266">
        <v>80</v>
      </c>
      <c r="I130" s="44" t="s">
        <v>86</v>
      </c>
      <c r="J130" s="44"/>
      <c r="K130" s="44" t="s">
        <v>1137</v>
      </c>
      <c r="L130" s="44" t="s">
        <v>1137</v>
      </c>
      <c r="M130" s="44"/>
      <c r="N130" s="44" t="s">
        <v>1137</v>
      </c>
      <c r="O130" s="44" t="s">
        <v>1137</v>
      </c>
    </row>
    <row r="131" spans="1:15">
      <c r="A131" s="1" t="s">
        <v>1272</v>
      </c>
      <c r="B131" s="1" t="s">
        <v>1141</v>
      </c>
      <c r="D131" s="35" t="s">
        <v>1361</v>
      </c>
      <c r="E131" s="35">
        <v>2035</v>
      </c>
      <c r="H131" s="104" cm="1">
        <f t="array" ref="H131:H137">P_heat[Oil HOB]</f>
        <v>406.4</v>
      </c>
    </row>
    <row r="132" spans="1:15">
      <c r="A132" s="1" t="s">
        <v>1271</v>
      </c>
      <c r="B132" s="1" t="s">
        <v>1141</v>
      </c>
      <c r="D132" s="35" t="s">
        <v>1361</v>
      </c>
      <c r="E132" s="35">
        <v>2035</v>
      </c>
      <c r="H132" s="24">
        <v>832.3</v>
      </c>
    </row>
    <row r="133" spans="1:15">
      <c r="A133" s="1" t="s">
        <v>1273</v>
      </c>
      <c r="B133" s="1" t="s">
        <v>1141</v>
      </c>
      <c r="D133" s="35" t="s">
        <v>1361</v>
      </c>
      <c r="E133" s="35">
        <v>2035</v>
      </c>
      <c r="H133" s="24">
        <v>226.6</v>
      </c>
    </row>
    <row r="134" spans="1:15">
      <c r="A134" s="1" t="s">
        <v>1274</v>
      </c>
      <c r="B134" s="1" t="s">
        <v>1141</v>
      </c>
      <c r="D134" s="35" t="s">
        <v>1361</v>
      </c>
      <c r="E134" s="35">
        <v>2035</v>
      </c>
      <c r="H134" s="24">
        <v>1052.4000000000001</v>
      </c>
    </row>
    <row r="135" spans="1:15">
      <c r="A135" s="1" t="s">
        <v>1383</v>
      </c>
      <c r="B135" s="1" t="s">
        <v>1141</v>
      </c>
      <c r="D135" s="35" t="s">
        <v>1361</v>
      </c>
      <c r="E135" s="35">
        <v>2035</v>
      </c>
      <c r="H135" s="24">
        <v>475.8</v>
      </c>
    </row>
    <row r="136" spans="1:15">
      <c r="A136" s="1" t="s">
        <v>1388</v>
      </c>
      <c r="B136" s="1" t="s">
        <v>1141</v>
      </c>
      <c r="D136" s="35" t="s">
        <v>1361</v>
      </c>
      <c r="E136" s="35">
        <v>2035</v>
      </c>
      <c r="H136" s="24">
        <v>215.70000000000002</v>
      </c>
    </row>
    <row r="137" spans="1:15">
      <c r="A137" s="1" t="s">
        <v>1384</v>
      </c>
      <c r="B137" s="1" t="s">
        <v>1141</v>
      </c>
      <c r="D137" s="35" t="s">
        <v>1361</v>
      </c>
      <c r="E137" s="35">
        <v>2035</v>
      </c>
      <c r="H137" s="24">
        <v>284.29999999999995</v>
      </c>
    </row>
    <row r="138" spans="1:15">
      <c r="A138" s="1" t="s">
        <v>1272</v>
      </c>
      <c r="B138" s="1" t="s">
        <v>1143</v>
      </c>
      <c r="D138" s="35" t="s">
        <v>1361</v>
      </c>
      <c r="E138" s="35">
        <v>2035</v>
      </c>
      <c r="H138" s="24" cm="1">
        <f t="array" ref="H138:H144">P_heat[Bio HOB]</f>
        <v>592.4</v>
      </c>
    </row>
    <row r="139" spans="1:15">
      <c r="A139" s="1" t="s">
        <v>1271</v>
      </c>
      <c r="B139" s="1" t="s">
        <v>1143</v>
      </c>
      <c r="D139" s="35" t="s">
        <v>1361</v>
      </c>
      <c r="E139" s="35">
        <v>2035</v>
      </c>
      <c r="H139" s="24">
        <v>572.20000000000005</v>
      </c>
    </row>
    <row r="140" spans="1:15">
      <c r="A140" s="1" t="s">
        <v>1273</v>
      </c>
      <c r="B140" s="1" t="s">
        <v>1143</v>
      </c>
      <c r="D140" s="35" t="s">
        <v>1361</v>
      </c>
      <c r="E140" s="35">
        <v>2035</v>
      </c>
      <c r="H140" s="24">
        <v>240.80000000000004</v>
      </c>
    </row>
    <row r="141" spans="1:15">
      <c r="A141" s="1" t="s">
        <v>1274</v>
      </c>
      <c r="B141" s="1" t="s">
        <v>1143</v>
      </c>
      <c r="D141" s="35" t="s">
        <v>1361</v>
      </c>
      <c r="E141" s="35">
        <v>2035</v>
      </c>
      <c r="H141" s="24">
        <v>539.30000000000018</v>
      </c>
    </row>
    <row r="142" spans="1:15">
      <c r="A142" s="1" t="s">
        <v>1383</v>
      </c>
      <c r="B142" s="1" t="s">
        <v>1143</v>
      </c>
      <c r="D142" s="35" t="s">
        <v>1361</v>
      </c>
      <c r="E142" s="35">
        <v>2035</v>
      </c>
      <c r="H142" s="24">
        <v>278.39999999999998</v>
      </c>
    </row>
    <row r="143" spans="1:15">
      <c r="A143" s="1" t="s">
        <v>1388</v>
      </c>
      <c r="B143" s="1" t="s">
        <v>1143</v>
      </c>
      <c r="D143" s="35" t="s">
        <v>1361</v>
      </c>
      <c r="E143" s="35">
        <v>2035</v>
      </c>
      <c r="H143" s="24">
        <v>164.20000000000002</v>
      </c>
    </row>
    <row r="144" spans="1:15">
      <c r="A144" s="1" t="s">
        <v>1384</v>
      </c>
      <c r="B144" s="1" t="s">
        <v>1143</v>
      </c>
      <c r="D144" s="35" t="s">
        <v>1361</v>
      </c>
      <c r="E144" s="35">
        <v>2035</v>
      </c>
      <c r="H144" s="24">
        <v>249.4</v>
      </c>
    </row>
    <row r="145" spans="1:15">
      <c r="A145" s="1" t="s">
        <v>1272</v>
      </c>
      <c r="B145" s="1" t="s">
        <v>1146</v>
      </c>
      <c r="D145" s="35" t="s">
        <v>1361</v>
      </c>
      <c r="E145" s="35">
        <v>2035</v>
      </c>
      <c r="H145" s="107" cm="1">
        <f t="array" ref="H145:H150">_xlfn._xlws.FILTER(P_heat[Electric boiler], P_heat[Electric boiler]&gt;=10)</f>
        <v>60</v>
      </c>
    </row>
    <row r="146" spans="1:15">
      <c r="A146" s="1" t="s">
        <v>1271</v>
      </c>
      <c r="B146" s="1" t="s">
        <v>1146</v>
      </c>
      <c r="D146" s="35" t="s">
        <v>1361</v>
      </c>
      <c r="E146" s="35">
        <v>2035</v>
      </c>
      <c r="H146" s="24">
        <v>545</v>
      </c>
    </row>
    <row r="147" spans="1:15">
      <c r="A147" s="1" t="s">
        <v>1274</v>
      </c>
      <c r="B147" s="1" t="s">
        <v>1146</v>
      </c>
      <c r="D147" s="35" t="s">
        <v>1361</v>
      </c>
      <c r="E147" s="35">
        <v>2035</v>
      </c>
      <c r="H147" s="107">
        <v>195</v>
      </c>
    </row>
    <row r="148" spans="1:15">
      <c r="A148" s="1" t="s">
        <v>1383</v>
      </c>
      <c r="B148" s="1" t="s">
        <v>1146</v>
      </c>
      <c r="D148" s="35" t="s">
        <v>1361</v>
      </c>
      <c r="E148" s="35">
        <v>2035</v>
      </c>
      <c r="H148" s="104">
        <v>42.6</v>
      </c>
    </row>
    <row r="149" spans="1:15">
      <c r="A149" s="1" t="s">
        <v>1388</v>
      </c>
      <c r="B149" s="1" t="s">
        <v>1146</v>
      </c>
      <c r="D149" s="35" t="s">
        <v>1361</v>
      </c>
      <c r="E149" s="35">
        <v>2035</v>
      </c>
      <c r="H149" s="107">
        <v>160</v>
      </c>
    </row>
    <row r="150" spans="1:15">
      <c r="A150" s="1" t="s">
        <v>1384</v>
      </c>
      <c r="B150" s="1" t="s">
        <v>1146</v>
      </c>
      <c r="D150" s="35" t="s">
        <v>1361</v>
      </c>
      <c r="E150" s="35">
        <v>2035</v>
      </c>
      <c r="H150" s="107">
        <v>40</v>
      </c>
    </row>
    <row r="151" spans="1:15">
      <c r="A151" s="1" t="s">
        <v>1273</v>
      </c>
      <c r="B151" s="1" t="s">
        <v>1142</v>
      </c>
      <c r="D151" s="35" t="s">
        <v>1361</v>
      </c>
      <c r="E151" s="35">
        <v>2035</v>
      </c>
      <c r="H151" s="24" cm="1">
        <f t="array" ref="H151:H155">_xlfn._xlws.FILTER(P_heat[Gas HOB], P_heat[Gas HOB]&gt;=10)</f>
        <v>149.9</v>
      </c>
    </row>
    <row r="152" spans="1:15">
      <c r="A152" s="1" t="s">
        <v>1274</v>
      </c>
      <c r="B152" s="1" t="s">
        <v>1142</v>
      </c>
      <c r="D152" s="35" t="s">
        <v>1361</v>
      </c>
      <c r="E152" s="35">
        <v>2035</v>
      </c>
      <c r="H152" s="24">
        <v>105</v>
      </c>
    </row>
    <row r="153" spans="1:15">
      <c r="A153" s="1" t="s">
        <v>1383</v>
      </c>
      <c r="B153" s="1" t="s">
        <v>1142</v>
      </c>
      <c r="D153" s="35" t="s">
        <v>1361</v>
      </c>
      <c r="E153" s="35">
        <v>2035</v>
      </c>
      <c r="H153" s="24">
        <v>169.3</v>
      </c>
    </row>
    <row r="154" spans="1:15">
      <c r="A154" s="1" t="s">
        <v>1388</v>
      </c>
      <c r="B154" s="1" t="s">
        <v>1142</v>
      </c>
      <c r="D154" s="35" t="s">
        <v>1361</v>
      </c>
      <c r="E154" s="35">
        <v>2035</v>
      </c>
      <c r="H154" s="24">
        <v>914.79999999999984</v>
      </c>
    </row>
    <row r="155" spans="1:15">
      <c r="A155" s="1" t="s">
        <v>1384</v>
      </c>
      <c r="B155" s="1" t="s">
        <v>1142</v>
      </c>
      <c r="D155" s="35" t="s">
        <v>1361</v>
      </c>
      <c r="E155" s="35">
        <v>2035</v>
      </c>
      <c r="H155" s="24">
        <v>509.99999999999994</v>
      </c>
    </row>
    <row r="156" spans="1:15">
      <c r="A156" s="1" t="s">
        <v>1271</v>
      </c>
      <c r="B156" s="1" t="s">
        <v>1144</v>
      </c>
      <c r="D156" s="35" t="s">
        <v>1361</v>
      </c>
      <c r="E156" s="35">
        <v>2035</v>
      </c>
      <c r="H156" s="24" cm="1">
        <f t="array" ref="H156:H159">_xlfn._xlws.FILTER(P_heat[Ground source heat pump], P_heat[Ground source heat pump]&gt;=10)</f>
        <v>34.700000000000003</v>
      </c>
    </row>
    <row r="157" spans="1:15">
      <c r="A157" s="1" t="s">
        <v>1383</v>
      </c>
      <c r="B157" s="1" t="s">
        <v>1144</v>
      </c>
      <c r="D157" s="35" t="s">
        <v>1361</v>
      </c>
      <c r="E157" s="35">
        <v>2035</v>
      </c>
      <c r="H157" s="104">
        <v>18.600000000000001</v>
      </c>
    </row>
    <row r="158" spans="1:15">
      <c r="A158" s="1" t="s">
        <v>1388</v>
      </c>
      <c r="B158" s="1" t="s">
        <v>1144</v>
      </c>
      <c r="D158" s="35" t="s">
        <v>1361</v>
      </c>
      <c r="E158" s="35">
        <v>2035</v>
      </c>
      <c r="H158" s="104">
        <v>64.8</v>
      </c>
    </row>
    <row r="159" spans="1:15">
      <c r="A159" s="1" t="s">
        <v>1384</v>
      </c>
      <c r="B159" s="1" t="s">
        <v>1144</v>
      </c>
      <c r="D159" s="35" t="s">
        <v>1361</v>
      </c>
      <c r="E159" s="35">
        <v>2035</v>
      </c>
      <c r="H159" s="104">
        <v>14.100000000000001</v>
      </c>
    </row>
    <row r="160" spans="1:15">
      <c r="A160" s="44" t="s">
        <v>1271</v>
      </c>
      <c r="B160" s="44" t="s">
        <v>1152</v>
      </c>
      <c r="C160" s="44"/>
      <c r="D160" s="213" t="s">
        <v>1361</v>
      </c>
      <c r="E160" s="213">
        <v>2035</v>
      </c>
      <c r="F160" s="44"/>
      <c r="G160" s="44"/>
      <c r="H160" s="264" cm="1">
        <f t="array" ref="H160">_xlfn._xlws.FILTER(P_heat[Waste HOB], P_heat[Waste HOB]&gt;=10)</f>
        <v>10</v>
      </c>
      <c r="I160" s="44"/>
      <c r="J160" s="44"/>
      <c r="K160" s="44"/>
      <c r="L160" s="44"/>
      <c r="M160" s="44"/>
      <c r="N160" s="44"/>
      <c r="O160" s="44"/>
    </row>
    <row r="161" spans="1:9">
      <c r="A161" s="1" t="s">
        <v>1384</v>
      </c>
      <c r="B161" s="1" t="s">
        <v>1147</v>
      </c>
      <c r="C161" s="1" t="s">
        <v>80</v>
      </c>
      <c r="D161" s="35" t="s">
        <v>1361</v>
      </c>
      <c r="E161" s="35">
        <v>2035</v>
      </c>
      <c r="F161" s="1" t="s">
        <v>1137</v>
      </c>
      <c r="G161" s="1" t="s">
        <v>80</v>
      </c>
      <c r="H161" s="10">
        <v>340</v>
      </c>
      <c r="I161" s="1" t="s">
        <v>80</v>
      </c>
    </row>
    <row r="162" spans="1:9">
      <c r="A162" s="1" t="s">
        <v>1384</v>
      </c>
      <c r="B162" s="1" t="s">
        <v>1148</v>
      </c>
      <c r="C162" s="1" t="s">
        <v>80</v>
      </c>
      <c r="D162" s="35" t="s">
        <v>1361</v>
      </c>
      <c r="E162" s="35">
        <v>2035</v>
      </c>
      <c r="F162" s="1" t="s">
        <v>1137</v>
      </c>
      <c r="G162" s="1" t="s">
        <v>80</v>
      </c>
      <c r="H162" s="10">
        <v>340</v>
      </c>
      <c r="I162" s="1" t="s">
        <v>80</v>
      </c>
    </row>
    <row r="163" spans="1:9">
      <c r="A163" s="1" t="s">
        <v>1384</v>
      </c>
      <c r="B163" s="1" t="s">
        <v>1147</v>
      </c>
      <c r="C163" s="1" t="s">
        <v>81</v>
      </c>
      <c r="D163" s="35" t="s">
        <v>1361</v>
      </c>
      <c r="E163" s="35">
        <v>2035</v>
      </c>
      <c r="F163" s="1" t="s">
        <v>1137</v>
      </c>
      <c r="G163" s="1" t="s">
        <v>81</v>
      </c>
      <c r="H163" s="10">
        <v>280</v>
      </c>
      <c r="I163" s="1" t="s">
        <v>81</v>
      </c>
    </row>
    <row r="164" spans="1:9">
      <c r="A164" s="1" t="s">
        <v>1384</v>
      </c>
      <c r="B164" s="1" t="s">
        <v>1148</v>
      </c>
      <c r="C164" s="1" t="s">
        <v>81</v>
      </c>
      <c r="D164" s="35" t="s">
        <v>1361</v>
      </c>
      <c r="E164" s="35">
        <v>2035</v>
      </c>
      <c r="F164" s="1" t="s">
        <v>1137</v>
      </c>
      <c r="G164" s="1" t="s">
        <v>81</v>
      </c>
      <c r="H164" s="10">
        <v>280</v>
      </c>
      <c r="I164" s="1" t="s">
        <v>81</v>
      </c>
    </row>
    <row r="165" spans="1:9">
      <c r="A165" s="1" t="s">
        <v>1384</v>
      </c>
      <c r="B165" s="1" t="s">
        <v>1147</v>
      </c>
      <c r="C165" s="1" t="s">
        <v>82</v>
      </c>
      <c r="D165" s="35" t="s">
        <v>1361</v>
      </c>
      <c r="E165" s="35">
        <v>2035</v>
      </c>
      <c r="F165" s="1" t="s">
        <v>1137</v>
      </c>
      <c r="G165" s="1" t="s">
        <v>82</v>
      </c>
      <c r="H165" s="10">
        <v>180</v>
      </c>
      <c r="I165" s="1" t="s">
        <v>82</v>
      </c>
    </row>
    <row r="166" spans="1:9">
      <c r="A166" s="1" t="s">
        <v>1384</v>
      </c>
      <c r="B166" s="1" t="s">
        <v>1148</v>
      </c>
      <c r="C166" s="1" t="s">
        <v>82</v>
      </c>
      <c r="D166" s="35" t="s">
        <v>1361</v>
      </c>
      <c r="E166" s="35">
        <v>2035</v>
      </c>
      <c r="F166" s="1" t="s">
        <v>1137</v>
      </c>
      <c r="G166" s="1" t="s">
        <v>82</v>
      </c>
      <c r="H166" s="10">
        <v>180</v>
      </c>
      <c r="I166" s="1" t="s">
        <v>82</v>
      </c>
    </row>
    <row r="167" spans="1:9">
      <c r="A167" s="1" t="s">
        <v>1273</v>
      </c>
      <c r="B167" s="1" t="s">
        <v>1147</v>
      </c>
      <c r="C167" s="1" t="s">
        <v>84</v>
      </c>
      <c r="D167" s="35" t="s">
        <v>1361</v>
      </c>
      <c r="E167" s="35">
        <v>2035</v>
      </c>
      <c r="F167" s="1" t="s">
        <v>1137</v>
      </c>
      <c r="G167" s="1" t="s">
        <v>84</v>
      </c>
      <c r="H167" s="10">
        <v>100</v>
      </c>
      <c r="I167" s="1" t="s">
        <v>84</v>
      </c>
    </row>
    <row r="168" spans="1:9">
      <c r="A168" s="1" t="s">
        <v>1273</v>
      </c>
      <c r="B168" s="1" t="s">
        <v>1148</v>
      </c>
      <c r="C168" s="1" t="s">
        <v>84</v>
      </c>
      <c r="D168" s="35" t="s">
        <v>1361</v>
      </c>
      <c r="E168" s="35">
        <v>2035</v>
      </c>
      <c r="F168" s="1" t="s">
        <v>1137</v>
      </c>
      <c r="G168" s="1" t="s">
        <v>84</v>
      </c>
      <c r="H168" s="10">
        <v>100</v>
      </c>
      <c r="I168" s="1" t="s">
        <v>84</v>
      </c>
    </row>
    <row r="169" spans="1:9">
      <c r="A169" s="1" t="s">
        <v>1272</v>
      </c>
      <c r="B169" s="1" t="s">
        <v>1147</v>
      </c>
      <c r="C169" s="1" t="s">
        <v>85</v>
      </c>
      <c r="D169" s="35" t="s">
        <v>1361</v>
      </c>
      <c r="E169" s="35">
        <v>2035</v>
      </c>
      <c r="F169" s="1" t="s">
        <v>1137</v>
      </c>
      <c r="G169" s="1" t="s">
        <v>85</v>
      </c>
      <c r="H169" s="10">
        <v>55</v>
      </c>
      <c r="I169" s="1" t="s">
        <v>85</v>
      </c>
    </row>
    <row r="170" spans="1:9">
      <c r="A170" s="1" t="s">
        <v>1272</v>
      </c>
      <c r="B170" s="1" t="s">
        <v>1148</v>
      </c>
      <c r="C170" s="1" t="s">
        <v>85</v>
      </c>
      <c r="D170" s="35" t="s">
        <v>1361</v>
      </c>
      <c r="E170" s="35">
        <v>2035</v>
      </c>
      <c r="F170" s="1" t="s">
        <v>1137</v>
      </c>
      <c r="G170" s="1" t="s">
        <v>85</v>
      </c>
      <c r="H170" s="10">
        <v>55</v>
      </c>
      <c r="I170" s="1" t="s">
        <v>85</v>
      </c>
    </row>
    <row r="171" spans="1:9">
      <c r="A171" s="1" t="s">
        <v>1383</v>
      </c>
      <c r="B171" s="1" t="s">
        <v>1147</v>
      </c>
      <c r="C171" s="1" t="s">
        <v>83</v>
      </c>
      <c r="D171" s="35" t="s">
        <v>1361</v>
      </c>
      <c r="E171" s="35">
        <v>2035</v>
      </c>
      <c r="F171" s="1" t="s">
        <v>1137</v>
      </c>
      <c r="G171" s="1" t="s">
        <v>83</v>
      </c>
      <c r="H171" s="10">
        <v>75</v>
      </c>
      <c r="I171" s="1" t="s">
        <v>83</v>
      </c>
    </row>
    <row r="172" spans="1:9">
      <c r="A172" s="1" t="s">
        <v>1383</v>
      </c>
      <c r="B172" s="1" t="s">
        <v>1148</v>
      </c>
      <c r="C172" s="1" t="s">
        <v>83</v>
      </c>
      <c r="D172" s="35" t="s">
        <v>1361</v>
      </c>
      <c r="E172" s="35">
        <v>2035</v>
      </c>
      <c r="F172" s="1" t="s">
        <v>1137</v>
      </c>
      <c r="G172" s="1" t="s">
        <v>83</v>
      </c>
      <c r="H172" s="10">
        <v>75</v>
      </c>
      <c r="I172" s="1" t="s">
        <v>83</v>
      </c>
    </row>
    <row r="173" spans="1:9">
      <c r="A173" s="1" t="s">
        <v>1221</v>
      </c>
      <c r="B173" s="1" t="s">
        <v>1147</v>
      </c>
      <c r="C173" s="1" t="s">
        <v>86</v>
      </c>
      <c r="D173" s="35" t="s">
        <v>1361</v>
      </c>
      <c r="E173" s="35">
        <v>2035</v>
      </c>
      <c r="F173" s="1" t="s">
        <v>1137</v>
      </c>
      <c r="G173" s="1" t="s">
        <v>86</v>
      </c>
      <c r="H173" s="10">
        <v>80</v>
      </c>
      <c r="I173" s="1" t="s">
        <v>86</v>
      </c>
    </row>
    <row r="174" spans="1:9">
      <c r="A174" s="1" t="s">
        <v>1221</v>
      </c>
      <c r="B174" s="1" t="s">
        <v>1148</v>
      </c>
      <c r="C174" s="1" t="s">
        <v>86</v>
      </c>
      <c r="D174" s="35" t="s">
        <v>1361</v>
      </c>
      <c r="E174" s="35">
        <v>2035</v>
      </c>
      <c r="F174" s="1" t="s">
        <v>1137</v>
      </c>
      <c r="G174" s="1" t="s">
        <v>86</v>
      </c>
      <c r="H174" s="10">
        <v>80</v>
      </c>
      <c r="I174" s="1" t="s">
        <v>86</v>
      </c>
    </row>
    <row r="175" spans="1:9">
      <c r="A175" s="1" t="s">
        <v>1221</v>
      </c>
      <c r="B175" s="1" t="s">
        <v>1147</v>
      </c>
      <c r="C175" s="1" t="s">
        <v>87</v>
      </c>
      <c r="D175" s="35" t="s">
        <v>1361</v>
      </c>
      <c r="E175" s="35">
        <v>2035</v>
      </c>
      <c r="F175" s="1" t="s">
        <v>1137</v>
      </c>
      <c r="G175" s="1" t="s">
        <v>87</v>
      </c>
      <c r="H175" s="10">
        <v>625.5</v>
      </c>
      <c r="I175" s="1" t="s">
        <v>87</v>
      </c>
    </row>
    <row r="176" spans="1:9">
      <c r="A176" s="1" t="s">
        <v>1221</v>
      </c>
      <c r="B176" s="1" t="s">
        <v>1148</v>
      </c>
      <c r="C176" s="1" t="s">
        <v>87</v>
      </c>
      <c r="D176" s="35" t="s">
        <v>1361</v>
      </c>
      <c r="E176" s="35">
        <v>2035</v>
      </c>
      <c r="F176" s="1" t="s">
        <v>1137</v>
      </c>
      <c r="G176" s="1" t="s">
        <v>87</v>
      </c>
      <c r="H176" s="10">
        <v>625.5</v>
      </c>
      <c r="I176" s="1" t="s">
        <v>87</v>
      </c>
    </row>
    <row r="177" spans="1:15">
      <c r="A177" s="1" t="s">
        <v>1272</v>
      </c>
      <c r="B177" s="1" t="s">
        <v>1147</v>
      </c>
      <c r="D177" s="35" t="s">
        <v>1361</v>
      </c>
      <c r="E177" s="35">
        <v>2035</v>
      </c>
      <c r="H177" s="107" cm="1">
        <f t="array" ref="H177:H182">_xlfn._xlws.FILTER(P_heat[[Heat storage ]], P_heat[[Heat storage ]]&gt;=10)</f>
        <v>61</v>
      </c>
    </row>
    <row r="178" spans="1:15">
      <c r="A178" s="1" t="s">
        <v>1271</v>
      </c>
      <c r="B178" s="1" t="s">
        <v>1147</v>
      </c>
      <c r="D178" s="35" t="s">
        <v>1361</v>
      </c>
      <c r="E178" s="35">
        <v>2035</v>
      </c>
      <c r="H178" s="107">
        <v>108</v>
      </c>
    </row>
    <row r="179" spans="1:15">
      <c r="A179" s="1" t="s">
        <v>1274</v>
      </c>
      <c r="B179" s="1" t="s">
        <v>1147</v>
      </c>
      <c r="D179" s="35" t="s">
        <v>1361</v>
      </c>
      <c r="E179" s="35">
        <v>2035</v>
      </c>
      <c r="H179" s="107">
        <v>155</v>
      </c>
    </row>
    <row r="180" spans="1:15">
      <c r="A180" s="1" t="s">
        <v>1383</v>
      </c>
      <c r="B180" s="1" t="s">
        <v>1147</v>
      </c>
      <c r="D180" s="35" t="s">
        <v>1361</v>
      </c>
      <c r="E180" s="35">
        <v>2035</v>
      </c>
      <c r="H180" s="107">
        <v>58</v>
      </c>
    </row>
    <row r="181" spans="1:15">
      <c r="A181" s="1" t="s">
        <v>1388</v>
      </c>
      <c r="B181" s="1" t="s">
        <v>1147</v>
      </c>
      <c r="D181" s="35" t="s">
        <v>1361</v>
      </c>
      <c r="E181" s="35">
        <v>2035</v>
      </c>
      <c r="H181" s="24">
        <v>190</v>
      </c>
    </row>
    <row r="182" spans="1:15">
      <c r="A182" s="1" t="s">
        <v>1384</v>
      </c>
      <c r="B182" s="1" t="s">
        <v>1147</v>
      </c>
      <c r="D182" s="35" t="s">
        <v>1361</v>
      </c>
      <c r="E182" s="35">
        <v>2035</v>
      </c>
      <c r="H182" s="107">
        <v>50</v>
      </c>
    </row>
    <row r="183" spans="1:15">
      <c r="A183" s="1" t="s">
        <v>1272</v>
      </c>
      <c r="B183" s="1" t="s">
        <v>1148</v>
      </c>
      <c r="D183" s="35" t="s">
        <v>1361</v>
      </c>
      <c r="E183" s="35">
        <v>2035</v>
      </c>
      <c r="H183" s="107" cm="1">
        <f t="array" ref="H183:H188">_xlfn._xlws.FILTER(P_heat[[Heat storage ]], P_heat[[Heat storage ]]&gt;=10)</f>
        <v>61</v>
      </c>
    </row>
    <row r="184" spans="1:15">
      <c r="A184" s="1" t="s">
        <v>1271</v>
      </c>
      <c r="B184" s="1" t="s">
        <v>1148</v>
      </c>
      <c r="D184" s="35" t="s">
        <v>1361</v>
      </c>
      <c r="E184" s="35">
        <v>2035</v>
      </c>
      <c r="H184" s="107">
        <v>108</v>
      </c>
    </row>
    <row r="185" spans="1:15">
      <c r="A185" s="1" t="s">
        <v>1274</v>
      </c>
      <c r="B185" s="1" t="s">
        <v>1148</v>
      </c>
      <c r="D185" s="35" t="s">
        <v>1361</v>
      </c>
      <c r="E185" s="35">
        <v>2035</v>
      </c>
      <c r="H185" s="107">
        <v>155</v>
      </c>
    </row>
    <row r="186" spans="1:15">
      <c r="A186" s="1" t="s">
        <v>1383</v>
      </c>
      <c r="B186" s="1" t="s">
        <v>1148</v>
      </c>
      <c r="D186" s="35" t="s">
        <v>1361</v>
      </c>
      <c r="E186" s="35">
        <v>2035</v>
      </c>
      <c r="H186" s="107">
        <v>58</v>
      </c>
    </row>
    <row r="187" spans="1:15">
      <c r="A187" s="1" t="s">
        <v>1388</v>
      </c>
      <c r="B187" s="1" t="s">
        <v>1148</v>
      </c>
      <c r="D187" s="35" t="s">
        <v>1361</v>
      </c>
      <c r="E187" s="35">
        <v>2035</v>
      </c>
      <c r="H187" s="24">
        <v>190</v>
      </c>
    </row>
    <row r="188" spans="1:15">
      <c r="A188" s="1" t="s">
        <v>1384</v>
      </c>
      <c r="B188" s="1" t="s">
        <v>1148</v>
      </c>
      <c r="D188" s="35" t="s">
        <v>1361</v>
      </c>
      <c r="E188" s="35">
        <v>2035</v>
      </c>
      <c r="H188" s="107">
        <v>50</v>
      </c>
    </row>
    <row r="189" spans="1:15">
      <c r="A189" s="1" t="s">
        <v>1271</v>
      </c>
      <c r="B189" s="1" t="s">
        <v>1149</v>
      </c>
      <c r="D189" s="35" t="s">
        <v>1361</v>
      </c>
      <c r="E189" s="35">
        <v>2035</v>
      </c>
      <c r="H189" s="107" cm="1">
        <f t="array" ref="H189">_xlfn._xlws.FILTER(P_heat[Large heat storage], P_heat[Large heat storage]&gt;=10)</f>
        <v>170</v>
      </c>
    </row>
    <row r="190" spans="1:15">
      <c r="A190" s="256" t="s">
        <v>1271</v>
      </c>
      <c r="B190" s="256" t="s">
        <v>1150</v>
      </c>
      <c r="C190" s="256"/>
      <c r="D190" s="257" t="s">
        <v>1361</v>
      </c>
      <c r="E190" s="257">
        <v>2035</v>
      </c>
      <c r="F190" s="256"/>
      <c r="G190" s="256"/>
      <c r="H190" s="307" cm="1">
        <f t="array" ref="H190">_xlfn._xlws.FILTER(P_heat[Large heat storage], P_heat[Large heat storage]&gt;=10)</f>
        <v>170</v>
      </c>
      <c r="I190" s="256"/>
      <c r="J190" s="256"/>
      <c r="K190" s="256"/>
      <c r="L190" s="256"/>
      <c r="M190" s="256"/>
      <c r="N190" s="256"/>
      <c r="O190" s="256"/>
    </row>
    <row r="191" spans="1:15">
      <c r="A191" s="14" t="s">
        <v>1272</v>
      </c>
      <c r="B191" s="14" t="s">
        <v>52</v>
      </c>
      <c r="C191" s="14"/>
      <c r="D191" s="101" t="s">
        <v>1361</v>
      </c>
      <c r="E191" s="101">
        <v>2035</v>
      </c>
      <c r="F191" s="14"/>
      <c r="G191" s="14"/>
      <c r="H191" s="282" cm="1">
        <f t="array" ref="H191:H196">_xlfn._xlws.FILTER(P_H2[Electrolyser], P_H2[Electrolyser]&gt;=10)</f>
        <v>5878.5239145713213</v>
      </c>
      <c r="I191" s="14"/>
      <c r="J191" s="14"/>
      <c r="K191" s="14"/>
      <c r="L191" s="14"/>
      <c r="M191" s="14"/>
      <c r="N191" s="14"/>
      <c r="O191" s="14"/>
    </row>
    <row r="192" spans="1:15">
      <c r="A192" s="14" t="s">
        <v>1271</v>
      </c>
      <c r="B192" s="14" t="s">
        <v>52</v>
      </c>
      <c r="C192" s="14"/>
      <c r="D192" s="101" t="s">
        <v>1361</v>
      </c>
      <c r="E192" s="101">
        <v>2035</v>
      </c>
      <c r="F192" s="14"/>
      <c r="G192" s="14"/>
      <c r="H192" s="282">
        <v>6753.5638450219503</v>
      </c>
      <c r="I192" s="14"/>
      <c r="J192" s="14"/>
      <c r="K192" s="14"/>
      <c r="L192" s="14"/>
      <c r="M192" s="14"/>
      <c r="N192" s="14"/>
      <c r="O192" s="14"/>
    </row>
    <row r="193" spans="1:15">
      <c r="A193" s="14" t="s">
        <v>1273</v>
      </c>
      <c r="B193" s="14" t="s">
        <v>52</v>
      </c>
      <c r="C193" s="14"/>
      <c r="D193" s="101" t="s">
        <v>1361</v>
      </c>
      <c r="E193" s="101">
        <v>2035</v>
      </c>
      <c r="F193" s="14"/>
      <c r="G193" s="14"/>
      <c r="H193" s="282">
        <v>571.70859111089987</v>
      </c>
      <c r="I193" s="14"/>
      <c r="J193" s="14"/>
      <c r="K193" s="14"/>
      <c r="L193" s="14"/>
      <c r="M193" s="14"/>
      <c r="N193" s="14"/>
      <c r="O193" s="14"/>
    </row>
    <row r="194" spans="1:15">
      <c r="A194" s="14" t="s">
        <v>1383</v>
      </c>
      <c r="B194" s="14" t="s">
        <v>52</v>
      </c>
      <c r="C194" s="14"/>
      <c r="D194" s="101" t="s">
        <v>1361</v>
      </c>
      <c r="E194" s="101">
        <v>2035</v>
      </c>
      <c r="F194" s="14"/>
      <c r="G194" s="14"/>
      <c r="H194" s="282">
        <v>831.6552720464091</v>
      </c>
      <c r="I194" s="14"/>
      <c r="J194" s="14"/>
      <c r="K194" s="14"/>
      <c r="L194" s="14"/>
      <c r="M194" s="14"/>
      <c r="N194" s="14"/>
      <c r="O194" s="14"/>
    </row>
    <row r="195" spans="1:15">
      <c r="A195" s="14" t="s">
        <v>1388</v>
      </c>
      <c r="B195" s="14" t="s">
        <v>52</v>
      </c>
      <c r="C195" s="14"/>
      <c r="D195" s="101" t="s">
        <v>1361</v>
      </c>
      <c r="E195" s="101">
        <v>2035</v>
      </c>
      <c r="F195" s="14"/>
      <c r="G195" s="14"/>
      <c r="H195" s="282">
        <v>828.01814760303364</v>
      </c>
      <c r="I195" s="14"/>
      <c r="J195" s="14"/>
      <c r="K195" s="14"/>
      <c r="L195" s="14"/>
      <c r="M195" s="14"/>
      <c r="N195" s="14"/>
      <c r="O195" s="14"/>
    </row>
    <row r="196" spans="1:15">
      <c r="A196" s="14" t="s">
        <v>1384</v>
      </c>
      <c r="B196" s="14" t="s">
        <v>52</v>
      </c>
      <c r="C196" s="14"/>
      <c r="D196" s="101" t="s">
        <v>1361</v>
      </c>
      <c r="E196" s="101">
        <v>2035</v>
      </c>
      <c r="F196" s="14"/>
      <c r="G196" s="14"/>
      <c r="H196" s="282">
        <v>436.53022964638456</v>
      </c>
      <c r="I196" s="14"/>
      <c r="J196" s="14"/>
      <c r="K196" s="14"/>
      <c r="L196" s="14"/>
      <c r="M196" s="14"/>
      <c r="N196" s="14"/>
      <c r="O196" s="14"/>
    </row>
    <row r="197" spans="1:15">
      <c r="A197" s="14" t="s">
        <v>1272</v>
      </c>
      <c r="B197" s="14" t="s">
        <v>3008</v>
      </c>
      <c r="C197" s="14"/>
      <c r="D197" s="101" t="s">
        <v>1361</v>
      </c>
      <c r="E197" s="101">
        <v>2035</v>
      </c>
      <c r="F197" s="282" cm="1">
        <f t="array" ref="F197:F202">_xlfn._xlws.FILTER(P_H2[Store_long_in], P_H2[Store_long_in]&gt;=10)</f>
        <v>602.10967515243192</v>
      </c>
      <c r="G197" s="14"/>
      <c r="H197" s="14"/>
      <c r="I197" s="14"/>
      <c r="J197" s="14"/>
      <c r="K197" s="14"/>
      <c r="L197" s="14"/>
      <c r="M197" s="14"/>
      <c r="N197" s="14"/>
      <c r="O197" s="14"/>
    </row>
    <row r="198" spans="1:15">
      <c r="A198" s="14" t="s">
        <v>1271</v>
      </c>
      <c r="B198" s="14" t="s">
        <v>3008</v>
      </c>
      <c r="C198" s="14"/>
      <c r="D198" s="101" t="s">
        <v>1361</v>
      </c>
      <c r="E198" s="101">
        <v>2035</v>
      </c>
      <c r="F198" s="282">
        <v>490.44086008487113</v>
      </c>
      <c r="G198" s="14"/>
      <c r="H198" s="282"/>
      <c r="I198" s="14"/>
      <c r="J198" s="14"/>
      <c r="K198" s="14"/>
      <c r="L198" s="14"/>
      <c r="M198" s="14"/>
      <c r="N198" s="14"/>
      <c r="O198" s="14"/>
    </row>
    <row r="199" spans="1:15">
      <c r="A199" s="14" t="s">
        <v>1273</v>
      </c>
      <c r="B199" s="14" t="s">
        <v>3008</v>
      </c>
      <c r="C199" s="14"/>
      <c r="D199" s="101" t="s">
        <v>1361</v>
      </c>
      <c r="E199" s="101">
        <v>2035</v>
      </c>
      <c r="F199" s="282">
        <v>431.85262046816018</v>
      </c>
      <c r="G199" s="14"/>
      <c r="H199" s="282"/>
      <c r="I199" s="14"/>
      <c r="J199" s="14"/>
      <c r="K199" s="14"/>
      <c r="L199" s="14"/>
      <c r="M199" s="14"/>
      <c r="N199" s="14"/>
      <c r="O199" s="14"/>
    </row>
    <row r="200" spans="1:15">
      <c r="A200" s="14" t="s">
        <v>1383</v>
      </c>
      <c r="B200" s="14" t="s">
        <v>3008</v>
      </c>
      <c r="C200" s="14"/>
      <c r="D200" s="101" t="s">
        <v>1361</v>
      </c>
      <c r="E200" s="101">
        <v>2035</v>
      </c>
      <c r="F200" s="282">
        <v>104.27597726103568</v>
      </c>
      <c r="G200" s="14"/>
      <c r="H200" s="282"/>
      <c r="I200" s="14"/>
      <c r="J200" s="14"/>
      <c r="K200" s="14"/>
      <c r="L200" s="14"/>
      <c r="M200" s="14"/>
      <c r="N200" s="14"/>
      <c r="O200" s="14"/>
    </row>
    <row r="201" spans="1:15">
      <c r="A201" s="14" t="s">
        <v>1388</v>
      </c>
      <c r="B201" s="14" t="s">
        <v>3008</v>
      </c>
      <c r="C201" s="14"/>
      <c r="D201" s="101" t="s">
        <v>1361</v>
      </c>
      <c r="E201" s="101">
        <v>2035</v>
      </c>
      <c r="F201" s="282">
        <v>882.03947869650244</v>
      </c>
      <c r="G201" s="14"/>
      <c r="H201" s="282"/>
      <c r="I201" s="14"/>
      <c r="J201" s="14"/>
      <c r="K201" s="14"/>
      <c r="L201" s="14"/>
      <c r="M201" s="14"/>
      <c r="N201" s="14"/>
      <c r="O201" s="14"/>
    </row>
    <row r="202" spans="1:15">
      <c r="A202" s="14" t="s">
        <v>1384</v>
      </c>
      <c r="B202" s="14" t="s">
        <v>3008</v>
      </c>
      <c r="C202" s="14"/>
      <c r="D202" s="101" t="s">
        <v>1361</v>
      </c>
      <c r="E202" s="101">
        <v>2035</v>
      </c>
      <c r="F202" s="282">
        <v>618.70659602808053</v>
      </c>
      <c r="G202" s="14"/>
      <c r="H202" s="282"/>
      <c r="I202" s="14"/>
      <c r="J202" s="14"/>
      <c r="K202" s="14"/>
      <c r="L202" s="14"/>
      <c r="M202" s="14"/>
      <c r="N202" s="14"/>
      <c r="O202" s="14"/>
    </row>
    <row r="203" spans="1:15">
      <c r="A203" s="14" t="s">
        <v>1272</v>
      </c>
      <c r="B203" s="14" t="s">
        <v>3009</v>
      </c>
      <c r="C203" s="14"/>
      <c r="D203" s="101" t="s">
        <v>1361</v>
      </c>
      <c r="E203" s="101">
        <v>2035</v>
      </c>
      <c r="F203" s="14"/>
      <c r="G203" s="14"/>
      <c r="H203" s="282" cm="1">
        <f t="array" ref="H203:H208">_xlfn._xlws.FILTER(P_H2[Store_long_out], P_H2[Store_long_out]&gt;=10)</f>
        <v>319.20220899069204</v>
      </c>
      <c r="I203" s="14"/>
      <c r="J203" s="14"/>
      <c r="K203" s="14"/>
      <c r="L203" s="14"/>
      <c r="M203" s="14"/>
      <c r="N203" s="14"/>
      <c r="O203" s="14"/>
    </row>
    <row r="204" spans="1:15">
      <c r="A204" s="14" t="s">
        <v>1271</v>
      </c>
      <c r="B204" s="14" t="s">
        <v>3009</v>
      </c>
      <c r="C204" s="14"/>
      <c r="D204" s="101" t="s">
        <v>1361</v>
      </c>
      <c r="E204" s="101">
        <v>2035</v>
      </c>
      <c r="F204" s="14"/>
      <c r="G204" s="14"/>
      <c r="H204" s="282">
        <v>260.00214309586232</v>
      </c>
      <c r="I204" s="14"/>
      <c r="J204" s="14"/>
      <c r="K204" s="14"/>
      <c r="L204" s="14"/>
      <c r="M204" s="14"/>
      <c r="N204" s="14"/>
      <c r="O204" s="14"/>
    </row>
    <row r="205" spans="1:15">
      <c r="A205" s="14" t="s">
        <v>1273</v>
      </c>
      <c r="B205" s="14" t="s">
        <v>3009</v>
      </c>
      <c r="C205" s="14"/>
      <c r="D205" s="101" t="s">
        <v>1361</v>
      </c>
      <c r="E205" s="101">
        <v>2035</v>
      </c>
      <c r="F205" s="14"/>
      <c r="G205" s="14"/>
      <c r="H205" s="282">
        <v>228.9421945876515</v>
      </c>
      <c r="I205" s="14"/>
      <c r="J205" s="14"/>
      <c r="K205" s="14"/>
      <c r="L205" s="14"/>
      <c r="M205" s="14"/>
      <c r="N205" s="14"/>
      <c r="O205" s="14"/>
    </row>
    <row r="206" spans="1:15">
      <c r="A206" s="14" t="s">
        <v>1383</v>
      </c>
      <c r="B206" s="14" t="s">
        <v>3009</v>
      </c>
      <c r="C206" s="14"/>
      <c r="D206" s="101" t="s">
        <v>1361</v>
      </c>
      <c r="E206" s="101">
        <v>2035</v>
      </c>
      <c r="F206" s="14"/>
      <c r="G206" s="14"/>
      <c r="H206" s="282">
        <v>55.280829490008117</v>
      </c>
      <c r="I206" s="14"/>
      <c r="J206" s="14"/>
      <c r="K206" s="14"/>
      <c r="L206" s="14"/>
      <c r="M206" s="14"/>
      <c r="N206" s="14"/>
      <c r="O206" s="14"/>
    </row>
    <row r="207" spans="1:15">
      <c r="A207" s="14" t="s">
        <v>1388</v>
      </c>
      <c r="B207" s="14" t="s">
        <v>3009</v>
      </c>
      <c r="C207" s="14"/>
      <c r="D207" s="101" t="s">
        <v>1361</v>
      </c>
      <c r="E207" s="101">
        <v>2035</v>
      </c>
      <c r="F207" s="14"/>
      <c r="G207" s="14"/>
      <c r="H207" s="282">
        <v>467.60409545926052</v>
      </c>
      <c r="I207" s="14"/>
      <c r="J207" s="14"/>
      <c r="K207" s="14"/>
      <c r="L207" s="14"/>
      <c r="M207" s="14"/>
      <c r="N207" s="14"/>
      <c r="O207" s="14"/>
    </row>
    <row r="208" spans="1:15">
      <c r="A208" s="14" t="s">
        <v>1384</v>
      </c>
      <c r="B208" s="14" t="s">
        <v>3009</v>
      </c>
      <c r="C208" s="14"/>
      <c r="D208" s="101" t="s">
        <v>1361</v>
      </c>
      <c r="E208" s="101">
        <v>2035</v>
      </c>
      <c r="F208" s="14"/>
      <c r="G208" s="14"/>
      <c r="H208" s="282">
        <v>328.00089471951645</v>
      </c>
      <c r="I208" s="14"/>
      <c r="J208" s="14"/>
      <c r="K208" s="14"/>
      <c r="L208" s="14"/>
      <c r="M208" s="14"/>
      <c r="N208" s="14"/>
      <c r="O208" s="14"/>
    </row>
    <row r="209" spans="1:15">
      <c r="A209" s="14" t="s">
        <v>1272</v>
      </c>
      <c r="B209" s="14" t="s">
        <v>3010</v>
      </c>
      <c r="C209" s="14"/>
      <c r="D209" s="101" t="s">
        <v>1361</v>
      </c>
      <c r="E209" s="101">
        <v>2035</v>
      </c>
      <c r="F209" s="282" cm="1">
        <f t="array" ref="F209:F213">_xlfn._xlws.FILTER(P_H2[Store_short], P_H2[Store_short]&gt;=10)</f>
        <v>51.317016751514863</v>
      </c>
      <c r="G209" s="14"/>
      <c r="H209" s="14"/>
      <c r="I209" s="14"/>
      <c r="J209" s="14"/>
      <c r="K209" s="14"/>
      <c r="L209" s="14"/>
      <c r="M209" s="14"/>
      <c r="N209" s="14"/>
      <c r="O209" s="14"/>
    </row>
    <row r="210" spans="1:15">
      <c r="A210" s="14" t="s">
        <v>1271</v>
      </c>
      <c r="B210" s="14" t="s">
        <v>3010</v>
      </c>
      <c r="C210" s="14"/>
      <c r="D210" s="101" t="s">
        <v>1361</v>
      </c>
      <c r="E210" s="101">
        <v>2035</v>
      </c>
      <c r="F210" s="282">
        <v>41.799630318564624</v>
      </c>
      <c r="G210" s="14"/>
      <c r="H210" s="14"/>
      <c r="I210" s="14"/>
      <c r="J210" s="14"/>
      <c r="K210" s="14"/>
      <c r="L210" s="14"/>
      <c r="M210" s="14"/>
      <c r="N210" s="14"/>
      <c r="O210" s="14"/>
    </row>
    <row r="211" spans="1:15">
      <c r="A211" s="14" t="s">
        <v>1273</v>
      </c>
      <c r="B211" s="14" t="s">
        <v>3010</v>
      </c>
      <c r="C211" s="14"/>
      <c r="D211" s="101" t="s">
        <v>1361</v>
      </c>
      <c r="E211" s="101">
        <v>2035</v>
      </c>
      <c r="F211" s="282">
        <v>36.80623161077709</v>
      </c>
      <c r="G211" s="14"/>
      <c r="H211" s="14"/>
      <c r="I211" s="14"/>
      <c r="J211" s="14"/>
      <c r="K211" s="14"/>
      <c r="L211" s="14"/>
      <c r="M211" s="14"/>
      <c r="N211" s="14"/>
      <c r="O211" s="14"/>
    </row>
    <row r="212" spans="1:15">
      <c r="A212" s="14" t="s">
        <v>1388</v>
      </c>
      <c r="B212" s="14" t="s">
        <v>3010</v>
      </c>
      <c r="C212" s="14"/>
      <c r="D212" s="101" t="s">
        <v>1361</v>
      </c>
      <c r="E212" s="101">
        <v>2035</v>
      </c>
      <c r="F212" s="282">
        <v>75.175066224117359</v>
      </c>
      <c r="G212" s="14"/>
      <c r="H212" s="14"/>
      <c r="I212" s="14"/>
      <c r="J212" s="14"/>
      <c r="K212" s="14"/>
      <c r="L212" s="14"/>
      <c r="M212" s="14"/>
      <c r="N212" s="14"/>
      <c r="O212" s="14"/>
    </row>
    <row r="213" spans="1:15">
      <c r="A213" s="14" t="s">
        <v>1384</v>
      </c>
      <c r="B213" s="14" t="s">
        <v>3010</v>
      </c>
      <c r="C213" s="14"/>
      <c r="D213" s="101" t="s">
        <v>1361</v>
      </c>
      <c r="E213" s="101">
        <v>2035</v>
      </c>
      <c r="F213" s="282">
        <v>52.731550517948044</v>
      </c>
      <c r="G213" s="14"/>
      <c r="H213" s="14"/>
      <c r="I213" s="14"/>
      <c r="J213" s="14"/>
      <c r="K213" s="14"/>
      <c r="L213" s="14"/>
      <c r="M213" s="14"/>
      <c r="N213" s="14"/>
      <c r="O213" s="14"/>
    </row>
    <row r="214" spans="1:15">
      <c r="A214" s="14" t="s">
        <v>1272</v>
      </c>
      <c r="B214" s="14" t="s">
        <v>3011</v>
      </c>
      <c r="C214" s="14"/>
      <c r="D214" s="101" t="s">
        <v>1361</v>
      </c>
      <c r="E214" s="101">
        <v>2035</v>
      </c>
      <c r="F214" s="14"/>
      <c r="G214" s="14"/>
      <c r="H214" s="282" cm="1">
        <f t="array" ref="H214:H218">_xlfn._xlws.FILTER(P_H2[Store_short], P_H2[Store_short]&gt;=10)</f>
        <v>51.317016751514863</v>
      </c>
      <c r="I214" s="14"/>
      <c r="J214" s="14"/>
      <c r="K214" s="14"/>
      <c r="L214" s="14"/>
      <c r="M214" s="14"/>
      <c r="N214" s="14"/>
      <c r="O214" s="14"/>
    </row>
    <row r="215" spans="1:15">
      <c r="A215" s="14" t="s">
        <v>1271</v>
      </c>
      <c r="B215" s="14" t="s">
        <v>3011</v>
      </c>
      <c r="C215" s="14"/>
      <c r="D215" s="101" t="s">
        <v>1361</v>
      </c>
      <c r="E215" s="101">
        <v>2035</v>
      </c>
      <c r="F215" s="14"/>
      <c r="G215" s="14"/>
      <c r="H215" s="282">
        <v>41.799630318564624</v>
      </c>
      <c r="I215" s="14"/>
      <c r="J215" s="14"/>
      <c r="K215" s="14"/>
      <c r="L215" s="14"/>
      <c r="M215" s="14"/>
      <c r="N215" s="14"/>
      <c r="O215" s="14"/>
    </row>
    <row r="216" spans="1:15">
      <c r="A216" s="14" t="s">
        <v>1273</v>
      </c>
      <c r="B216" s="14" t="s">
        <v>3011</v>
      </c>
      <c r="C216" s="14"/>
      <c r="D216" s="101" t="s">
        <v>1361</v>
      </c>
      <c r="E216" s="101">
        <v>2035</v>
      </c>
      <c r="F216" s="14"/>
      <c r="G216" s="14"/>
      <c r="H216" s="282">
        <v>36.80623161077709</v>
      </c>
      <c r="I216" s="14"/>
      <c r="J216" s="14"/>
      <c r="K216" s="14"/>
      <c r="L216" s="14"/>
      <c r="M216" s="14"/>
      <c r="N216" s="14"/>
      <c r="O216" s="14"/>
    </row>
    <row r="217" spans="1:15">
      <c r="A217" s="14" t="s">
        <v>1388</v>
      </c>
      <c r="B217" s="14" t="s">
        <v>3011</v>
      </c>
      <c r="C217" s="14"/>
      <c r="D217" s="101" t="s">
        <v>1361</v>
      </c>
      <c r="E217" s="101">
        <v>2035</v>
      </c>
      <c r="F217" s="14"/>
      <c r="G217" s="14"/>
      <c r="H217" s="282">
        <v>75.175066224117359</v>
      </c>
      <c r="I217" s="14"/>
      <c r="J217" s="14"/>
      <c r="K217" s="14"/>
      <c r="L217" s="14"/>
      <c r="M217" s="14"/>
      <c r="N217" s="14"/>
      <c r="O217" s="14"/>
    </row>
    <row r="218" spans="1:15">
      <c r="A218" s="14" t="s">
        <v>1384</v>
      </c>
      <c r="B218" s="14" t="s">
        <v>3011</v>
      </c>
      <c r="C218" s="14"/>
      <c r="D218" s="101" t="s">
        <v>1361</v>
      </c>
      <c r="E218" s="101">
        <v>2035</v>
      </c>
      <c r="F218" s="14"/>
      <c r="G218" s="14"/>
      <c r="H218" s="282">
        <v>52.731550517948044</v>
      </c>
      <c r="I218" s="14"/>
      <c r="J218" s="14"/>
      <c r="K218" s="14"/>
      <c r="L218" s="14"/>
      <c r="M218" s="14"/>
      <c r="N218" s="14"/>
      <c r="O218" s="14"/>
    </row>
    <row r="219" spans="1:15">
      <c r="A219" s="14" t="s">
        <v>1272</v>
      </c>
      <c r="B219" s="14" t="s">
        <v>3013</v>
      </c>
      <c r="C219" s="14"/>
      <c r="D219" s="101" t="s">
        <v>1361</v>
      </c>
      <c r="E219" s="101">
        <v>2035</v>
      </c>
      <c r="F219" s="14"/>
      <c r="G219" s="14"/>
      <c r="H219" s="282" cm="1">
        <f t="array" ref="H219:H224">_xlfn._xlws.FILTER(P_H2[Valve], P_H2[Valve]&gt;=10)</f>
        <v>232.19526135688537</v>
      </c>
      <c r="I219" s="14"/>
      <c r="J219" s="14"/>
      <c r="K219" s="14"/>
      <c r="L219" s="14"/>
      <c r="M219" s="14"/>
      <c r="N219" s="14"/>
      <c r="O219" s="14"/>
    </row>
    <row r="220" spans="1:15">
      <c r="A220" s="14" t="s">
        <v>1271</v>
      </c>
      <c r="B220" s="14" t="s">
        <v>3013</v>
      </c>
      <c r="C220" s="14"/>
      <c r="D220" s="101" t="s">
        <v>1361</v>
      </c>
      <c r="E220" s="101">
        <v>2035</v>
      </c>
      <c r="F220" s="14"/>
      <c r="G220" s="14"/>
      <c r="H220" s="282">
        <v>189.13172863178556</v>
      </c>
      <c r="I220" s="14"/>
      <c r="J220" s="14"/>
      <c r="K220" s="14"/>
      <c r="L220" s="14"/>
      <c r="M220" s="14"/>
      <c r="N220" s="14"/>
      <c r="O220" s="14"/>
    </row>
    <row r="221" spans="1:15">
      <c r="A221" s="14" t="s">
        <v>1273</v>
      </c>
      <c r="B221" s="14" t="s">
        <v>3013</v>
      </c>
      <c r="C221" s="14"/>
      <c r="D221" s="101" t="s">
        <v>1361</v>
      </c>
      <c r="E221" s="101">
        <v>2035</v>
      </c>
      <c r="F221" s="14"/>
      <c r="G221" s="14"/>
      <c r="H221" s="282">
        <v>166.53798504711716</v>
      </c>
      <c r="I221" s="14"/>
      <c r="J221" s="14"/>
      <c r="K221" s="14"/>
      <c r="L221" s="14"/>
      <c r="M221" s="14"/>
      <c r="N221" s="14"/>
      <c r="O221" s="14"/>
    </row>
    <row r="222" spans="1:15">
      <c r="A222" s="14" t="s">
        <v>1383</v>
      </c>
      <c r="B222" s="14" t="s">
        <v>3013</v>
      </c>
      <c r="C222" s="14"/>
      <c r="D222" s="101" t="s">
        <v>1361</v>
      </c>
      <c r="E222" s="101">
        <v>2035</v>
      </c>
      <c r="F222" s="14"/>
      <c r="G222" s="14"/>
      <c r="H222" s="282">
        <v>40.212587162365615</v>
      </c>
      <c r="I222" s="14"/>
      <c r="J222" s="14"/>
      <c r="K222" s="14"/>
      <c r="L222" s="14"/>
      <c r="M222" s="14"/>
      <c r="N222" s="14"/>
      <c r="O222" s="14"/>
    </row>
    <row r="223" spans="1:15">
      <c r="A223" s="14" t="s">
        <v>1388</v>
      </c>
      <c r="B223" s="14" t="s">
        <v>3013</v>
      </c>
      <c r="C223" s="14"/>
      <c r="D223" s="101" t="s">
        <v>1361</v>
      </c>
      <c r="E223" s="101">
        <v>2035</v>
      </c>
      <c r="F223" s="14"/>
      <c r="G223" s="14"/>
      <c r="H223" s="282">
        <v>340.14631508981518</v>
      </c>
      <c r="I223" s="14"/>
      <c r="J223" s="14"/>
      <c r="K223" s="14"/>
      <c r="L223" s="14"/>
      <c r="M223" s="14"/>
      <c r="N223" s="14"/>
      <c r="O223" s="14"/>
    </row>
    <row r="224" spans="1:15">
      <c r="A224" s="14" t="s">
        <v>1384</v>
      </c>
      <c r="B224" s="14" t="s">
        <v>3013</v>
      </c>
      <c r="C224" s="14"/>
      <c r="D224" s="101" t="s">
        <v>1361</v>
      </c>
      <c r="E224" s="101">
        <v>2035</v>
      </c>
      <c r="F224" s="14"/>
      <c r="G224" s="14"/>
      <c r="H224" s="282">
        <v>238.59563414522364</v>
      </c>
      <c r="I224" s="14"/>
      <c r="J224" s="14"/>
      <c r="K224" s="14"/>
      <c r="L224" s="14"/>
      <c r="M224" s="14"/>
      <c r="N224" s="14"/>
      <c r="O224" s="14"/>
    </row>
  </sheetData>
  <phoneticPr fontId="2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AEE9-5A53-4AC2-862D-146AC44A2721}">
  <sheetPr>
    <tabColor rgb="FF002060"/>
  </sheetPr>
  <dimension ref="A1:M46"/>
  <sheetViews>
    <sheetView workbookViewId="0">
      <pane ySplit="1" topLeftCell="A20" activePane="bottomLeft" state="frozen"/>
      <selection pane="bottomLeft" activeCell="C1" sqref="C1"/>
    </sheetView>
  </sheetViews>
  <sheetFormatPr defaultRowHeight="14.4"/>
  <cols>
    <col min="1" max="2" width="8.77734375" style="1" customWidth="1"/>
    <col min="3" max="3" width="11.109375" style="1" bestFit="1" customWidth="1"/>
    <col min="4" max="5" width="8.77734375" style="1" customWidth="1"/>
    <col min="6" max="6" width="11.88671875" style="1" bestFit="1" customWidth="1"/>
    <col min="7" max="7" width="11.5546875" style="1" bestFit="1" customWidth="1"/>
    <col min="8" max="8" width="9" style="1" bestFit="1" customWidth="1"/>
    <col min="9" max="9" width="14" style="1" bestFit="1" customWidth="1"/>
    <col min="10" max="10" width="15.6640625" style="1" bestFit="1" customWidth="1"/>
    <col min="11" max="12" width="8.77734375" style="1" customWidth="1"/>
    <col min="13" max="13" width="12.77734375" style="1" bestFit="1" customWidth="1"/>
    <col min="14" max="16384" width="8.88671875" style="1"/>
  </cols>
  <sheetData>
    <row r="1" spans="1:13">
      <c r="A1" s="309" t="s">
        <v>1355</v>
      </c>
      <c r="B1" s="309" t="s">
        <v>158</v>
      </c>
      <c r="C1" s="309" t="s">
        <v>3020</v>
      </c>
      <c r="D1" s="309" t="s">
        <v>1356</v>
      </c>
      <c r="E1" s="309" t="s">
        <v>1357</v>
      </c>
      <c r="F1" s="309" t="s">
        <v>3021</v>
      </c>
      <c r="G1" s="309" t="s">
        <v>3022</v>
      </c>
      <c r="H1" s="309" t="s">
        <v>3023</v>
      </c>
      <c r="I1" s="309" t="s">
        <v>3024</v>
      </c>
      <c r="J1" s="309" t="s">
        <v>3025</v>
      </c>
      <c r="K1" s="309" t="s">
        <v>3026</v>
      </c>
      <c r="L1" s="250" t="s">
        <v>3027</v>
      </c>
      <c r="M1" s="250" t="s">
        <v>3028</v>
      </c>
    </row>
    <row r="2" spans="1:13">
      <c r="A2" s="1" t="s">
        <v>1272</v>
      </c>
      <c r="B2" s="1" t="s">
        <v>1360</v>
      </c>
      <c r="D2" s="1" t="s">
        <v>1361</v>
      </c>
      <c r="E2" s="1">
        <v>1</v>
      </c>
      <c r="I2" s="22">
        <v>3000</v>
      </c>
    </row>
    <row r="3" spans="1:13">
      <c r="A3" s="1" t="s">
        <v>1271</v>
      </c>
      <c r="B3" s="1" t="s">
        <v>1360</v>
      </c>
      <c r="D3" s="1" t="s">
        <v>1361</v>
      </c>
      <c r="E3" s="1">
        <v>1</v>
      </c>
      <c r="I3" s="22">
        <v>3000</v>
      </c>
    </row>
    <row r="4" spans="1:13">
      <c r="A4" s="1" t="s">
        <v>1273</v>
      </c>
      <c r="B4" s="1" t="s">
        <v>1360</v>
      </c>
      <c r="D4" s="1" t="s">
        <v>1361</v>
      </c>
      <c r="E4" s="1">
        <v>1</v>
      </c>
      <c r="I4" s="22">
        <v>3000</v>
      </c>
    </row>
    <row r="5" spans="1:13">
      <c r="A5" s="1" t="s">
        <v>1274</v>
      </c>
      <c r="B5" s="1" t="s">
        <v>1360</v>
      </c>
      <c r="D5" s="1" t="s">
        <v>1361</v>
      </c>
      <c r="E5" s="1">
        <v>1</v>
      </c>
      <c r="I5" s="22">
        <v>3000</v>
      </c>
    </row>
    <row r="6" spans="1:13">
      <c r="A6" s="1" t="s">
        <v>1383</v>
      </c>
      <c r="B6" s="1" t="s">
        <v>1360</v>
      </c>
      <c r="D6" s="1" t="s">
        <v>1361</v>
      </c>
      <c r="E6" s="1">
        <v>1</v>
      </c>
      <c r="I6" s="22">
        <v>3000</v>
      </c>
    </row>
    <row r="7" spans="1:13">
      <c r="A7" s="1" t="s">
        <v>1388</v>
      </c>
      <c r="B7" s="1" t="s">
        <v>1360</v>
      </c>
      <c r="D7" s="1" t="s">
        <v>1361</v>
      </c>
      <c r="E7" s="1">
        <v>1</v>
      </c>
      <c r="I7" s="22">
        <v>3000</v>
      </c>
    </row>
    <row r="8" spans="1:13">
      <c r="A8" s="21" t="s">
        <v>1384</v>
      </c>
      <c r="B8" s="21" t="s">
        <v>1360</v>
      </c>
      <c r="C8" s="21"/>
      <c r="D8" s="21" t="s">
        <v>1361</v>
      </c>
      <c r="E8" s="21">
        <v>1</v>
      </c>
      <c r="F8" s="21"/>
      <c r="G8" s="21"/>
      <c r="H8" s="21"/>
      <c r="I8" s="23">
        <v>3000</v>
      </c>
      <c r="J8" s="21"/>
      <c r="K8" s="21"/>
      <c r="L8" s="21"/>
      <c r="M8" s="21"/>
    </row>
    <row r="9" spans="1:13">
      <c r="A9" s="1" t="s">
        <v>1272</v>
      </c>
      <c r="B9" s="1" t="s">
        <v>1397</v>
      </c>
      <c r="D9" s="1" t="s">
        <v>1361</v>
      </c>
      <c r="E9" s="1">
        <v>1</v>
      </c>
      <c r="I9" s="22">
        <v>240</v>
      </c>
    </row>
    <row r="10" spans="1:13">
      <c r="A10" s="1" t="s">
        <v>1271</v>
      </c>
      <c r="B10" s="1" t="s">
        <v>1397</v>
      </c>
      <c r="D10" s="1" t="s">
        <v>1361</v>
      </c>
      <c r="E10" s="1">
        <v>1</v>
      </c>
      <c r="I10" s="22">
        <v>240</v>
      </c>
    </row>
    <row r="11" spans="1:13">
      <c r="A11" s="1" t="s">
        <v>1273</v>
      </c>
      <c r="B11" s="1" t="s">
        <v>1397</v>
      </c>
      <c r="D11" s="1" t="s">
        <v>1361</v>
      </c>
      <c r="E11" s="1">
        <v>1</v>
      </c>
      <c r="I11" s="22">
        <v>240</v>
      </c>
    </row>
    <row r="12" spans="1:13">
      <c r="A12" s="1" t="s">
        <v>1383</v>
      </c>
      <c r="B12" s="1" t="s">
        <v>1397</v>
      </c>
      <c r="D12" s="1" t="s">
        <v>1361</v>
      </c>
      <c r="E12" s="1">
        <v>1</v>
      </c>
      <c r="I12" s="22">
        <v>240</v>
      </c>
    </row>
    <row r="13" spans="1:13">
      <c r="A13" s="1" t="s">
        <v>1388</v>
      </c>
      <c r="B13" s="1" t="s">
        <v>1397</v>
      </c>
      <c r="D13" s="1" t="s">
        <v>1361</v>
      </c>
      <c r="E13" s="1">
        <v>1</v>
      </c>
      <c r="I13" s="22">
        <v>240</v>
      </c>
    </row>
    <row r="14" spans="1:13">
      <c r="A14" s="21" t="s">
        <v>1384</v>
      </c>
      <c r="B14" s="21" t="s">
        <v>1397</v>
      </c>
      <c r="C14" s="21"/>
      <c r="D14" s="21" t="s">
        <v>1361</v>
      </c>
      <c r="E14" s="21">
        <v>1</v>
      </c>
      <c r="F14" s="21"/>
      <c r="G14" s="21"/>
      <c r="H14" s="21"/>
      <c r="I14" s="23">
        <v>240</v>
      </c>
      <c r="J14" s="21"/>
      <c r="K14" s="21"/>
      <c r="L14" s="21"/>
      <c r="M14" s="21"/>
    </row>
    <row r="15" spans="1:13">
      <c r="A15" s="1" t="s">
        <v>1272</v>
      </c>
      <c r="B15" s="1" t="s">
        <v>1370</v>
      </c>
      <c r="D15" s="1" t="s">
        <v>1361</v>
      </c>
      <c r="E15" s="1">
        <v>1</v>
      </c>
      <c r="F15" s="1">
        <v>1</v>
      </c>
      <c r="I15" s="22">
        <v>2250</v>
      </c>
    </row>
    <row r="16" spans="1:13">
      <c r="A16" s="1" t="s">
        <v>1271</v>
      </c>
      <c r="B16" s="1" t="s">
        <v>1370</v>
      </c>
      <c r="D16" s="1" t="s">
        <v>1361</v>
      </c>
      <c r="E16" s="1">
        <v>1</v>
      </c>
      <c r="F16" s="1">
        <v>1</v>
      </c>
      <c r="I16" s="22">
        <v>2250</v>
      </c>
    </row>
    <row r="17" spans="1:13">
      <c r="A17" s="1" t="s">
        <v>1273</v>
      </c>
      <c r="B17" s="1" t="s">
        <v>1370</v>
      </c>
      <c r="D17" s="1" t="s">
        <v>1361</v>
      </c>
      <c r="E17" s="1">
        <v>1</v>
      </c>
      <c r="F17" s="1">
        <v>1</v>
      </c>
      <c r="I17" s="22">
        <v>2250</v>
      </c>
    </row>
    <row r="18" spans="1:13">
      <c r="A18" s="1" t="s">
        <v>1383</v>
      </c>
      <c r="B18" s="1" t="s">
        <v>1370</v>
      </c>
      <c r="D18" s="1" t="s">
        <v>1361</v>
      </c>
      <c r="E18" s="1">
        <v>1</v>
      </c>
      <c r="F18" s="1">
        <v>1</v>
      </c>
      <c r="I18" s="22">
        <v>2250</v>
      </c>
    </row>
    <row r="19" spans="1:13">
      <c r="A19" s="1" t="s">
        <v>1388</v>
      </c>
      <c r="B19" s="1" t="s">
        <v>1370</v>
      </c>
      <c r="D19" s="1" t="s">
        <v>1361</v>
      </c>
      <c r="E19" s="1">
        <v>1</v>
      </c>
      <c r="F19" s="1">
        <v>1</v>
      </c>
      <c r="I19" s="22">
        <v>2250</v>
      </c>
    </row>
    <row r="20" spans="1:13">
      <c r="A20" s="21" t="s">
        <v>1384</v>
      </c>
      <c r="B20" s="21" t="s">
        <v>1370</v>
      </c>
      <c r="C20" s="21"/>
      <c r="D20" s="21" t="s">
        <v>1361</v>
      </c>
      <c r="E20" s="21">
        <v>1</v>
      </c>
      <c r="F20" s="21">
        <v>1</v>
      </c>
      <c r="G20" s="21"/>
      <c r="H20" s="21"/>
      <c r="I20" s="23">
        <v>2250</v>
      </c>
      <c r="J20" s="21"/>
      <c r="K20" s="21"/>
      <c r="L20" s="21"/>
      <c r="M20" s="21"/>
    </row>
    <row r="21" spans="1:13">
      <c r="A21" s="1" t="s">
        <v>1384</v>
      </c>
      <c r="B21" s="1" t="s">
        <v>1380</v>
      </c>
      <c r="C21" s="1" t="s">
        <v>81</v>
      </c>
      <c r="D21" s="1" t="s">
        <v>3029</v>
      </c>
      <c r="E21" s="1">
        <v>1</v>
      </c>
      <c r="G21" s="1">
        <v>0</v>
      </c>
      <c r="H21" s="1">
        <v>0</v>
      </c>
      <c r="I21" s="22">
        <v>4000</v>
      </c>
      <c r="K21" s="22">
        <v>29</v>
      </c>
    </row>
    <row r="22" spans="1:13">
      <c r="A22" s="1" t="s">
        <v>1384</v>
      </c>
      <c r="B22" s="1" t="s">
        <v>1380</v>
      </c>
      <c r="C22" s="1" t="s">
        <v>80</v>
      </c>
      <c r="D22" s="1" t="s">
        <v>3029</v>
      </c>
      <c r="E22" s="1">
        <v>1</v>
      </c>
      <c r="G22" s="1">
        <v>0</v>
      </c>
      <c r="H22" s="1">
        <v>0</v>
      </c>
      <c r="I22" s="22">
        <v>4000</v>
      </c>
      <c r="K22" s="22">
        <v>59</v>
      </c>
    </row>
    <row r="23" spans="1:13">
      <c r="A23" s="1" t="s">
        <v>1273</v>
      </c>
      <c r="B23" s="1" t="s">
        <v>1380</v>
      </c>
      <c r="C23" s="1" t="s">
        <v>86</v>
      </c>
      <c r="D23" s="1" t="s">
        <v>3029</v>
      </c>
      <c r="E23" s="1">
        <v>1</v>
      </c>
      <c r="G23" s="1">
        <v>0</v>
      </c>
      <c r="H23" s="1">
        <v>0</v>
      </c>
      <c r="I23" s="22">
        <v>4000</v>
      </c>
      <c r="K23" s="22">
        <v>44</v>
      </c>
    </row>
    <row r="24" spans="1:13">
      <c r="A24" s="1" t="s">
        <v>1272</v>
      </c>
      <c r="B24" s="1" t="s">
        <v>1380</v>
      </c>
      <c r="C24" s="1" t="s">
        <v>85</v>
      </c>
      <c r="D24" s="1" t="s">
        <v>3029</v>
      </c>
      <c r="E24" s="1">
        <v>1</v>
      </c>
      <c r="G24" s="1">
        <v>0</v>
      </c>
      <c r="H24" s="1">
        <v>0</v>
      </c>
      <c r="I24" s="22">
        <v>4000</v>
      </c>
      <c r="K24" s="22">
        <v>35</v>
      </c>
    </row>
    <row r="25" spans="1:13">
      <c r="A25" s="1" t="s">
        <v>1273</v>
      </c>
      <c r="B25" s="1" t="s">
        <v>1380</v>
      </c>
      <c r="C25" s="1" t="s">
        <v>84</v>
      </c>
      <c r="D25" s="1" t="s">
        <v>3029</v>
      </c>
      <c r="E25" s="1">
        <v>1</v>
      </c>
      <c r="G25" s="1">
        <v>0</v>
      </c>
      <c r="H25" s="1">
        <v>0</v>
      </c>
      <c r="I25" s="22">
        <v>4000</v>
      </c>
      <c r="K25" s="22">
        <v>32</v>
      </c>
    </row>
    <row r="26" spans="1:13">
      <c r="A26" s="1" t="s">
        <v>1383</v>
      </c>
      <c r="B26" s="1" t="s">
        <v>1380</v>
      </c>
      <c r="C26" s="1" t="s">
        <v>83</v>
      </c>
      <c r="D26" s="1" t="s">
        <v>3029</v>
      </c>
      <c r="E26" s="1">
        <v>1</v>
      </c>
      <c r="G26" s="1">
        <v>0</v>
      </c>
      <c r="H26" s="1">
        <v>0</v>
      </c>
      <c r="I26" s="22">
        <v>4000</v>
      </c>
      <c r="K26" s="22">
        <v>43</v>
      </c>
    </row>
    <row r="27" spans="1:13">
      <c r="A27" s="1" t="s">
        <v>1384</v>
      </c>
      <c r="B27" s="1" t="s">
        <v>1380</v>
      </c>
      <c r="C27" s="1" t="s">
        <v>82</v>
      </c>
      <c r="D27" s="1" t="s">
        <v>3029</v>
      </c>
      <c r="E27" s="1">
        <v>1</v>
      </c>
      <c r="G27" s="1">
        <v>0</v>
      </c>
      <c r="H27" s="1">
        <v>0</v>
      </c>
      <c r="I27" s="22">
        <v>4000</v>
      </c>
      <c r="K27" s="22">
        <v>34</v>
      </c>
    </row>
    <row r="28" spans="1:13">
      <c r="A28" s="1" t="s">
        <v>1272</v>
      </c>
      <c r="B28" s="1" t="s">
        <v>1380</v>
      </c>
      <c r="D28" s="1" t="s">
        <v>3029</v>
      </c>
      <c r="E28" s="1">
        <v>1</v>
      </c>
      <c r="G28" s="1">
        <v>0</v>
      </c>
      <c r="H28" s="1">
        <v>0</v>
      </c>
      <c r="I28" s="22">
        <v>4000</v>
      </c>
      <c r="K28" s="310">
        <f>ROUND(D_heat!K40/0.00876*0.2,0)</f>
        <v>51</v>
      </c>
    </row>
    <row r="29" spans="1:13">
      <c r="A29" s="1" t="s">
        <v>1271</v>
      </c>
      <c r="B29" s="1" t="s">
        <v>1380</v>
      </c>
      <c r="D29" s="1" t="s">
        <v>3029</v>
      </c>
      <c r="E29" s="1">
        <v>1</v>
      </c>
      <c r="G29" s="1">
        <v>0</v>
      </c>
      <c r="H29" s="1">
        <v>0</v>
      </c>
      <c r="I29" s="22">
        <v>4000</v>
      </c>
      <c r="K29" s="310">
        <f>ROUND(D_heat!K41/0.00876*0.2,0)</f>
        <v>93</v>
      </c>
    </row>
    <row r="30" spans="1:13">
      <c r="A30" s="1" t="s">
        <v>1273</v>
      </c>
      <c r="B30" s="1" t="s">
        <v>1380</v>
      </c>
      <c r="D30" s="1" t="s">
        <v>3029</v>
      </c>
      <c r="E30" s="1">
        <v>1</v>
      </c>
      <c r="G30" s="1">
        <v>0</v>
      </c>
      <c r="H30" s="1">
        <v>0</v>
      </c>
      <c r="I30" s="22">
        <v>4000</v>
      </c>
      <c r="K30" s="310">
        <f>ROUND(D_heat!K42/0.00876*0.2,0)</f>
        <v>36</v>
      </c>
    </row>
    <row r="31" spans="1:13">
      <c r="A31" s="1" t="s">
        <v>1274</v>
      </c>
      <c r="B31" s="1" t="s">
        <v>1380</v>
      </c>
      <c r="D31" s="1" t="s">
        <v>3029</v>
      </c>
      <c r="E31" s="1">
        <v>1</v>
      </c>
      <c r="G31" s="1">
        <v>0</v>
      </c>
      <c r="H31" s="1">
        <v>0</v>
      </c>
      <c r="I31" s="22">
        <v>4000</v>
      </c>
      <c r="K31" s="310">
        <f>ROUND(D_heat!K43/0.00876*0.2,0)</f>
        <v>98</v>
      </c>
    </row>
    <row r="32" spans="1:13">
      <c r="A32" s="1" t="s">
        <v>1383</v>
      </c>
      <c r="B32" s="1" t="s">
        <v>1380</v>
      </c>
      <c r="D32" s="1" t="s">
        <v>3029</v>
      </c>
      <c r="E32" s="1">
        <v>1</v>
      </c>
      <c r="G32" s="1">
        <v>0</v>
      </c>
      <c r="H32" s="1">
        <v>0</v>
      </c>
      <c r="I32" s="22">
        <v>4000</v>
      </c>
      <c r="K32" s="310">
        <f>ROUND(D_heat!K44/0.00876*0.2,0)</f>
        <v>47</v>
      </c>
    </row>
    <row r="33" spans="1:13">
      <c r="A33" s="1" t="s">
        <v>1388</v>
      </c>
      <c r="B33" s="1" t="s">
        <v>1380</v>
      </c>
      <c r="D33" s="1" t="s">
        <v>3029</v>
      </c>
      <c r="E33" s="1">
        <v>1</v>
      </c>
      <c r="G33" s="1">
        <v>0</v>
      </c>
      <c r="H33" s="1">
        <v>0</v>
      </c>
      <c r="I33" s="22">
        <v>4000</v>
      </c>
      <c r="K33" s="310">
        <f>ROUND(D_heat!K45/0.00876*0.2,0)</f>
        <v>78</v>
      </c>
    </row>
    <row r="34" spans="1:13">
      <c r="A34" s="21" t="s">
        <v>1384</v>
      </c>
      <c r="B34" s="21" t="s">
        <v>1380</v>
      </c>
      <c r="C34" s="21"/>
      <c r="D34" s="21" t="s">
        <v>3029</v>
      </c>
      <c r="E34" s="21">
        <v>1</v>
      </c>
      <c r="F34" s="21"/>
      <c r="G34" s="21">
        <v>0</v>
      </c>
      <c r="H34" s="21">
        <v>0</v>
      </c>
      <c r="I34" s="23">
        <v>4000</v>
      </c>
      <c r="J34" s="21"/>
      <c r="K34" s="311">
        <f>ROUND(D_heat!K46/0.00876*0.2,0)</f>
        <v>54</v>
      </c>
      <c r="L34" s="21"/>
      <c r="M34" s="21"/>
    </row>
    <row r="35" spans="1:13">
      <c r="A35" s="1" t="s">
        <v>1272</v>
      </c>
      <c r="B35" s="1" t="s">
        <v>1398</v>
      </c>
      <c r="C35" s="1" t="s">
        <v>1394</v>
      </c>
      <c r="D35" s="1" t="s">
        <v>3029</v>
      </c>
      <c r="E35" s="1">
        <v>1</v>
      </c>
      <c r="I35" s="22">
        <v>4000</v>
      </c>
    </row>
    <row r="36" spans="1:13">
      <c r="A36" s="1" t="s">
        <v>1271</v>
      </c>
      <c r="B36" s="1" t="s">
        <v>1398</v>
      </c>
      <c r="C36" s="1" t="s">
        <v>1394</v>
      </c>
      <c r="D36" s="1" t="s">
        <v>3029</v>
      </c>
      <c r="E36" s="1">
        <v>1</v>
      </c>
      <c r="I36" s="22">
        <v>4000</v>
      </c>
    </row>
    <row r="37" spans="1:13">
      <c r="A37" s="1" t="s">
        <v>1273</v>
      </c>
      <c r="B37" s="1" t="s">
        <v>1398</v>
      </c>
      <c r="C37" s="1" t="s">
        <v>1394</v>
      </c>
      <c r="D37" s="1" t="s">
        <v>3029</v>
      </c>
      <c r="E37" s="1">
        <v>1</v>
      </c>
      <c r="I37" s="22">
        <v>4000</v>
      </c>
    </row>
    <row r="38" spans="1:13">
      <c r="A38" s="1" t="s">
        <v>1274</v>
      </c>
      <c r="B38" s="1" t="s">
        <v>1398</v>
      </c>
      <c r="C38" s="1" t="s">
        <v>1394</v>
      </c>
      <c r="D38" s="1" t="s">
        <v>3029</v>
      </c>
      <c r="E38" s="1">
        <v>1</v>
      </c>
      <c r="I38" s="22">
        <v>4000</v>
      </c>
    </row>
    <row r="39" spans="1:13">
      <c r="A39" s="1" t="s">
        <v>1383</v>
      </c>
      <c r="B39" s="1" t="s">
        <v>1398</v>
      </c>
      <c r="C39" s="1" t="s">
        <v>1394</v>
      </c>
      <c r="D39" s="1" t="s">
        <v>3029</v>
      </c>
      <c r="E39" s="1">
        <v>1</v>
      </c>
      <c r="I39" s="22">
        <v>4000</v>
      </c>
    </row>
    <row r="40" spans="1:13">
      <c r="A40" s="1" t="s">
        <v>1388</v>
      </c>
      <c r="B40" s="1" t="s">
        <v>1398</v>
      </c>
      <c r="C40" s="1" t="s">
        <v>1394</v>
      </c>
      <c r="D40" s="1" t="s">
        <v>3029</v>
      </c>
      <c r="E40" s="1">
        <v>1</v>
      </c>
      <c r="I40" s="22">
        <v>4000</v>
      </c>
    </row>
    <row r="41" spans="1:13">
      <c r="A41" s="21" t="s">
        <v>1384</v>
      </c>
      <c r="B41" s="21" t="s">
        <v>1398</v>
      </c>
      <c r="C41" s="21" t="s">
        <v>1394</v>
      </c>
      <c r="D41" s="21" t="s">
        <v>3029</v>
      </c>
      <c r="E41" s="21">
        <v>1</v>
      </c>
      <c r="F41" s="21"/>
      <c r="G41" s="21"/>
      <c r="H41" s="21"/>
      <c r="I41" s="23">
        <v>4000</v>
      </c>
      <c r="J41" s="21"/>
      <c r="K41" s="21"/>
      <c r="L41" s="21"/>
      <c r="M41" s="21"/>
    </row>
    <row r="42" spans="1:13">
      <c r="A42" s="1" t="s">
        <v>1272</v>
      </c>
      <c r="B42" s="1" t="s">
        <v>3030</v>
      </c>
      <c r="D42" s="1" t="s">
        <v>3029</v>
      </c>
      <c r="E42" s="1">
        <v>1</v>
      </c>
      <c r="F42" s="1">
        <v>1</v>
      </c>
      <c r="H42" s="24">
        <v>3319465.2987736524</v>
      </c>
      <c r="I42" s="22">
        <v>5000</v>
      </c>
      <c r="K42" s="24">
        <v>20000</v>
      </c>
    </row>
    <row r="43" spans="1:13">
      <c r="A43" s="1" t="s">
        <v>1271</v>
      </c>
      <c r="B43" s="1" t="s">
        <v>3030</v>
      </c>
      <c r="D43" s="1" t="s">
        <v>3029</v>
      </c>
      <c r="E43" s="1">
        <v>1</v>
      </c>
      <c r="F43" s="1">
        <v>1</v>
      </c>
      <c r="H43" s="24">
        <v>281788.22570234741</v>
      </c>
      <c r="I43" s="22">
        <v>5000</v>
      </c>
      <c r="K43" s="24">
        <v>20000</v>
      </c>
    </row>
    <row r="44" spans="1:13">
      <c r="A44" s="1" t="s">
        <v>1273</v>
      </c>
      <c r="B44" s="1" t="s">
        <v>3030</v>
      </c>
      <c r="D44" s="1" t="s">
        <v>3029</v>
      </c>
      <c r="E44" s="1">
        <v>1</v>
      </c>
      <c r="F44" s="1">
        <v>1</v>
      </c>
      <c r="H44" s="24">
        <v>218104.08669361687</v>
      </c>
      <c r="I44" s="22">
        <v>5000</v>
      </c>
      <c r="K44" s="24">
        <v>20000</v>
      </c>
    </row>
    <row r="45" spans="1:13">
      <c r="A45" s="1" t="s">
        <v>1274</v>
      </c>
      <c r="B45" s="1" t="s">
        <v>3030</v>
      </c>
      <c r="D45" s="1" t="s">
        <v>3029</v>
      </c>
      <c r="E45" s="1">
        <v>1</v>
      </c>
      <c r="F45" s="1">
        <v>1</v>
      </c>
      <c r="H45" s="24">
        <v>860205.52366069914</v>
      </c>
      <c r="I45" s="22">
        <v>5000</v>
      </c>
      <c r="K45" s="24">
        <v>20000</v>
      </c>
    </row>
    <row r="46" spans="1:13">
      <c r="A46" s="1" t="s">
        <v>1388</v>
      </c>
      <c r="B46" s="1" t="s">
        <v>3030</v>
      </c>
      <c r="D46" s="1" t="s">
        <v>3029</v>
      </c>
      <c r="E46" s="1">
        <v>1</v>
      </c>
      <c r="F46" s="1">
        <v>1</v>
      </c>
      <c r="H46" s="24">
        <v>850436.86516968452</v>
      </c>
      <c r="I46" s="22">
        <v>5000</v>
      </c>
      <c r="K46" s="24">
        <v>20000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BAF66-4085-41A8-A32F-4C0E59A2D9B8}">
  <sheetPr>
    <tabColor rgb="FF002060"/>
  </sheetPr>
  <dimension ref="A1:M21"/>
  <sheetViews>
    <sheetView workbookViewId="0">
      <selection activeCell="G25" sqref="G25"/>
    </sheetView>
  </sheetViews>
  <sheetFormatPr defaultRowHeight="14.4"/>
  <cols>
    <col min="1" max="1" width="8" style="1" bestFit="1" customWidth="1"/>
    <col min="2" max="2" width="4.5546875" style="1" bestFit="1" customWidth="1"/>
    <col min="3" max="3" width="7.21875" style="1" bestFit="1" customWidth="1"/>
    <col min="4" max="4" width="22.5546875" style="1" bestFit="1" customWidth="1"/>
    <col min="5" max="5" width="12.21875" style="1" bestFit="1" customWidth="1"/>
    <col min="6" max="6" width="12.77734375" style="1" bestFit="1" customWidth="1"/>
    <col min="7" max="7" width="19" style="1" bestFit="1" customWidth="1"/>
    <col min="8" max="8" width="12.44140625" style="1" bestFit="1" customWidth="1"/>
    <col min="9" max="9" width="9.5546875" style="1" bestFit="1" customWidth="1"/>
    <col min="10" max="10" width="5.33203125" style="1" bestFit="1" customWidth="1"/>
    <col min="11" max="16384" width="8.88671875" style="1"/>
  </cols>
  <sheetData>
    <row r="1" spans="1:13">
      <c r="A1" s="45" t="s">
        <v>1356</v>
      </c>
      <c r="B1" s="45" t="s">
        <v>3032</v>
      </c>
      <c r="C1" s="45" t="s">
        <v>3033</v>
      </c>
      <c r="D1" s="45" t="s">
        <v>3034</v>
      </c>
      <c r="E1" s="45" t="s">
        <v>3035</v>
      </c>
      <c r="F1" s="45" t="s">
        <v>3036</v>
      </c>
      <c r="G1" s="45" t="s">
        <v>3037</v>
      </c>
      <c r="H1" s="45" t="s">
        <v>3038</v>
      </c>
      <c r="I1" s="45" t="s">
        <v>3039</v>
      </c>
      <c r="J1" s="45" t="s">
        <v>3040</v>
      </c>
    </row>
    <row r="2" spans="1:13">
      <c r="A2" s="1" t="s">
        <v>3029</v>
      </c>
      <c r="B2" s="1">
        <v>1</v>
      </c>
      <c r="C2" s="1" t="s">
        <v>1272</v>
      </c>
      <c r="D2" s="1" t="s">
        <v>3045</v>
      </c>
      <c r="E2" s="1" t="s">
        <v>1360</v>
      </c>
      <c r="F2" s="1" t="s">
        <v>3050</v>
      </c>
      <c r="G2" s="1" t="s">
        <v>3051</v>
      </c>
      <c r="H2" s="1" t="s">
        <v>1417</v>
      </c>
      <c r="I2" s="1" t="s">
        <v>3041</v>
      </c>
      <c r="J2" s="1">
        <v>1</v>
      </c>
    </row>
    <row r="3" spans="1:13">
      <c r="A3" s="1" t="s">
        <v>3029</v>
      </c>
      <c r="B3" s="1">
        <v>1</v>
      </c>
      <c r="C3" s="1" t="s">
        <v>1272</v>
      </c>
      <c r="D3" s="1" t="s">
        <v>3045</v>
      </c>
      <c r="E3" s="1" t="s">
        <v>1417</v>
      </c>
      <c r="F3" s="1" t="s">
        <v>1417</v>
      </c>
      <c r="G3" s="1" t="s">
        <v>1417</v>
      </c>
      <c r="H3" s="1" t="s">
        <v>1417</v>
      </c>
      <c r="I3" s="1" t="s">
        <v>3042</v>
      </c>
      <c r="J3" s="1">
        <v>-1</v>
      </c>
      <c r="M3" s="24"/>
    </row>
    <row r="4" spans="1:13">
      <c r="A4" s="1" t="s">
        <v>3029</v>
      </c>
      <c r="B4" s="1">
        <v>1</v>
      </c>
      <c r="C4" s="1" t="s">
        <v>1272</v>
      </c>
      <c r="D4" s="1" t="s">
        <v>3045</v>
      </c>
      <c r="E4" s="1" t="s">
        <v>1417</v>
      </c>
      <c r="F4" s="1" t="s">
        <v>1417</v>
      </c>
      <c r="G4" s="1" t="s">
        <v>1417</v>
      </c>
      <c r="H4" s="1" t="s">
        <v>1417</v>
      </c>
      <c r="I4" s="1" t="s">
        <v>3043</v>
      </c>
      <c r="J4" s="24">
        <v>250.91075856914767</v>
      </c>
      <c r="M4" s="24"/>
    </row>
    <row r="5" spans="1:13">
      <c r="A5" s="1" t="s">
        <v>3029</v>
      </c>
      <c r="B5" s="1">
        <v>1</v>
      </c>
      <c r="C5" s="1" t="s">
        <v>1272</v>
      </c>
      <c r="D5" s="1" t="s">
        <v>3045</v>
      </c>
      <c r="E5" s="1" t="s">
        <v>1417</v>
      </c>
      <c r="F5" s="1" t="s">
        <v>1417</v>
      </c>
      <c r="G5" s="1" t="s">
        <v>1417</v>
      </c>
      <c r="H5" s="1" t="s">
        <v>1417</v>
      </c>
      <c r="I5" s="1" t="s">
        <v>3044</v>
      </c>
      <c r="J5" s="1">
        <v>2500</v>
      </c>
      <c r="M5" s="24"/>
    </row>
    <row r="6" spans="1:13">
      <c r="A6" s="1" t="s">
        <v>3029</v>
      </c>
      <c r="B6" s="1">
        <v>1</v>
      </c>
      <c r="C6" s="1" t="s">
        <v>1271</v>
      </c>
      <c r="D6" s="1" t="s">
        <v>3046</v>
      </c>
      <c r="E6" s="1" t="s">
        <v>1360</v>
      </c>
      <c r="F6" s="1" t="s">
        <v>3052</v>
      </c>
      <c r="G6" s="1" t="s">
        <v>3053</v>
      </c>
      <c r="H6" s="1" t="s">
        <v>1417</v>
      </c>
      <c r="I6" s="1" t="s">
        <v>3041</v>
      </c>
      <c r="J6" s="1">
        <v>1</v>
      </c>
      <c r="M6" s="24"/>
    </row>
    <row r="7" spans="1:13">
      <c r="A7" s="1" t="s">
        <v>3029</v>
      </c>
      <c r="B7" s="1">
        <v>1</v>
      </c>
      <c r="C7" s="1" t="s">
        <v>1271</v>
      </c>
      <c r="D7" s="1" t="s">
        <v>3046</v>
      </c>
      <c r="E7" s="1" t="s">
        <v>1417</v>
      </c>
      <c r="F7" s="1" t="s">
        <v>1417</v>
      </c>
      <c r="G7" s="1" t="s">
        <v>1417</v>
      </c>
      <c r="H7" s="1" t="s">
        <v>1417</v>
      </c>
      <c r="I7" s="1" t="s">
        <v>3042</v>
      </c>
      <c r="J7" s="1">
        <v>-1</v>
      </c>
      <c r="M7" s="24"/>
    </row>
    <row r="8" spans="1:13">
      <c r="A8" s="1" t="s">
        <v>3029</v>
      </c>
      <c r="B8" s="1">
        <v>1</v>
      </c>
      <c r="C8" s="1" t="s">
        <v>1271</v>
      </c>
      <c r="D8" s="1" t="s">
        <v>3046</v>
      </c>
      <c r="E8" s="1" t="s">
        <v>1417</v>
      </c>
      <c r="F8" s="1" t="s">
        <v>1417</v>
      </c>
      <c r="G8" s="1" t="s">
        <v>1417</v>
      </c>
      <c r="H8" s="1" t="s">
        <v>1417</v>
      </c>
      <c r="I8" s="1" t="s">
        <v>3043</v>
      </c>
      <c r="J8" s="24">
        <v>21.299724836090636</v>
      </c>
    </row>
    <row r="9" spans="1:13">
      <c r="A9" s="1" t="s">
        <v>3029</v>
      </c>
      <c r="B9" s="1">
        <v>1</v>
      </c>
      <c r="C9" s="1" t="s">
        <v>1271</v>
      </c>
      <c r="D9" s="1" t="s">
        <v>3046</v>
      </c>
      <c r="E9" s="1" t="s">
        <v>1417</v>
      </c>
      <c r="F9" s="1" t="s">
        <v>1417</v>
      </c>
      <c r="G9" s="1" t="s">
        <v>1417</v>
      </c>
      <c r="H9" s="1" t="s">
        <v>1417</v>
      </c>
      <c r="I9" s="1" t="s">
        <v>3044</v>
      </c>
      <c r="J9" s="1">
        <v>2500</v>
      </c>
    </row>
    <row r="10" spans="1:13">
      <c r="A10" s="1" t="s">
        <v>3029</v>
      </c>
      <c r="B10" s="1">
        <v>1</v>
      </c>
      <c r="C10" s="1" t="s">
        <v>1273</v>
      </c>
      <c r="D10" s="1" t="s">
        <v>3047</v>
      </c>
      <c r="E10" s="1" t="s">
        <v>1360</v>
      </c>
      <c r="F10" s="1" t="s">
        <v>3054</v>
      </c>
      <c r="G10" s="1" t="s">
        <v>3055</v>
      </c>
      <c r="H10" s="1" t="s">
        <v>1417</v>
      </c>
      <c r="I10" s="1" t="s">
        <v>3041</v>
      </c>
      <c r="J10" s="1">
        <v>1</v>
      </c>
    </row>
    <row r="11" spans="1:13">
      <c r="A11" s="1" t="s">
        <v>3029</v>
      </c>
      <c r="B11" s="1">
        <v>1</v>
      </c>
      <c r="C11" s="1" t="s">
        <v>1273</v>
      </c>
      <c r="D11" s="1" t="s">
        <v>3047</v>
      </c>
      <c r="E11" s="1" t="s">
        <v>1417</v>
      </c>
      <c r="F11" s="1" t="s">
        <v>1417</v>
      </c>
      <c r="G11" s="1" t="s">
        <v>1417</v>
      </c>
      <c r="H11" s="1" t="s">
        <v>1417</v>
      </c>
      <c r="I11" s="1" t="s">
        <v>3042</v>
      </c>
      <c r="J11" s="1">
        <v>-1</v>
      </c>
    </row>
    <row r="12" spans="1:13">
      <c r="A12" s="1" t="s">
        <v>3029</v>
      </c>
      <c r="B12" s="1">
        <v>1</v>
      </c>
      <c r="C12" s="1" t="s">
        <v>1273</v>
      </c>
      <c r="D12" s="1" t="s">
        <v>3047</v>
      </c>
      <c r="E12" s="1" t="s">
        <v>1417</v>
      </c>
      <c r="F12" s="1" t="s">
        <v>1417</v>
      </c>
      <c r="G12" s="1" t="s">
        <v>1417</v>
      </c>
      <c r="H12" s="1" t="s">
        <v>1417</v>
      </c>
      <c r="I12" s="1" t="s">
        <v>3043</v>
      </c>
      <c r="J12" s="24">
        <v>16.48598702313415</v>
      </c>
    </row>
    <row r="13" spans="1:13">
      <c r="A13" s="1" t="s">
        <v>3029</v>
      </c>
      <c r="B13" s="1">
        <v>1</v>
      </c>
      <c r="C13" s="1" t="s">
        <v>1273</v>
      </c>
      <c r="D13" s="1" t="s">
        <v>3047</v>
      </c>
      <c r="E13" s="1" t="s">
        <v>1417</v>
      </c>
      <c r="F13" s="1" t="s">
        <v>1417</v>
      </c>
      <c r="G13" s="1" t="s">
        <v>1417</v>
      </c>
      <c r="H13" s="1" t="s">
        <v>1417</v>
      </c>
      <c r="I13" s="1" t="s">
        <v>3044</v>
      </c>
      <c r="J13" s="1">
        <v>2500</v>
      </c>
    </row>
    <row r="14" spans="1:13">
      <c r="A14" s="1" t="s">
        <v>3029</v>
      </c>
      <c r="B14" s="1">
        <v>1</v>
      </c>
      <c r="C14" s="1" t="s">
        <v>1274</v>
      </c>
      <c r="D14" s="1" t="s">
        <v>3048</v>
      </c>
      <c r="E14" s="1" t="s">
        <v>1360</v>
      </c>
      <c r="F14" s="1" t="s">
        <v>3056</v>
      </c>
      <c r="G14" s="1" t="s">
        <v>3057</v>
      </c>
      <c r="H14" s="1" t="s">
        <v>1417</v>
      </c>
      <c r="I14" s="1" t="s">
        <v>3041</v>
      </c>
      <c r="J14" s="1">
        <v>1</v>
      </c>
    </row>
    <row r="15" spans="1:13">
      <c r="A15" s="1" t="s">
        <v>3029</v>
      </c>
      <c r="B15" s="1">
        <v>1</v>
      </c>
      <c r="C15" s="1" t="s">
        <v>1274</v>
      </c>
      <c r="D15" s="1" t="s">
        <v>3048</v>
      </c>
      <c r="E15" s="1" t="s">
        <v>1417</v>
      </c>
      <c r="F15" s="1" t="s">
        <v>1417</v>
      </c>
      <c r="G15" s="1" t="s">
        <v>1417</v>
      </c>
      <c r="H15" s="1" t="s">
        <v>1417</v>
      </c>
      <c r="I15" s="1" t="s">
        <v>3042</v>
      </c>
      <c r="J15" s="1">
        <v>-1</v>
      </c>
    </row>
    <row r="16" spans="1:13">
      <c r="A16" s="1" t="s">
        <v>3029</v>
      </c>
      <c r="B16" s="1">
        <v>1</v>
      </c>
      <c r="C16" s="1" t="s">
        <v>1274</v>
      </c>
      <c r="D16" s="1" t="s">
        <v>3048</v>
      </c>
      <c r="E16" s="1" t="s">
        <v>1417</v>
      </c>
      <c r="F16" s="1" t="s">
        <v>1417</v>
      </c>
      <c r="G16" s="1" t="s">
        <v>1417</v>
      </c>
      <c r="H16" s="1" t="s">
        <v>1417</v>
      </c>
      <c r="I16" s="1" t="s">
        <v>3043</v>
      </c>
      <c r="J16" s="24">
        <v>65.020960016306006</v>
      </c>
    </row>
    <row r="17" spans="1:10">
      <c r="A17" s="1" t="s">
        <v>3029</v>
      </c>
      <c r="B17" s="1">
        <v>1</v>
      </c>
      <c r="C17" s="1" t="s">
        <v>1274</v>
      </c>
      <c r="D17" s="1" t="s">
        <v>3048</v>
      </c>
      <c r="E17" s="1" t="s">
        <v>1417</v>
      </c>
      <c r="F17" s="1" t="s">
        <v>1417</v>
      </c>
      <c r="G17" s="1" t="s">
        <v>1417</v>
      </c>
      <c r="H17" s="1" t="s">
        <v>1417</v>
      </c>
      <c r="I17" s="1" t="s">
        <v>3044</v>
      </c>
      <c r="J17" s="1">
        <v>2500</v>
      </c>
    </row>
    <row r="18" spans="1:10">
      <c r="A18" s="1" t="s">
        <v>3029</v>
      </c>
      <c r="B18" s="1">
        <v>1</v>
      </c>
      <c r="C18" s="1" t="s">
        <v>1388</v>
      </c>
      <c r="D18" s="1" t="s">
        <v>3049</v>
      </c>
      <c r="E18" s="1" t="s">
        <v>1360</v>
      </c>
      <c r="F18" s="1" t="s">
        <v>3058</v>
      </c>
      <c r="G18" s="1" t="s">
        <v>3059</v>
      </c>
      <c r="H18" s="1" t="s">
        <v>1417</v>
      </c>
      <c r="I18" s="1" t="s">
        <v>3041</v>
      </c>
      <c r="J18" s="1">
        <v>1</v>
      </c>
    </row>
    <row r="19" spans="1:10">
      <c r="A19" s="1" t="s">
        <v>3029</v>
      </c>
      <c r="B19" s="1">
        <v>1</v>
      </c>
      <c r="C19" s="1" t="s">
        <v>1388</v>
      </c>
      <c r="D19" s="1" t="s">
        <v>3049</v>
      </c>
      <c r="E19" s="1" t="s">
        <v>1417</v>
      </c>
      <c r="F19" s="1" t="s">
        <v>1417</v>
      </c>
      <c r="G19" s="1" t="s">
        <v>1417</v>
      </c>
      <c r="H19" s="1" t="s">
        <v>1417</v>
      </c>
      <c r="I19" s="1" t="s">
        <v>3042</v>
      </c>
      <c r="J19" s="1">
        <v>-1</v>
      </c>
    </row>
    <row r="20" spans="1:10">
      <c r="A20" s="1" t="s">
        <v>3029</v>
      </c>
      <c r="B20" s="1">
        <v>1</v>
      </c>
      <c r="C20" s="1" t="s">
        <v>1388</v>
      </c>
      <c r="D20" s="1" t="s">
        <v>3049</v>
      </c>
      <c r="E20" s="1" t="s">
        <v>1417</v>
      </c>
      <c r="F20" s="1" t="s">
        <v>1417</v>
      </c>
      <c r="G20" s="1" t="s">
        <v>1417</v>
      </c>
      <c r="H20" s="1" t="s">
        <v>1417</v>
      </c>
      <c r="I20" s="1" t="s">
        <v>3043</v>
      </c>
      <c r="J20" s="24">
        <v>64.282569555321544</v>
      </c>
    </row>
    <row r="21" spans="1:10">
      <c r="A21" s="1" t="s">
        <v>3029</v>
      </c>
      <c r="B21" s="1">
        <v>1</v>
      </c>
      <c r="C21" s="1" t="s">
        <v>1388</v>
      </c>
      <c r="D21" s="1" t="s">
        <v>3049</v>
      </c>
      <c r="E21" s="1" t="s">
        <v>1417</v>
      </c>
      <c r="F21" s="1" t="s">
        <v>1417</v>
      </c>
      <c r="G21" s="1" t="s">
        <v>1417</v>
      </c>
      <c r="H21" s="1" t="s">
        <v>1417</v>
      </c>
      <c r="I21" s="1" t="s">
        <v>3044</v>
      </c>
      <c r="J21" s="1">
        <v>2500</v>
      </c>
    </row>
  </sheetData>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Overview</vt:lpstr>
      <vt:lpstr>Geography</vt:lpstr>
      <vt:lpstr>D_el</vt:lpstr>
      <vt:lpstr>D_heat</vt:lpstr>
      <vt:lpstr>Tr_el</vt:lpstr>
      <vt:lpstr>H2</vt:lpstr>
      <vt:lpstr>P_el1</vt:lpstr>
      <vt:lpstr>P_hydro</vt:lpstr>
      <vt:lpstr>P_ind_chp</vt:lpstr>
      <vt:lpstr>P_dh_chp</vt:lpstr>
      <vt:lpstr>P_heat</vt:lpstr>
      <vt:lpstr>P</vt:lpstr>
      <vt:lpstr>P_el</vt:lpstr>
      <vt:lpstr>demanddata</vt:lpstr>
      <vt:lpstr>transferdata</vt:lpstr>
      <vt:lpstr>unitdata</vt:lpstr>
      <vt:lpstr>nodedata</vt:lpstr>
      <vt:lpstr>userconstraintdata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Jasiunas Justinas</dc:creator>
  <cp:lastModifiedBy>Jasiunas Justinas</cp:lastModifiedBy>
  <dcterms:created xsi:type="dcterms:W3CDTF">2015-06-05T18:17:20Z</dcterms:created>
  <dcterms:modified xsi:type="dcterms:W3CDTF">2026-08-28T09:41:57Z</dcterms:modified>
</cp:coreProperties>
</file>