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ackbone\north_european_model_2IMatch\src_files\data_files\"/>
    </mc:Choice>
  </mc:AlternateContent>
  <xr:revisionPtr revIDLastSave="0" documentId="13_ncr:1_{FEDFB299-FBDF-4FE7-9227-FC17A322BFF2}" xr6:coauthVersionLast="47" xr6:coauthVersionMax="47" xr10:uidLastSave="{00000000-0000-0000-0000-000000000000}"/>
  <bookViews>
    <workbookView xWindow="-23148" yWindow="-72" windowWidth="23256" windowHeight="13896" tabRatio="740" activeTab="6" xr2:uid="{00000000-000D-0000-FFFF-FFFF00000000}"/>
  </bookViews>
  <sheets>
    <sheet name="Overview" sheetId="6" r:id="rId1"/>
    <sheet name="Geography" sheetId="8" r:id="rId2"/>
    <sheet name="D_el" sheetId="1" r:id="rId3"/>
    <sheet name="D_heat" sheetId="3" r:id="rId4"/>
    <sheet name="Tr_el" sheetId="20" r:id="rId5"/>
    <sheet name="H2" sheetId="30" r:id="rId6"/>
    <sheet name="demanddata" sheetId="23" r:id="rId7"/>
    <sheet name="transferdata" sheetId="22" r:id="rId8"/>
    <sheet name="nodedata" sheetId="26" r:id="rId9"/>
    <sheet name="userconstraintdata" sheetId="2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22" l="1"/>
  <c r="H43" i="22"/>
  <c r="H44" i="22"/>
  <c r="H45" i="22"/>
  <c r="H41" i="22"/>
  <c r="H37" i="22"/>
  <c r="H38" i="22"/>
  <c r="H39" i="22"/>
  <c r="H40" i="22"/>
  <c r="H36" i="22"/>
  <c r="H34" i="22"/>
  <c r="H35" i="22"/>
  <c r="H33" i="22"/>
  <c r="H31" i="22"/>
  <c r="H32" i="22"/>
  <c r="H30" i="22"/>
  <c r="F10" i="23"/>
  <c r="F11" i="23"/>
  <c r="F12" i="23"/>
  <c r="F13" i="23"/>
  <c r="F14" i="23"/>
  <c r="F9" i="23"/>
  <c r="B12" i="30"/>
  <c r="B13" i="30"/>
  <c r="B14" i="30"/>
  <c r="B15" i="30"/>
  <c r="B16" i="30"/>
  <c r="B11" i="30"/>
  <c r="B17" i="30" l="1"/>
  <c r="Q89" i="1" l="1"/>
  <c r="Q90" i="1"/>
  <c r="Q91" i="1"/>
  <c r="Q92" i="1"/>
  <c r="Q93" i="1"/>
  <c r="Q94" i="1"/>
  <c r="Q95" i="1"/>
  <c r="Q88" i="1"/>
  <c r="H7" i="22" l="1"/>
  <c r="H6" i="22"/>
  <c r="H5" i="22"/>
  <c r="H4" i="22"/>
  <c r="H3" i="22"/>
  <c r="H2" i="22"/>
  <c r="T53" i="20"/>
  <c r="S53" i="20"/>
  <c r="U52" i="20"/>
  <c r="U51" i="20"/>
  <c r="U50" i="20"/>
  <c r="O50" i="20"/>
  <c r="F50" i="20"/>
  <c r="U49" i="20"/>
  <c r="O49" i="20"/>
  <c r="F49" i="20"/>
  <c r="U48" i="20"/>
  <c r="O48" i="20"/>
  <c r="F48" i="20"/>
  <c r="U47" i="20"/>
  <c r="O47" i="20"/>
  <c r="F47" i="20"/>
  <c r="U46" i="20"/>
  <c r="O46" i="20"/>
  <c r="F46" i="20"/>
  <c r="U45" i="20"/>
  <c r="O45" i="20"/>
  <c r="F45" i="20"/>
  <c r="U44" i="20"/>
  <c r="U53" i="20" s="1"/>
  <c r="O44" i="20"/>
  <c r="F44" i="20"/>
  <c r="U43" i="20"/>
  <c r="O43" i="20"/>
  <c r="F43" i="20"/>
  <c r="U42" i="20"/>
  <c r="O42" i="20"/>
  <c r="F42" i="20"/>
  <c r="F51" i="20" s="1"/>
  <c r="U41" i="20"/>
  <c r="O41" i="20"/>
  <c r="F41" i="20"/>
  <c r="O40" i="20"/>
  <c r="F40" i="20"/>
  <c r="O39" i="20"/>
  <c r="F39" i="20"/>
  <c r="P33" i="20"/>
  <c r="O33" i="20"/>
  <c r="P32" i="20"/>
  <c r="O32" i="20"/>
  <c r="P31" i="20"/>
  <c r="O31" i="20"/>
  <c r="P30" i="20"/>
  <c r="O30" i="20"/>
  <c r="P29" i="20"/>
  <c r="O29" i="20"/>
  <c r="X9" i="20"/>
  <c r="R7" i="20"/>
  <c r="Q7" i="20"/>
  <c r="R6" i="20"/>
  <c r="Q6" i="20"/>
  <c r="R5" i="20"/>
  <c r="Q5" i="20"/>
  <c r="X11" i="20" s="1"/>
  <c r="C52" i="3"/>
  <c r="C50" i="3"/>
  <c r="G33" i="3" s="1"/>
  <c r="C46" i="3"/>
  <c r="C42" i="3"/>
  <c r="C40" i="3"/>
  <c r="K39" i="3"/>
  <c r="F21" i="23" s="1"/>
  <c r="K38" i="3"/>
  <c r="F20" i="23" s="1"/>
  <c r="K37" i="3"/>
  <c r="F19" i="23" s="1"/>
  <c r="K36" i="3"/>
  <c r="F18" i="23" s="1"/>
  <c r="K35" i="3"/>
  <c r="F17" i="23" s="1"/>
  <c r="C35" i="3"/>
  <c r="K34" i="3"/>
  <c r="C34" i="3"/>
  <c r="K33" i="3"/>
  <c r="F15" i="23" s="1"/>
  <c r="O29" i="3"/>
  <c r="O28" i="3"/>
  <c r="C51" i="3" s="1"/>
  <c r="G37" i="3" s="1"/>
  <c r="K44" i="3" s="1"/>
  <c r="O27" i="3"/>
  <c r="O26" i="3"/>
  <c r="C49" i="3" s="1"/>
  <c r="G36" i="3" s="1"/>
  <c r="K43" i="3" s="1"/>
  <c r="O25" i="3"/>
  <c r="C48" i="3" s="1"/>
  <c r="O24" i="3"/>
  <c r="O23" i="3"/>
  <c r="O22" i="3"/>
  <c r="C45" i="3" s="1"/>
  <c r="O21" i="3"/>
  <c r="C44" i="3" s="1"/>
  <c r="O20" i="3"/>
  <c r="C43" i="3" s="1"/>
  <c r="O19" i="3"/>
  <c r="O18" i="3"/>
  <c r="C41" i="3" s="1"/>
  <c r="O17" i="3"/>
  <c r="O16" i="3"/>
  <c r="C39" i="3" s="1"/>
  <c r="O15" i="3"/>
  <c r="C38" i="3" s="1"/>
  <c r="O14" i="3"/>
  <c r="C37" i="3" s="1"/>
  <c r="C14" i="3"/>
  <c r="B14" i="3"/>
  <c r="O13" i="3"/>
  <c r="C36" i="3" s="1"/>
  <c r="O12" i="3"/>
  <c r="O11" i="3"/>
  <c r="O10" i="3"/>
  <c r="F102" i="1"/>
  <c r="E102" i="1"/>
  <c r="C102" i="1"/>
  <c r="F101" i="1"/>
  <c r="E101" i="1"/>
  <c r="C101" i="1"/>
  <c r="F100" i="1"/>
  <c r="N91" i="1" s="1"/>
  <c r="E100" i="1"/>
  <c r="C100" i="1"/>
  <c r="F99" i="1"/>
  <c r="E99" i="1"/>
  <c r="C99" i="1"/>
  <c r="F98" i="1"/>
  <c r="N89" i="1" s="1"/>
  <c r="E98" i="1"/>
  <c r="M89" i="1" s="1"/>
  <c r="C98" i="1"/>
  <c r="F97" i="1"/>
  <c r="E97" i="1"/>
  <c r="C97" i="1"/>
  <c r="F96" i="1"/>
  <c r="E96" i="1"/>
  <c r="C96" i="1"/>
  <c r="F95" i="1"/>
  <c r="N90" i="1" s="1"/>
  <c r="E95" i="1"/>
  <c r="C95" i="1"/>
  <c r="N94" i="1"/>
  <c r="F94" i="1"/>
  <c r="E94" i="1"/>
  <c r="C94" i="1"/>
  <c r="F93" i="1"/>
  <c r="E93" i="1"/>
  <c r="C93" i="1"/>
  <c r="N92" i="1"/>
  <c r="F92" i="1"/>
  <c r="E92" i="1"/>
  <c r="C92" i="1"/>
  <c r="M91" i="1"/>
  <c r="F91" i="1"/>
  <c r="E91" i="1"/>
  <c r="C91" i="1"/>
  <c r="F90" i="1"/>
  <c r="E90" i="1"/>
  <c r="C90" i="1"/>
  <c r="F89" i="1"/>
  <c r="N93" i="1" s="1"/>
  <c r="E89" i="1"/>
  <c r="M93" i="1" s="1"/>
  <c r="C89" i="1"/>
  <c r="F88" i="1"/>
  <c r="E88" i="1"/>
  <c r="C88" i="1"/>
  <c r="F87" i="1"/>
  <c r="E87" i="1"/>
  <c r="C87" i="1"/>
  <c r="F86" i="1"/>
  <c r="E86" i="1"/>
  <c r="C86" i="1"/>
  <c r="F85" i="1"/>
  <c r="E85" i="1"/>
  <c r="M92" i="1" s="1"/>
  <c r="C85" i="1"/>
  <c r="F84" i="1"/>
  <c r="E84" i="1"/>
  <c r="M94" i="1" s="1"/>
  <c r="C84" i="1"/>
  <c r="R78" i="1"/>
  <c r="Q78" i="1"/>
  <c r="P78" i="1"/>
  <c r="R77" i="1"/>
  <c r="Q77" i="1"/>
  <c r="P77" i="1"/>
  <c r="R76" i="1"/>
  <c r="Q76" i="1"/>
  <c r="P76" i="1"/>
  <c r="R75" i="1"/>
  <c r="Q75" i="1"/>
  <c r="P75" i="1"/>
  <c r="R74" i="1"/>
  <c r="Q74" i="1"/>
  <c r="P74" i="1"/>
  <c r="R73" i="1"/>
  <c r="Q73" i="1"/>
  <c r="P73" i="1"/>
  <c r="R72" i="1"/>
  <c r="Q72" i="1"/>
  <c r="P72" i="1"/>
  <c r="R71" i="1"/>
  <c r="Q71" i="1"/>
  <c r="P71" i="1"/>
  <c r="R70" i="1"/>
  <c r="Q70" i="1"/>
  <c r="P70" i="1"/>
  <c r="R69" i="1"/>
  <c r="Q69" i="1"/>
  <c r="P69" i="1"/>
  <c r="R68" i="1"/>
  <c r="Q68" i="1"/>
  <c r="P68" i="1"/>
  <c r="R67" i="1"/>
  <c r="Q67" i="1"/>
  <c r="P67" i="1"/>
  <c r="R66" i="1"/>
  <c r="Q66" i="1"/>
  <c r="P66" i="1"/>
  <c r="R65" i="1"/>
  <c r="Q65" i="1"/>
  <c r="P65" i="1"/>
  <c r="G36" i="1"/>
  <c r="E36" i="1"/>
  <c r="G35" i="1"/>
  <c r="F35" i="1"/>
  <c r="E35" i="1"/>
  <c r="G34" i="1"/>
  <c r="F34" i="1"/>
  <c r="H34" i="1" s="1"/>
  <c r="E34" i="1"/>
  <c r="I27" i="1"/>
  <c r="H27" i="1"/>
  <c r="G27" i="1"/>
  <c r="E27" i="1"/>
  <c r="D27" i="1"/>
  <c r="C27" i="1"/>
  <c r="K26" i="1"/>
  <c r="X25" i="1"/>
  <c r="X24" i="1"/>
  <c r="X23" i="1"/>
  <c r="X22" i="1"/>
  <c r="AI21" i="1"/>
  <c r="X21" i="1"/>
  <c r="AI20" i="1"/>
  <c r="X20" i="1"/>
  <c r="M20" i="1"/>
  <c r="AI19" i="1"/>
  <c r="X19" i="1"/>
  <c r="AI18" i="1"/>
  <c r="X18" i="1"/>
  <c r="AI17" i="1"/>
  <c r="X17" i="1"/>
  <c r="AI16" i="1"/>
  <c r="X16" i="1"/>
  <c r="AI15" i="1"/>
  <c r="X15" i="1"/>
  <c r="AI14" i="1"/>
  <c r="X14" i="1"/>
  <c r="AI13" i="1"/>
  <c r="X13" i="1"/>
  <c r="N13" i="1"/>
  <c r="O5" i="1" s="1"/>
  <c r="M13" i="1"/>
  <c r="AI12" i="1"/>
  <c r="X12" i="1"/>
  <c r="N12" i="1"/>
  <c r="M12" i="1"/>
  <c r="AI11" i="1"/>
  <c r="X11" i="1"/>
  <c r="AI10" i="1"/>
  <c r="X10" i="1"/>
  <c r="AI9" i="1"/>
  <c r="X9" i="1"/>
  <c r="AI8" i="1"/>
  <c r="X8" i="1"/>
  <c r="AI7" i="1"/>
  <c r="X7" i="1"/>
  <c r="O7" i="1"/>
  <c r="AI6" i="1"/>
  <c r="X6" i="1"/>
  <c r="O6" i="1"/>
  <c r="AI5" i="1"/>
  <c r="AC5" i="1"/>
  <c r="AB5" i="1"/>
  <c r="AA5" i="1"/>
  <c r="AI4" i="1"/>
  <c r="AC4" i="1"/>
  <c r="AB4" i="1"/>
  <c r="AA4" i="1"/>
  <c r="AI3" i="1"/>
  <c r="AC3" i="1"/>
  <c r="AB3" i="1"/>
  <c r="AA3" i="1"/>
  <c r="F21" i="8"/>
  <c r="F18" i="8"/>
  <c r="F15" i="8"/>
  <c r="F11" i="8"/>
  <c r="F9" i="8"/>
  <c r="F5" i="8"/>
  <c r="F3" i="8"/>
  <c r="K32" i="26" l="1"/>
  <c r="F26" i="23"/>
  <c r="K40" i="3"/>
  <c r="K31" i="26"/>
  <c r="F25" i="23"/>
  <c r="F16" i="23"/>
  <c r="H21" i="22"/>
  <c r="H10" i="22"/>
  <c r="H17" i="22"/>
  <c r="H28" i="22"/>
  <c r="H20" i="22"/>
  <c r="H9" i="22"/>
  <c r="H35" i="1"/>
  <c r="F103" i="1"/>
  <c r="E103" i="1"/>
  <c r="G35" i="3"/>
  <c r="K42" i="3" s="1"/>
  <c r="G38" i="3"/>
  <c r="K45" i="3" s="1"/>
  <c r="M90" i="1"/>
  <c r="N88" i="1"/>
  <c r="N95" i="1" s="1"/>
  <c r="AA6" i="1"/>
  <c r="C103" i="1"/>
  <c r="C33" i="3"/>
  <c r="G39" i="3" s="1"/>
  <c r="K46" i="3" s="1"/>
  <c r="H11" i="22"/>
  <c r="H22" i="22"/>
  <c r="H14" i="22"/>
  <c r="H25" i="22"/>
  <c r="H18" i="22"/>
  <c r="H29" i="22"/>
  <c r="H19" i="22"/>
  <c r="H8" i="22"/>
  <c r="O51" i="20"/>
  <c r="M88" i="1"/>
  <c r="M95" i="1" s="1"/>
  <c r="H13" i="22"/>
  <c r="H24" i="22"/>
  <c r="H16" i="22"/>
  <c r="H27" i="22"/>
  <c r="C47" i="3"/>
  <c r="G34" i="3" s="1"/>
  <c r="K41" i="3" s="1"/>
  <c r="H12" i="22"/>
  <c r="H23" i="22"/>
  <c r="H15" i="22"/>
  <c r="H26" i="22"/>
  <c r="K33" i="26" l="1"/>
  <c r="F27" i="23"/>
  <c r="K28" i="26"/>
  <c r="F22" i="23"/>
  <c r="K29" i="26"/>
  <c r="F23" i="23"/>
  <c r="K47" i="3"/>
  <c r="G40" i="3"/>
  <c r="K34" i="26"/>
  <c r="F28" i="23"/>
  <c r="M84" i="1"/>
  <c r="C104" i="1" s="1"/>
  <c r="K30" i="26"/>
  <c r="F24" i="23"/>
  <c r="D90" i="1" l="1"/>
  <c r="D100" i="1"/>
  <c r="K94" i="1"/>
  <c r="D92" i="1"/>
  <c r="D95" i="1"/>
  <c r="D87" i="1"/>
  <c r="D101" i="1"/>
  <c r="D93" i="1"/>
  <c r="D86" i="1"/>
  <c r="D99" i="1"/>
  <c r="D84" i="1"/>
  <c r="D96" i="1"/>
  <c r="D91" i="1"/>
  <c r="D98" i="1"/>
  <c r="D89" i="1"/>
  <c r="D94" i="1"/>
  <c r="D88" i="1"/>
  <c r="D85" i="1"/>
  <c r="K89" i="1"/>
  <c r="D97" i="1"/>
  <c r="K88" i="1"/>
  <c r="D102" i="1"/>
  <c r="K91" i="1"/>
  <c r="K93" i="1"/>
  <c r="K92" i="1"/>
  <c r="K90" i="1"/>
  <c r="H85" i="1" l="1"/>
  <c r="G85" i="1"/>
  <c r="H87" i="1"/>
  <c r="G87" i="1"/>
  <c r="G88" i="1"/>
  <c r="L90" i="1"/>
  <c r="O90" i="1" s="1"/>
  <c r="F4" i="23" s="1"/>
  <c r="H88" i="1"/>
  <c r="H95" i="1"/>
  <c r="G95" i="1"/>
  <c r="H91" i="1"/>
  <c r="G91" i="1"/>
  <c r="H90" i="1"/>
  <c r="G90" i="1"/>
  <c r="G101" i="1"/>
  <c r="H101" i="1"/>
  <c r="L88" i="1"/>
  <c r="G94" i="1"/>
  <c r="H94" i="1"/>
  <c r="G92" i="1"/>
  <c r="H92" i="1"/>
  <c r="H89" i="1"/>
  <c r="G89" i="1"/>
  <c r="L93" i="1"/>
  <c r="H98" i="1"/>
  <c r="G98" i="1"/>
  <c r="L89" i="1"/>
  <c r="O89" i="1" s="1"/>
  <c r="F3" i="23" s="1"/>
  <c r="H100" i="1"/>
  <c r="G100" i="1"/>
  <c r="L91" i="1"/>
  <c r="O91" i="1" s="1"/>
  <c r="F5" i="23" s="1"/>
  <c r="H96" i="1"/>
  <c r="G96" i="1"/>
  <c r="L94" i="1"/>
  <c r="O94" i="1" s="1"/>
  <c r="F8" i="23" s="1"/>
  <c r="H84" i="1"/>
  <c r="G84" i="1"/>
  <c r="D103" i="1"/>
  <c r="H103" i="1" s="1"/>
  <c r="H102" i="1"/>
  <c r="G102" i="1"/>
  <c r="L92" i="1"/>
  <c r="O92" i="1" s="1"/>
  <c r="F6" i="23" s="1"/>
  <c r="G99" i="1"/>
  <c r="H99" i="1"/>
  <c r="K95" i="1"/>
  <c r="V4" i="3"/>
  <c r="F29" i="23" s="1"/>
  <c r="G86" i="1"/>
  <c r="H86" i="1"/>
  <c r="G97" i="1"/>
  <c r="H97" i="1"/>
  <c r="G93" i="1"/>
  <c r="H93" i="1"/>
  <c r="O88" i="1" l="1"/>
  <c r="L95" i="1"/>
  <c r="V8" i="3"/>
  <c r="V7" i="3"/>
  <c r="F32" i="23" s="1"/>
  <c r="V10" i="3"/>
  <c r="F35" i="23" s="1"/>
  <c r="V5" i="3"/>
  <c r="F30" i="23" s="1"/>
  <c r="V6" i="3"/>
  <c r="F31" i="23" s="1"/>
  <c r="O93" i="1"/>
  <c r="F7" i="23" s="1"/>
  <c r="G103" i="1"/>
  <c r="H36" i="1"/>
  <c r="F36" i="1"/>
  <c r="V9" i="3"/>
  <c r="F34" i="23" s="1"/>
  <c r="F33" i="23" l="1"/>
  <c r="X8" i="3"/>
  <c r="F2" i="23"/>
  <c r="O95" i="1"/>
</calcChain>
</file>

<file path=xl/sharedStrings.xml><?xml version="1.0" encoding="utf-8"?>
<sst xmlns="http://schemas.openxmlformats.org/spreadsheetml/2006/main" count="1548" uniqueCount="398">
  <si>
    <t>Sahkonkulutus-maakunnittain-2007-2023.xlsx</t>
  </si>
  <si>
    <t>Industry</t>
  </si>
  <si>
    <t>Total</t>
  </si>
  <si>
    <t>Uusimaa</t>
  </si>
  <si>
    <t>Varsinais-Suomi</t>
  </si>
  <si>
    <t>Satakunta</t>
  </si>
  <si>
    <t>Kanta-Häme</t>
  </si>
  <si>
    <t>Pirkanmaa</t>
  </si>
  <si>
    <t>Päijät-Häme</t>
  </si>
  <si>
    <t>Kymenlaakso</t>
  </si>
  <si>
    <t>Etelä-Karjala</t>
  </si>
  <si>
    <t>Etelä-Savo</t>
  </si>
  <si>
    <t>Pohjois-Savo</t>
  </si>
  <si>
    <t>Pohjois-Karjala</t>
  </si>
  <si>
    <t>Keski-Suomi</t>
  </si>
  <si>
    <t xml:space="preserve">Etelä-Pohjanmaa </t>
  </si>
  <si>
    <t>Pohjanmaa</t>
  </si>
  <si>
    <t>Keski-Pohjanmaa</t>
  </si>
  <si>
    <t>Pohjois-Pohjanmaa</t>
  </si>
  <si>
    <t>Kainuu</t>
  </si>
  <si>
    <t>Lappi</t>
  </si>
  <si>
    <t>Itä-Uusimaa</t>
  </si>
  <si>
    <t>Ahvenanmaa</t>
  </si>
  <si>
    <t>Etelä-Pohjanmaa</t>
  </si>
  <si>
    <t>Region</t>
  </si>
  <si>
    <t>(Finnish Energy)</t>
  </si>
  <si>
    <t>Residence</t>
  </si>
  <si>
    <t>Commerce</t>
  </si>
  <si>
    <t>North</t>
  </si>
  <si>
    <t>West</t>
  </si>
  <si>
    <t>Etlä-Pohjanmaa</t>
  </si>
  <si>
    <t>Center</t>
  </si>
  <si>
    <t>East</t>
  </si>
  <si>
    <t>South West</t>
  </si>
  <si>
    <t>South East</t>
  </si>
  <si>
    <t>Comerce</t>
  </si>
  <si>
    <t>1. Data</t>
  </si>
  <si>
    <t>Terminology simplifications: residence - housing and agriculture, commerce - service and buildings</t>
  </si>
  <si>
    <t>Demand Scenarios TYNDP 2024 After Public Consultation.xslx</t>
  </si>
  <si>
    <t>Households</t>
  </si>
  <si>
    <t>Buildings</t>
  </si>
  <si>
    <t>Transport</t>
  </si>
  <si>
    <t>Agriculture</t>
  </si>
  <si>
    <t>Other</t>
  </si>
  <si>
    <t>Energy</t>
  </si>
  <si>
    <t>REF</t>
  </si>
  <si>
    <t>DE</t>
  </si>
  <si>
    <t>Notations: REF - reference of 2019, DE - Distributed Energy 2035 scenario</t>
  </si>
  <si>
    <t>[GWh]</t>
  </si>
  <si>
    <t>[TWh]</t>
  </si>
  <si>
    <t>Aggregated region</t>
  </si>
  <si>
    <t>Native</t>
  </si>
  <si>
    <t>Electrolyser</t>
  </si>
  <si>
    <t>EV</t>
  </si>
  <si>
    <t>Battery</t>
  </si>
  <si>
    <t>2035 [GWh]</t>
  </si>
  <si>
    <t>Total main</t>
  </si>
  <si>
    <t>TWh</t>
  </si>
  <si>
    <t>Demand</t>
  </si>
  <si>
    <t>Source</t>
  </si>
  <si>
    <t>FI</t>
  </si>
  <si>
    <t>HKI</t>
  </si>
  <si>
    <t>ESP</t>
  </si>
  <si>
    <t>VAN</t>
  </si>
  <si>
    <t>TKU</t>
  </si>
  <si>
    <t>TRE</t>
  </si>
  <si>
    <t>OUL</t>
  </si>
  <si>
    <t>JKL</t>
  </si>
  <si>
    <t>ROF</t>
  </si>
  <si>
    <t>DH_Regional_2023.xlsx</t>
  </si>
  <si>
    <t>SUPPLY</t>
  </si>
  <si>
    <t>CONSUMPTION</t>
  </si>
  <si>
    <t>DH production (net) by fuels</t>
  </si>
  <si>
    <t>Heat recovery and heat produced by heat pumps</t>
  </si>
  <si>
    <t>Purchased from outside</t>
  </si>
  <si>
    <t>DH delivery</t>
  </si>
  <si>
    <t>Delivery to other dh company</t>
  </si>
  <si>
    <t>Network losses and metering errors</t>
  </si>
  <si>
    <t>Breakdown in National Trends scenario</t>
  </si>
  <si>
    <t>Primary source is not specified</t>
  </si>
  <si>
    <t>demanddata_DH_own_projection.xlsx</t>
  </si>
  <si>
    <t>Regional breakdown from Finnish Energy</t>
  </si>
  <si>
    <t>Delivery and losses</t>
  </si>
  <si>
    <t>Scaling</t>
  </si>
  <si>
    <t>Aggregating regions</t>
  </si>
  <si>
    <t>Disaggregating cities from regions</t>
  </si>
  <si>
    <t>Assume that delivery between dh could be ignored</t>
  </si>
  <si>
    <t>Other (non)RES sheet in "H2 heavy.xlsx", values derived from near-constant output of "other (non)RES" technology output</t>
  </si>
  <si>
    <t>Assumption</t>
  </si>
  <si>
    <t>This is obviously inperfect proxy (e.g., sawmill needs a lot of electricity but no steam), but no regional data or better proxy was found</t>
  </si>
  <si>
    <t>Ressidence</t>
  </si>
  <si>
    <t>Historic</t>
  </si>
  <si>
    <t>Projected</t>
  </si>
  <si>
    <t>Absolute</t>
  </si>
  <si>
    <t>Relative</t>
  </si>
  <si>
    <t>Industrial</t>
  </si>
  <si>
    <t>Energy use in manufacturing by Year, Region and Information. PxWeb</t>
  </si>
  <si>
    <t>Total electricity consumption by Year, Region, Manufacturing branch and Information. PxWeb</t>
  </si>
  <si>
    <t>South Karelia</t>
  </si>
  <si>
    <t>Central Finland</t>
  </si>
  <si>
    <t>South Ostrobothnia</t>
  </si>
  <si>
    <t>Ostrobothnia</t>
  </si>
  <si>
    <t>North Karelia</t>
  </si>
  <si>
    <t>Central Ostrobothnia</t>
  </si>
  <si>
    <t>North Ostrobothnia</t>
  </si>
  <si>
    <t>Lapland</t>
  </si>
  <si>
    <t>Åland</t>
  </si>
  <si>
    <t>Electricity</t>
  </si>
  <si>
    <t>Statistics Finland (2023)</t>
  </si>
  <si>
    <t>Trend observed</t>
  </si>
  <si>
    <t>Total growth</t>
  </si>
  <si>
    <t>Deindustriliaziation</t>
  </si>
  <si>
    <t>Centralization</t>
  </si>
  <si>
    <t>Coresponding demand</t>
  </si>
  <si>
    <t>2. Assessment of trends</t>
  </si>
  <si>
    <t>Assessment of national trends</t>
  </si>
  <si>
    <t>Projected change for Uusimaa demand are based on regional breakdown assumed in part 3</t>
  </si>
  <si>
    <t>Assessment of historic regional trends</t>
  </si>
  <si>
    <t>Administrative regions</t>
  </si>
  <si>
    <t>Model regions</t>
  </si>
  <si>
    <t>Order: in tables - 2023 values on top of 2007 ones, bar charts - 2007 (in brighter colors) on top of 2023</t>
  </si>
  <si>
    <t>Electfication</t>
  </si>
  <si>
    <t>(1) Industrial electricity demand grows due to electrification of existing industrial energy demand. (2) Electrification share of currently unelectrified demand is equal across all regions.</t>
  </si>
  <si>
    <t>Assumptions</t>
  </si>
  <si>
    <t>(3) Residencial and commertial demand change by same multiplier for annual value to match tyndp2024 projection.</t>
  </si>
  <si>
    <t>Unelectrified industry</t>
  </si>
  <si>
    <t>Electification share increase</t>
  </si>
  <si>
    <t>Electrification share</t>
  </si>
  <si>
    <t>Variable</t>
  </si>
  <si>
    <t>Scalar</t>
  </si>
  <si>
    <t>Generation</t>
  </si>
  <si>
    <t>Storage</t>
  </si>
  <si>
    <t>Transmission</t>
  </si>
  <si>
    <t>Vector</t>
  </si>
  <si>
    <t>El</t>
  </si>
  <si>
    <t>H2</t>
  </si>
  <si>
    <t>DH</t>
  </si>
  <si>
    <t>IH</t>
  </si>
  <si>
    <t>Grid</t>
  </si>
  <si>
    <t>Type</t>
  </si>
  <si>
    <t>Inflow</t>
  </si>
  <si>
    <t>Hydro</t>
  </si>
  <si>
    <t>Wind</t>
  </si>
  <si>
    <t>Solar</t>
  </si>
  <si>
    <t>Limits</t>
  </si>
  <si>
    <t>North Savo</t>
  </si>
  <si>
    <t>South Savo</t>
  </si>
  <si>
    <t>Southwest Finland</t>
  </si>
  <si>
    <t>Trends were initially observed by tinkering with regional values (present bellow in hidden rows), but are much more clearly visible when comparing national values.</t>
  </si>
  <si>
    <t>3. Attempt #2. Combining sources 1+2+4.</t>
  </si>
  <si>
    <t>Industrial demand consumption is distributed among regions proportionally to distribution of unelectrified industrial demand</t>
  </si>
  <si>
    <t>Constant</t>
  </si>
  <si>
    <t>Copy national because Copernicus have only 2 regions for FI at highest granularity</t>
  </si>
  <si>
    <t>Copy national because Copernicus have only Nuts2 regions for FI at highest granularity or gridded data</t>
  </si>
  <si>
    <t>Y</t>
  </si>
  <si>
    <t>N</t>
  </si>
  <si>
    <t>Model</t>
  </si>
  <si>
    <t>Administrative</t>
  </si>
  <si>
    <t>Administrative (FI)</t>
  </si>
  <si>
    <t>MW</t>
  </si>
  <si>
    <t>Copy national</t>
  </si>
  <si>
    <t>Sources</t>
  </si>
  <si>
    <t>DE 2035</t>
  </si>
  <si>
    <t/>
  </si>
  <si>
    <t>Heat</t>
  </si>
  <si>
    <t>Source [1]</t>
  </si>
  <si>
    <t>Source [2]</t>
  </si>
  <si>
    <t>Source [4]</t>
  </si>
  <si>
    <t>Source [5]</t>
  </si>
  <si>
    <r>
      <t xml:space="preserve">Source [3] TYNDP 2024 Visualization platfrom </t>
    </r>
    <r>
      <rPr>
        <sz val="11"/>
        <color theme="0" tint="-0.499984740745262"/>
        <rFont val="Calibri"/>
        <family val="2"/>
        <scheme val="minor"/>
      </rPr>
      <t>(DE 2035 scenario)</t>
    </r>
  </si>
  <si>
    <t>1. DH Data</t>
  </si>
  <si>
    <r>
      <t xml:space="preserve">2. DH Processing </t>
    </r>
    <r>
      <rPr>
        <b/>
        <sz val="11"/>
        <color theme="0" tint="-0.499984740745262"/>
        <rFont val="Calibri"/>
        <family val="2"/>
        <scheme val="minor"/>
      </rPr>
      <t>[TWh]</t>
    </r>
  </si>
  <si>
    <t>3. Industiral heat</t>
  </si>
  <si>
    <t>Possible connections</t>
  </si>
  <si>
    <t>FIW0</t>
  </si>
  <si>
    <t>FISW</t>
  </si>
  <si>
    <t>FISE</t>
  </si>
  <si>
    <t>FIUU</t>
  </si>
  <si>
    <t>SE01</t>
  </si>
  <si>
    <t>FI00</t>
  </si>
  <si>
    <t>IBFI</t>
  </si>
  <si>
    <t>EE00</t>
  </si>
  <si>
    <t>Existing h2 connections</t>
  </si>
  <si>
    <t>SE03</t>
  </si>
  <si>
    <t>FINO</t>
  </si>
  <si>
    <t>NON1</t>
  </si>
  <si>
    <t>SE02</t>
  </si>
  <si>
    <t>Ref</t>
  </si>
  <si>
    <t>Real 1</t>
  </si>
  <si>
    <t>Real 2</t>
  </si>
  <si>
    <t>Concept 1</t>
  </si>
  <si>
    <t>Concept 2</t>
  </si>
  <si>
    <t>Concept 3</t>
  </si>
  <si>
    <t>Concept 4</t>
  </si>
  <si>
    <t>Investment candidates</t>
  </si>
  <si>
    <t>Investment candidates aggregated</t>
  </si>
  <si>
    <t>Part of the Nordic power system - Fingrid</t>
  </si>
  <si>
    <t>AC</t>
  </si>
  <si>
    <t>DC</t>
  </si>
  <si>
    <t>[MW]</t>
  </si>
  <si>
    <t>[kV]</t>
  </si>
  <si>
    <t>FIWE</t>
  </si>
  <si>
    <t>400x2</t>
  </si>
  <si>
    <t>fingrid_kehittamissuunnitelma_syksy23_en.pdf</t>
  </si>
  <si>
    <t>Increase</t>
  </si>
  <si>
    <t>Consideration 1:</t>
  </si>
  <si>
    <t>Consideration 2: TYNDP 2024 data</t>
  </si>
  <si>
    <t>Modeled</t>
  </si>
  <si>
    <t>Consideration 3: Fingrid data</t>
  </si>
  <si>
    <t>New Line</t>
  </si>
  <si>
    <t>Nodes</t>
  </si>
  <si>
    <t>Capacity [MW]</t>
  </si>
  <si>
    <t>Likely in single line</t>
  </si>
  <si>
    <t>EstLink 3</t>
  </si>
  <si>
    <t>Not yet known</t>
  </si>
  <si>
    <t>Aurora 1</t>
  </si>
  <si>
    <t>800 / 900</t>
  </si>
  <si>
    <t>Aurora 2</t>
  </si>
  <si>
    <t>~150 MW</t>
  </si>
  <si>
    <t>SE04</t>
  </si>
  <si>
    <t>Required to match [MW]</t>
  </si>
  <si>
    <t>Conclusion - new capacities will connect the same regions</t>
  </si>
  <si>
    <t>Best source found:</t>
  </si>
  <si>
    <t>Main grid developments 2024-2033</t>
  </si>
  <si>
    <t>Figue 2</t>
  </si>
  <si>
    <t>Existing</t>
  </si>
  <si>
    <t>Future</t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</si>
  <si>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W</t>
    </r>
    <r>
      <rPr>
        <sz val="11"/>
        <color theme="0" tint="-0.499984740745262"/>
        <rFont val="Calibri"/>
        <family val="2"/>
        <scheme val="minor"/>
      </rPr>
      <t>0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</si>
  <si>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N</t>
    </r>
    <r>
      <rPr>
        <sz val="11"/>
        <color theme="0" tint="-0.499984740745262"/>
        <rFont val="Calibri"/>
        <family val="2"/>
        <scheme val="minor"/>
      </rPr>
      <t>0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</si>
  <si>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C</t>
    </r>
    <r>
      <rPr>
        <sz val="11"/>
        <color theme="0" tint="-0.499984740745262"/>
        <rFont val="Calibri"/>
        <family val="2"/>
        <scheme val="minor"/>
      </rPr>
      <t>0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</si>
  <si>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E</t>
    </r>
    <r>
      <rPr>
        <sz val="11"/>
        <color theme="0" tint="-0.499984740745262"/>
        <rFont val="Calibri"/>
        <family val="2"/>
        <scheme val="minor"/>
      </rPr>
      <t>0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</si>
  <si>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S</t>
    </r>
    <r>
      <rPr>
        <sz val="11"/>
        <rFont val="Calibri"/>
        <family val="2"/>
        <scheme val="minor"/>
      </rPr>
      <t>W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</si>
  <si>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S</t>
    </r>
    <r>
      <rPr>
        <sz val="11"/>
        <rFont val="Calibri"/>
        <family val="2"/>
        <scheme val="minor"/>
      </rPr>
      <t>E</t>
    </r>
  </si>
  <si>
    <r>
      <t>FI</t>
    </r>
    <r>
      <rPr>
        <sz val="11"/>
        <rFont val="Calibri"/>
        <family val="2"/>
        <scheme val="minor"/>
      </rPr>
      <t>W</t>
    </r>
    <r>
      <rPr>
        <sz val="11"/>
        <color theme="0" tint="-0.499984740745262"/>
        <rFont val="Calibri"/>
        <family val="2"/>
        <scheme val="minor"/>
      </rPr>
      <t>0</t>
    </r>
  </si>
  <si>
    <r>
      <t>FI</t>
    </r>
    <r>
      <rPr>
        <sz val="11"/>
        <rFont val="Calibri"/>
        <family val="2"/>
        <scheme val="minor"/>
      </rPr>
      <t>C</t>
    </r>
    <r>
      <rPr>
        <sz val="11"/>
        <color theme="0" tint="-0.499984740745262"/>
        <rFont val="Calibri"/>
        <family val="2"/>
        <scheme val="minor"/>
      </rPr>
      <t>0</t>
    </r>
  </si>
  <si>
    <r>
      <t>FI</t>
    </r>
    <r>
      <rPr>
        <sz val="11"/>
        <rFont val="Calibri"/>
        <family val="2"/>
        <scheme val="minor"/>
      </rPr>
      <t>E</t>
    </r>
    <r>
      <rPr>
        <sz val="11"/>
        <color theme="0" tint="-0.499984740745262"/>
        <rFont val="Calibri"/>
        <family val="2"/>
        <scheme val="minor"/>
      </rPr>
      <t>0</t>
    </r>
  </si>
  <si>
    <r>
      <t>FI</t>
    </r>
    <r>
      <rPr>
        <sz val="11"/>
        <rFont val="Calibri"/>
        <family val="2"/>
        <scheme val="minor"/>
      </rPr>
      <t>SW</t>
    </r>
  </si>
  <si>
    <r>
      <t>FI</t>
    </r>
    <r>
      <rPr>
        <sz val="11"/>
        <rFont val="Calibri"/>
        <family val="2"/>
        <scheme val="minor"/>
      </rPr>
      <t>SE</t>
    </r>
  </si>
  <si>
    <r>
      <t>FI</t>
    </r>
    <r>
      <rPr>
        <sz val="11"/>
        <rFont val="Calibri"/>
        <family val="2"/>
        <scheme val="minor"/>
      </rPr>
      <t>E0</t>
    </r>
  </si>
  <si>
    <r>
      <t>FI</t>
    </r>
    <r>
      <rPr>
        <sz val="11"/>
        <rFont val="Calibri"/>
        <family val="2"/>
        <scheme val="minor"/>
      </rPr>
      <t>UU</t>
    </r>
  </si>
  <si>
    <t>Δ</t>
  </si>
  <si>
    <t>400 kV single main corridor ≈ 1,200 MW</t>
  </si>
  <si>
    <t>2 strong corridors / upgrade completed ≈ 1,800–2,400 MW</t>
  </si>
  <si>
    <t>Major reinforced trunk (2035 north–south) up to 3,000 MW</t>
  </si>
  <si>
    <t>FinGrid map</t>
  </si>
  <si>
    <t>400 kV</t>
  </si>
  <si>
    <t>220 kV</t>
  </si>
  <si>
    <t>100 kV</t>
  </si>
  <si>
    <t>Min</t>
  </si>
  <si>
    <t>Max</t>
  </si>
  <si>
    <t>Current</t>
  </si>
  <si>
    <t>Investment projects</t>
  </si>
  <si>
    <t>+400</t>
  </si>
  <si>
    <t>220 -&gt; 400</t>
  </si>
  <si>
    <t>400 -&gt; ?</t>
  </si>
  <si>
    <t>220 -&gt; ?</t>
  </si>
  <si>
    <t>220 -&gt; 400+110</t>
  </si>
  <si>
    <t>220 -&gt; 2X400+110</t>
  </si>
  <si>
    <t>Planned routes</t>
  </si>
  <si>
    <t>+?</t>
  </si>
  <si>
    <t>Changes</t>
  </si>
  <si>
    <t>New</t>
  </si>
  <si>
    <t>Rounded values</t>
  </si>
  <si>
    <t>Line capacities</t>
  </si>
  <si>
    <t>Thermal behaviour of overhead conductors - eCIGRE</t>
  </si>
  <si>
    <t>Copilot dirrecting to (behind pay-wall):</t>
  </si>
  <si>
    <t>Dirrect Copilot answer. It's assumptions:</t>
  </si>
  <si>
    <t>Extending tyndp2024 cross-border lines internally</t>
  </si>
  <si>
    <t>Inputs</t>
  </si>
  <si>
    <t>Limitations</t>
  </si>
  <si>
    <t>D_2023(region, sector), D_2035(sector)</t>
  </si>
  <si>
    <t>D_ind grows due to electrification of existing D_ind
D_ ind electrification and D_res,com growth is spatially uniform</t>
  </si>
  <si>
    <t>Projected growth reverses two-decade-long trends: ind % and total D decline, centralization.
FinGrid also expects D_ind growth from new industries (data centers, E-fuels, battery production).</t>
  </si>
  <si>
    <t>D_2023(region), D_2035</t>
  </si>
  <si>
    <t>Historic distribution</t>
  </si>
  <si>
    <t>D_ind_unelectrified(region), D_ih</t>
  </si>
  <si>
    <t>Kirsikka list includes only projects for self-consumption, which is inconsistent with tyndp2024 scenario</t>
  </si>
  <si>
    <t>Power plant register, manual identification</t>
  </si>
  <si>
    <t>El_PV</t>
  </si>
  <si>
    <t>Development projects</t>
  </si>
  <si>
    <t>Historic distribution, Lovissa nuclear retirement</t>
  </si>
  <si>
    <t>D_ind_unelectrified(region), D_h2</t>
  </si>
  <si>
    <t>All non-RE remains in Uusimaa while the rest is converted to RE</t>
  </si>
  <si>
    <t>Pauli data could be used dirrectly to identify spatial distribution</t>
  </si>
  <si>
    <t>FinGrid map of existing and future powerlines</t>
  </si>
  <si>
    <t>Visual mapping to model connections, kV to MW conversions</t>
  </si>
  <si>
    <t>Extending cross-border capacities along path in GasGrid map</t>
  </si>
  <si>
    <t>GasGrid map</t>
  </si>
  <si>
    <t>Grid does not reach eastern region</t>
  </si>
  <si>
    <t>P_nonCHP(region), P_h2</t>
  </si>
  <si>
    <t>Proportional to P_el_non-CHP, except for East</t>
  </si>
  <si>
    <t>Proportional to unelectrified D_el</t>
  </si>
  <si>
    <t>Proportional to unelectrified D_el, except for East</t>
  </si>
  <si>
    <t>El_batteries</t>
  </si>
  <si>
    <t>No strong reason this to be the case</t>
  </si>
  <si>
    <t>D(region), D(customer type, t)</t>
  </si>
  <si>
    <t>H2, IH</t>
  </si>
  <si>
    <t>Major determinant of system dynamics</t>
  </si>
  <si>
    <t>M</t>
  </si>
  <si>
    <t>Significance</t>
  </si>
  <si>
    <t>H</t>
  </si>
  <si>
    <t>L</t>
  </si>
  <si>
    <r>
      <rPr>
        <sz val="11"/>
        <rFont val="Calibri"/>
        <family val="2"/>
        <scheme val="minor"/>
      </rPr>
      <t>H</t>
    </r>
    <r>
      <rPr>
        <sz val="11"/>
        <color theme="0" tint="-0.499984740745262"/>
        <rFont val="Calibri"/>
        <family val="2"/>
        <scheme val="minor"/>
      </rPr>
      <t>igh</t>
    </r>
  </si>
  <si>
    <r>
      <rPr>
        <sz val="11"/>
        <rFont val="Calibri"/>
        <family val="2"/>
        <scheme val="minor"/>
      </rPr>
      <t>M</t>
    </r>
    <r>
      <rPr>
        <sz val="11"/>
        <color theme="0" tint="-0.499984740745262"/>
        <rFont val="Calibri"/>
        <family val="2"/>
        <scheme val="minor"/>
      </rPr>
      <t>edium</t>
    </r>
  </si>
  <si>
    <r>
      <rPr>
        <sz val="11"/>
        <rFont val="Calibri"/>
        <family val="2"/>
        <scheme val="minor"/>
      </rPr>
      <t>L</t>
    </r>
    <r>
      <rPr>
        <sz val="11"/>
        <color theme="0" tint="-0.499984740745262"/>
        <rFont val="Calibri"/>
        <family val="2"/>
        <scheme val="minor"/>
      </rPr>
      <t>ow</t>
    </r>
  </si>
  <si>
    <t>Wind capacity increases 6-fold. Alternative basis - existing list of proposed wind power projects</t>
  </si>
  <si>
    <t>Sufficiency needs to be tested. Regional model retains same set of cross-border connections, but we now know individual lines - could have multiple connections between individual pairs of nodes.</t>
  </si>
  <si>
    <t>2035*</t>
  </si>
  <si>
    <t>Country</t>
  </si>
  <si>
    <t>Scenario</t>
  </si>
  <si>
    <t>Year</t>
  </si>
  <si>
    <t>TWh/year</t>
  </si>
  <si>
    <t>Constant_share</t>
  </si>
  <si>
    <t>elec</t>
  </si>
  <si>
    <t>H2 heavy</t>
  </si>
  <si>
    <t>grid</t>
  </si>
  <si>
    <t>scenario</t>
  </si>
  <si>
    <t>vomCost</t>
  </si>
  <si>
    <t>losses</t>
  </si>
  <si>
    <t>FIN0</t>
  </si>
  <si>
    <t>FIE0</t>
  </si>
  <si>
    <t>FIC0</t>
  </si>
  <si>
    <t>Population</t>
  </si>
  <si>
    <t>hydrogen</t>
  </si>
  <si>
    <t>dheat</t>
  </si>
  <si>
    <t>transferCap</t>
  </si>
  <si>
    <r>
      <t>EE</t>
    </r>
    <r>
      <rPr>
        <sz val="11"/>
        <color theme="0" tint="-0.499984740745262"/>
        <rFont val="Calibri"/>
        <family val="2"/>
        <scheme val="minor"/>
      </rPr>
      <t>00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</si>
  <si>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SW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</si>
  <si>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UU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</si>
  <si>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NO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</si>
  <si>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W0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</si>
  <si>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C0</t>
    </r>
  </si>
  <si>
    <r>
      <rPr>
        <sz val="11"/>
        <color theme="0" tint="-0.499984740745262"/>
        <rFont val="Calibri"/>
        <family val="2"/>
        <scheme val="minor"/>
      </rPr>
      <t>FI</t>
    </r>
    <r>
      <rPr>
        <sz val="11"/>
        <color theme="1"/>
        <rFont val="Calibri"/>
        <family val="2"/>
        <scheme val="minor"/>
      </rPr>
      <t>SE</t>
    </r>
  </si>
  <si>
    <r>
      <rPr>
        <sz val="11"/>
        <color theme="0" tint="-0.499984740745262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ISW</t>
    </r>
  </si>
  <si>
    <t>industry</t>
  </si>
  <si>
    <t>Evidence</t>
  </si>
  <si>
    <t>hydrogennative</t>
  </si>
  <si>
    <t>steam</t>
  </si>
  <si>
    <t>from_country</t>
  </si>
  <si>
    <t>from_suffix</t>
  </si>
  <si>
    <t>to_country</t>
  </si>
  <si>
    <t>to_suffix</t>
  </si>
  <si>
    <t>-</t>
  </si>
  <si>
    <t>Regions</t>
  </si>
  <si>
    <t>Unit specific district heating data from Finnish Energy</t>
  </si>
  <si>
    <t>Municipality in company or unit name is muncipality where unit is located</t>
  </si>
  <si>
    <t>EL_DR</t>
  </si>
  <si>
    <t>Omitted because of (1) small capacity and (2) old data in H2 heavy (predates even tyndp2020)</t>
  </si>
  <si>
    <t>Node_suffix</t>
  </si>
  <si>
    <t>nodeBalance</t>
  </si>
  <si>
    <t>upwardLimit</t>
  </si>
  <si>
    <t>reference</t>
  </si>
  <si>
    <t>balancePenalty</t>
  </si>
  <si>
    <t>selfDischargeLoss</t>
  </si>
  <si>
    <t>maxSpill</t>
  </si>
  <si>
    <t>price</t>
  </si>
  <si>
    <t>emission_CO2</t>
  </si>
  <si>
    <t>all</t>
  </si>
  <si>
    <t>reservoir</t>
  </si>
  <si>
    <t>year</t>
  </si>
  <si>
    <t>country</t>
  </si>
  <si>
    <t>group</t>
  </si>
  <si>
    <t>1st dimension</t>
  </si>
  <si>
    <t>2nd dimension</t>
  </si>
  <si>
    <t>3rd dimension</t>
  </si>
  <si>
    <t>4th dimension</t>
  </si>
  <si>
    <t>parameter</t>
  </si>
  <si>
    <t>value</t>
  </si>
  <si>
    <t>v_gen</t>
  </si>
  <si>
    <t>gt</t>
  </si>
  <si>
    <t>constant</t>
  </si>
  <si>
    <t>penalty</t>
  </si>
  <si>
    <t>UC_FIN0_reservoirTurbine</t>
  </si>
  <si>
    <t>UC_FIW0_reservoirTurbine</t>
  </si>
  <si>
    <t>UC_FIC0_reservoirTurbine</t>
  </si>
  <si>
    <t>UC_FIE0_reservoirTurbine</t>
  </si>
  <si>
    <t>UC_FISE_reservoirTurbine</t>
  </si>
  <si>
    <t>FIN0_elec</t>
  </si>
  <si>
    <t>FIN0_reservoirTurbine</t>
  </si>
  <si>
    <t>FIW0_elec</t>
  </si>
  <si>
    <t>FIW0_reservoirTurbine</t>
  </si>
  <si>
    <t>FIC0_elec</t>
  </si>
  <si>
    <t>FIC0_reservoirTurbine</t>
  </si>
  <si>
    <t>FIE0_elec</t>
  </si>
  <si>
    <t>FIE0_reservoirTurbine</t>
  </si>
  <si>
    <t>FISE_elec</t>
  </si>
  <si>
    <t>FISE_reservoirTurbine</t>
  </si>
  <si>
    <t>Avg hourly [MW]</t>
  </si>
  <si>
    <t>Total el. [GWh]</t>
  </si>
  <si>
    <t>Electricity - Cross border</t>
  </si>
  <si>
    <t>Electiricty - Domestic</t>
  </si>
  <si>
    <t>Hydrogen</t>
  </si>
  <si>
    <r>
      <t>Demand</t>
    </r>
    <r>
      <rPr>
        <sz val="11"/>
        <color theme="0" tint="-0.499984740745262"/>
        <rFont val="Calibri"/>
        <family val="2"/>
        <scheme val="minor"/>
      </rPr>
      <t xml:space="preserve"> </t>
    </r>
    <r>
      <rPr>
        <b/>
        <sz val="11"/>
        <color theme="0" tint="-0.499984740745262"/>
        <rFont val="Calibri"/>
        <family val="2"/>
        <scheme val="minor"/>
      </rPr>
      <t>[TWh_h2]</t>
    </r>
  </si>
  <si>
    <r>
      <t>National demand</t>
    </r>
    <r>
      <rPr>
        <sz val="11"/>
        <color theme="0" tint="-0.499984740745262"/>
        <rFont val="Calibri"/>
        <family val="2"/>
        <scheme val="minor"/>
      </rPr>
      <t xml:space="preserve"> from H2 heavy.xlsx</t>
    </r>
  </si>
  <si>
    <t>- H2 demand is distributed proportionally to unelectrified demand</t>
  </si>
  <si>
    <t>- Eastern region does not contain H2 demand</t>
  </si>
  <si>
    <t>Dissagregation assumptions:</t>
  </si>
  <si>
    <r>
      <t xml:space="preserve">Transmission </t>
    </r>
    <r>
      <rPr>
        <b/>
        <sz val="11"/>
        <color theme="0" tint="-0.499984740745262"/>
        <rFont val="Calibri"/>
        <family val="2"/>
        <scheme val="minor"/>
      </rPr>
      <t>[MW]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</si>
</sst>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 tint="0.59999389629810485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name val="Arial"/>
      <family val="2"/>
    </font>
    <font>
      <sz val="11"/>
      <color theme="9" tint="0.59999389629810485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0"/>
      <color theme="9" tint="0.59999389629810485"/>
      <name val="Arial"/>
      <family val="2"/>
    </font>
    <font>
      <sz val="10"/>
      <color theme="0" tint="-0.499984740745262"/>
      <name val="Arial"/>
      <family val="2"/>
    </font>
    <font>
      <sz val="10"/>
      <color theme="9" tint="-0.249977111117893"/>
      <name val="Arial"/>
      <family val="2"/>
    </font>
    <font>
      <sz val="11"/>
      <name val="Calibri"/>
      <family val="2"/>
      <scheme val="minor"/>
    </font>
    <font>
      <sz val="10"/>
      <name val="Verdana"/>
      <family val="2"/>
    </font>
    <font>
      <b/>
      <sz val="11"/>
      <color theme="0" tint="-0.499984740745262"/>
      <name val="Calibri"/>
      <family val="2"/>
      <scheme val="minor"/>
    </font>
    <font>
      <i/>
      <sz val="11"/>
      <color theme="8" tint="0.59999389629810485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1"/>
      <name val="AvenirNext LT Com Regular"/>
      <family val="2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</font>
    <font>
      <sz val="11"/>
      <color rgb="FF000000"/>
      <name val="Calibri"/>
      <family val="2"/>
    </font>
    <font>
      <sz val="11"/>
      <color theme="0" tint="-0.499984740745262"/>
      <name val="Calibri"/>
      <family val="2"/>
    </font>
    <font>
      <sz val="11"/>
      <color theme="9" tint="0.59999389629810485"/>
      <name val="Calibri"/>
      <family val="2"/>
    </font>
    <font>
      <sz val="11"/>
      <color theme="9" tint="0.79998168889431442"/>
      <name val="Calibri"/>
      <family val="2"/>
    </font>
    <font>
      <sz val="11"/>
      <color theme="8" tint="0.79998168889431442"/>
      <name val="Calibri"/>
      <family val="2"/>
      <scheme val="minor"/>
    </font>
    <font>
      <sz val="11"/>
      <color theme="0" tint="-0.499984740745262"/>
      <name val="Aptos Narrow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C000"/>
      <name val="Calibri"/>
      <family val="2"/>
      <scheme val="minor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0"/>
      <name val="Arial"/>
      <family val="2"/>
    </font>
    <font>
      <b/>
      <sz val="11"/>
      <color rgb="FF000000"/>
      <name val="Calibri"/>
      <family val="2"/>
    </font>
    <font>
      <u/>
      <sz val="11"/>
      <color theme="8" tint="-0.249977111117893"/>
      <name val="Calibri"/>
      <family val="2"/>
      <scheme val="minor"/>
    </font>
    <font>
      <b/>
      <sz val="11"/>
      <color theme="0" tint="-0.499984740745262"/>
      <name val="Calibri"/>
      <family val="2"/>
    </font>
    <font>
      <sz val="11"/>
      <color theme="0" tint="-0.34998626667073579"/>
      <name val="Calibri"/>
      <family val="2"/>
      <scheme val="minor"/>
    </font>
    <font>
      <sz val="11"/>
      <color theme="8" tint="-0.249977111117893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1"/>
      </top>
      <bottom style="thin">
        <color theme="0" tint="-0.499984740745262"/>
      </bottom>
      <diagonal/>
    </border>
    <border>
      <left/>
      <right/>
      <top style="thin">
        <color theme="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4" fillId="0" borderId="0"/>
    <xf numFmtId="0" fontId="18" fillId="0" borderId="0"/>
    <xf numFmtId="0" fontId="31" fillId="0" borderId="0"/>
    <xf numFmtId="0" fontId="39" fillId="0" borderId="0"/>
  </cellStyleXfs>
  <cellXfs count="180">
    <xf numFmtId="0" fontId="0" fillId="0" borderId="0" xfId="0"/>
    <xf numFmtId="0" fontId="0" fillId="2" borderId="0" xfId="0" applyFill="1"/>
    <xf numFmtId="3" fontId="0" fillId="2" borderId="0" xfId="0" applyNumberFormat="1" applyFill="1"/>
    <xf numFmtId="3" fontId="2" fillId="3" borderId="0" xfId="0" applyNumberFormat="1" applyFont="1" applyFill="1"/>
    <xf numFmtId="3" fontId="0" fillId="3" borderId="0" xfId="0" applyNumberFormat="1" applyFill="1"/>
    <xf numFmtId="3" fontId="0" fillId="5" borderId="0" xfId="0" applyNumberFormat="1" applyFill="1"/>
    <xf numFmtId="3" fontId="4" fillId="2" borderId="0" xfId="0" applyNumberFormat="1" applyFont="1" applyFill="1"/>
    <xf numFmtId="3" fontId="5" fillId="2" borderId="0" xfId="0" applyNumberFormat="1" applyFont="1" applyFill="1"/>
    <xf numFmtId="3" fontId="5" fillId="5" borderId="0" xfId="0" applyNumberFormat="1" applyFont="1" applyFill="1"/>
    <xf numFmtId="3" fontId="7" fillId="2" borderId="0" xfId="0" applyNumberFormat="1" applyFont="1" applyFill="1"/>
    <xf numFmtId="3" fontId="8" fillId="2" borderId="0" xfId="0" applyNumberFormat="1" applyFont="1" applyFill="1"/>
    <xf numFmtId="9" fontId="4" fillId="2" borderId="0" xfId="1" applyFont="1" applyFill="1"/>
    <xf numFmtId="3" fontId="0" fillId="4" borderId="0" xfId="0" applyNumberFormat="1" applyFill="1"/>
    <xf numFmtId="3" fontId="3" fillId="4" borderId="0" xfId="2" applyNumberFormat="1" applyFill="1"/>
    <xf numFmtId="0" fontId="0" fillId="5" borderId="0" xfId="0" applyFill="1"/>
    <xf numFmtId="3" fontId="0" fillId="5" borderId="1" xfId="0" applyNumberFormat="1" applyFill="1" applyBorder="1"/>
    <xf numFmtId="3" fontId="8" fillId="2" borderId="1" xfId="0" applyNumberFormat="1" applyFont="1" applyFill="1" applyBorder="1"/>
    <xf numFmtId="3" fontId="0" fillId="2" borderId="1" xfId="0" applyNumberFormat="1" applyFill="1" applyBorder="1"/>
    <xf numFmtId="0" fontId="0" fillId="5" borderId="2" xfId="0" applyFill="1" applyBorder="1"/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/>
    <xf numFmtId="0" fontId="0" fillId="2" borderId="2" xfId="0" applyFill="1" applyBorder="1"/>
    <xf numFmtId="0" fontId="8" fillId="2" borderId="0" xfId="0" applyFont="1" applyFill="1"/>
    <xf numFmtId="0" fontId="8" fillId="2" borderId="2" xfId="0" applyFont="1" applyFill="1" applyBorder="1"/>
    <xf numFmtId="3" fontId="9" fillId="2" borderId="0" xfId="0" applyNumberFormat="1" applyFont="1" applyFill="1"/>
    <xf numFmtId="3" fontId="5" fillId="4" borderId="0" xfId="0" applyNumberFormat="1" applyFont="1" applyFill="1"/>
    <xf numFmtId="0" fontId="6" fillId="2" borderId="0" xfId="0" applyFont="1" applyFill="1" applyAlignment="1">
      <alignment horizontal="left" vertical="center"/>
    </xf>
    <xf numFmtId="0" fontId="6" fillId="5" borderId="0" xfId="0" applyFont="1" applyFill="1" applyAlignment="1">
      <alignment horizontal="center" vertical="center"/>
    </xf>
    <xf numFmtId="1" fontId="6" fillId="5" borderId="0" xfId="0" applyNumberFormat="1" applyFont="1" applyFill="1" applyAlignment="1">
      <alignment horizontal="right" vertical="center"/>
    </xf>
    <xf numFmtId="3" fontId="0" fillId="5" borderId="2" xfId="0" applyNumberFormat="1" applyFill="1" applyBorder="1"/>
    <xf numFmtId="3" fontId="0" fillId="2" borderId="2" xfId="0" applyNumberFormat="1" applyFill="1" applyBorder="1"/>
    <xf numFmtId="0" fontId="11" fillId="2" borderId="0" xfId="0" applyFont="1" applyFill="1" applyAlignment="1">
      <alignment horizontal="left" vertical="center"/>
    </xf>
    <xf numFmtId="3" fontId="7" fillId="4" borderId="0" xfId="0" applyNumberFormat="1" applyFont="1" applyFill="1"/>
    <xf numFmtId="3" fontId="4" fillId="2" borderId="1" xfId="0" applyNumberFormat="1" applyFont="1" applyFill="1" applyBorder="1"/>
    <xf numFmtId="165" fontId="4" fillId="2" borderId="0" xfId="0" applyNumberFormat="1" applyFont="1" applyFill="1"/>
    <xf numFmtId="0" fontId="5" fillId="2" borderId="0" xfId="0" applyFont="1" applyFill="1"/>
    <xf numFmtId="0" fontId="0" fillId="3" borderId="0" xfId="0" applyFill="1"/>
    <xf numFmtId="165" fontId="0" fillId="2" borderId="0" xfId="0" applyNumberFormat="1" applyFill="1"/>
    <xf numFmtId="165" fontId="8" fillId="2" borderId="0" xfId="0" applyNumberFormat="1" applyFont="1" applyFill="1"/>
    <xf numFmtId="165" fontId="9" fillId="2" borderId="0" xfId="0" applyNumberFormat="1" applyFont="1" applyFill="1"/>
    <xf numFmtId="0" fontId="0" fillId="2" borderId="3" xfId="0" applyFill="1" applyBorder="1"/>
    <xf numFmtId="0" fontId="0" fillId="4" borderId="0" xfId="0" applyFill="1"/>
    <xf numFmtId="0" fontId="7" fillId="2" borderId="0" xfId="0" applyFont="1" applyFill="1"/>
    <xf numFmtId="0" fontId="2" fillId="3" borderId="0" xfId="0" applyFont="1" applyFill="1"/>
    <xf numFmtId="3" fontId="0" fillId="4" borderId="0" xfId="0" applyNumberFormat="1" applyFill="1" applyAlignment="1">
      <alignment horizontal="center"/>
    </xf>
    <xf numFmtId="165" fontId="8" fillId="2" borderId="0" xfId="1" applyNumberFormat="1" applyFont="1" applyFill="1"/>
    <xf numFmtId="0" fontId="3" fillId="4" borderId="0" xfId="2" applyFill="1"/>
    <xf numFmtId="3" fontId="4" fillId="2" borderId="4" xfId="0" applyNumberFormat="1" applyFont="1" applyFill="1" applyBorder="1"/>
    <xf numFmtId="3" fontId="4" fillId="2" borderId="5" xfId="0" applyNumberFormat="1" applyFont="1" applyFill="1" applyBorder="1"/>
    <xf numFmtId="3" fontId="0" fillId="4" borderId="0" xfId="0" applyNumberFormat="1" applyFill="1" applyAlignment="1">
      <alignment horizontal="left"/>
    </xf>
    <xf numFmtId="3" fontId="7" fillId="2" borderId="4" xfId="0" applyNumberFormat="1" applyFont="1" applyFill="1" applyBorder="1"/>
    <xf numFmtId="3" fontId="7" fillId="2" borderId="5" xfId="0" applyNumberFormat="1" applyFont="1" applyFill="1" applyBorder="1"/>
    <xf numFmtId="3" fontId="8" fillId="2" borderId="4" xfId="0" applyNumberFormat="1" applyFont="1" applyFill="1" applyBorder="1"/>
    <xf numFmtId="9" fontId="0" fillId="2" borderId="0" xfId="1" applyFont="1" applyFill="1"/>
    <xf numFmtId="0" fontId="6" fillId="5" borderId="0" xfId="0" applyFont="1" applyFill="1" applyAlignment="1">
      <alignment horizontal="left"/>
    </xf>
    <xf numFmtId="9" fontId="7" fillId="2" borderId="0" xfId="1" applyFont="1" applyFill="1"/>
    <xf numFmtId="9" fontId="4" fillId="4" borderId="0" xfId="1" applyFont="1" applyFill="1"/>
    <xf numFmtId="9" fontId="4" fillId="3" borderId="0" xfId="1" applyFont="1" applyFill="1"/>
    <xf numFmtId="3" fontId="13" fillId="2" borderId="0" xfId="0" applyNumberFormat="1" applyFont="1" applyFill="1"/>
    <xf numFmtId="3" fontId="10" fillId="2" borderId="0" xfId="0" applyNumberFormat="1" applyFont="1" applyFill="1" applyAlignment="1">
      <alignment vertical="center"/>
    </xf>
    <xf numFmtId="3" fontId="12" fillId="2" borderId="0" xfId="0" applyNumberFormat="1" applyFont="1" applyFill="1" applyAlignment="1">
      <alignment vertical="center"/>
    </xf>
    <xf numFmtId="3" fontId="4" fillId="2" borderId="0" xfId="1" applyNumberFormat="1" applyFont="1" applyFill="1"/>
    <xf numFmtId="3" fontId="16" fillId="2" borderId="0" xfId="1" applyNumberFormat="1" applyFont="1" applyFill="1"/>
    <xf numFmtId="9" fontId="16" fillId="2" borderId="0" xfId="1" applyFont="1" applyFill="1"/>
    <xf numFmtId="3" fontId="13" fillId="5" borderId="0" xfId="0" applyNumberFormat="1" applyFont="1" applyFill="1"/>
    <xf numFmtId="9" fontId="13" fillId="5" borderId="0" xfId="1" applyFont="1" applyFill="1"/>
    <xf numFmtId="3" fontId="2" fillId="2" borderId="0" xfId="0" applyNumberFormat="1" applyFont="1" applyFill="1"/>
    <xf numFmtId="3" fontId="13" fillId="4" borderId="0" xfId="0" applyNumberFormat="1" applyFont="1" applyFill="1"/>
    <xf numFmtId="9" fontId="13" fillId="4" borderId="0" xfId="1" applyFont="1" applyFill="1"/>
    <xf numFmtId="3" fontId="0" fillId="5" borderId="0" xfId="0" applyNumberFormat="1" applyFill="1" applyAlignment="1">
      <alignment wrapText="1"/>
    </xf>
    <xf numFmtId="4" fontId="0" fillId="2" borderId="1" xfId="0" applyNumberFormat="1" applyFill="1" applyBorder="1"/>
    <xf numFmtId="3" fontId="5" fillId="5" borderId="0" xfId="0" applyNumberFormat="1" applyFont="1" applyFill="1" applyAlignment="1">
      <alignment wrapText="1"/>
    </xf>
    <xf numFmtId="9" fontId="9" fillId="2" borderId="0" xfId="1" applyFont="1" applyFill="1"/>
    <xf numFmtId="0" fontId="17" fillId="2" borderId="0" xfId="0" applyFont="1" applyFill="1"/>
    <xf numFmtId="0" fontId="5" fillId="4" borderId="0" xfId="0" applyFont="1" applyFill="1"/>
    <xf numFmtId="0" fontId="13" fillId="2" borderId="0" xfId="0" applyFont="1" applyFill="1"/>
    <xf numFmtId="0" fontId="5" fillId="5" borderId="0" xfId="0" applyFont="1" applyFill="1"/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wrapText="1"/>
    </xf>
    <xf numFmtId="0" fontId="9" fillId="2" borderId="0" xfId="0" applyFont="1" applyFill="1"/>
    <xf numFmtId="0" fontId="0" fillId="2" borderId="0" xfId="0" applyFill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0" xfId="0" quotePrefix="1" applyFill="1"/>
    <xf numFmtId="0" fontId="8" fillId="2" borderId="0" xfId="0" quotePrefix="1" applyFont="1" applyFill="1"/>
    <xf numFmtId="0" fontId="13" fillId="2" borderId="0" xfId="0" quotePrefix="1" applyFont="1" applyFill="1"/>
    <xf numFmtId="164" fontId="9" fillId="2" borderId="0" xfId="0" applyNumberFormat="1" applyFont="1" applyFill="1"/>
    <xf numFmtId="165" fontId="5" fillId="2" borderId="0" xfId="0" applyNumberFormat="1" applyFont="1" applyFill="1"/>
    <xf numFmtId="3" fontId="21" fillId="2" borderId="0" xfId="0" applyNumberFormat="1" applyFont="1" applyFill="1"/>
    <xf numFmtId="3" fontId="22" fillId="2" borderId="2" xfId="0" applyNumberFormat="1" applyFont="1" applyFill="1" applyBorder="1"/>
    <xf numFmtId="3" fontId="23" fillId="2" borderId="2" xfId="0" applyNumberFormat="1" applyFont="1" applyFill="1" applyBorder="1"/>
    <xf numFmtId="0" fontId="23" fillId="2" borderId="2" xfId="0" applyFont="1" applyFill="1" applyBorder="1"/>
    <xf numFmtId="3" fontId="24" fillId="2" borderId="2" xfId="0" applyNumberFormat="1" applyFont="1" applyFill="1" applyBorder="1"/>
    <xf numFmtId="3" fontId="22" fillId="2" borderId="0" xfId="0" applyNumberFormat="1" applyFont="1" applyFill="1"/>
    <xf numFmtId="3" fontId="23" fillId="2" borderId="0" xfId="0" applyNumberFormat="1" applyFont="1" applyFill="1"/>
    <xf numFmtId="0" fontId="23" fillId="2" borderId="0" xfId="0" applyFont="1" applyFill="1"/>
    <xf numFmtId="3" fontId="24" fillId="2" borderId="0" xfId="0" applyNumberFormat="1" applyFont="1" applyFill="1"/>
    <xf numFmtId="3" fontId="25" fillId="2" borderId="0" xfId="0" applyNumberFormat="1" applyFont="1" applyFill="1"/>
    <xf numFmtId="3" fontId="25" fillId="2" borderId="2" xfId="0" applyNumberFormat="1" applyFont="1" applyFill="1" applyBorder="1"/>
    <xf numFmtId="3" fontId="26" fillId="2" borderId="0" xfId="0" applyNumberFormat="1" applyFont="1" applyFill="1"/>
    <xf numFmtId="0" fontId="0" fillId="5" borderId="0" xfId="0" applyFill="1" applyAlignment="1">
      <alignment horizontal="left"/>
    </xf>
    <xf numFmtId="0" fontId="4" fillId="2" borderId="0" xfId="0" applyFont="1" applyFill="1"/>
    <xf numFmtId="0" fontId="0" fillId="6" borderId="0" xfId="0" applyFill="1"/>
    <xf numFmtId="0" fontId="2" fillId="6" borderId="0" xfId="0" applyFont="1" applyFill="1"/>
    <xf numFmtId="0" fontId="0" fillId="2" borderId="1" xfId="0" applyFill="1" applyBorder="1"/>
    <xf numFmtId="0" fontId="0" fillId="5" borderId="1" xfId="0" applyFill="1" applyBorder="1"/>
    <xf numFmtId="0" fontId="8" fillId="2" borderId="1" xfId="0" applyFont="1" applyFill="1" applyBorder="1"/>
    <xf numFmtId="0" fontId="8" fillId="2" borderId="1" xfId="0" quotePrefix="1" applyFont="1" applyFill="1" applyBorder="1"/>
    <xf numFmtId="0" fontId="7" fillId="2" borderId="1" xfId="0" applyFont="1" applyFill="1" applyBorder="1"/>
    <xf numFmtId="0" fontId="7" fillId="2" borderId="1" xfId="0" quotePrefix="1" applyFont="1" applyFill="1" applyBorder="1"/>
    <xf numFmtId="0" fontId="9" fillId="2" borderId="1" xfId="0" applyFont="1" applyFill="1" applyBorder="1"/>
    <xf numFmtId="0" fontId="27" fillId="5" borderId="0" xfId="0" applyFont="1" applyFill="1" applyAlignment="1">
      <alignment horizontal="right"/>
    </xf>
    <xf numFmtId="0" fontId="0" fillId="2" borderId="0" xfId="0" applyFill="1" applyAlignment="1">
      <alignment vertical="top"/>
    </xf>
    <xf numFmtId="0" fontId="13" fillId="2" borderId="0" xfId="0" applyFont="1" applyFill="1" applyAlignment="1">
      <alignment vertical="top"/>
    </xf>
    <xf numFmtId="0" fontId="13" fillId="2" borderId="0" xfId="0" applyFont="1" applyFill="1" applyAlignment="1">
      <alignment wrapText="1"/>
    </xf>
    <xf numFmtId="0" fontId="13" fillId="2" borderId="2" xfId="0" applyFont="1" applyFill="1" applyBorder="1"/>
    <xf numFmtId="0" fontId="13" fillId="2" borderId="8" xfId="0" applyFont="1" applyFill="1" applyBorder="1"/>
    <xf numFmtId="0" fontId="0" fillId="3" borderId="0" xfId="0" applyFill="1" applyAlignment="1">
      <alignment horizontal="center"/>
    </xf>
    <xf numFmtId="0" fontId="29" fillId="2" borderId="0" xfId="0" applyFont="1" applyFill="1" applyAlignment="1">
      <alignment horizontal="center" vertical="top"/>
    </xf>
    <xf numFmtId="0" fontId="28" fillId="2" borderId="0" xfId="0" applyFont="1" applyFill="1" applyAlignment="1">
      <alignment horizontal="center"/>
    </xf>
    <xf numFmtId="0" fontId="0" fillId="3" borderId="0" xfId="0" applyFill="1" applyAlignment="1">
      <alignment horizontal="left"/>
    </xf>
    <xf numFmtId="0" fontId="30" fillId="2" borderId="0" xfId="0" quotePrefix="1" applyFont="1" applyFill="1" applyAlignment="1">
      <alignment horizontal="center" vertical="top"/>
    </xf>
    <xf numFmtId="0" fontId="30" fillId="2" borderId="2" xfId="0" applyFont="1" applyFill="1" applyBorder="1" applyAlignment="1">
      <alignment horizontal="center"/>
    </xf>
    <xf numFmtId="0" fontId="30" fillId="2" borderId="0" xfId="0" applyFont="1" applyFill="1" applyAlignment="1">
      <alignment horizontal="center"/>
    </xf>
    <xf numFmtId="0" fontId="29" fillId="2" borderId="0" xfId="0" applyFont="1" applyFill="1" applyAlignment="1">
      <alignment horizontal="center"/>
    </xf>
    <xf numFmtId="0" fontId="29" fillId="2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2" borderId="2" xfId="0" quotePrefix="1" applyFont="1" applyFill="1" applyBorder="1" applyAlignment="1">
      <alignment horizontal="center" vertical="top"/>
    </xf>
    <xf numFmtId="0" fontId="30" fillId="2" borderId="0" xfId="0" applyFont="1" applyFill="1" applyAlignment="1">
      <alignment horizontal="center" vertical="top"/>
    </xf>
    <xf numFmtId="3" fontId="0" fillId="2" borderId="0" xfId="0" quotePrefix="1" applyNumberFormat="1" applyFill="1"/>
    <xf numFmtId="0" fontId="32" fillId="4" borderId="9" xfId="5" applyFont="1" applyFill="1" applyBorder="1" applyAlignment="1">
      <alignment horizontal="center" vertical="top"/>
    </xf>
    <xf numFmtId="3" fontId="33" fillId="4" borderId="9" xfId="5" applyNumberFormat="1" applyFont="1" applyFill="1" applyBorder="1"/>
    <xf numFmtId="0" fontId="19" fillId="4" borderId="3" xfId="0" applyFont="1" applyFill="1" applyBorder="1"/>
    <xf numFmtId="0" fontId="34" fillId="4" borderId="3" xfId="0" applyFont="1" applyFill="1" applyBorder="1"/>
    <xf numFmtId="0" fontId="34" fillId="4" borderId="3" xfId="0" applyFont="1" applyFill="1" applyBorder="1" applyAlignment="1">
      <alignment horizontal="center"/>
    </xf>
    <xf numFmtId="3" fontId="35" fillId="2" borderId="0" xfId="0" applyNumberFormat="1" applyFont="1" applyFill="1"/>
    <xf numFmtId="0" fontId="36" fillId="4" borderId="9" xfId="5" applyFont="1" applyFill="1" applyBorder="1" applyAlignment="1">
      <alignment horizontal="center" vertical="top"/>
    </xf>
    <xf numFmtId="0" fontId="36" fillId="4" borderId="3" xfId="0" applyFont="1" applyFill="1" applyBorder="1"/>
    <xf numFmtId="0" fontId="36" fillId="4" borderId="3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3" xfId="0" applyFont="1" applyFill="1" applyBorder="1"/>
    <xf numFmtId="0" fontId="0" fillId="2" borderId="7" xfId="0" applyFill="1" applyBorder="1"/>
    <xf numFmtId="0" fontId="7" fillId="2" borderId="6" xfId="0" applyFont="1" applyFill="1" applyBorder="1"/>
    <xf numFmtId="0" fontId="37" fillId="2" borderId="0" xfId="0" applyFont="1" applyFill="1"/>
    <xf numFmtId="3" fontId="37" fillId="2" borderId="0" xfId="0" applyNumberFormat="1" applyFont="1" applyFill="1"/>
    <xf numFmtId="0" fontId="2" fillId="4" borderId="0" xfId="0" applyFont="1" applyFill="1"/>
    <xf numFmtId="165" fontId="9" fillId="2" borderId="2" xfId="0" applyNumberFormat="1" applyFont="1" applyFill="1" applyBorder="1"/>
    <xf numFmtId="164" fontId="9" fillId="2" borderId="2" xfId="0" applyNumberFormat="1" applyFont="1" applyFill="1" applyBorder="1"/>
    <xf numFmtId="0" fontId="8" fillId="2" borderId="3" xfId="0" applyFont="1" applyFill="1" applyBorder="1"/>
    <xf numFmtId="3" fontId="38" fillId="2" borderId="0" xfId="0" applyNumberFormat="1" applyFont="1" applyFill="1" applyAlignment="1">
      <alignment horizontal="right"/>
    </xf>
    <xf numFmtId="3" fontId="38" fillId="2" borderId="2" xfId="0" applyNumberFormat="1" applyFont="1" applyFill="1" applyBorder="1" applyAlignment="1">
      <alignment horizontal="right"/>
    </xf>
    <xf numFmtId="3" fontId="9" fillId="2" borderId="2" xfId="0" applyNumberFormat="1" applyFont="1" applyFill="1" applyBorder="1"/>
    <xf numFmtId="3" fontId="9" fillId="2" borderId="3" xfId="0" applyNumberFormat="1" applyFont="1" applyFill="1" applyBorder="1"/>
    <xf numFmtId="0" fontId="2" fillId="4" borderId="10" xfId="0" applyFont="1" applyFill="1" applyBorder="1"/>
    <xf numFmtId="0" fontId="9" fillId="2" borderId="0" xfId="0" applyFont="1" applyFill="1" applyAlignment="1">
      <alignment horizontal="right"/>
    </xf>
    <xf numFmtId="0" fontId="9" fillId="2" borderId="2" xfId="0" applyFont="1" applyFill="1" applyBorder="1" applyAlignment="1">
      <alignment horizontal="right"/>
    </xf>
    <xf numFmtId="0" fontId="0" fillId="2" borderId="7" xfId="0" applyFill="1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19" fillId="4" borderId="0" xfId="0" applyFont="1" applyFill="1" applyAlignment="1">
      <alignment horizontal="center"/>
    </xf>
    <xf numFmtId="3" fontId="13" fillId="5" borderId="0" xfId="0" applyNumberFormat="1" applyFont="1" applyFill="1" applyAlignment="1">
      <alignment horizontal="left" vertical="top" wrapText="1"/>
    </xf>
    <xf numFmtId="3" fontId="0" fillId="5" borderId="0" xfId="0" applyNumberFormat="1" applyFill="1" applyAlignment="1">
      <alignment horizontal="center" vertical="top"/>
    </xf>
    <xf numFmtId="3" fontId="0" fillId="5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9" fontId="13" fillId="5" borderId="0" xfId="1" applyFont="1" applyFill="1" applyAlignment="1">
      <alignment horizontal="center"/>
    </xf>
    <xf numFmtId="3" fontId="0" fillId="5" borderId="0" xfId="0" applyNumberFormat="1" applyFill="1" applyAlignment="1">
      <alignment horizontal="left" wrapText="1"/>
    </xf>
    <xf numFmtId="0" fontId="13" fillId="5" borderId="0" xfId="3" applyFont="1" applyFill="1" applyAlignment="1">
      <alignment horizontal="center" textRotation="90" wrapText="1"/>
    </xf>
    <xf numFmtId="3" fontId="0" fillId="5" borderId="4" xfId="0" applyNumberFormat="1" applyFill="1" applyBorder="1" applyAlignment="1">
      <alignment horizontal="center"/>
    </xf>
    <xf numFmtId="3" fontId="0" fillId="5" borderId="5" xfId="0" applyNumberFormat="1" applyFill="1" applyBorder="1" applyAlignment="1">
      <alignment horizontal="center"/>
    </xf>
    <xf numFmtId="0" fontId="13" fillId="5" borderId="4" xfId="3" applyFont="1" applyFill="1" applyBorder="1" applyAlignment="1">
      <alignment horizontal="center" textRotation="90" wrapText="1"/>
    </xf>
    <xf numFmtId="0" fontId="0" fillId="5" borderId="0" xfId="0" applyFill="1" applyAlignment="1">
      <alignment horizontal="left" wrapText="1"/>
    </xf>
    <xf numFmtId="165" fontId="0" fillId="5" borderId="0" xfId="0" applyNumberFormat="1" applyFill="1" applyBorder="1"/>
    <xf numFmtId="165" fontId="0" fillId="2" borderId="0" xfId="0" applyNumberFormat="1" applyFill="1" applyBorder="1"/>
    <xf numFmtId="0" fontId="0" fillId="2" borderId="0" xfId="0" applyFill="1" applyBorder="1"/>
    <xf numFmtId="165" fontId="13" fillId="2" borderId="0" xfId="0" applyNumberFormat="1" applyFont="1" applyFill="1" applyBorder="1" applyAlignment="1">
      <alignment wrapText="1"/>
    </xf>
    <xf numFmtId="0" fontId="0" fillId="5" borderId="0" xfId="0" applyFill="1" applyBorder="1"/>
    <xf numFmtId="165" fontId="13" fillId="5" borderId="0" xfId="0" applyNumberFormat="1" applyFont="1" applyFill="1" applyBorder="1" applyAlignment="1">
      <alignment wrapText="1"/>
    </xf>
    <xf numFmtId="0" fontId="0" fillId="5" borderId="0" xfId="0" quotePrefix="1" applyFill="1"/>
    <xf numFmtId="165" fontId="13" fillId="5" borderId="0" xfId="0" quotePrefix="1" applyNumberFormat="1" applyFont="1" applyFill="1" applyBorder="1" applyAlignment="1">
      <alignment horizontal="left" vertical="top" wrapText="1"/>
    </xf>
    <xf numFmtId="165" fontId="13" fillId="2" borderId="0" xfId="0" quotePrefix="1" applyNumberFormat="1" applyFont="1" applyFill="1" applyBorder="1" applyAlignment="1">
      <alignment wrapText="1"/>
    </xf>
  </cellXfs>
  <cellStyles count="7">
    <cellStyle name="Hyperlink" xfId="2" builtinId="8"/>
    <cellStyle name="Normaali 4" xfId="3" xr:uid="{FB114CE0-098D-45FC-9ECB-05E8082EE4BD}"/>
    <cellStyle name="Normal" xfId="0" builtinId="0"/>
    <cellStyle name="Normal 3" xfId="5" xr:uid="{849C9DB1-9493-49C8-8B82-52F85C97E493}"/>
    <cellStyle name="Normal 4" xfId="6" xr:uid="{A9A0FD81-5435-42D0-BC53-2168836C402F}"/>
    <cellStyle name="Normal 5" xfId="4" xr:uid="{4AC22AD3-7798-453A-B423-79643AFA8A24}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9" tint="0.59999389629810485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colors>
    <mruColors>
      <color rgb="FFCC00FF"/>
      <color rgb="FF9900CC"/>
      <color rgb="FFFF00FF"/>
      <color rgb="FF00CC00"/>
      <color rgb="FF009900"/>
      <color rgb="FF008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1"/>
          <c:order val="0"/>
          <c:tx>
            <c:strRef>
              <c:f>D_el!$C$40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38B-4283-9DC1-668FD682DAB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8B-4283-9DC1-668FD682DAB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38B-4283-9DC1-668FD682DAB7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38B-4283-9DC1-668FD682DAB7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38B-4283-9DC1-668FD682DAB7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38B-4283-9DC1-668FD682DAB7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E38B-4283-9DC1-668FD682DAB7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E38B-4283-9DC1-668FD682DAB7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E38B-4283-9DC1-668FD682DAB7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E38B-4283-9DC1-668FD682DAB7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38B-4283-9DC1-668FD682DAB7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E38B-4283-9DC1-668FD682DAB7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E38B-4283-9DC1-668FD682DAB7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E38B-4283-9DC1-668FD682DAB7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E38B-4283-9DC1-668FD682DAB7}"/>
              </c:ext>
            </c:extLst>
          </c:dPt>
          <c:dPt>
            <c:idx val="3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E38B-4283-9DC1-668FD682DAB7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E38B-4283-9DC1-668FD682DAB7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E38B-4283-9DC1-668FD682DAB7}"/>
              </c:ext>
            </c:extLst>
          </c:dPt>
          <c:cat>
            <c:multiLvlStrRef>
              <c:f>D_el!$A$41:$B$78</c:f>
            </c:multiLvlStrRef>
          </c:cat>
          <c:val>
            <c:numRef>
              <c:f>D_el!$C$41:$C$78</c:f>
            </c:numRef>
          </c:val>
          <c:extLst>
            <c:ext xmlns:c16="http://schemas.microsoft.com/office/drawing/2014/chart" uri="{C3380CC4-5D6E-409C-BE32-E72D297353CC}">
              <c16:uniqueId val="{00000024-E38B-4283-9DC1-668FD682DAB7}"/>
            </c:ext>
          </c:extLst>
        </c:ser>
        <c:ser>
          <c:idx val="2"/>
          <c:order val="1"/>
          <c:tx>
            <c:strRef>
              <c:f>D_el!$D$40</c:f>
              <c:strCache>
                <c:ptCount val="1"/>
                <c:pt idx="0">
                  <c:v>Comerce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E38B-4283-9DC1-668FD682DAB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E38B-4283-9DC1-668FD682DAB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E38B-4283-9DC1-668FD682DAB7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E38B-4283-9DC1-668FD682DAB7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E38B-4283-9DC1-668FD682DAB7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E38B-4283-9DC1-668FD682DAB7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E38B-4283-9DC1-668FD682DAB7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E38B-4283-9DC1-668FD682DAB7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6-E38B-4283-9DC1-668FD682DAB7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E38B-4283-9DC1-668FD682DAB7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A-E38B-4283-9DC1-668FD682DAB7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C-E38B-4283-9DC1-668FD682DAB7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E-E38B-4283-9DC1-668FD682DAB7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0-E38B-4283-9DC1-668FD682DAB7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2-E38B-4283-9DC1-668FD682DAB7}"/>
              </c:ext>
            </c:extLst>
          </c:dPt>
          <c:dPt>
            <c:idx val="31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4-E38B-4283-9DC1-668FD682DAB7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6-E38B-4283-9DC1-668FD682DAB7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8-E38B-4283-9DC1-668FD682DAB7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A-E38B-4283-9DC1-668FD682DAB7}"/>
              </c:ext>
            </c:extLst>
          </c:dPt>
          <c:cat>
            <c:multiLvlStrRef>
              <c:f>D_el!$A$41:$B$78</c:f>
            </c:multiLvlStrRef>
          </c:cat>
          <c:val>
            <c:numRef>
              <c:f>D_el!$D$41:$D$78</c:f>
            </c:numRef>
          </c:val>
          <c:extLst>
            <c:ext xmlns:c16="http://schemas.microsoft.com/office/drawing/2014/chart" uri="{C3380CC4-5D6E-409C-BE32-E72D297353CC}">
              <c16:uniqueId val="{0000004B-E38B-4283-9DC1-668FD682DAB7}"/>
            </c:ext>
          </c:extLst>
        </c:ser>
        <c:ser>
          <c:idx val="0"/>
          <c:order val="2"/>
          <c:tx>
            <c:strRef>
              <c:f>D_el!$E$40</c:f>
              <c:strCache>
                <c:ptCount val="1"/>
                <c:pt idx="0">
                  <c:v>Residence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D-E38B-4283-9DC1-668FD682DAB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F-E38B-4283-9DC1-668FD682DAB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1-E38B-4283-9DC1-668FD682DAB7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3-E38B-4283-9DC1-668FD682DAB7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5-E38B-4283-9DC1-668FD682DAB7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7-E38B-4283-9DC1-668FD682DAB7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9-E38B-4283-9DC1-668FD682DAB7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B-E38B-4283-9DC1-668FD682DAB7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D-E38B-4283-9DC1-668FD682DAB7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F-E38B-4283-9DC1-668FD682DAB7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1-E38B-4283-9DC1-668FD682DAB7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3-E38B-4283-9DC1-668FD682DAB7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5-E38B-4283-9DC1-668FD682DAB7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7-E38B-4283-9DC1-668FD682DAB7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9-E38B-4283-9DC1-668FD682DAB7}"/>
              </c:ext>
            </c:extLst>
          </c:dPt>
          <c:dPt>
            <c:idx val="3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B-E38B-4283-9DC1-668FD682DAB7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D-E38B-4283-9DC1-668FD682DAB7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F-E38B-4283-9DC1-668FD682DAB7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1-E38B-4283-9DC1-668FD682DAB7}"/>
              </c:ext>
            </c:extLst>
          </c:dPt>
          <c:cat>
            <c:multiLvlStrRef>
              <c:f>D_el!$A$41:$B$78</c:f>
            </c:multiLvlStrRef>
          </c:cat>
          <c:val>
            <c:numRef>
              <c:f>D_el!$E$41:$E$78</c:f>
            </c:numRef>
          </c:val>
          <c:extLst>
            <c:ext xmlns:c16="http://schemas.microsoft.com/office/drawing/2014/chart" uri="{C3380CC4-5D6E-409C-BE32-E72D297353CC}">
              <c16:uniqueId val="{00000072-E38B-4283-9DC1-668FD682D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412035952"/>
        <c:axId val="412035472"/>
      </c:barChart>
      <c:catAx>
        <c:axId val="412035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035472"/>
        <c:crosses val="autoZero"/>
        <c:auto val="1"/>
        <c:lblAlgn val="ctr"/>
        <c:lblOffset val="100"/>
        <c:noMultiLvlLbl val="0"/>
      </c:catAx>
      <c:valAx>
        <c:axId val="412035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035952"/>
        <c:crosses val="autoZero"/>
        <c:crossBetween val="between"/>
        <c:min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1"/>
          <c:order val="0"/>
          <c:tx>
            <c:strRef>
              <c:f>D_el!$P$64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5A6-4A06-A315-5EA22B8505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5A6-4A06-A315-5EA22B8505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5A6-4A06-A315-5EA22B8505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5A6-4A06-A315-5EA22B8505A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5A6-4A06-A315-5EA22B8505A1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5A6-4A06-A315-5EA22B8505A1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5A6-4A06-A315-5EA22B8505A1}"/>
              </c:ext>
            </c:extLst>
          </c:dPt>
          <c:cat>
            <c:multiLvlStrRef>
              <c:f>D_el!$N$65:$O$78</c:f>
            </c:multiLvlStrRef>
          </c:cat>
          <c:val>
            <c:numRef>
              <c:f>D_el!$P$65:$P$78</c:f>
            </c:numRef>
          </c:val>
          <c:extLst>
            <c:ext xmlns:c16="http://schemas.microsoft.com/office/drawing/2014/chart" uri="{C3380CC4-5D6E-409C-BE32-E72D297353CC}">
              <c16:uniqueId val="{0000000E-85A6-4A06-A315-5EA22B8505A1}"/>
            </c:ext>
          </c:extLst>
        </c:ser>
        <c:ser>
          <c:idx val="2"/>
          <c:order val="1"/>
          <c:tx>
            <c:strRef>
              <c:f>D_el!$Q$64</c:f>
              <c:strCache>
                <c:ptCount val="1"/>
                <c:pt idx="0">
                  <c:v>Commerce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85A6-4A06-A315-5EA22B8505A1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85A6-4A06-A315-5EA22B8505A1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85A6-4A06-A315-5EA22B8505A1}"/>
              </c:ext>
            </c:extLst>
          </c:dPt>
          <c:dPt>
            <c:idx val="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85A6-4A06-A315-5EA22B8505A1}"/>
              </c:ext>
            </c:extLst>
          </c:dPt>
          <c:dPt>
            <c:idx val="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85A6-4A06-A315-5EA22B8505A1}"/>
              </c:ext>
            </c:extLst>
          </c:dPt>
          <c:dPt>
            <c:idx val="11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85A6-4A06-A315-5EA22B8505A1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85A6-4A06-A315-5EA22B8505A1}"/>
              </c:ext>
            </c:extLst>
          </c:dPt>
          <c:cat>
            <c:multiLvlStrRef>
              <c:f>D_el!$N$65:$O$78</c:f>
            </c:multiLvlStrRef>
          </c:cat>
          <c:val>
            <c:numRef>
              <c:f>D_el!$Q$65:$Q$78</c:f>
            </c:numRef>
          </c:val>
          <c:extLst>
            <c:ext xmlns:c16="http://schemas.microsoft.com/office/drawing/2014/chart" uri="{C3380CC4-5D6E-409C-BE32-E72D297353CC}">
              <c16:uniqueId val="{0000001D-85A6-4A06-A315-5EA22B8505A1}"/>
            </c:ext>
          </c:extLst>
        </c:ser>
        <c:ser>
          <c:idx val="0"/>
          <c:order val="2"/>
          <c:tx>
            <c:strRef>
              <c:f>D_el!$R$64</c:f>
              <c:strCache>
                <c:ptCount val="1"/>
                <c:pt idx="0">
                  <c:v>Ressidence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5A6-4A06-A315-5EA22B8505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5A6-4A06-A315-5EA22B8505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5A6-4A06-A315-5EA22B8505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5A6-4A06-A315-5EA22B8505A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5A6-4A06-A315-5EA22B8505A1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5A6-4A06-A315-5EA22B8505A1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5A6-4A06-A315-5EA22B8505A1}"/>
              </c:ext>
            </c:extLst>
          </c:dPt>
          <c:cat>
            <c:multiLvlStrRef>
              <c:f>D_el!$N$65:$O$78</c:f>
            </c:multiLvlStrRef>
          </c:cat>
          <c:val>
            <c:numRef>
              <c:f>D_el!$R$65:$R$78</c:f>
            </c:numRef>
          </c:val>
          <c:extLst>
            <c:ext xmlns:c16="http://schemas.microsoft.com/office/drawing/2014/chart" uri="{C3380CC4-5D6E-409C-BE32-E72D297353CC}">
              <c16:uniqueId val="{0000002C-85A6-4A06-A315-5EA22B850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61355920"/>
        <c:axId val="261357840"/>
      </c:barChart>
      <c:catAx>
        <c:axId val="26135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357840"/>
        <c:crosses val="autoZero"/>
        <c:auto val="1"/>
        <c:lblAlgn val="ctr"/>
        <c:lblOffset val="100"/>
        <c:noMultiLvlLbl val="0"/>
      </c:catAx>
      <c:valAx>
        <c:axId val="26135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ysClr val="window" lastClr="FFFFFF">
                  <a:lumMod val="50000"/>
                </a:sys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</c:min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35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D_el!$L$87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D_el!$J$88:$J$94</c:f>
              <c:strCache>
                <c:ptCount val="7"/>
                <c:pt idx="0">
                  <c:v>North</c:v>
                </c:pt>
                <c:pt idx="1">
                  <c:v>West</c:v>
                </c:pt>
                <c:pt idx="2">
                  <c:v>Center</c:v>
                </c:pt>
                <c:pt idx="3">
                  <c:v>East</c:v>
                </c:pt>
                <c:pt idx="4">
                  <c:v>South West</c:v>
                </c:pt>
                <c:pt idx="5">
                  <c:v>South East</c:v>
                </c:pt>
                <c:pt idx="6">
                  <c:v>Uusimaa</c:v>
                </c:pt>
              </c:strCache>
            </c:strRef>
          </c:cat>
          <c:val>
            <c:numRef>
              <c:f>D_el!$L$88:$L$94</c:f>
              <c:numCache>
                <c:formatCode>#,##0</c:formatCode>
                <c:ptCount val="7"/>
                <c:pt idx="0">
                  <c:v>15937.548017481837</c:v>
                </c:pt>
                <c:pt idx="1">
                  <c:v>13991.423666029163</c:v>
                </c:pt>
                <c:pt idx="2">
                  <c:v>10907.959880179282</c:v>
                </c:pt>
                <c:pt idx="3">
                  <c:v>7957.4846605138709</c:v>
                </c:pt>
                <c:pt idx="4">
                  <c:v>3380.6368074968541</c:v>
                </c:pt>
                <c:pt idx="5">
                  <c:v>20117.888869368995</c:v>
                </c:pt>
                <c:pt idx="6">
                  <c:v>13487.082553662654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8EFE-4D35-8BB9-B213A3AEC23B}"/>
            </c:ext>
          </c:extLst>
        </c:ser>
        <c:ser>
          <c:idx val="1"/>
          <c:order val="1"/>
          <c:tx>
            <c:strRef>
              <c:f>D_el!$M$87</c:f>
              <c:strCache>
                <c:ptCount val="1"/>
                <c:pt idx="0">
                  <c:v>Commerce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D_el!$J$88:$J$94</c:f>
              <c:strCache>
                <c:ptCount val="7"/>
                <c:pt idx="0">
                  <c:v>North</c:v>
                </c:pt>
                <c:pt idx="1">
                  <c:v>West</c:v>
                </c:pt>
                <c:pt idx="2">
                  <c:v>Center</c:v>
                </c:pt>
                <c:pt idx="3">
                  <c:v>East</c:v>
                </c:pt>
                <c:pt idx="4">
                  <c:v>South West</c:v>
                </c:pt>
                <c:pt idx="5">
                  <c:v>South East</c:v>
                </c:pt>
                <c:pt idx="6">
                  <c:v>Uusimaa</c:v>
                </c:pt>
              </c:strCache>
            </c:strRef>
          </c:cat>
          <c:val>
            <c:numRef>
              <c:f>D_el!$M$88:$M$94</c:f>
              <c:numCache>
                <c:formatCode>#,##0</c:formatCode>
                <c:ptCount val="7"/>
                <c:pt idx="0">
                  <c:v>1617.0715032010019</c:v>
                </c:pt>
                <c:pt idx="1">
                  <c:v>1778.6949108228523</c:v>
                </c:pt>
                <c:pt idx="2">
                  <c:v>2038.2972753968093</c:v>
                </c:pt>
                <c:pt idx="3">
                  <c:v>1571.0130191636867</c:v>
                </c:pt>
                <c:pt idx="4">
                  <c:v>1963.766273954609</c:v>
                </c:pt>
                <c:pt idx="5">
                  <c:v>1614.5592222535122</c:v>
                </c:pt>
                <c:pt idx="6">
                  <c:v>5686.9666381346478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FE-4D35-8BB9-B213A3AEC23B}"/>
            </c:ext>
          </c:extLst>
        </c:ser>
        <c:ser>
          <c:idx val="2"/>
          <c:order val="2"/>
          <c:tx>
            <c:strRef>
              <c:f>D_el!$N$87</c:f>
              <c:strCache>
                <c:ptCount val="1"/>
                <c:pt idx="0">
                  <c:v>Residence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D_el!$J$88:$J$94</c:f>
              <c:strCache>
                <c:ptCount val="7"/>
                <c:pt idx="0">
                  <c:v>North</c:v>
                </c:pt>
                <c:pt idx="1">
                  <c:v>West</c:v>
                </c:pt>
                <c:pt idx="2">
                  <c:v>Center</c:v>
                </c:pt>
                <c:pt idx="3">
                  <c:v>East</c:v>
                </c:pt>
                <c:pt idx="4">
                  <c:v>South West</c:v>
                </c:pt>
                <c:pt idx="5">
                  <c:v>South East</c:v>
                </c:pt>
                <c:pt idx="6">
                  <c:v>Uusimaa</c:v>
                </c:pt>
              </c:strCache>
            </c:strRef>
          </c:cat>
          <c:val>
            <c:numRef>
              <c:f>D_el!$N$88:$N$94</c:f>
              <c:numCache>
                <c:formatCode>#,##0</c:formatCode>
                <c:ptCount val="7"/>
                <c:pt idx="0">
                  <c:v>3762.0231881284208</c:v>
                </c:pt>
                <c:pt idx="1">
                  <c:v>4498.2361993895975</c:v>
                </c:pt>
                <c:pt idx="2">
                  <c:v>4297.1058406429875</c:v>
                </c:pt>
                <c:pt idx="3">
                  <c:v>3390.1217700686507</c:v>
                </c:pt>
                <c:pt idx="4">
                  <c:v>3893.5801523400396</c:v>
                </c:pt>
                <c:pt idx="5">
                  <c:v>2596.9850723697537</c:v>
                </c:pt>
                <c:pt idx="6">
                  <c:v>7387.4295288063131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FE-4D35-8BB9-B213A3AEC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1264239"/>
        <c:axId val="771278639"/>
        <c:extLst/>
      </c:barChart>
      <c:catAx>
        <c:axId val="7712642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278639"/>
        <c:crosses val="autoZero"/>
        <c:auto val="1"/>
        <c:lblAlgn val="ctr"/>
        <c:lblOffset val="100"/>
        <c:noMultiLvlLbl val="0"/>
      </c:catAx>
      <c:valAx>
        <c:axId val="77127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26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3425925925926"/>
          <c:y val="6.4587962962962958E-2"/>
          <c:w val="0.86165740740740737"/>
          <c:h val="0.721413888888888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D_el!$AA$2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D_el!$Z$3:$Z$5</c:f>
              <c:strCache>
                <c:ptCount val="3"/>
                <c:pt idx="0">
                  <c:v>2007</c:v>
                </c:pt>
                <c:pt idx="1">
                  <c:v>2023</c:v>
                </c:pt>
                <c:pt idx="2">
                  <c:v>2035*</c:v>
                </c:pt>
              </c:strCache>
            </c:strRef>
          </c:cat>
          <c:val>
            <c:numRef>
              <c:f>D_el!$AA$3:$AA$5</c:f>
              <c:numCache>
                <c:formatCode>#,##0</c:formatCode>
                <c:ptCount val="3"/>
                <c:pt idx="0">
                  <c:v>47677</c:v>
                </c:pt>
                <c:pt idx="1">
                  <c:v>34100</c:v>
                </c:pt>
                <c:pt idx="2">
                  <c:v>85806.024454732658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0-4C3E-BB4E-24475B74CC26}"/>
            </c:ext>
          </c:extLst>
        </c:ser>
        <c:ser>
          <c:idx val="1"/>
          <c:order val="1"/>
          <c:tx>
            <c:strRef>
              <c:f>D_el!$AB$2</c:f>
              <c:strCache>
                <c:ptCount val="1"/>
                <c:pt idx="0">
                  <c:v>Commerce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D_el!$Z$3:$Z$5</c:f>
              <c:strCache>
                <c:ptCount val="3"/>
                <c:pt idx="0">
                  <c:v>2007</c:v>
                </c:pt>
                <c:pt idx="1">
                  <c:v>2023</c:v>
                </c:pt>
                <c:pt idx="2">
                  <c:v>2035*</c:v>
                </c:pt>
              </c:strCache>
            </c:strRef>
          </c:cat>
          <c:val>
            <c:numRef>
              <c:f>D_el!$AB$3:$AB$5</c:f>
              <c:numCache>
                <c:formatCode>#,##0</c:formatCode>
                <c:ptCount val="3"/>
                <c:pt idx="0">
                  <c:v>17263</c:v>
                </c:pt>
                <c:pt idx="1">
                  <c:v>19428</c:v>
                </c:pt>
                <c:pt idx="2">
                  <c:v>16269.531415944622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E0-4C3E-BB4E-24475B74CC26}"/>
            </c:ext>
          </c:extLst>
        </c:ser>
        <c:ser>
          <c:idx val="2"/>
          <c:order val="2"/>
          <c:tx>
            <c:strRef>
              <c:f>D_el!$AC$2</c:f>
              <c:strCache>
                <c:ptCount val="1"/>
                <c:pt idx="0">
                  <c:v>Residence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D_el!$Z$3:$Z$5</c:f>
              <c:strCache>
                <c:ptCount val="3"/>
                <c:pt idx="0">
                  <c:v>2007</c:v>
                </c:pt>
                <c:pt idx="1">
                  <c:v>2023</c:v>
                </c:pt>
                <c:pt idx="2">
                  <c:v>2035*</c:v>
                </c:pt>
              </c:strCache>
            </c:strRef>
          </c:cat>
          <c:val>
            <c:numRef>
              <c:f>D_el!$AC$3:$AC$5</c:f>
              <c:numCache>
                <c:formatCode>#,##0</c:formatCode>
                <c:ptCount val="3"/>
                <c:pt idx="0">
                  <c:v>22391</c:v>
                </c:pt>
                <c:pt idx="1">
                  <c:v>23575</c:v>
                </c:pt>
                <c:pt idx="2">
                  <c:v>29821.686839316582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E0-4C3E-BB4E-24475B74C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13021776"/>
        <c:axId val="1113023216"/>
      </c:barChart>
      <c:catAx>
        <c:axId val="111302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023216"/>
        <c:crosses val="autoZero"/>
        <c:auto val="1"/>
        <c:lblAlgn val="ctr"/>
        <c:lblOffset val="100"/>
        <c:noMultiLvlLbl val="0"/>
      </c:catAx>
      <c:valAx>
        <c:axId val="11130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021776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layout>
        <c:manualLayout>
          <c:xMode val="edge"/>
          <c:yMode val="edge"/>
          <c:x val="0.41110000000000002"/>
          <c:y val="9.163059163059162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5077469135802469"/>
          <c:y val="8.4588744588744588E-2"/>
          <c:w val="0.56572222222222224"/>
          <c:h val="0.8316356421356421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D_el!$AF$2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D_el!$AE$3:$AE$21</c:f>
              <c:strCache>
                <c:ptCount val="19"/>
                <c:pt idx="0">
                  <c:v>Uusimaa</c:v>
                </c:pt>
                <c:pt idx="1">
                  <c:v>Southwest Finland</c:v>
                </c:pt>
                <c:pt idx="2">
                  <c:v>Satakunta</c:v>
                </c:pt>
                <c:pt idx="3">
                  <c:v>Kanta-Häme</c:v>
                </c:pt>
                <c:pt idx="4">
                  <c:v>Pirkanmaa</c:v>
                </c:pt>
                <c:pt idx="5">
                  <c:v>Päijät-Häme</c:v>
                </c:pt>
                <c:pt idx="6">
                  <c:v>Kymenlaakso</c:v>
                </c:pt>
                <c:pt idx="7">
                  <c:v>South Karelia</c:v>
                </c:pt>
                <c:pt idx="8">
                  <c:v>South Savo</c:v>
                </c:pt>
                <c:pt idx="9">
                  <c:v>North Savo</c:v>
                </c:pt>
                <c:pt idx="10">
                  <c:v>North Karelia</c:v>
                </c:pt>
                <c:pt idx="11">
                  <c:v>Central Finland</c:v>
                </c:pt>
                <c:pt idx="12">
                  <c:v>South Ostrobothnia</c:v>
                </c:pt>
                <c:pt idx="13">
                  <c:v>Ostrobothnia</c:v>
                </c:pt>
                <c:pt idx="14">
                  <c:v>Central Ostrobothnia</c:v>
                </c:pt>
                <c:pt idx="15">
                  <c:v>North Ostrobothnia</c:v>
                </c:pt>
                <c:pt idx="16">
                  <c:v>Kainuu</c:v>
                </c:pt>
                <c:pt idx="17">
                  <c:v>Lapland</c:v>
                </c:pt>
                <c:pt idx="18">
                  <c:v>Åland</c:v>
                </c:pt>
              </c:strCache>
            </c:strRef>
          </c:cat>
          <c:val>
            <c:numRef>
              <c:f>D_el!$AF$3:$AF$21</c:f>
              <c:numCache>
                <c:formatCode>#,##0</c:formatCode>
                <c:ptCount val="19"/>
                <c:pt idx="0">
                  <c:v>4073</c:v>
                </c:pt>
                <c:pt idx="1">
                  <c:v>1041</c:v>
                </c:pt>
                <c:pt idx="2">
                  <c:v>3334</c:v>
                </c:pt>
                <c:pt idx="3">
                  <c:v>753</c:v>
                </c:pt>
                <c:pt idx="4">
                  <c:v>1972</c:v>
                </c:pt>
                <c:pt idx="5">
                  <c:v>741</c:v>
                </c:pt>
                <c:pt idx="6">
                  <c:v>2023</c:v>
                </c:pt>
                <c:pt idx="7">
                  <c:v>3933</c:v>
                </c:pt>
                <c:pt idx="8">
                  <c:v>332</c:v>
                </c:pt>
                <c:pt idx="9">
                  <c:v>1569</c:v>
                </c:pt>
                <c:pt idx="10">
                  <c:v>1254</c:v>
                </c:pt>
                <c:pt idx="11">
                  <c:v>2365</c:v>
                </c:pt>
                <c:pt idx="12">
                  <c:v>545</c:v>
                </c:pt>
                <c:pt idx="13">
                  <c:v>1125</c:v>
                </c:pt>
                <c:pt idx="14">
                  <c:v>1525</c:v>
                </c:pt>
                <c:pt idx="15">
                  <c:v>2419</c:v>
                </c:pt>
                <c:pt idx="16">
                  <c:v>713</c:v>
                </c:pt>
                <c:pt idx="17">
                  <c:v>4357</c:v>
                </c:pt>
                <c:pt idx="18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B7-4686-A9DC-9EAF5363D97B}"/>
            </c:ext>
          </c:extLst>
        </c:ser>
        <c:ser>
          <c:idx val="1"/>
          <c:order val="1"/>
          <c:tx>
            <c:strRef>
              <c:f>D_el!$AG$2</c:f>
              <c:strCache>
                <c:ptCount val="1"/>
                <c:pt idx="0">
                  <c:v>Commerce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D_el!$AE$3:$AE$21</c:f>
              <c:strCache>
                <c:ptCount val="19"/>
                <c:pt idx="0">
                  <c:v>Uusimaa</c:v>
                </c:pt>
                <c:pt idx="1">
                  <c:v>Southwest Finland</c:v>
                </c:pt>
                <c:pt idx="2">
                  <c:v>Satakunta</c:v>
                </c:pt>
                <c:pt idx="3">
                  <c:v>Kanta-Häme</c:v>
                </c:pt>
                <c:pt idx="4">
                  <c:v>Pirkanmaa</c:v>
                </c:pt>
                <c:pt idx="5">
                  <c:v>Päijät-Häme</c:v>
                </c:pt>
                <c:pt idx="6">
                  <c:v>Kymenlaakso</c:v>
                </c:pt>
                <c:pt idx="7">
                  <c:v>South Karelia</c:v>
                </c:pt>
                <c:pt idx="8">
                  <c:v>South Savo</c:v>
                </c:pt>
                <c:pt idx="9">
                  <c:v>North Savo</c:v>
                </c:pt>
                <c:pt idx="10">
                  <c:v>North Karelia</c:v>
                </c:pt>
                <c:pt idx="11">
                  <c:v>Central Finland</c:v>
                </c:pt>
                <c:pt idx="12">
                  <c:v>South Ostrobothnia</c:v>
                </c:pt>
                <c:pt idx="13">
                  <c:v>Ostrobothnia</c:v>
                </c:pt>
                <c:pt idx="14">
                  <c:v>Central Ostrobothnia</c:v>
                </c:pt>
                <c:pt idx="15">
                  <c:v>North Ostrobothnia</c:v>
                </c:pt>
                <c:pt idx="16">
                  <c:v>Kainuu</c:v>
                </c:pt>
                <c:pt idx="17">
                  <c:v>Lapland</c:v>
                </c:pt>
                <c:pt idx="18">
                  <c:v>Åland</c:v>
                </c:pt>
              </c:strCache>
            </c:strRef>
          </c:cat>
          <c:val>
            <c:numRef>
              <c:f>D_el!$AG$3:$AG$21</c:f>
              <c:numCache>
                <c:formatCode>#,##0</c:formatCode>
                <c:ptCount val="19"/>
                <c:pt idx="0">
                  <c:v>6791</c:v>
                </c:pt>
                <c:pt idx="1">
                  <c:v>1661</c:v>
                </c:pt>
                <c:pt idx="2">
                  <c:v>707</c:v>
                </c:pt>
                <c:pt idx="3">
                  <c:v>578</c:v>
                </c:pt>
                <c:pt idx="4">
                  <c:v>1643</c:v>
                </c:pt>
                <c:pt idx="5">
                  <c:v>566</c:v>
                </c:pt>
                <c:pt idx="6">
                  <c:v>945</c:v>
                </c:pt>
                <c:pt idx="7">
                  <c:v>417</c:v>
                </c:pt>
                <c:pt idx="8">
                  <c:v>429</c:v>
                </c:pt>
                <c:pt idx="9">
                  <c:v>765</c:v>
                </c:pt>
                <c:pt idx="10">
                  <c:v>433</c:v>
                </c:pt>
                <c:pt idx="11">
                  <c:v>791</c:v>
                </c:pt>
                <c:pt idx="12">
                  <c:v>622</c:v>
                </c:pt>
                <c:pt idx="13">
                  <c:v>619</c:v>
                </c:pt>
                <c:pt idx="14">
                  <c:v>176</c:v>
                </c:pt>
                <c:pt idx="15">
                  <c:v>1254</c:v>
                </c:pt>
                <c:pt idx="16">
                  <c:v>249</c:v>
                </c:pt>
                <c:pt idx="17">
                  <c:v>677</c:v>
                </c:pt>
                <c:pt idx="18">
                  <c:v>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B7-4686-A9DC-9EAF5363D97B}"/>
            </c:ext>
          </c:extLst>
        </c:ser>
        <c:ser>
          <c:idx val="2"/>
          <c:order val="2"/>
          <c:tx>
            <c:strRef>
              <c:f>D_el!$AH$2</c:f>
              <c:strCache>
                <c:ptCount val="1"/>
                <c:pt idx="0">
                  <c:v>Residence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D_el!$AE$3:$AE$21</c:f>
              <c:strCache>
                <c:ptCount val="19"/>
                <c:pt idx="0">
                  <c:v>Uusimaa</c:v>
                </c:pt>
                <c:pt idx="1">
                  <c:v>Southwest Finland</c:v>
                </c:pt>
                <c:pt idx="2">
                  <c:v>Satakunta</c:v>
                </c:pt>
                <c:pt idx="3">
                  <c:v>Kanta-Häme</c:v>
                </c:pt>
                <c:pt idx="4">
                  <c:v>Pirkanmaa</c:v>
                </c:pt>
                <c:pt idx="5">
                  <c:v>Päijät-Häme</c:v>
                </c:pt>
                <c:pt idx="6">
                  <c:v>Kymenlaakso</c:v>
                </c:pt>
                <c:pt idx="7">
                  <c:v>South Karelia</c:v>
                </c:pt>
                <c:pt idx="8">
                  <c:v>South Savo</c:v>
                </c:pt>
                <c:pt idx="9">
                  <c:v>North Savo</c:v>
                </c:pt>
                <c:pt idx="10">
                  <c:v>North Karelia</c:v>
                </c:pt>
                <c:pt idx="11">
                  <c:v>Central Finland</c:v>
                </c:pt>
                <c:pt idx="12">
                  <c:v>South Ostrobothnia</c:v>
                </c:pt>
                <c:pt idx="13">
                  <c:v>Ostrobothnia</c:v>
                </c:pt>
                <c:pt idx="14">
                  <c:v>Central Ostrobothnia</c:v>
                </c:pt>
                <c:pt idx="15">
                  <c:v>North Ostrobothnia</c:v>
                </c:pt>
                <c:pt idx="16">
                  <c:v>Kainuu</c:v>
                </c:pt>
                <c:pt idx="17">
                  <c:v>Lapland</c:v>
                </c:pt>
                <c:pt idx="18">
                  <c:v>Åland</c:v>
                </c:pt>
              </c:strCache>
            </c:strRef>
          </c:cat>
          <c:val>
            <c:numRef>
              <c:f>D_el!$AH$3:$AH$21</c:f>
              <c:numCache>
                <c:formatCode>#,##0</c:formatCode>
                <c:ptCount val="19"/>
                <c:pt idx="0">
                  <c:v>5840</c:v>
                </c:pt>
                <c:pt idx="1">
                  <c:v>2146</c:v>
                </c:pt>
                <c:pt idx="2">
                  <c:v>1040</c:v>
                </c:pt>
                <c:pt idx="3">
                  <c:v>800</c:v>
                </c:pt>
                <c:pt idx="4">
                  <c:v>2188</c:v>
                </c:pt>
                <c:pt idx="5">
                  <c:v>848</c:v>
                </c:pt>
                <c:pt idx="6">
                  <c:v>713</c:v>
                </c:pt>
                <c:pt idx="7">
                  <c:v>492</c:v>
                </c:pt>
                <c:pt idx="8">
                  <c:v>654</c:v>
                </c:pt>
                <c:pt idx="9">
                  <c:v>1015</c:v>
                </c:pt>
                <c:pt idx="10">
                  <c:v>701</c:v>
                </c:pt>
                <c:pt idx="11">
                  <c:v>1209</c:v>
                </c:pt>
                <c:pt idx="12">
                  <c:v>925</c:v>
                </c:pt>
                <c:pt idx="13">
                  <c:v>1250</c:v>
                </c:pt>
                <c:pt idx="14">
                  <c:v>341</c:v>
                </c:pt>
                <c:pt idx="15">
                  <c:v>1784</c:v>
                </c:pt>
                <c:pt idx="16">
                  <c:v>310</c:v>
                </c:pt>
                <c:pt idx="17">
                  <c:v>1190</c:v>
                </c:pt>
                <c:pt idx="18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B7-4686-A9DC-9EAF5363D97B}"/>
            </c:ext>
          </c:extLst>
        </c:ser>
        <c:ser>
          <c:idx val="3"/>
          <c:order val="3"/>
          <c:tx>
            <c:strRef>
              <c:f>D_el!$AI$2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D_el!$AE$3:$AE$21</c:f>
              <c:strCache>
                <c:ptCount val="19"/>
                <c:pt idx="0">
                  <c:v>Uusimaa</c:v>
                </c:pt>
                <c:pt idx="1">
                  <c:v>Southwest Finland</c:v>
                </c:pt>
                <c:pt idx="2">
                  <c:v>Satakunta</c:v>
                </c:pt>
                <c:pt idx="3">
                  <c:v>Kanta-Häme</c:v>
                </c:pt>
                <c:pt idx="4">
                  <c:v>Pirkanmaa</c:v>
                </c:pt>
                <c:pt idx="5">
                  <c:v>Päijät-Häme</c:v>
                </c:pt>
                <c:pt idx="6">
                  <c:v>Kymenlaakso</c:v>
                </c:pt>
                <c:pt idx="7">
                  <c:v>South Karelia</c:v>
                </c:pt>
                <c:pt idx="8">
                  <c:v>South Savo</c:v>
                </c:pt>
                <c:pt idx="9">
                  <c:v>North Savo</c:v>
                </c:pt>
                <c:pt idx="10">
                  <c:v>North Karelia</c:v>
                </c:pt>
                <c:pt idx="11">
                  <c:v>Central Finland</c:v>
                </c:pt>
                <c:pt idx="12">
                  <c:v>South Ostrobothnia</c:v>
                </c:pt>
                <c:pt idx="13">
                  <c:v>Ostrobothnia</c:v>
                </c:pt>
                <c:pt idx="14">
                  <c:v>Central Ostrobothnia</c:v>
                </c:pt>
                <c:pt idx="15">
                  <c:v>North Ostrobothnia</c:v>
                </c:pt>
                <c:pt idx="16">
                  <c:v>Kainuu</c:v>
                </c:pt>
                <c:pt idx="17">
                  <c:v>Lapland</c:v>
                </c:pt>
                <c:pt idx="18">
                  <c:v>Åland</c:v>
                </c:pt>
              </c:strCache>
            </c:strRef>
          </c:cat>
          <c:val>
            <c:numRef>
              <c:f>D_el!$AI$3:$AI$21</c:f>
              <c:numCache>
                <c:formatCode>#,##0</c:formatCode>
                <c:ptCount val="19"/>
                <c:pt idx="0">
                  <c:v>16161</c:v>
                </c:pt>
                <c:pt idx="1">
                  <c:v>1887</c:v>
                </c:pt>
                <c:pt idx="2">
                  <c:v>6114</c:v>
                </c:pt>
                <c:pt idx="3">
                  <c:v>1033</c:v>
                </c:pt>
                <c:pt idx="4">
                  <c:v>2663</c:v>
                </c:pt>
                <c:pt idx="5">
                  <c:v>1551</c:v>
                </c:pt>
                <c:pt idx="6">
                  <c:v>7929</c:v>
                </c:pt>
                <c:pt idx="7">
                  <c:v>14579</c:v>
                </c:pt>
                <c:pt idx="8">
                  <c:v>869</c:v>
                </c:pt>
                <c:pt idx="9">
                  <c:v>3102</c:v>
                </c:pt>
                <c:pt idx="10">
                  <c:v>3665</c:v>
                </c:pt>
                <c:pt idx="11">
                  <c:v>9119</c:v>
                </c:pt>
                <c:pt idx="12">
                  <c:v>751</c:v>
                </c:pt>
                <c:pt idx="13">
                  <c:v>5358</c:v>
                </c:pt>
                <c:pt idx="14">
                  <c:v>852</c:v>
                </c:pt>
                <c:pt idx="15">
                  <c:v>10151</c:v>
                </c:pt>
                <c:pt idx="16">
                  <c:v>323</c:v>
                </c:pt>
                <c:pt idx="17">
                  <c:v>6899</c:v>
                </c:pt>
                <c:pt idx="18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B7-4686-A9DC-9EAF5363D9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535267744"/>
        <c:axId val="1535268224"/>
      </c:barChart>
      <c:catAx>
        <c:axId val="1535267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268224"/>
        <c:crosses val="autoZero"/>
        <c:auto val="1"/>
        <c:lblAlgn val="ctr"/>
        <c:lblOffset val="100"/>
        <c:noMultiLvlLbl val="0"/>
      </c:catAx>
      <c:valAx>
        <c:axId val="1535268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267744"/>
        <c:crosses val="autoZero"/>
        <c:crossBetween val="between"/>
        <c:majorUnit val="10000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2035*</a:t>
            </a:r>
          </a:p>
        </c:rich>
      </c:tx>
      <c:layout>
        <c:manualLayout>
          <c:xMode val="edge"/>
          <c:yMode val="edge"/>
          <c:x val="0.4369115740740739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1899572649572649"/>
          <c:y val="0.17599097222222221"/>
          <c:w val="0.59628379629629624"/>
          <c:h val="0.6211736111111112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D_el!$L$87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D_el!$J$88:$J$94</c:f>
              <c:strCache>
                <c:ptCount val="7"/>
                <c:pt idx="0">
                  <c:v>North</c:v>
                </c:pt>
                <c:pt idx="1">
                  <c:v>West</c:v>
                </c:pt>
                <c:pt idx="2">
                  <c:v>Center</c:v>
                </c:pt>
                <c:pt idx="3">
                  <c:v>East</c:v>
                </c:pt>
                <c:pt idx="4">
                  <c:v>South West</c:v>
                </c:pt>
                <c:pt idx="5">
                  <c:v>South East</c:v>
                </c:pt>
                <c:pt idx="6">
                  <c:v>Uusimaa</c:v>
                </c:pt>
              </c:strCache>
            </c:strRef>
          </c:cat>
          <c:val>
            <c:numRef>
              <c:f>D_el!$L$88:$L$94</c:f>
              <c:numCache>
                <c:formatCode>#,##0</c:formatCode>
                <c:ptCount val="7"/>
                <c:pt idx="0">
                  <c:v>15937.548017481837</c:v>
                </c:pt>
                <c:pt idx="1">
                  <c:v>13991.423666029163</c:v>
                </c:pt>
                <c:pt idx="2">
                  <c:v>10907.959880179282</c:v>
                </c:pt>
                <c:pt idx="3">
                  <c:v>7957.4846605138709</c:v>
                </c:pt>
                <c:pt idx="4">
                  <c:v>3380.6368074968541</c:v>
                </c:pt>
                <c:pt idx="5">
                  <c:v>20117.888869368995</c:v>
                </c:pt>
                <c:pt idx="6">
                  <c:v>13487.082553662654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46D-4FFA-91DE-3350B0485161}"/>
            </c:ext>
          </c:extLst>
        </c:ser>
        <c:ser>
          <c:idx val="1"/>
          <c:order val="1"/>
          <c:tx>
            <c:strRef>
              <c:f>D_el!$M$87</c:f>
              <c:strCache>
                <c:ptCount val="1"/>
                <c:pt idx="0">
                  <c:v>Commerce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D_el!$J$88:$J$94</c:f>
              <c:strCache>
                <c:ptCount val="7"/>
                <c:pt idx="0">
                  <c:v>North</c:v>
                </c:pt>
                <c:pt idx="1">
                  <c:v>West</c:v>
                </c:pt>
                <c:pt idx="2">
                  <c:v>Center</c:v>
                </c:pt>
                <c:pt idx="3">
                  <c:v>East</c:v>
                </c:pt>
                <c:pt idx="4">
                  <c:v>South West</c:v>
                </c:pt>
                <c:pt idx="5">
                  <c:v>South East</c:v>
                </c:pt>
                <c:pt idx="6">
                  <c:v>Uusimaa</c:v>
                </c:pt>
              </c:strCache>
            </c:strRef>
          </c:cat>
          <c:val>
            <c:numRef>
              <c:f>D_el!$M$88:$M$94</c:f>
              <c:numCache>
                <c:formatCode>#,##0</c:formatCode>
                <c:ptCount val="7"/>
                <c:pt idx="0">
                  <c:v>1617.0715032010019</c:v>
                </c:pt>
                <c:pt idx="1">
                  <c:v>1778.6949108228523</c:v>
                </c:pt>
                <c:pt idx="2">
                  <c:v>2038.2972753968093</c:v>
                </c:pt>
                <c:pt idx="3">
                  <c:v>1571.0130191636867</c:v>
                </c:pt>
                <c:pt idx="4">
                  <c:v>1963.766273954609</c:v>
                </c:pt>
                <c:pt idx="5">
                  <c:v>1614.5592222535122</c:v>
                </c:pt>
                <c:pt idx="6">
                  <c:v>5686.9666381346478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6D-4FFA-91DE-3350B0485161}"/>
            </c:ext>
          </c:extLst>
        </c:ser>
        <c:ser>
          <c:idx val="2"/>
          <c:order val="2"/>
          <c:tx>
            <c:strRef>
              <c:f>D_el!$N$87</c:f>
              <c:strCache>
                <c:ptCount val="1"/>
                <c:pt idx="0">
                  <c:v>Residence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D_el!$J$88:$J$94</c:f>
              <c:strCache>
                <c:ptCount val="7"/>
                <c:pt idx="0">
                  <c:v>North</c:v>
                </c:pt>
                <c:pt idx="1">
                  <c:v>West</c:v>
                </c:pt>
                <c:pt idx="2">
                  <c:v>Center</c:v>
                </c:pt>
                <c:pt idx="3">
                  <c:v>East</c:v>
                </c:pt>
                <c:pt idx="4">
                  <c:v>South West</c:v>
                </c:pt>
                <c:pt idx="5">
                  <c:v>South East</c:v>
                </c:pt>
                <c:pt idx="6">
                  <c:v>Uusimaa</c:v>
                </c:pt>
              </c:strCache>
            </c:strRef>
          </c:cat>
          <c:val>
            <c:numRef>
              <c:f>D_el!$N$88:$N$94</c:f>
              <c:numCache>
                <c:formatCode>#,##0</c:formatCode>
                <c:ptCount val="7"/>
                <c:pt idx="0">
                  <c:v>3762.0231881284208</c:v>
                </c:pt>
                <c:pt idx="1">
                  <c:v>4498.2361993895975</c:v>
                </c:pt>
                <c:pt idx="2">
                  <c:v>4297.1058406429875</c:v>
                </c:pt>
                <c:pt idx="3">
                  <c:v>3390.1217700686507</c:v>
                </c:pt>
                <c:pt idx="4">
                  <c:v>3893.5801523400396</c:v>
                </c:pt>
                <c:pt idx="5">
                  <c:v>2596.9850723697537</c:v>
                </c:pt>
                <c:pt idx="6">
                  <c:v>7387.4295288063131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6D-4FFA-91DE-3350B0485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771264239"/>
        <c:axId val="771278639"/>
        <c:extLst/>
      </c:barChart>
      <c:catAx>
        <c:axId val="77126423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278639"/>
        <c:crosses val="autoZero"/>
        <c:auto val="1"/>
        <c:lblAlgn val="ctr"/>
        <c:lblOffset val="100"/>
        <c:noMultiLvlLbl val="0"/>
      </c:catAx>
      <c:valAx>
        <c:axId val="77127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264239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30480</xdr:rowOff>
    </xdr:from>
    <xdr:to>
      <xdr:col>2</xdr:col>
      <xdr:colOff>1262708</xdr:colOff>
      <xdr:row>54</xdr:row>
      <xdr:rowOff>182879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42808-7527-C059-8104-F72748C2D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053840"/>
          <a:ext cx="3563948" cy="60045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581025</xdr:colOff>
      <xdr:row>42</xdr:row>
      <xdr:rowOff>161925</xdr:rowOff>
    </xdr:from>
    <xdr:to>
      <xdr:col>22</xdr:col>
      <xdr:colOff>245025</xdr:colOff>
      <xdr:row>61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B286D1F-A219-4213-8599-7173389A9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133350</xdr:colOff>
      <xdr:row>63</xdr:row>
      <xdr:rowOff>47625</xdr:rowOff>
    </xdr:from>
    <xdr:to>
      <xdr:col>22</xdr:col>
      <xdr:colOff>574950</xdr:colOff>
      <xdr:row>78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B86BD1-C779-4496-AFCE-ADDAFCB836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462915</xdr:colOff>
      <xdr:row>85</xdr:row>
      <xdr:rowOff>95250</xdr:rowOff>
    </xdr:from>
    <xdr:to>
      <xdr:col>22</xdr:col>
      <xdr:colOff>266699</xdr:colOff>
      <xdr:row>96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7BA5F3-FE6C-44B0-87F0-468DDDC02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561975</xdr:colOff>
      <xdr:row>6</xdr:row>
      <xdr:rowOff>80962</xdr:rowOff>
    </xdr:from>
    <xdr:to>
      <xdr:col>28</xdr:col>
      <xdr:colOff>283575</xdr:colOff>
      <xdr:row>12</xdr:row>
      <xdr:rowOff>17962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814151-D66B-5713-EF14-EB144BF37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509587</xdr:colOff>
      <xdr:row>23</xdr:row>
      <xdr:rowOff>80962</xdr:rowOff>
    </xdr:from>
    <xdr:to>
      <xdr:col>28</xdr:col>
      <xdr:colOff>411187</xdr:colOff>
      <xdr:row>82</xdr:row>
      <xdr:rowOff>262462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B34438-16AA-B981-87D9-A0B52A9E2D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581025</xdr:colOff>
      <xdr:row>84</xdr:row>
      <xdr:rowOff>142875</xdr:rowOff>
    </xdr:from>
    <xdr:to>
      <xdr:col>28</xdr:col>
      <xdr:colOff>482625</xdr:colOff>
      <xdr:row>93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16BA6C-450E-40B7-92F3-A711C62B2B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19051</xdr:colOff>
      <xdr:row>33</xdr:row>
      <xdr:rowOff>188596</xdr:rowOff>
    </xdr:from>
    <xdr:to>
      <xdr:col>30</xdr:col>
      <xdr:colOff>167641</xdr:colOff>
      <xdr:row>64</xdr:row>
      <xdr:rowOff>7588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1B0650-C05F-449A-B5D8-0D8583063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59051" y="6475096"/>
          <a:ext cx="3196590" cy="5724492"/>
        </a:xfrm>
        <a:prstGeom prst="rect">
          <a:avLst/>
        </a:prstGeom>
      </xdr:spPr>
    </xdr:pic>
    <xdr:clientData/>
  </xdr:twoCellAnchor>
  <xdr:twoCellAnchor editAs="oneCell">
    <xdr:from>
      <xdr:col>25</xdr:col>
      <xdr:colOff>0</xdr:colOff>
      <xdr:row>0</xdr:row>
      <xdr:rowOff>0</xdr:rowOff>
    </xdr:from>
    <xdr:to>
      <xdr:col>32</xdr:col>
      <xdr:colOff>394685</xdr:colOff>
      <xdr:row>26</xdr:row>
      <xdr:rowOff>180975</xdr:rowOff>
    </xdr:to>
    <xdr:pic>
      <xdr:nvPicPr>
        <xdr:cNvPr id="3" name="Picture 2" descr="Synertics - Bidding Zones">
          <a:extLst>
            <a:ext uri="{FF2B5EF4-FFF2-40B4-BE49-F238E27FC236}">
              <a16:creationId xmlns:a16="http://schemas.microsoft.com/office/drawing/2014/main" id="{48A660FC-44AB-412F-A341-71C00AC1CA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229" r="1" b="49594"/>
        <a:stretch>
          <a:fillRect/>
        </a:stretch>
      </xdr:blipFill>
      <xdr:spPr bwMode="auto">
        <a:xfrm>
          <a:off x="15240000" y="0"/>
          <a:ext cx="4661885" cy="5133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62</xdr:row>
      <xdr:rowOff>0</xdr:rowOff>
    </xdr:from>
    <xdr:to>
      <xdr:col>12</xdr:col>
      <xdr:colOff>467386</xdr:colOff>
      <xdr:row>97</xdr:row>
      <xdr:rowOff>10457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CE026DF-142B-4336-B097-8362A008E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24200" y="11338560"/>
          <a:ext cx="4841266" cy="641125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609600</xdr:colOff>
      <xdr:row>0</xdr:row>
      <xdr:rowOff>0</xdr:rowOff>
    </xdr:from>
    <xdr:to>
      <xdr:col>18</xdr:col>
      <xdr:colOff>452146</xdr:colOff>
      <xdr:row>35</xdr:row>
      <xdr:rowOff>2837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6C57E7-FE82-4AE1-ABF5-6667EE74E5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0820" y="0"/>
          <a:ext cx="4841266" cy="64112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44862B-8318-4958-811D-AFFC4E655F3A}" name="Region" displayName="Region" ref="A2:C21" totalsRowShown="0" headerRowDxfId="4">
  <autoFilter ref="A2:C21" xr:uid="{BE44862B-8318-4958-811D-AFFC4E655F3A}"/>
  <tableColumns count="3">
    <tableColumn id="1" xr3:uid="{333332FF-EB04-4086-BEAC-FE41D59F7C47}" name="Model" dataDxfId="3"/>
    <tableColumn id="2" xr3:uid="{B004BBAD-DF49-474A-A2FA-AD2F68E87E9F}" name="Administrative" dataDxfId="2"/>
    <tableColumn id="3" xr3:uid="{C89F303A-9979-44F1-A6B0-11FCE1220AC4}" name="Administrative (FI)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xdata.stat.fi/PxWeb/pxweb/en/StatFin/StatFin__tene/statfin_tene_pxt_12bu.px/" TargetMode="External"/><Relationship Id="rId2" Type="http://schemas.openxmlformats.org/officeDocument/2006/relationships/hyperlink" Target="https://pxdata.stat.fi/PxWeb/pxweb/en/StatFin/StatFin__tene/statfin_tene_pxt_12bw.px/table/tableViewLayout1/" TargetMode="External"/><Relationship Id="rId1" Type="http://schemas.openxmlformats.org/officeDocument/2006/relationships/hyperlink" Target="https://view.officeapps.live.com/op/view.aspx?src=https%3A%2F%2Fenergia.fi%2Fwp-content%2Fuploads%2F2024%2F12%2FSahkonkulutus-maakunnittain-2007-2023.xlsx&amp;wdOrigin=BROWSELINK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view.officeapps.live.com/op/view.aspx?src=https%3A%2F%2Fenergia.fi%2Fwp-content%2Fuploads%2F2024%2F05%2FDH_Regional_2023.xlsx&amp;wdOrigin=BROWSELINK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ingrid.fi/globalassets/dokumentit/fi/kantaverkko/kantaverkon-kehittaminen/fingrid_kehittamissuunnitelma_syksy23_en.pdf" TargetMode="External"/><Relationship Id="rId2" Type="http://schemas.openxmlformats.org/officeDocument/2006/relationships/hyperlink" Target="https://www.fingrid.fi/globalassets/dokumentit/fi/kantaverkko/kantaverkon-kehittaminen/fingrid_kehittamissuunnitelma_syksy23_en.pdf" TargetMode="External"/><Relationship Id="rId1" Type="http://schemas.openxmlformats.org/officeDocument/2006/relationships/hyperlink" Target="https://www.fingrid.fi/en/grid/development/part-of-the-nordic-power-system/" TargetMode="External"/><Relationship Id="rId6" Type="http://schemas.openxmlformats.org/officeDocument/2006/relationships/drawing" Target="../drawings/drawing3.xml"/><Relationship Id="rId5" Type="http://schemas.openxmlformats.org/officeDocument/2006/relationships/hyperlink" Target="https://karttapalaute.fingrid.fi/?link=hDzo" TargetMode="External"/><Relationship Id="rId4" Type="http://schemas.openxmlformats.org/officeDocument/2006/relationships/hyperlink" Target="https://www.e-cigre.org/publications/detail/207-thermal-behaviour-of-overhead-conductors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BF21-E88F-4C29-8117-31AE111BFC7A}">
  <sheetPr>
    <tabColor theme="1"/>
  </sheetPr>
  <dimension ref="A1:H27"/>
  <sheetViews>
    <sheetView zoomScaleNormal="100" workbookViewId="0">
      <selection activeCell="F17" sqref="F17"/>
    </sheetView>
  </sheetViews>
  <sheetFormatPr defaultColWidth="9.109375" defaultRowHeight="14.4"/>
  <cols>
    <col min="1" max="1" width="6.44140625" style="1" bestFit="1" customWidth="1"/>
    <col min="2" max="2" width="11.5546875" style="1" bestFit="1" customWidth="1"/>
    <col min="3" max="3" width="10.6640625" style="1" bestFit="1" customWidth="1"/>
    <col min="4" max="4" width="8.21875" style="1" bestFit="1" customWidth="1"/>
    <col min="5" max="5" width="11.5546875" style="1" customWidth="1"/>
    <col min="6" max="6" width="53.109375" style="1" customWidth="1"/>
    <col min="7" max="7" width="59.109375" style="1" customWidth="1"/>
    <col min="8" max="8" width="91.21875" style="1" customWidth="1"/>
    <col min="9" max="16384" width="9.109375" style="1"/>
  </cols>
  <sheetData>
    <row r="1" spans="1:8">
      <c r="A1" s="36" t="s">
        <v>139</v>
      </c>
      <c r="B1" s="36" t="s">
        <v>128</v>
      </c>
      <c r="C1" s="36" t="s">
        <v>138</v>
      </c>
      <c r="D1" s="119" t="s">
        <v>335</v>
      </c>
      <c r="E1" s="116" t="s">
        <v>299</v>
      </c>
      <c r="F1" s="36" t="s">
        <v>268</v>
      </c>
      <c r="G1" s="36" t="s">
        <v>123</v>
      </c>
      <c r="H1" s="36" t="s">
        <v>269</v>
      </c>
    </row>
    <row r="2" spans="1:8" ht="28.8">
      <c r="A2" s="111" t="s">
        <v>129</v>
      </c>
      <c r="B2" s="111" t="s">
        <v>58</v>
      </c>
      <c r="C2" s="112" t="s">
        <v>134</v>
      </c>
      <c r="D2" s="117" t="s">
        <v>300</v>
      </c>
      <c r="E2" s="117" t="s">
        <v>300</v>
      </c>
      <c r="F2" s="112" t="s">
        <v>270</v>
      </c>
      <c r="G2" s="78" t="s">
        <v>271</v>
      </c>
      <c r="H2" s="113" t="s">
        <v>272</v>
      </c>
    </row>
    <row r="3" spans="1:8">
      <c r="A3" s="80"/>
      <c r="B3" s="111"/>
      <c r="C3" s="112" t="s">
        <v>136</v>
      </c>
      <c r="D3" s="117" t="s">
        <v>300</v>
      </c>
      <c r="E3" s="117" t="s">
        <v>298</v>
      </c>
      <c r="F3" s="112" t="s">
        <v>273</v>
      </c>
      <c r="G3" s="78" t="s">
        <v>274</v>
      </c>
      <c r="H3" s="113"/>
    </row>
    <row r="4" spans="1:8">
      <c r="A4" s="80"/>
      <c r="B4" s="111"/>
      <c r="C4" s="112" t="s">
        <v>137</v>
      </c>
      <c r="D4" s="120" t="s">
        <v>298</v>
      </c>
      <c r="E4" s="127" t="s">
        <v>298</v>
      </c>
      <c r="F4" s="112" t="s">
        <v>275</v>
      </c>
      <c r="G4" s="78" t="s">
        <v>291</v>
      </c>
      <c r="H4" s="113"/>
    </row>
    <row r="5" spans="1:8">
      <c r="A5" s="80"/>
      <c r="B5" s="114"/>
      <c r="C5" s="114" t="s">
        <v>135</v>
      </c>
      <c r="D5" s="126" t="s">
        <v>301</v>
      </c>
      <c r="E5" s="121" t="s">
        <v>298</v>
      </c>
      <c r="F5" s="114" t="s">
        <v>281</v>
      </c>
      <c r="G5" s="114" t="s">
        <v>292</v>
      </c>
      <c r="H5" s="114" t="s">
        <v>276</v>
      </c>
    </row>
    <row r="6" spans="1:8">
      <c r="A6" s="80"/>
      <c r="B6" s="1" t="s">
        <v>130</v>
      </c>
      <c r="C6" s="75" t="s">
        <v>134</v>
      </c>
      <c r="D6" s="117" t="s">
        <v>300</v>
      </c>
      <c r="E6" s="123" t="s">
        <v>300</v>
      </c>
      <c r="F6" s="75" t="s">
        <v>277</v>
      </c>
      <c r="G6" s="75" t="s">
        <v>280</v>
      </c>
      <c r="H6" s="75" t="s">
        <v>305</v>
      </c>
    </row>
    <row r="7" spans="1:8">
      <c r="A7" s="80"/>
      <c r="C7" s="75" t="s">
        <v>278</v>
      </c>
      <c r="D7" s="117" t="s">
        <v>300</v>
      </c>
      <c r="E7" s="123" t="s">
        <v>298</v>
      </c>
      <c r="F7" s="75" t="s">
        <v>279</v>
      </c>
      <c r="G7" s="35"/>
      <c r="H7" s="35"/>
    </row>
    <row r="8" spans="1:8">
      <c r="A8" s="80"/>
      <c r="C8" s="35" t="s">
        <v>346</v>
      </c>
      <c r="D8" s="127" t="s">
        <v>298</v>
      </c>
      <c r="E8" s="122" t="s">
        <v>301</v>
      </c>
      <c r="F8" s="84" t="s">
        <v>342</v>
      </c>
      <c r="G8" s="35" t="s">
        <v>347</v>
      </c>
      <c r="H8" s="35"/>
    </row>
    <row r="9" spans="1:8">
      <c r="A9" s="80"/>
      <c r="C9" s="75" t="s">
        <v>135</v>
      </c>
      <c r="D9" s="118" t="s">
        <v>301</v>
      </c>
      <c r="E9" s="122" t="s">
        <v>298</v>
      </c>
      <c r="F9" s="75" t="s">
        <v>289</v>
      </c>
      <c r="G9" s="78" t="s">
        <v>290</v>
      </c>
      <c r="H9" s="75" t="s">
        <v>294</v>
      </c>
    </row>
    <row r="10" spans="1:8">
      <c r="A10" s="80"/>
      <c r="C10" s="75" t="s">
        <v>136</v>
      </c>
      <c r="D10" s="123" t="s">
        <v>300</v>
      </c>
      <c r="E10" s="123" t="s">
        <v>298</v>
      </c>
      <c r="F10" s="1" t="s">
        <v>277</v>
      </c>
      <c r="H10" s="1" t="s">
        <v>283</v>
      </c>
    </row>
    <row r="11" spans="1:8">
      <c r="A11" s="80"/>
      <c r="B11" s="21"/>
      <c r="C11" s="114" t="s">
        <v>137</v>
      </c>
      <c r="D11" s="124" t="s">
        <v>300</v>
      </c>
      <c r="E11" s="124" t="s">
        <v>298</v>
      </c>
      <c r="F11" s="21" t="s">
        <v>277</v>
      </c>
      <c r="G11" s="21" t="s">
        <v>282</v>
      </c>
      <c r="H11" s="21"/>
    </row>
    <row r="12" spans="1:8">
      <c r="A12" s="80"/>
      <c r="B12" s="1" t="s">
        <v>131</v>
      </c>
      <c r="C12" s="75" t="s">
        <v>293</v>
      </c>
      <c r="D12" s="118" t="s">
        <v>301</v>
      </c>
      <c r="E12" s="122" t="s">
        <v>301</v>
      </c>
      <c r="F12" s="75" t="s">
        <v>289</v>
      </c>
      <c r="G12" s="78" t="s">
        <v>290</v>
      </c>
      <c r="H12" s="73"/>
    </row>
    <row r="13" spans="1:8">
      <c r="A13" s="80"/>
      <c r="C13" s="75" t="s">
        <v>135</v>
      </c>
      <c r="D13" s="118" t="s">
        <v>301</v>
      </c>
      <c r="E13" s="122" t="s">
        <v>298</v>
      </c>
      <c r="F13" s="75" t="s">
        <v>281</v>
      </c>
      <c r="G13" s="1" t="s">
        <v>292</v>
      </c>
      <c r="H13" s="1" t="s">
        <v>294</v>
      </c>
    </row>
    <row r="14" spans="1:8">
      <c r="A14" s="80"/>
      <c r="B14" s="21"/>
      <c r="C14" s="114" t="s">
        <v>164</v>
      </c>
      <c r="D14" s="124" t="s">
        <v>300</v>
      </c>
      <c r="E14" s="124" t="s">
        <v>298</v>
      </c>
      <c r="F14" s="114" t="s">
        <v>344</v>
      </c>
      <c r="G14" s="21" t="s">
        <v>345</v>
      </c>
      <c r="H14" s="21"/>
    </row>
    <row r="15" spans="1:8" ht="28.8">
      <c r="A15" s="80"/>
      <c r="B15" s="111" t="s">
        <v>132</v>
      </c>
      <c r="C15" s="112" t="s">
        <v>134</v>
      </c>
      <c r="D15" s="117" t="s">
        <v>300</v>
      </c>
      <c r="E15" s="117" t="s">
        <v>300</v>
      </c>
      <c r="F15" s="112" t="s">
        <v>284</v>
      </c>
      <c r="G15" s="112" t="s">
        <v>285</v>
      </c>
      <c r="H15" s="113" t="s">
        <v>306</v>
      </c>
    </row>
    <row r="16" spans="1:8">
      <c r="A16" s="81"/>
      <c r="B16" s="21"/>
      <c r="C16" s="114" t="s">
        <v>135</v>
      </c>
      <c r="D16" s="124" t="s">
        <v>300</v>
      </c>
      <c r="E16" s="124" t="s">
        <v>300</v>
      </c>
      <c r="F16" s="114" t="s">
        <v>287</v>
      </c>
      <c r="G16" s="114" t="s">
        <v>286</v>
      </c>
      <c r="H16" s="21" t="s">
        <v>288</v>
      </c>
    </row>
    <row r="17" spans="1:8">
      <c r="A17" s="155" t="s">
        <v>133</v>
      </c>
      <c r="B17" s="1" t="s">
        <v>58</v>
      </c>
      <c r="C17" s="75" t="s">
        <v>134</v>
      </c>
      <c r="D17" s="123" t="s">
        <v>300</v>
      </c>
      <c r="E17" s="123" t="s">
        <v>300</v>
      </c>
      <c r="F17" s="75" t="s">
        <v>295</v>
      </c>
      <c r="G17" s="35"/>
      <c r="H17" s="35"/>
    </row>
    <row r="18" spans="1:8">
      <c r="A18" s="156"/>
      <c r="C18" s="75" t="s">
        <v>296</v>
      </c>
      <c r="D18" s="123" t="s">
        <v>300</v>
      </c>
      <c r="E18" s="123" t="s">
        <v>298</v>
      </c>
      <c r="F18" s="75" t="s">
        <v>151</v>
      </c>
    </row>
    <row r="19" spans="1:8">
      <c r="A19" s="156"/>
      <c r="B19" s="21"/>
      <c r="C19" s="114" t="s">
        <v>136</v>
      </c>
      <c r="D19" s="121" t="s">
        <v>298</v>
      </c>
      <c r="E19" s="121" t="s">
        <v>298</v>
      </c>
      <c r="F19" s="114" t="s">
        <v>160</v>
      </c>
      <c r="G19" s="114"/>
      <c r="H19" s="114"/>
    </row>
    <row r="20" spans="1:8">
      <c r="A20" s="156"/>
      <c r="B20" s="1" t="s">
        <v>140</v>
      </c>
      <c r="C20" s="75" t="s">
        <v>141</v>
      </c>
      <c r="D20" s="122" t="s">
        <v>298</v>
      </c>
      <c r="E20" s="122" t="s">
        <v>298</v>
      </c>
      <c r="F20" s="75" t="s">
        <v>160</v>
      </c>
      <c r="G20" s="75"/>
      <c r="H20" s="75"/>
    </row>
    <row r="21" spans="1:8">
      <c r="A21" s="156"/>
      <c r="C21" s="75" t="s">
        <v>142</v>
      </c>
      <c r="D21" s="122" t="s">
        <v>298</v>
      </c>
      <c r="E21" s="118" t="s">
        <v>300</v>
      </c>
      <c r="F21" s="75" t="s">
        <v>152</v>
      </c>
      <c r="G21" s="75"/>
      <c r="H21" s="75" t="s">
        <v>297</v>
      </c>
    </row>
    <row r="22" spans="1:8">
      <c r="A22" s="156"/>
      <c r="B22" s="21"/>
      <c r="C22" s="114" t="s">
        <v>143</v>
      </c>
      <c r="D22" s="121" t="s">
        <v>298</v>
      </c>
      <c r="E22" s="125" t="s">
        <v>300</v>
      </c>
      <c r="F22" s="114" t="s">
        <v>153</v>
      </c>
      <c r="G22" s="114"/>
      <c r="H22" s="114"/>
    </row>
    <row r="23" spans="1:8">
      <c r="A23" s="157"/>
      <c r="B23" s="21" t="s">
        <v>144</v>
      </c>
      <c r="C23" s="114" t="s">
        <v>141</v>
      </c>
      <c r="D23" s="121" t="s">
        <v>298</v>
      </c>
      <c r="E23" s="121" t="s">
        <v>298</v>
      </c>
      <c r="F23" s="114" t="s">
        <v>160</v>
      </c>
      <c r="G23" s="114"/>
      <c r="H23" s="115"/>
    </row>
    <row r="25" spans="1:8">
      <c r="D25" s="77" t="s">
        <v>302</v>
      </c>
    </row>
    <row r="26" spans="1:8">
      <c r="D26" s="77" t="s">
        <v>303</v>
      </c>
    </row>
    <row r="27" spans="1:8">
      <c r="D27" s="77" t="s">
        <v>304</v>
      </c>
    </row>
  </sheetData>
  <mergeCells count="1">
    <mergeCell ref="A17:A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5AA57-1E63-4771-8AC1-D1A3C82F9930}">
  <sheetPr>
    <tabColor theme="1"/>
  </sheetPr>
  <dimension ref="A1:M23"/>
  <sheetViews>
    <sheetView workbookViewId="0">
      <selection activeCell="K22" sqref="K22"/>
    </sheetView>
  </sheetViews>
  <sheetFormatPr defaultColWidth="9.109375" defaultRowHeight="14.4"/>
  <cols>
    <col min="1" max="1" width="15.21875" style="1" bestFit="1" customWidth="1"/>
    <col min="2" max="2" width="18.33203125" style="1" bestFit="1" customWidth="1"/>
    <col min="3" max="3" width="18.77734375" style="1" bestFit="1" customWidth="1"/>
    <col min="4" max="4" width="2.44140625" style="1" customWidth="1"/>
    <col min="5" max="5" width="9.77734375" style="1" bestFit="1" customWidth="1"/>
    <col min="6" max="6" width="8.88671875" style="1" bestFit="1" customWidth="1"/>
    <col min="7" max="7" width="4.44140625" style="1" customWidth="1"/>
    <col min="8" max="16384" width="9.109375" style="1"/>
  </cols>
  <sheetData>
    <row r="1" spans="1:13">
      <c r="A1" s="158" t="s">
        <v>343</v>
      </c>
      <c r="B1" s="158"/>
      <c r="C1" s="158"/>
    </row>
    <row r="2" spans="1:13">
      <c r="A2" s="75" t="s">
        <v>156</v>
      </c>
      <c r="B2" s="75" t="s">
        <v>157</v>
      </c>
      <c r="C2" s="35" t="s">
        <v>158</v>
      </c>
      <c r="E2" s="142" t="s">
        <v>322</v>
      </c>
      <c r="F2" s="142"/>
      <c r="L2" s="35"/>
      <c r="M2" s="35"/>
    </row>
    <row r="3" spans="1:13">
      <c r="A3" s="10" t="s">
        <v>28</v>
      </c>
      <c r="B3" s="22" t="s">
        <v>105</v>
      </c>
      <c r="C3" s="42" t="s">
        <v>20</v>
      </c>
      <c r="E3" s="143">
        <v>176494</v>
      </c>
      <c r="F3" s="143">
        <f>SUM(E3:E4)</f>
        <v>592097</v>
      </c>
      <c r="L3" s="35"/>
      <c r="M3" s="35"/>
    </row>
    <row r="4" spans="1:13">
      <c r="A4" s="9" t="s">
        <v>28</v>
      </c>
      <c r="B4" s="22" t="s">
        <v>104</v>
      </c>
      <c r="C4" s="42" t="s">
        <v>18</v>
      </c>
      <c r="E4" s="143">
        <v>415603</v>
      </c>
      <c r="F4" s="143"/>
      <c r="L4" s="35"/>
      <c r="M4" s="35"/>
    </row>
    <row r="5" spans="1:13">
      <c r="A5" s="10" t="s">
        <v>29</v>
      </c>
      <c r="B5" s="22" t="s">
        <v>103</v>
      </c>
      <c r="C5" s="42" t="s">
        <v>17</v>
      </c>
      <c r="E5" s="143">
        <v>67915</v>
      </c>
      <c r="F5" s="143">
        <f>SUM(E5:E8)</f>
        <v>649999</v>
      </c>
      <c r="L5" s="35"/>
      <c r="M5" s="35"/>
    </row>
    <row r="6" spans="1:13">
      <c r="A6" s="9" t="s">
        <v>29</v>
      </c>
      <c r="B6" s="22" t="s">
        <v>101</v>
      </c>
      <c r="C6" s="42" t="s">
        <v>16</v>
      </c>
      <c r="E6" s="143">
        <v>176041</v>
      </c>
      <c r="F6" s="143"/>
      <c r="L6" s="35"/>
      <c r="M6" s="35"/>
    </row>
    <row r="7" spans="1:13">
      <c r="A7" s="9" t="s">
        <v>29</v>
      </c>
      <c r="B7" s="22" t="s">
        <v>100</v>
      </c>
      <c r="C7" s="42" t="s">
        <v>23</v>
      </c>
      <c r="E7" s="143">
        <v>191762</v>
      </c>
      <c r="F7" s="143"/>
      <c r="L7" s="35"/>
      <c r="M7" s="35"/>
    </row>
    <row r="8" spans="1:13">
      <c r="A8" s="9" t="s">
        <v>29</v>
      </c>
      <c r="B8" s="22" t="s">
        <v>5</v>
      </c>
      <c r="C8" s="42" t="s">
        <v>5</v>
      </c>
      <c r="E8" s="143">
        <v>214281</v>
      </c>
      <c r="F8" s="143"/>
      <c r="L8" s="35"/>
      <c r="M8" s="35"/>
    </row>
    <row r="9" spans="1:13">
      <c r="A9" s="10" t="s">
        <v>31</v>
      </c>
      <c r="B9" s="22" t="s">
        <v>7</v>
      </c>
      <c r="C9" s="42" t="s">
        <v>7</v>
      </c>
      <c r="E9" s="143">
        <v>527478</v>
      </c>
      <c r="F9" s="143">
        <f>SUM(E9:E10)</f>
        <v>800161</v>
      </c>
    </row>
    <row r="10" spans="1:13">
      <c r="A10" s="9" t="s">
        <v>31</v>
      </c>
      <c r="B10" s="22" t="s">
        <v>99</v>
      </c>
      <c r="C10" s="42" t="s">
        <v>14</v>
      </c>
      <c r="E10" s="143">
        <v>272683</v>
      </c>
      <c r="F10" s="143"/>
    </row>
    <row r="11" spans="1:13">
      <c r="A11" s="10" t="s">
        <v>32</v>
      </c>
      <c r="B11" s="22" t="s">
        <v>19</v>
      </c>
      <c r="C11" s="42" t="s">
        <v>19</v>
      </c>
      <c r="E11" s="143">
        <v>71255</v>
      </c>
      <c r="F11" s="143">
        <f>SUM(E11:E14)</f>
        <v>614587</v>
      </c>
    </row>
    <row r="12" spans="1:13">
      <c r="A12" s="9" t="s">
        <v>32</v>
      </c>
      <c r="B12" s="22" t="s">
        <v>145</v>
      </c>
      <c r="C12" s="42" t="s">
        <v>12</v>
      </c>
      <c r="E12" s="143">
        <v>248363</v>
      </c>
      <c r="F12" s="143"/>
    </row>
    <row r="13" spans="1:13">
      <c r="A13" s="9" t="s">
        <v>32</v>
      </c>
      <c r="B13" s="22" t="s">
        <v>146</v>
      </c>
      <c r="C13" s="42" t="s">
        <v>11</v>
      </c>
      <c r="E13" s="143">
        <v>131688</v>
      </c>
      <c r="F13" s="143"/>
    </row>
    <row r="14" spans="1:13">
      <c r="A14" s="9" t="s">
        <v>32</v>
      </c>
      <c r="B14" s="22" t="s">
        <v>102</v>
      </c>
      <c r="C14" s="42" t="s">
        <v>13</v>
      </c>
      <c r="E14" s="143">
        <v>163281</v>
      </c>
      <c r="F14" s="143"/>
    </row>
    <row r="15" spans="1:13">
      <c r="A15" s="10" t="s">
        <v>33</v>
      </c>
      <c r="B15" s="22" t="s">
        <v>106</v>
      </c>
      <c r="C15" s="42" t="s">
        <v>22</v>
      </c>
      <c r="E15" s="143">
        <v>30344</v>
      </c>
      <c r="F15" s="143">
        <f>SUM(E15:E17)</f>
        <v>684034</v>
      </c>
    </row>
    <row r="16" spans="1:13">
      <c r="A16" s="9" t="s">
        <v>33</v>
      </c>
      <c r="B16" s="22" t="s">
        <v>147</v>
      </c>
      <c r="C16" s="42" t="s">
        <v>4</v>
      </c>
      <c r="E16" s="143">
        <v>483477</v>
      </c>
      <c r="F16" s="143"/>
    </row>
    <row r="17" spans="1:8">
      <c r="A17" s="9" t="s">
        <v>33</v>
      </c>
      <c r="B17" s="22" t="s">
        <v>6</v>
      </c>
      <c r="C17" s="42" t="s">
        <v>6</v>
      </c>
      <c r="E17" s="143">
        <v>170213</v>
      </c>
      <c r="F17" s="143"/>
    </row>
    <row r="18" spans="1:8">
      <c r="A18" s="10" t="s">
        <v>34</v>
      </c>
      <c r="B18" s="22" t="s">
        <v>8</v>
      </c>
      <c r="C18" s="42" t="s">
        <v>8</v>
      </c>
      <c r="E18" s="143">
        <v>205124</v>
      </c>
      <c r="F18" s="143">
        <f>SUM(E18:E20)</f>
        <v>492622</v>
      </c>
      <c r="H18" s="35"/>
    </row>
    <row r="19" spans="1:8">
      <c r="A19" s="9" t="s">
        <v>34</v>
      </c>
      <c r="B19" s="22" t="s">
        <v>9</v>
      </c>
      <c r="C19" s="42" t="s">
        <v>9</v>
      </c>
      <c r="E19" s="143">
        <v>161391</v>
      </c>
      <c r="F19" s="143"/>
      <c r="H19" s="35"/>
    </row>
    <row r="20" spans="1:8">
      <c r="A20" s="9" t="s">
        <v>34</v>
      </c>
      <c r="B20" s="22" t="s">
        <v>98</v>
      </c>
      <c r="C20" s="42" t="s">
        <v>10</v>
      </c>
      <c r="E20" s="143">
        <v>126107</v>
      </c>
      <c r="F20" s="143"/>
      <c r="H20" s="35"/>
    </row>
    <row r="21" spans="1:8">
      <c r="A21" s="10" t="s">
        <v>3</v>
      </c>
      <c r="B21" s="22" t="s">
        <v>3</v>
      </c>
      <c r="C21" s="141" t="s">
        <v>3</v>
      </c>
      <c r="E21" s="143">
        <v>1714741</v>
      </c>
      <c r="F21" s="143">
        <f>E21</f>
        <v>1714741</v>
      </c>
      <c r="H21" s="35"/>
    </row>
    <row r="23" spans="1:8">
      <c r="H23" s="35"/>
    </row>
  </sheetData>
  <mergeCells count="1">
    <mergeCell ref="A1:C1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6600"/>
  </sheetPr>
  <dimension ref="A1:AI104"/>
  <sheetViews>
    <sheetView topLeftCell="A81" workbookViewId="0">
      <selection activeCell="K88" sqref="K88"/>
    </sheetView>
  </sheetViews>
  <sheetFormatPr defaultColWidth="9.109375" defaultRowHeight="14.4"/>
  <cols>
    <col min="1" max="11" width="9.109375" style="2"/>
    <col min="12" max="12" width="9.88671875" style="2" bestFit="1" customWidth="1"/>
    <col min="13" max="16384" width="9.109375" style="2"/>
  </cols>
  <sheetData>
    <row r="1" spans="1:35">
      <c r="A1" s="3" t="s">
        <v>36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pans="1:35">
      <c r="A2" s="12" t="s">
        <v>165</v>
      </c>
      <c r="B2" s="13" t="s">
        <v>0</v>
      </c>
      <c r="C2" s="13"/>
      <c r="D2" s="12"/>
      <c r="E2" s="12"/>
      <c r="F2" s="12"/>
      <c r="G2" s="12" t="s">
        <v>25</v>
      </c>
      <c r="H2" s="12"/>
      <c r="I2" s="12"/>
      <c r="J2" s="12"/>
      <c r="L2" s="12" t="s">
        <v>166</v>
      </c>
      <c r="M2" s="12" t="s">
        <v>38</v>
      </c>
      <c r="N2" s="12"/>
      <c r="O2" s="12"/>
      <c r="P2" s="12"/>
      <c r="Q2" s="12"/>
      <c r="R2" s="12"/>
      <c r="T2" s="12"/>
      <c r="U2" s="12" t="s">
        <v>108</v>
      </c>
      <c r="V2" s="12"/>
      <c r="W2" s="12"/>
      <c r="AA2" s="5" t="s">
        <v>1</v>
      </c>
      <c r="AB2" s="5" t="s">
        <v>27</v>
      </c>
      <c r="AC2" s="5" t="s">
        <v>26</v>
      </c>
      <c r="AE2" s="5"/>
      <c r="AF2" s="15" t="s">
        <v>1</v>
      </c>
      <c r="AG2" s="5" t="s">
        <v>27</v>
      </c>
      <c r="AH2" s="5" t="s">
        <v>26</v>
      </c>
    </row>
    <row r="3" spans="1:35">
      <c r="A3" s="25" t="s">
        <v>37</v>
      </c>
      <c r="B3" s="13"/>
      <c r="C3" s="13"/>
      <c r="D3" s="12"/>
      <c r="E3" s="12"/>
      <c r="F3" s="12"/>
      <c r="G3" s="12"/>
      <c r="H3" s="12"/>
      <c r="I3" s="12"/>
      <c r="J3" s="12"/>
      <c r="L3" s="25" t="s">
        <v>47</v>
      </c>
      <c r="M3" s="12"/>
      <c r="N3" s="12"/>
      <c r="O3" s="12"/>
      <c r="P3" s="12"/>
      <c r="Q3" s="12"/>
      <c r="R3" s="12"/>
      <c r="T3" s="12" t="s">
        <v>167</v>
      </c>
      <c r="U3" s="46" t="s">
        <v>96</v>
      </c>
      <c r="V3" s="12"/>
      <c r="W3" s="12"/>
      <c r="X3" s="128" t="s">
        <v>163</v>
      </c>
      <c r="Z3" s="1">
        <v>2007</v>
      </c>
      <c r="AA3" s="2">
        <f>C26</f>
        <v>47677</v>
      </c>
      <c r="AB3" s="2">
        <f>D26</f>
        <v>17263</v>
      </c>
      <c r="AC3" s="2">
        <f>E26</f>
        <v>22391</v>
      </c>
      <c r="AE3" s="2" t="s">
        <v>3</v>
      </c>
      <c r="AF3" s="16">
        <v>4073</v>
      </c>
      <c r="AG3" s="10">
        <v>6791</v>
      </c>
      <c r="AH3" s="10">
        <v>5840</v>
      </c>
      <c r="AI3" s="2">
        <f t="shared" ref="AI3:AI21" si="0">W6-V6</f>
        <v>16161</v>
      </c>
    </row>
    <row r="4" spans="1:35">
      <c r="A4" s="14" t="s">
        <v>48</v>
      </c>
      <c r="B4" s="14"/>
      <c r="C4" s="162">
        <v>2007</v>
      </c>
      <c r="D4" s="163"/>
      <c r="E4" s="163"/>
      <c r="F4" s="163"/>
      <c r="G4" s="162">
        <v>2023</v>
      </c>
      <c r="H4" s="163"/>
      <c r="I4" s="163"/>
      <c r="J4" s="163"/>
      <c r="K4" s="17"/>
      <c r="L4" s="27" t="s">
        <v>48</v>
      </c>
      <c r="M4" s="28" t="s">
        <v>45</v>
      </c>
      <c r="N4" s="28" t="s">
        <v>46</v>
      </c>
      <c r="O4" s="1"/>
      <c r="T4" s="12" t="s">
        <v>168</v>
      </c>
      <c r="U4" s="46" t="s">
        <v>97</v>
      </c>
      <c r="V4" s="12"/>
      <c r="W4" s="12"/>
      <c r="X4" s="128" t="s">
        <v>163</v>
      </c>
      <c r="Z4" s="1">
        <v>2023</v>
      </c>
      <c r="AA4" s="2">
        <f>G26</f>
        <v>34100</v>
      </c>
      <c r="AB4" s="2">
        <f>H26</f>
        <v>19428</v>
      </c>
      <c r="AC4" s="2">
        <f>I26</f>
        <v>23575</v>
      </c>
      <c r="AE4" s="2" t="s">
        <v>147</v>
      </c>
      <c r="AF4" s="16">
        <v>1041</v>
      </c>
      <c r="AG4" s="10">
        <v>1661</v>
      </c>
      <c r="AH4" s="10">
        <v>2146</v>
      </c>
      <c r="AI4" s="2">
        <f t="shared" si="0"/>
        <v>1887</v>
      </c>
    </row>
    <row r="5" spans="1:35">
      <c r="A5" s="5"/>
      <c r="B5" s="5"/>
      <c r="C5" s="15" t="s">
        <v>1</v>
      </c>
      <c r="D5" s="5" t="s">
        <v>27</v>
      </c>
      <c r="E5" s="5" t="s">
        <v>26</v>
      </c>
      <c r="F5" s="8" t="s">
        <v>2</v>
      </c>
      <c r="G5" s="15" t="s">
        <v>1</v>
      </c>
      <c r="H5" s="5" t="s">
        <v>27</v>
      </c>
      <c r="I5" s="5" t="s">
        <v>26</v>
      </c>
      <c r="J5" s="8" t="s">
        <v>2</v>
      </c>
      <c r="K5" s="17"/>
      <c r="L5" s="26" t="s">
        <v>39</v>
      </c>
      <c r="M5" s="59">
        <v>24142.483306732149</v>
      </c>
      <c r="N5" s="60">
        <v>29821.686839316582</v>
      </c>
      <c r="O5" s="11">
        <f>N5/$N$13</f>
        <v>0.22609787912614943</v>
      </c>
      <c r="P5" s="7"/>
      <c r="T5" s="5"/>
      <c r="U5" s="5"/>
      <c r="V5" s="5" t="s">
        <v>107</v>
      </c>
      <c r="W5" s="5" t="s">
        <v>44</v>
      </c>
      <c r="X5" s="7" t="s">
        <v>121</v>
      </c>
      <c r="Z5" s="1" t="s">
        <v>307</v>
      </c>
      <c r="AA5" s="2">
        <f>N7</f>
        <v>85806.024454732658</v>
      </c>
      <c r="AB5" s="2">
        <f>N6</f>
        <v>16269.531415944622</v>
      </c>
      <c r="AC5" s="2">
        <f>N5</f>
        <v>29821.686839316582</v>
      </c>
      <c r="AD5" s="37"/>
      <c r="AE5" s="2" t="s">
        <v>5</v>
      </c>
      <c r="AF5" s="16">
        <v>3334</v>
      </c>
      <c r="AG5" s="10">
        <v>707</v>
      </c>
      <c r="AH5" s="10">
        <v>1040</v>
      </c>
      <c r="AI5" s="2">
        <f t="shared" si="0"/>
        <v>6114</v>
      </c>
    </row>
    <row r="6" spans="1:35">
      <c r="A6" s="2" t="s">
        <v>3</v>
      </c>
      <c r="C6" s="16">
        <v>2912</v>
      </c>
      <c r="D6" s="10">
        <v>5497</v>
      </c>
      <c r="E6" s="10">
        <v>4658</v>
      </c>
      <c r="F6" s="6">
        <v>13066</v>
      </c>
      <c r="G6" s="16">
        <v>4073</v>
      </c>
      <c r="H6" s="10">
        <v>6791</v>
      </c>
      <c r="I6" s="10">
        <v>5840</v>
      </c>
      <c r="J6" s="6">
        <v>16704</v>
      </c>
      <c r="K6" s="17"/>
      <c r="L6" s="26" t="s">
        <v>40</v>
      </c>
      <c r="M6" s="59">
        <v>18496.723118567548</v>
      </c>
      <c r="N6" s="60">
        <v>16269.531415944622</v>
      </c>
      <c r="O6" s="11">
        <f>N6/$N$13</f>
        <v>0.12335004949054845</v>
      </c>
      <c r="P6" s="7"/>
      <c r="T6" s="2" t="s">
        <v>3</v>
      </c>
      <c r="V6" s="9">
        <v>4650</v>
      </c>
      <c r="W6" s="9">
        <v>20811</v>
      </c>
      <c r="X6" s="11">
        <f>V6/W6</f>
        <v>0.22343952717312959</v>
      </c>
      <c r="Z6" s="7"/>
      <c r="AA6" s="86">
        <f>AA5/AA4</f>
        <v>2.5163057024848285</v>
      </c>
      <c r="AB6" s="35"/>
      <c r="AE6" s="2" t="s">
        <v>6</v>
      </c>
      <c r="AF6" s="16">
        <v>753</v>
      </c>
      <c r="AG6" s="10">
        <v>578</v>
      </c>
      <c r="AH6" s="10">
        <v>800</v>
      </c>
      <c r="AI6" s="2">
        <f t="shared" si="0"/>
        <v>1033</v>
      </c>
    </row>
    <row r="7" spans="1:35">
      <c r="A7" s="2" t="s">
        <v>4</v>
      </c>
      <c r="C7" s="16">
        <v>1477</v>
      </c>
      <c r="D7" s="10">
        <v>1356</v>
      </c>
      <c r="E7" s="10">
        <v>2018</v>
      </c>
      <c r="F7" s="6">
        <v>4852</v>
      </c>
      <c r="G7" s="16">
        <v>1041</v>
      </c>
      <c r="H7" s="10">
        <v>1661</v>
      </c>
      <c r="I7" s="10">
        <v>2146</v>
      </c>
      <c r="J7" s="6">
        <v>4847</v>
      </c>
      <c r="K7" s="17"/>
      <c r="L7" s="26" t="s">
        <v>1</v>
      </c>
      <c r="M7" s="59">
        <v>41166.333333363888</v>
      </c>
      <c r="N7" s="60">
        <v>85806.024454732658</v>
      </c>
      <c r="O7" s="11">
        <f>N7/$N$13</f>
        <v>0.65055207138330218</v>
      </c>
      <c r="P7" s="7"/>
      <c r="T7" s="2" t="s">
        <v>4</v>
      </c>
      <c r="V7" s="9">
        <v>955</v>
      </c>
      <c r="W7" s="9">
        <v>2842</v>
      </c>
      <c r="X7" s="11">
        <f t="shared" ref="X7:X25" si="1">V7/W7</f>
        <v>0.33603096410978184</v>
      </c>
      <c r="Z7" s="7"/>
      <c r="AA7" s="7"/>
      <c r="AB7" s="35"/>
      <c r="AE7" s="2" t="s">
        <v>7</v>
      </c>
      <c r="AF7" s="16">
        <v>1972</v>
      </c>
      <c r="AG7" s="10">
        <v>1643</v>
      </c>
      <c r="AH7" s="10">
        <v>2188</v>
      </c>
      <c r="AI7" s="2">
        <f t="shared" si="0"/>
        <v>2663</v>
      </c>
    </row>
    <row r="8" spans="1:35">
      <c r="A8" s="2" t="s">
        <v>5</v>
      </c>
      <c r="C8" s="16">
        <v>4946</v>
      </c>
      <c r="D8" s="10">
        <v>574</v>
      </c>
      <c r="E8" s="10">
        <v>995</v>
      </c>
      <c r="F8" s="6">
        <v>6514</v>
      </c>
      <c r="G8" s="16">
        <v>3334</v>
      </c>
      <c r="H8" s="10">
        <v>707</v>
      </c>
      <c r="I8" s="10">
        <v>1040</v>
      </c>
      <c r="J8" s="6">
        <v>5080</v>
      </c>
      <c r="K8" s="17"/>
      <c r="L8" s="31" t="s">
        <v>41</v>
      </c>
      <c r="M8" s="59">
        <v>859.00000001979413</v>
      </c>
      <c r="N8" s="59">
        <v>9937.3888423200478</v>
      </c>
      <c r="O8" s="7"/>
      <c r="P8" s="7"/>
      <c r="T8" s="2" t="s">
        <v>5</v>
      </c>
      <c r="V8" s="9">
        <v>3123</v>
      </c>
      <c r="W8" s="9">
        <v>9237</v>
      </c>
      <c r="X8" s="11">
        <f t="shared" si="1"/>
        <v>0.33809678467034754</v>
      </c>
      <c r="Z8" s="7"/>
      <c r="AA8" s="7"/>
      <c r="AB8" s="35"/>
      <c r="AE8" s="2" t="s">
        <v>8</v>
      </c>
      <c r="AF8" s="16">
        <v>741</v>
      </c>
      <c r="AG8" s="10">
        <v>566</v>
      </c>
      <c r="AH8" s="10">
        <v>848</v>
      </c>
      <c r="AI8" s="2">
        <f t="shared" si="0"/>
        <v>1551</v>
      </c>
    </row>
    <row r="9" spans="1:35">
      <c r="A9" s="2" t="s">
        <v>6</v>
      </c>
      <c r="C9" s="16">
        <v>803</v>
      </c>
      <c r="D9" s="10">
        <v>566</v>
      </c>
      <c r="E9" s="10">
        <v>766</v>
      </c>
      <c r="F9" s="6">
        <v>2136</v>
      </c>
      <c r="G9" s="16">
        <v>753</v>
      </c>
      <c r="H9" s="10">
        <v>578</v>
      </c>
      <c r="I9" s="10">
        <v>800</v>
      </c>
      <c r="J9" s="6">
        <v>2130</v>
      </c>
      <c r="K9" s="17"/>
      <c r="L9" s="31" t="s">
        <v>42</v>
      </c>
      <c r="M9" s="59">
        <v>1474.9999999999998</v>
      </c>
      <c r="N9" s="59">
        <v>1980.3153581245233</v>
      </c>
      <c r="O9" s="7"/>
      <c r="P9" s="7"/>
      <c r="T9" s="2" t="s">
        <v>6</v>
      </c>
      <c r="V9" s="9">
        <v>668</v>
      </c>
      <c r="W9" s="9">
        <v>1701</v>
      </c>
      <c r="X9" s="11">
        <f t="shared" si="1"/>
        <v>0.39271017048794826</v>
      </c>
      <c r="Z9" s="7"/>
      <c r="AA9" s="7"/>
      <c r="AB9" s="35"/>
      <c r="AE9" s="2" t="s">
        <v>9</v>
      </c>
      <c r="AF9" s="16">
        <v>2023</v>
      </c>
      <c r="AG9" s="10">
        <v>945</v>
      </c>
      <c r="AH9" s="10">
        <v>713</v>
      </c>
      <c r="AI9" s="2">
        <f t="shared" si="0"/>
        <v>7929</v>
      </c>
    </row>
    <row r="10" spans="1:35">
      <c r="A10" s="2" t="s">
        <v>7</v>
      </c>
      <c r="C10" s="16">
        <v>3170</v>
      </c>
      <c r="D10" s="10">
        <v>1336</v>
      </c>
      <c r="E10" s="10">
        <v>1854</v>
      </c>
      <c r="F10" s="6">
        <v>6360</v>
      </c>
      <c r="G10" s="16">
        <v>1972</v>
      </c>
      <c r="H10" s="10">
        <v>1643</v>
      </c>
      <c r="I10" s="10">
        <v>2188</v>
      </c>
      <c r="J10" s="6">
        <v>5804</v>
      </c>
      <c r="K10" s="17"/>
      <c r="L10" s="31" t="s">
        <v>43</v>
      </c>
      <c r="M10" s="59">
        <v>0</v>
      </c>
      <c r="N10" s="59">
        <v>0</v>
      </c>
      <c r="O10" s="7"/>
      <c r="P10" s="7"/>
      <c r="T10" s="2" t="s">
        <v>7</v>
      </c>
      <c r="V10" s="9">
        <v>2012</v>
      </c>
      <c r="W10" s="9">
        <v>4675</v>
      </c>
      <c r="X10" s="11">
        <f t="shared" si="1"/>
        <v>0.43037433155080212</v>
      </c>
      <c r="Z10" s="7"/>
      <c r="AA10" s="7"/>
      <c r="AB10" s="35"/>
      <c r="AE10" s="2" t="s">
        <v>98</v>
      </c>
      <c r="AF10" s="16">
        <v>3933</v>
      </c>
      <c r="AG10" s="10">
        <v>417</v>
      </c>
      <c r="AH10" s="10">
        <v>492</v>
      </c>
      <c r="AI10" s="2">
        <f t="shared" si="0"/>
        <v>14579</v>
      </c>
    </row>
    <row r="11" spans="1:35">
      <c r="A11" s="2" t="s">
        <v>8</v>
      </c>
      <c r="C11" s="16">
        <v>873</v>
      </c>
      <c r="D11" s="10">
        <v>607</v>
      </c>
      <c r="E11" s="10">
        <v>851</v>
      </c>
      <c r="F11" s="6">
        <v>2331</v>
      </c>
      <c r="G11" s="16">
        <v>741</v>
      </c>
      <c r="H11" s="10">
        <v>566</v>
      </c>
      <c r="I11" s="10">
        <v>848</v>
      </c>
      <c r="J11" s="6">
        <v>2154</v>
      </c>
      <c r="K11" s="17"/>
      <c r="L11" s="31" t="s">
        <v>44</v>
      </c>
      <c r="M11" s="59">
        <v>2597</v>
      </c>
      <c r="N11" s="59">
        <v>2597</v>
      </c>
      <c r="O11" s="7"/>
      <c r="P11" s="7"/>
      <c r="T11" s="2" t="s">
        <v>8</v>
      </c>
      <c r="V11" s="9">
        <v>706</v>
      </c>
      <c r="W11" s="9">
        <v>2257</v>
      </c>
      <c r="X11" s="11">
        <f t="shared" si="1"/>
        <v>0.3128046078865751</v>
      </c>
      <c r="Z11" s="7"/>
      <c r="AA11" s="7"/>
      <c r="AB11" s="35"/>
      <c r="AE11" s="2" t="s">
        <v>146</v>
      </c>
      <c r="AF11" s="16">
        <v>332</v>
      </c>
      <c r="AG11" s="10">
        <v>429</v>
      </c>
      <c r="AH11" s="10">
        <v>654</v>
      </c>
      <c r="AI11" s="2">
        <f t="shared" si="0"/>
        <v>869</v>
      </c>
    </row>
    <row r="12" spans="1:35">
      <c r="A12" s="2" t="s">
        <v>9</v>
      </c>
      <c r="C12" s="16">
        <v>5234</v>
      </c>
      <c r="D12" s="10">
        <v>671</v>
      </c>
      <c r="E12" s="10">
        <v>790</v>
      </c>
      <c r="F12" s="6">
        <v>6694</v>
      </c>
      <c r="G12" s="16">
        <v>2023</v>
      </c>
      <c r="H12" s="10">
        <v>945</v>
      </c>
      <c r="I12" s="10">
        <v>713</v>
      </c>
      <c r="J12" s="6">
        <v>3681</v>
      </c>
      <c r="K12" s="17"/>
      <c r="L12" s="26" t="s">
        <v>2</v>
      </c>
      <c r="M12" s="6">
        <f>SUM(M5:M11)</f>
        <v>88736.539758683371</v>
      </c>
      <c r="N12" s="6">
        <f>SUM(N5:N11)</f>
        <v>146411.94691043842</v>
      </c>
      <c r="O12" s="9"/>
      <c r="T12" s="2" t="s">
        <v>9</v>
      </c>
      <c r="V12" s="9">
        <v>2214</v>
      </c>
      <c r="W12" s="9">
        <v>10143</v>
      </c>
      <c r="X12" s="11">
        <f t="shared" si="1"/>
        <v>0.21827861579414373</v>
      </c>
      <c r="Z12" s="7"/>
      <c r="AA12" s="7"/>
      <c r="AB12" s="35"/>
      <c r="AE12" s="2" t="s">
        <v>145</v>
      </c>
      <c r="AF12" s="16">
        <v>1569</v>
      </c>
      <c r="AG12" s="10">
        <v>765</v>
      </c>
      <c r="AH12" s="10">
        <v>1015</v>
      </c>
      <c r="AI12" s="2">
        <f t="shared" si="0"/>
        <v>3102</v>
      </c>
    </row>
    <row r="13" spans="1:35">
      <c r="A13" s="2" t="s">
        <v>10</v>
      </c>
      <c r="C13" s="16">
        <v>4967</v>
      </c>
      <c r="D13" s="10">
        <v>435</v>
      </c>
      <c r="E13" s="10">
        <v>551</v>
      </c>
      <c r="F13" s="6">
        <v>5953</v>
      </c>
      <c r="G13" s="16">
        <v>3933</v>
      </c>
      <c r="H13" s="10">
        <v>417</v>
      </c>
      <c r="I13" s="10">
        <v>492</v>
      </c>
      <c r="J13" s="6">
        <v>4842</v>
      </c>
      <c r="K13" s="17"/>
      <c r="L13" s="2" t="s">
        <v>56</v>
      </c>
      <c r="M13" s="6">
        <f>SUM(M5:M7)</f>
        <v>83805.539758663581</v>
      </c>
      <c r="N13" s="6">
        <f>SUM(N5:N7)</f>
        <v>131897.24270999385</v>
      </c>
      <c r="O13" s="55"/>
      <c r="T13" s="2" t="s">
        <v>98</v>
      </c>
      <c r="V13" s="9">
        <v>3580</v>
      </c>
      <c r="W13" s="9">
        <v>18159</v>
      </c>
      <c r="X13" s="11">
        <f t="shared" si="1"/>
        <v>0.19714742001211522</v>
      </c>
      <c r="Z13" s="7"/>
      <c r="AA13" s="7"/>
      <c r="AB13" s="35"/>
      <c r="AE13" s="2" t="s">
        <v>102</v>
      </c>
      <c r="AF13" s="16">
        <v>1254</v>
      </c>
      <c r="AG13" s="10">
        <v>433</v>
      </c>
      <c r="AH13" s="10">
        <v>701</v>
      </c>
      <c r="AI13" s="2">
        <f t="shared" si="0"/>
        <v>3665</v>
      </c>
    </row>
    <row r="14" spans="1:35">
      <c r="A14" s="2" t="s">
        <v>11</v>
      </c>
      <c r="C14" s="16">
        <v>411</v>
      </c>
      <c r="D14" s="10">
        <v>468</v>
      </c>
      <c r="E14" s="10">
        <v>769</v>
      </c>
      <c r="F14" s="6">
        <v>1649</v>
      </c>
      <c r="G14" s="16">
        <v>332</v>
      </c>
      <c r="H14" s="10">
        <v>429</v>
      </c>
      <c r="I14" s="10">
        <v>654</v>
      </c>
      <c r="J14" s="6">
        <v>1415</v>
      </c>
      <c r="K14" s="17"/>
      <c r="T14" s="2" t="s">
        <v>11</v>
      </c>
      <c r="V14" s="9">
        <v>341</v>
      </c>
      <c r="W14" s="9">
        <v>1210</v>
      </c>
      <c r="X14" s="11">
        <f t="shared" si="1"/>
        <v>0.2818181818181818</v>
      </c>
      <c r="Z14" s="7"/>
      <c r="AA14" s="7"/>
      <c r="AB14" s="35"/>
      <c r="AE14" s="2" t="s">
        <v>99</v>
      </c>
      <c r="AF14" s="16">
        <v>2365</v>
      </c>
      <c r="AG14" s="10">
        <v>791</v>
      </c>
      <c r="AH14" s="10">
        <v>1209</v>
      </c>
      <c r="AI14" s="2">
        <f t="shared" si="0"/>
        <v>9119</v>
      </c>
    </row>
    <row r="15" spans="1:35">
      <c r="A15" s="2" t="s">
        <v>12</v>
      </c>
      <c r="C15" s="16">
        <v>2194</v>
      </c>
      <c r="D15" s="10">
        <v>709</v>
      </c>
      <c r="E15" s="10">
        <v>1078</v>
      </c>
      <c r="F15" s="6">
        <v>3981</v>
      </c>
      <c r="G15" s="16">
        <v>1569</v>
      </c>
      <c r="H15" s="10">
        <v>765</v>
      </c>
      <c r="I15" s="10">
        <v>1015</v>
      </c>
      <c r="J15" s="6">
        <v>3349</v>
      </c>
      <c r="K15" s="17"/>
      <c r="L15" s="12" t="s">
        <v>169</v>
      </c>
      <c r="M15" s="12"/>
      <c r="N15" s="12"/>
      <c r="O15" s="32"/>
      <c r="P15" s="12"/>
      <c r="Q15" s="12"/>
      <c r="R15" s="12"/>
      <c r="T15" s="2" t="s">
        <v>12</v>
      </c>
      <c r="V15" s="9">
        <v>1357</v>
      </c>
      <c r="W15" s="9">
        <v>4459</v>
      </c>
      <c r="X15" s="11">
        <f t="shared" si="1"/>
        <v>0.30432832473648802</v>
      </c>
      <c r="Z15" s="7"/>
      <c r="AA15" s="7"/>
      <c r="AB15" s="35"/>
      <c r="AE15" s="2" t="s">
        <v>100</v>
      </c>
      <c r="AF15" s="16">
        <v>545</v>
      </c>
      <c r="AG15" s="10">
        <v>622</v>
      </c>
      <c r="AH15" s="10">
        <v>925</v>
      </c>
      <c r="AI15" s="2">
        <f t="shared" si="0"/>
        <v>751</v>
      </c>
    </row>
    <row r="16" spans="1:35">
      <c r="A16" s="2" t="s">
        <v>13</v>
      </c>
      <c r="C16" s="16">
        <v>1053</v>
      </c>
      <c r="D16" s="10">
        <v>464</v>
      </c>
      <c r="E16" s="10">
        <v>734</v>
      </c>
      <c r="F16" s="6">
        <v>2251</v>
      </c>
      <c r="G16" s="16">
        <v>1254</v>
      </c>
      <c r="H16" s="10">
        <v>433</v>
      </c>
      <c r="I16" s="10">
        <v>701</v>
      </c>
      <c r="J16" s="6">
        <v>2388</v>
      </c>
      <c r="K16" s="17"/>
      <c r="L16" s="2" t="s">
        <v>51</v>
      </c>
      <c r="M16" s="9">
        <v>132860</v>
      </c>
      <c r="O16" s="9"/>
      <c r="T16" s="2" t="s">
        <v>102</v>
      </c>
      <c r="V16" s="9">
        <v>788</v>
      </c>
      <c r="W16" s="9">
        <v>4453</v>
      </c>
      <c r="X16" s="11">
        <f t="shared" si="1"/>
        <v>0.17695935324500336</v>
      </c>
      <c r="Z16" s="7"/>
      <c r="AA16" s="7"/>
      <c r="AB16" s="35"/>
      <c r="AE16" s="2" t="s">
        <v>101</v>
      </c>
      <c r="AF16" s="16">
        <v>1125</v>
      </c>
      <c r="AG16" s="10">
        <v>619</v>
      </c>
      <c r="AH16" s="10">
        <v>1250</v>
      </c>
      <c r="AI16" s="2">
        <f t="shared" si="0"/>
        <v>5358</v>
      </c>
    </row>
    <row r="17" spans="1:35">
      <c r="A17" s="2" t="s">
        <v>14</v>
      </c>
      <c r="C17" s="16">
        <v>4749</v>
      </c>
      <c r="D17" s="10">
        <v>778</v>
      </c>
      <c r="E17" s="10">
        <v>1252</v>
      </c>
      <c r="F17" s="6">
        <v>6779</v>
      </c>
      <c r="G17" s="16">
        <v>2365</v>
      </c>
      <c r="H17" s="10">
        <v>791</v>
      </c>
      <c r="I17" s="10">
        <v>1209</v>
      </c>
      <c r="J17" s="6">
        <v>4365</v>
      </c>
      <c r="K17" s="17"/>
      <c r="L17" s="2" t="s">
        <v>52</v>
      </c>
      <c r="M17" s="9">
        <v>72580</v>
      </c>
      <c r="O17" s="9"/>
      <c r="T17" s="2" t="s">
        <v>99</v>
      </c>
      <c r="V17" s="9">
        <v>2226</v>
      </c>
      <c r="W17" s="9">
        <v>11345</v>
      </c>
      <c r="X17" s="11">
        <f t="shared" si="1"/>
        <v>0.19620978404583517</v>
      </c>
      <c r="Z17" s="7"/>
      <c r="AA17" s="7"/>
      <c r="AB17" s="35"/>
      <c r="AE17" s="2" t="s">
        <v>103</v>
      </c>
      <c r="AF17" s="16">
        <v>1525</v>
      </c>
      <c r="AG17" s="10">
        <v>176</v>
      </c>
      <c r="AH17" s="10">
        <v>341</v>
      </c>
      <c r="AI17" s="2">
        <f t="shared" si="0"/>
        <v>852</v>
      </c>
    </row>
    <row r="18" spans="1:35">
      <c r="A18" s="2" t="s">
        <v>15</v>
      </c>
      <c r="C18" s="16">
        <v>538</v>
      </c>
      <c r="D18" s="10">
        <v>542</v>
      </c>
      <c r="E18" s="10">
        <v>878</v>
      </c>
      <c r="F18" s="6">
        <v>1957</v>
      </c>
      <c r="G18" s="16">
        <v>545</v>
      </c>
      <c r="H18" s="10">
        <v>622</v>
      </c>
      <c r="I18" s="10">
        <v>925</v>
      </c>
      <c r="J18" s="6">
        <v>2092</v>
      </c>
      <c r="K18" s="17"/>
      <c r="L18" s="7" t="s">
        <v>53</v>
      </c>
      <c r="M18" s="9">
        <v>4920</v>
      </c>
      <c r="O18" s="9"/>
      <c r="T18" s="2" t="s">
        <v>100</v>
      </c>
      <c r="V18" s="9">
        <v>625</v>
      </c>
      <c r="W18" s="9">
        <v>1376</v>
      </c>
      <c r="X18" s="11">
        <f>V18/W18</f>
        <v>0.45421511627906974</v>
      </c>
      <c r="Z18" s="7"/>
      <c r="AA18" s="7"/>
      <c r="AB18" s="35"/>
      <c r="AE18" s="2" t="s">
        <v>104</v>
      </c>
      <c r="AF18" s="16">
        <v>2419</v>
      </c>
      <c r="AG18" s="10">
        <v>1254</v>
      </c>
      <c r="AH18" s="10">
        <v>1784</v>
      </c>
      <c r="AI18" s="2">
        <f t="shared" si="0"/>
        <v>10151</v>
      </c>
    </row>
    <row r="19" spans="1:35">
      <c r="A19" s="2" t="s">
        <v>16</v>
      </c>
      <c r="C19" s="16">
        <v>2043</v>
      </c>
      <c r="D19" s="10">
        <v>462</v>
      </c>
      <c r="E19" s="10">
        <v>968</v>
      </c>
      <c r="F19" s="6">
        <v>3474</v>
      </c>
      <c r="G19" s="16">
        <v>1125</v>
      </c>
      <c r="H19" s="10">
        <v>619</v>
      </c>
      <c r="I19" s="10">
        <v>1250</v>
      </c>
      <c r="J19" s="6">
        <v>2994</v>
      </c>
      <c r="K19" s="17"/>
      <c r="L19" s="7" t="s">
        <v>54</v>
      </c>
      <c r="M19" s="9">
        <v>1050</v>
      </c>
      <c r="O19" s="9"/>
      <c r="T19" s="2" t="s">
        <v>101</v>
      </c>
      <c r="V19" s="9">
        <v>1477</v>
      </c>
      <c r="W19" s="9">
        <v>6835</v>
      </c>
      <c r="X19" s="11">
        <f t="shared" si="1"/>
        <v>0.21609363569861009</v>
      </c>
      <c r="Z19" s="7"/>
      <c r="AA19" s="7"/>
      <c r="AB19" s="35"/>
      <c r="AE19" s="2" t="s">
        <v>19</v>
      </c>
      <c r="AF19" s="16">
        <v>713</v>
      </c>
      <c r="AG19" s="10">
        <v>249</v>
      </c>
      <c r="AH19" s="10">
        <v>310</v>
      </c>
      <c r="AI19" s="2">
        <f t="shared" si="0"/>
        <v>323</v>
      </c>
    </row>
    <row r="20" spans="1:35">
      <c r="A20" s="2" t="s">
        <v>17</v>
      </c>
      <c r="C20" s="16">
        <v>1507</v>
      </c>
      <c r="D20" s="10">
        <v>214</v>
      </c>
      <c r="E20" s="10">
        <v>335</v>
      </c>
      <c r="F20" s="6">
        <v>2057</v>
      </c>
      <c r="G20" s="16">
        <v>1525</v>
      </c>
      <c r="H20" s="10">
        <v>176</v>
      </c>
      <c r="I20" s="10">
        <v>341</v>
      </c>
      <c r="J20" s="6">
        <v>2042</v>
      </c>
      <c r="K20" s="17"/>
      <c r="L20" s="2" t="s">
        <v>2</v>
      </c>
      <c r="M20" s="6">
        <f>SUM(M16:M19)</f>
        <v>211410</v>
      </c>
      <c r="O20" s="9"/>
      <c r="T20" s="2" t="s">
        <v>103</v>
      </c>
      <c r="V20" s="9">
        <v>1497</v>
      </c>
      <c r="W20" s="9">
        <v>2349</v>
      </c>
      <c r="X20" s="11">
        <f>V20/W20</f>
        <v>0.63729246487867175</v>
      </c>
      <c r="Z20" s="7"/>
      <c r="AA20" s="7"/>
      <c r="AB20" s="35"/>
      <c r="AE20" s="2" t="s">
        <v>105</v>
      </c>
      <c r="AF20" s="16">
        <v>4357</v>
      </c>
      <c r="AG20" s="10">
        <v>677</v>
      </c>
      <c r="AH20" s="10">
        <v>1190</v>
      </c>
      <c r="AI20" s="2">
        <f t="shared" si="0"/>
        <v>6899</v>
      </c>
    </row>
    <row r="21" spans="1:35">
      <c r="A21" s="2" t="s">
        <v>18</v>
      </c>
      <c r="C21" s="16">
        <v>3129</v>
      </c>
      <c r="D21" s="10">
        <v>1231</v>
      </c>
      <c r="E21" s="10">
        <v>1774</v>
      </c>
      <c r="F21" s="6">
        <v>6135</v>
      </c>
      <c r="G21" s="16">
        <v>2419</v>
      </c>
      <c r="H21" s="10">
        <v>1254</v>
      </c>
      <c r="I21" s="10">
        <v>1784</v>
      </c>
      <c r="J21" s="6">
        <v>5456</v>
      </c>
      <c r="K21" s="17"/>
      <c r="O21" s="9"/>
      <c r="T21" s="2" t="s">
        <v>104</v>
      </c>
      <c r="V21" s="9">
        <v>1852</v>
      </c>
      <c r="W21" s="9">
        <v>12003</v>
      </c>
      <c r="X21" s="11">
        <f t="shared" si="1"/>
        <v>0.15429475964342249</v>
      </c>
      <c r="Z21" s="7"/>
      <c r="AA21" s="7"/>
      <c r="AB21" s="35"/>
      <c r="AE21" s="2" t="s">
        <v>106</v>
      </c>
      <c r="AF21" s="16">
        <v>26</v>
      </c>
      <c r="AG21" s="10">
        <v>106</v>
      </c>
      <c r="AH21" s="10">
        <v>132</v>
      </c>
      <c r="AI21" s="2">
        <f t="shared" si="0"/>
        <v>41</v>
      </c>
    </row>
    <row r="22" spans="1:35">
      <c r="A22" s="2" t="s">
        <v>19</v>
      </c>
      <c r="C22" s="16">
        <v>1772</v>
      </c>
      <c r="D22" s="10">
        <v>291</v>
      </c>
      <c r="E22" s="10">
        <v>371</v>
      </c>
      <c r="F22" s="6">
        <v>2433</v>
      </c>
      <c r="G22" s="16">
        <v>713</v>
      </c>
      <c r="H22" s="10">
        <v>249</v>
      </c>
      <c r="I22" s="10">
        <v>310</v>
      </c>
      <c r="J22" s="6">
        <v>1272</v>
      </c>
      <c r="K22" s="17"/>
      <c r="O22" s="9"/>
      <c r="T22" s="2" t="s">
        <v>19</v>
      </c>
      <c r="V22" s="9">
        <v>694</v>
      </c>
      <c r="W22" s="9">
        <v>1017</v>
      </c>
      <c r="X22" s="11">
        <f t="shared" si="1"/>
        <v>0.68239921337266474</v>
      </c>
      <c r="Z22" s="7"/>
      <c r="AA22" s="7"/>
      <c r="AB22" s="35"/>
    </row>
    <row r="23" spans="1:35">
      <c r="A23" s="2" t="s">
        <v>20</v>
      </c>
      <c r="C23" s="16">
        <v>4035</v>
      </c>
      <c r="D23" s="10">
        <v>726</v>
      </c>
      <c r="E23" s="10">
        <v>1121</v>
      </c>
      <c r="F23" s="6">
        <v>5882</v>
      </c>
      <c r="G23" s="16">
        <v>4357</v>
      </c>
      <c r="H23" s="10">
        <v>677</v>
      </c>
      <c r="I23" s="10">
        <v>1190</v>
      </c>
      <c r="J23" s="6">
        <v>6223</v>
      </c>
      <c r="K23" s="17"/>
      <c r="O23" s="9"/>
      <c r="T23" s="2" t="s">
        <v>105</v>
      </c>
      <c r="V23" s="9">
        <v>4163</v>
      </c>
      <c r="W23" s="9">
        <v>11062</v>
      </c>
      <c r="X23" s="11">
        <f t="shared" si="1"/>
        <v>0.37633339359971074</v>
      </c>
      <c r="Z23" s="7"/>
      <c r="AA23" s="7"/>
      <c r="AB23" s="35"/>
    </row>
    <row r="24" spans="1:35">
      <c r="A24" s="2" t="s">
        <v>21</v>
      </c>
      <c r="C24" s="16">
        <v>1831</v>
      </c>
      <c r="D24" s="10">
        <v>237</v>
      </c>
      <c r="E24" s="10">
        <v>508</v>
      </c>
      <c r="F24" s="6">
        <v>2576</v>
      </c>
      <c r="G24" s="16"/>
      <c r="H24" s="10"/>
      <c r="I24" s="10"/>
      <c r="J24" s="6"/>
      <c r="K24" s="17"/>
      <c r="O24" s="9"/>
      <c r="T24" s="2" t="s">
        <v>106</v>
      </c>
      <c r="V24" s="9">
        <v>31</v>
      </c>
      <c r="W24" s="9">
        <v>72</v>
      </c>
      <c r="X24" s="11">
        <f t="shared" si="1"/>
        <v>0.43055555555555558</v>
      </c>
      <c r="Z24" s="7"/>
      <c r="AA24" s="7"/>
      <c r="AB24" s="35"/>
    </row>
    <row r="25" spans="1:35">
      <c r="A25" s="2" t="s">
        <v>22</v>
      </c>
      <c r="C25" s="16">
        <v>30</v>
      </c>
      <c r="D25" s="10">
        <v>99</v>
      </c>
      <c r="E25" s="10">
        <v>120</v>
      </c>
      <c r="F25" s="6">
        <v>249</v>
      </c>
      <c r="G25" s="16">
        <v>26</v>
      </c>
      <c r="H25" s="10">
        <v>106</v>
      </c>
      <c r="I25" s="10">
        <v>132</v>
      </c>
      <c r="J25" s="6">
        <v>264</v>
      </c>
      <c r="K25" s="17"/>
      <c r="O25" s="9"/>
      <c r="T25" s="2" t="s">
        <v>2</v>
      </c>
      <c r="V25" s="6">
        <v>32959</v>
      </c>
      <c r="W25" s="6">
        <v>126006</v>
      </c>
      <c r="X25" s="11">
        <f t="shared" si="1"/>
        <v>0.26156690951224543</v>
      </c>
    </row>
    <row r="26" spans="1:35">
      <c r="A26" s="7" t="s">
        <v>2</v>
      </c>
      <c r="C26" s="33">
        <v>47677</v>
      </c>
      <c r="D26" s="6">
        <v>17263</v>
      </c>
      <c r="E26" s="6">
        <v>22391</v>
      </c>
      <c r="F26" s="6">
        <v>87330</v>
      </c>
      <c r="G26" s="33">
        <v>34100</v>
      </c>
      <c r="H26" s="6">
        <v>19428</v>
      </c>
      <c r="I26" s="6">
        <v>23575</v>
      </c>
      <c r="J26" s="6">
        <v>77103</v>
      </c>
      <c r="K26" s="70">
        <f>N7/G26</f>
        <v>2.5163057024848285</v>
      </c>
      <c r="O26" s="6"/>
    </row>
    <row r="27" spans="1:35">
      <c r="C27" s="11">
        <f>C26/$F$26</f>
        <v>0.54594068475896029</v>
      </c>
      <c r="D27" s="11">
        <f>D26/$F$26</f>
        <v>0.19767548379709149</v>
      </c>
      <c r="E27" s="11">
        <f>E26/$F$26</f>
        <v>0.25639528226268177</v>
      </c>
      <c r="G27" s="11">
        <f>G26/$J$26</f>
        <v>0.44226554089983527</v>
      </c>
      <c r="H27" s="11">
        <f>H26/$J$26</f>
        <v>0.25197463133730202</v>
      </c>
      <c r="I27" s="11">
        <f>I26/$J$26</f>
        <v>0.30575982776286265</v>
      </c>
      <c r="K27" s="53"/>
    </row>
    <row r="28" spans="1:35">
      <c r="C28" s="11"/>
      <c r="D28" s="11"/>
      <c r="E28" s="11"/>
      <c r="G28" s="11"/>
      <c r="H28" s="11"/>
      <c r="I28" s="11"/>
    </row>
    <row r="29" spans="1:35">
      <c r="A29" s="3" t="s">
        <v>114</v>
      </c>
      <c r="B29" s="4"/>
      <c r="C29" s="57"/>
      <c r="D29" s="57"/>
      <c r="E29" s="57"/>
      <c r="F29" s="4"/>
      <c r="G29" s="57"/>
      <c r="H29" s="57"/>
      <c r="I29" s="57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35">
      <c r="A30" s="66"/>
      <c r="C30" s="11"/>
      <c r="D30" s="11"/>
      <c r="E30" s="11"/>
      <c r="G30" s="11"/>
      <c r="H30" s="11"/>
      <c r="I30" s="11"/>
    </row>
    <row r="31" spans="1:35">
      <c r="A31" s="12" t="s">
        <v>115</v>
      </c>
      <c r="B31" s="12"/>
      <c r="C31" s="56"/>
      <c r="D31" s="56"/>
      <c r="E31" s="56"/>
      <c r="F31" s="12"/>
      <c r="G31" s="56"/>
      <c r="H31" s="56"/>
      <c r="I31" s="11"/>
      <c r="J31" s="7" t="s">
        <v>148</v>
      </c>
    </row>
    <row r="32" spans="1:35" ht="15" customHeight="1">
      <c r="A32" s="159" t="s">
        <v>109</v>
      </c>
      <c r="B32" s="159"/>
      <c r="C32" s="165" t="s">
        <v>113</v>
      </c>
      <c r="D32" s="165"/>
      <c r="E32" s="164" t="s">
        <v>93</v>
      </c>
      <c r="F32" s="164"/>
      <c r="G32" s="164" t="s">
        <v>94</v>
      </c>
      <c r="H32" s="164"/>
    </row>
    <row r="33" spans="1:18">
      <c r="A33" s="159"/>
      <c r="B33" s="159"/>
      <c r="C33" s="165"/>
      <c r="D33" s="165"/>
      <c r="E33" s="64" t="s">
        <v>91</v>
      </c>
      <c r="F33" s="65" t="s">
        <v>92</v>
      </c>
      <c r="G33" s="65" t="s">
        <v>91</v>
      </c>
      <c r="H33" s="65" t="s">
        <v>92</v>
      </c>
      <c r="K33" s="58"/>
      <c r="L33" s="58"/>
    </row>
    <row r="34" spans="1:18">
      <c r="A34" s="2" t="s">
        <v>110</v>
      </c>
      <c r="C34" s="58" t="s">
        <v>2</v>
      </c>
      <c r="E34" s="6">
        <f>J26-F26</f>
        <v>-10227</v>
      </c>
      <c r="F34" s="6">
        <f>N13-M13</f>
        <v>48091.70295133027</v>
      </c>
      <c r="G34" s="11">
        <f>E34/F26</f>
        <v>-0.11710752318790793</v>
      </c>
      <c r="H34" s="11">
        <f>F34/M13</f>
        <v>0.57384873469964959</v>
      </c>
      <c r="K34" s="58"/>
      <c r="L34" s="58"/>
    </row>
    <row r="35" spans="1:18">
      <c r="A35" s="2" t="s">
        <v>111</v>
      </c>
      <c r="C35" s="58" t="s">
        <v>95</v>
      </c>
      <c r="E35" s="6">
        <f>G26-C26</f>
        <v>-13577</v>
      </c>
      <c r="F35" s="6">
        <f>N7-M7</f>
        <v>44639.691121368771</v>
      </c>
      <c r="G35" s="11">
        <f>(G26/J26)-(C26/F26)</f>
        <v>-0.10367514385912502</v>
      </c>
      <c r="H35" s="11">
        <f>(N7/N13)-(M7/M13)</f>
        <v>0.15933951608073665</v>
      </c>
      <c r="K35" s="58"/>
      <c r="L35" s="58"/>
    </row>
    <row r="36" spans="1:18">
      <c r="A36" s="2" t="s">
        <v>112</v>
      </c>
      <c r="B36" s="58"/>
      <c r="C36" s="58" t="s">
        <v>3</v>
      </c>
      <c r="E36" s="61">
        <f>F6+F24-J6</f>
        <v>-1062</v>
      </c>
      <c r="F36" s="62">
        <f>G84-J6</f>
        <v>9857.4787206036126</v>
      </c>
      <c r="G36" s="11">
        <f>(J6/J26)-((F6+F24)/F26)</f>
        <v>3.7531560091115218E-2</v>
      </c>
      <c r="H36" s="63">
        <f>(G84/G103)-(J6/J26)</f>
        <v>-1.5232546535186298E-2</v>
      </c>
      <c r="J36" s="7" t="s">
        <v>116</v>
      </c>
      <c r="K36" s="58"/>
      <c r="L36" s="58"/>
    </row>
    <row r="37" spans="1:18">
      <c r="B37" s="58"/>
      <c r="C37" s="58"/>
      <c r="E37" s="61"/>
      <c r="G37" s="11"/>
      <c r="K37" s="58"/>
      <c r="L37" s="58"/>
    </row>
    <row r="38" spans="1:18" hidden="1">
      <c r="A38" s="67" t="s">
        <v>117</v>
      </c>
      <c r="B38" s="67"/>
      <c r="C38" s="68"/>
      <c r="D38" s="68"/>
      <c r="E38" s="68"/>
      <c r="F38" s="67"/>
      <c r="G38" s="68"/>
      <c r="H38" s="68"/>
      <c r="I38" s="68"/>
      <c r="J38" s="67"/>
      <c r="K38" s="67"/>
      <c r="L38" s="67"/>
      <c r="M38" s="58"/>
      <c r="N38" s="2" t="s">
        <v>120</v>
      </c>
      <c r="O38" s="58"/>
      <c r="P38" s="58"/>
      <c r="Q38" s="58"/>
      <c r="R38" s="58"/>
    </row>
    <row r="39" spans="1:18" ht="15" hidden="1" customHeight="1">
      <c r="A39" s="160" t="s">
        <v>118</v>
      </c>
      <c r="B39" s="160"/>
      <c r="C39" s="160"/>
      <c r="D39" s="160"/>
      <c r="E39" s="160"/>
      <c r="F39" s="161" t="s">
        <v>119</v>
      </c>
      <c r="G39" s="161"/>
      <c r="H39" s="161"/>
      <c r="I39" s="161"/>
      <c r="J39" s="161"/>
      <c r="K39" s="161"/>
      <c r="L39" s="161"/>
    </row>
    <row r="40" spans="1:18" hidden="1">
      <c r="A40" s="5"/>
      <c r="B40" s="5"/>
      <c r="C40" s="5" t="s">
        <v>1</v>
      </c>
      <c r="D40" s="5" t="s">
        <v>35</v>
      </c>
      <c r="E40" s="5" t="s">
        <v>26</v>
      </c>
      <c r="F40" s="29" t="s">
        <v>50</v>
      </c>
      <c r="G40" s="29"/>
      <c r="H40" s="18" t="s">
        <v>24</v>
      </c>
      <c r="I40" s="29"/>
      <c r="J40" s="20" t="s">
        <v>1</v>
      </c>
      <c r="K40" s="19" t="s">
        <v>27</v>
      </c>
      <c r="L40" s="19" t="s">
        <v>26</v>
      </c>
    </row>
    <row r="41" spans="1:18" hidden="1">
      <c r="A41" s="2" t="s">
        <v>3</v>
      </c>
      <c r="C41" s="10">
        <v>4073</v>
      </c>
      <c r="D41" s="10">
        <v>6791</v>
      </c>
      <c r="E41" s="10">
        <v>5840</v>
      </c>
      <c r="F41" s="2" t="s">
        <v>28</v>
      </c>
      <c r="H41" s="1" t="s">
        <v>20</v>
      </c>
      <c r="J41" s="10">
        <v>4357</v>
      </c>
      <c r="K41" s="10">
        <v>677</v>
      </c>
      <c r="L41" s="10">
        <v>1190</v>
      </c>
    </row>
    <row r="42" spans="1:18" hidden="1">
      <c r="C42" s="10">
        <v>4743</v>
      </c>
      <c r="D42" s="10">
        <v>5734</v>
      </c>
      <c r="E42" s="10">
        <v>5166</v>
      </c>
      <c r="H42" s="1"/>
      <c r="J42" s="22">
        <v>4035</v>
      </c>
      <c r="K42" s="22">
        <v>726</v>
      </c>
      <c r="L42" s="22">
        <v>1121</v>
      </c>
    </row>
    <row r="43" spans="1:18" hidden="1">
      <c r="A43" s="2" t="s">
        <v>20</v>
      </c>
      <c r="C43" s="10">
        <v>4357</v>
      </c>
      <c r="D43" s="10">
        <v>677</v>
      </c>
      <c r="E43" s="10">
        <v>1190</v>
      </c>
      <c r="H43" s="1" t="s">
        <v>18</v>
      </c>
      <c r="J43" s="10">
        <v>2419</v>
      </c>
      <c r="K43" s="10">
        <v>1254</v>
      </c>
      <c r="L43" s="10">
        <v>1784</v>
      </c>
    </row>
    <row r="44" spans="1:18" hidden="1">
      <c r="C44" s="10">
        <v>4035</v>
      </c>
      <c r="D44" s="10">
        <v>726</v>
      </c>
      <c r="E44" s="10">
        <v>1121</v>
      </c>
      <c r="F44" s="30"/>
      <c r="G44" s="30"/>
      <c r="H44" s="21"/>
      <c r="I44" s="30"/>
      <c r="J44" s="23">
        <v>3129</v>
      </c>
      <c r="K44" s="23">
        <v>1231</v>
      </c>
      <c r="L44" s="23">
        <v>1774</v>
      </c>
    </row>
    <row r="45" spans="1:18" hidden="1">
      <c r="A45" s="2" t="s">
        <v>7</v>
      </c>
      <c r="C45" s="10">
        <v>1972</v>
      </c>
      <c r="D45" s="10">
        <v>1643</v>
      </c>
      <c r="E45" s="10">
        <v>2188</v>
      </c>
      <c r="F45" s="2" t="s">
        <v>29</v>
      </c>
      <c r="H45" s="1" t="s">
        <v>17</v>
      </c>
      <c r="J45" s="10">
        <v>1525</v>
      </c>
      <c r="K45" s="10">
        <v>176</v>
      </c>
      <c r="L45" s="10">
        <v>341</v>
      </c>
    </row>
    <row r="46" spans="1:18" hidden="1">
      <c r="C46" s="10">
        <v>3170</v>
      </c>
      <c r="D46" s="10">
        <v>1336</v>
      </c>
      <c r="E46" s="10">
        <v>1854</v>
      </c>
      <c r="H46" s="1"/>
      <c r="J46" s="22">
        <v>1507</v>
      </c>
      <c r="K46" s="22">
        <v>214</v>
      </c>
      <c r="L46" s="22">
        <v>335</v>
      </c>
    </row>
    <row r="47" spans="1:18" hidden="1">
      <c r="A47" s="2" t="s">
        <v>18</v>
      </c>
      <c r="C47" s="10">
        <v>2419</v>
      </c>
      <c r="D47" s="10">
        <v>1254</v>
      </c>
      <c r="E47" s="10">
        <v>1784</v>
      </c>
      <c r="H47" s="1" t="s">
        <v>16</v>
      </c>
      <c r="J47" s="10">
        <v>1125</v>
      </c>
      <c r="K47" s="10">
        <v>619</v>
      </c>
      <c r="L47" s="10">
        <v>1250</v>
      </c>
    </row>
    <row r="48" spans="1:18" hidden="1">
      <c r="C48" s="10">
        <v>3129</v>
      </c>
      <c r="D48" s="10">
        <v>1231</v>
      </c>
      <c r="E48" s="10">
        <v>1774</v>
      </c>
      <c r="H48" s="1"/>
      <c r="J48" s="22">
        <v>2043</v>
      </c>
      <c r="K48" s="22">
        <v>462</v>
      </c>
      <c r="L48" s="22">
        <v>968</v>
      </c>
    </row>
    <row r="49" spans="1:18" hidden="1">
      <c r="A49" s="2" t="s">
        <v>5</v>
      </c>
      <c r="C49" s="10">
        <v>3334</v>
      </c>
      <c r="D49" s="10">
        <v>707</v>
      </c>
      <c r="E49" s="10">
        <v>1040</v>
      </c>
      <c r="H49" s="1" t="s">
        <v>30</v>
      </c>
      <c r="J49" s="10">
        <v>545</v>
      </c>
      <c r="K49" s="10">
        <v>622</v>
      </c>
      <c r="L49" s="10">
        <v>925</v>
      </c>
    </row>
    <row r="50" spans="1:18" hidden="1">
      <c r="C50" s="10">
        <v>4946</v>
      </c>
      <c r="D50" s="10">
        <v>574</v>
      </c>
      <c r="E50" s="10">
        <v>995</v>
      </c>
      <c r="H50" s="1"/>
      <c r="J50" s="22">
        <v>538</v>
      </c>
      <c r="K50" s="22">
        <v>542</v>
      </c>
      <c r="L50" s="22">
        <v>878</v>
      </c>
    </row>
    <row r="51" spans="1:18" hidden="1">
      <c r="A51" s="2" t="s">
        <v>4</v>
      </c>
      <c r="C51" s="10">
        <v>1041</v>
      </c>
      <c r="D51" s="10">
        <v>1661</v>
      </c>
      <c r="E51" s="10">
        <v>2146</v>
      </c>
      <c r="H51" s="1" t="s">
        <v>5</v>
      </c>
      <c r="J51" s="10">
        <v>3334</v>
      </c>
      <c r="K51" s="10">
        <v>707</v>
      </c>
      <c r="L51" s="10">
        <v>1040</v>
      </c>
    </row>
    <row r="52" spans="1:18" hidden="1">
      <c r="C52" s="10">
        <v>1477</v>
      </c>
      <c r="D52" s="10">
        <v>1356</v>
      </c>
      <c r="E52" s="10">
        <v>2018</v>
      </c>
      <c r="F52" s="30"/>
      <c r="G52" s="30"/>
      <c r="H52" s="21"/>
      <c r="I52" s="30"/>
      <c r="J52" s="23">
        <v>4946</v>
      </c>
      <c r="K52" s="23">
        <v>574</v>
      </c>
      <c r="L52" s="23">
        <v>995</v>
      </c>
    </row>
    <row r="53" spans="1:18" hidden="1">
      <c r="A53" s="2" t="s">
        <v>10</v>
      </c>
      <c r="C53" s="10">
        <v>3933</v>
      </c>
      <c r="D53" s="10">
        <v>417</v>
      </c>
      <c r="E53" s="10">
        <v>492</v>
      </c>
      <c r="F53" s="2" t="s">
        <v>31</v>
      </c>
      <c r="H53" s="1" t="s">
        <v>7</v>
      </c>
      <c r="J53" s="10">
        <v>1972</v>
      </c>
      <c r="K53" s="10">
        <v>1643</v>
      </c>
      <c r="L53" s="10">
        <v>2188</v>
      </c>
    </row>
    <row r="54" spans="1:18" hidden="1">
      <c r="C54" s="10">
        <v>4967</v>
      </c>
      <c r="D54" s="10">
        <v>435</v>
      </c>
      <c r="E54" s="10">
        <v>551</v>
      </c>
      <c r="H54" s="1"/>
      <c r="J54" s="22">
        <v>3170</v>
      </c>
      <c r="K54" s="22">
        <v>1336</v>
      </c>
      <c r="L54" s="22">
        <v>1854</v>
      </c>
    </row>
    <row r="55" spans="1:18" hidden="1">
      <c r="A55" s="2" t="s">
        <v>14</v>
      </c>
      <c r="C55" s="10">
        <v>2365</v>
      </c>
      <c r="D55" s="10">
        <v>791</v>
      </c>
      <c r="E55" s="10">
        <v>1209</v>
      </c>
      <c r="H55" s="1" t="s">
        <v>14</v>
      </c>
      <c r="J55" s="10">
        <v>2365</v>
      </c>
      <c r="K55" s="10">
        <v>791</v>
      </c>
      <c r="L55" s="10">
        <v>1209</v>
      </c>
    </row>
    <row r="56" spans="1:18" hidden="1">
      <c r="C56" s="10">
        <v>4749</v>
      </c>
      <c r="D56" s="10">
        <v>778</v>
      </c>
      <c r="E56" s="10">
        <v>1252</v>
      </c>
      <c r="F56" s="30"/>
      <c r="G56" s="30"/>
      <c r="H56" s="21"/>
      <c r="I56" s="30"/>
      <c r="J56" s="23">
        <v>4749</v>
      </c>
      <c r="K56" s="23">
        <v>778</v>
      </c>
      <c r="L56" s="23">
        <v>1252</v>
      </c>
    </row>
    <row r="57" spans="1:18" hidden="1">
      <c r="A57" s="2" t="s">
        <v>9</v>
      </c>
      <c r="C57" s="10">
        <v>2023</v>
      </c>
      <c r="D57" s="10">
        <v>945</v>
      </c>
      <c r="E57" s="10">
        <v>713</v>
      </c>
      <c r="F57" s="2" t="s">
        <v>32</v>
      </c>
      <c r="H57" s="1" t="s">
        <v>19</v>
      </c>
      <c r="J57" s="10">
        <v>713</v>
      </c>
      <c r="K57" s="10">
        <v>249</v>
      </c>
      <c r="L57" s="10">
        <v>310</v>
      </c>
    </row>
    <row r="58" spans="1:18" hidden="1">
      <c r="C58" s="10">
        <v>5234</v>
      </c>
      <c r="D58" s="10">
        <v>671</v>
      </c>
      <c r="E58" s="10">
        <v>790</v>
      </c>
      <c r="H58" s="1"/>
      <c r="J58" s="22">
        <v>1772</v>
      </c>
      <c r="K58" s="22">
        <v>291</v>
      </c>
      <c r="L58" s="22">
        <v>371</v>
      </c>
    </row>
    <row r="59" spans="1:18" hidden="1">
      <c r="A59" s="2" t="s">
        <v>12</v>
      </c>
      <c r="C59" s="10">
        <v>1569</v>
      </c>
      <c r="D59" s="10">
        <v>765</v>
      </c>
      <c r="E59" s="10">
        <v>1015</v>
      </c>
      <c r="H59" s="1" t="s">
        <v>12</v>
      </c>
      <c r="J59" s="10">
        <v>1569</v>
      </c>
      <c r="K59" s="10">
        <v>765</v>
      </c>
      <c r="L59" s="10">
        <v>1015</v>
      </c>
    </row>
    <row r="60" spans="1:18" hidden="1">
      <c r="C60" s="10">
        <v>2194</v>
      </c>
      <c r="D60" s="10">
        <v>709</v>
      </c>
      <c r="E60" s="10">
        <v>1078</v>
      </c>
      <c r="H60" s="1"/>
      <c r="J60" s="22">
        <v>2194</v>
      </c>
      <c r="K60" s="22">
        <v>709</v>
      </c>
      <c r="L60" s="22">
        <v>1078</v>
      </c>
    </row>
    <row r="61" spans="1:18" hidden="1">
      <c r="A61" s="2" t="s">
        <v>16</v>
      </c>
      <c r="C61" s="10">
        <v>1125</v>
      </c>
      <c r="D61" s="10">
        <v>619</v>
      </c>
      <c r="E61" s="10">
        <v>1250</v>
      </c>
      <c r="H61" s="1" t="s">
        <v>11</v>
      </c>
      <c r="J61" s="10">
        <v>332</v>
      </c>
      <c r="K61" s="10">
        <v>429</v>
      </c>
      <c r="L61" s="10">
        <v>654</v>
      </c>
    </row>
    <row r="62" spans="1:18" hidden="1">
      <c r="C62" s="10">
        <v>2043</v>
      </c>
      <c r="D62" s="10">
        <v>462</v>
      </c>
      <c r="E62" s="10">
        <v>968</v>
      </c>
      <c r="H62" s="1"/>
      <c r="J62" s="22">
        <v>411</v>
      </c>
      <c r="K62" s="22">
        <v>468</v>
      </c>
      <c r="L62" s="22">
        <v>769</v>
      </c>
    </row>
    <row r="63" spans="1:18" hidden="1">
      <c r="A63" s="2" t="s">
        <v>13</v>
      </c>
      <c r="C63" s="10">
        <v>1254</v>
      </c>
      <c r="D63" s="10">
        <v>433</v>
      </c>
      <c r="E63" s="10">
        <v>701</v>
      </c>
      <c r="H63" s="1" t="s">
        <v>13</v>
      </c>
      <c r="J63" s="10">
        <v>1254</v>
      </c>
      <c r="K63" s="10">
        <v>433</v>
      </c>
      <c r="L63" s="10">
        <v>701</v>
      </c>
    </row>
    <row r="64" spans="1:18" hidden="1">
      <c r="C64" s="10">
        <v>1053</v>
      </c>
      <c r="D64" s="10">
        <v>464</v>
      </c>
      <c r="E64" s="10">
        <v>734</v>
      </c>
      <c r="F64" s="30"/>
      <c r="G64" s="30"/>
      <c r="H64" s="21"/>
      <c r="I64" s="30"/>
      <c r="J64" s="23">
        <v>1053</v>
      </c>
      <c r="K64" s="23">
        <v>464</v>
      </c>
      <c r="L64" s="23">
        <v>734</v>
      </c>
      <c r="N64" s="14"/>
      <c r="O64" s="5"/>
      <c r="P64" s="54" t="s">
        <v>1</v>
      </c>
      <c r="Q64" s="54" t="s">
        <v>27</v>
      </c>
      <c r="R64" s="54" t="s">
        <v>90</v>
      </c>
    </row>
    <row r="65" spans="1:23" hidden="1">
      <c r="A65" s="2" t="s">
        <v>8</v>
      </c>
      <c r="C65" s="10">
        <v>741</v>
      </c>
      <c r="D65" s="10">
        <v>566</v>
      </c>
      <c r="E65" s="10">
        <v>848</v>
      </c>
      <c r="F65" s="2" t="s">
        <v>33</v>
      </c>
      <c r="H65" s="1" t="s">
        <v>22</v>
      </c>
      <c r="J65" s="10">
        <v>26</v>
      </c>
      <c r="K65" s="10">
        <v>106</v>
      </c>
      <c r="L65" s="10">
        <v>132</v>
      </c>
      <c r="P65" s="24">
        <f t="shared" ref="P65:R66" si="2">J77</f>
        <v>4073</v>
      </c>
      <c r="Q65" s="24">
        <f t="shared" si="2"/>
        <v>6791</v>
      </c>
      <c r="R65" s="24">
        <f t="shared" si="2"/>
        <v>5840</v>
      </c>
    </row>
    <row r="66" spans="1:23" hidden="1">
      <c r="C66" s="10">
        <v>873</v>
      </c>
      <c r="D66" s="10">
        <v>607</v>
      </c>
      <c r="E66" s="10">
        <v>851</v>
      </c>
      <c r="H66" s="1"/>
      <c r="J66" s="22">
        <v>30</v>
      </c>
      <c r="K66" s="22">
        <v>99</v>
      </c>
      <c r="L66" s="22">
        <v>120</v>
      </c>
      <c r="N66" s="1" t="s">
        <v>3</v>
      </c>
      <c r="P66" s="24">
        <f t="shared" si="2"/>
        <v>4743</v>
      </c>
      <c r="Q66" s="24">
        <f t="shared" si="2"/>
        <v>5734</v>
      </c>
      <c r="R66" s="24">
        <f t="shared" si="2"/>
        <v>5166</v>
      </c>
    </row>
    <row r="67" spans="1:23" hidden="1">
      <c r="A67" s="2" t="s">
        <v>6</v>
      </c>
      <c r="C67" s="10">
        <v>753</v>
      </c>
      <c r="D67" s="10">
        <v>578</v>
      </c>
      <c r="E67" s="10">
        <v>800</v>
      </c>
      <c r="H67" s="1" t="s">
        <v>4</v>
      </c>
      <c r="J67" s="10">
        <v>1041</v>
      </c>
      <c r="K67" s="10">
        <v>1661</v>
      </c>
      <c r="L67" s="10">
        <v>2146</v>
      </c>
      <c r="N67" s="1"/>
      <c r="P67" s="24">
        <f t="shared" ref="P67:R68" si="3">J71+J73+J75</f>
        <v>6697</v>
      </c>
      <c r="Q67" s="24">
        <f t="shared" si="3"/>
        <v>1928</v>
      </c>
      <c r="R67" s="24">
        <f t="shared" si="3"/>
        <v>2053</v>
      </c>
    </row>
    <row r="68" spans="1:23" hidden="1">
      <c r="C68" s="10">
        <v>803</v>
      </c>
      <c r="D68" s="10">
        <v>566</v>
      </c>
      <c r="E68" s="10">
        <v>766</v>
      </c>
      <c r="H68" s="1"/>
      <c r="J68" s="22">
        <v>1477</v>
      </c>
      <c r="K68" s="22">
        <v>1356</v>
      </c>
      <c r="L68" s="22">
        <v>2018</v>
      </c>
      <c r="N68" s="1" t="s">
        <v>34</v>
      </c>
      <c r="P68" s="24">
        <f t="shared" si="3"/>
        <v>11074</v>
      </c>
      <c r="Q68" s="24">
        <f t="shared" si="3"/>
        <v>1713</v>
      </c>
      <c r="R68" s="24">
        <f t="shared" si="3"/>
        <v>2192</v>
      </c>
    </row>
    <row r="69" spans="1:23" hidden="1">
      <c r="A69" s="2" t="s">
        <v>23</v>
      </c>
      <c r="C69" s="10">
        <v>545</v>
      </c>
      <c r="D69" s="10">
        <v>622</v>
      </c>
      <c r="E69" s="10">
        <v>925</v>
      </c>
      <c r="H69" s="1" t="s">
        <v>6</v>
      </c>
      <c r="J69" s="10">
        <v>753</v>
      </c>
      <c r="K69" s="10">
        <v>578</v>
      </c>
      <c r="L69" s="10">
        <v>800</v>
      </c>
      <c r="N69" s="1"/>
      <c r="P69" s="24">
        <f t="shared" ref="P69:R70" si="4">J65+J67+J69</f>
        <v>1820</v>
      </c>
      <c r="Q69" s="24">
        <f t="shared" si="4"/>
        <v>2345</v>
      </c>
      <c r="R69" s="24">
        <f t="shared" si="4"/>
        <v>3078</v>
      </c>
    </row>
    <row r="70" spans="1:23" hidden="1">
      <c r="C70" s="10">
        <v>538</v>
      </c>
      <c r="D70" s="10">
        <v>542</v>
      </c>
      <c r="E70" s="10">
        <v>878</v>
      </c>
      <c r="F70" s="30"/>
      <c r="G70" s="30"/>
      <c r="H70" s="21"/>
      <c r="I70" s="30"/>
      <c r="J70" s="23">
        <v>803</v>
      </c>
      <c r="K70" s="23">
        <v>566</v>
      </c>
      <c r="L70" s="23">
        <v>766</v>
      </c>
      <c r="N70" s="1" t="s">
        <v>33</v>
      </c>
      <c r="P70" s="24">
        <f t="shared" si="4"/>
        <v>2310</v>
      </c>
      <c r="Q70" s="24">
        <f t="shared" si="4"/>
        <v>2021</v>
      </c>
      <c r="R70" s="24">
        <f t="shared" si="4"/>
        <v>2904</v>
      </c>
    </row>
    <row r="71" spans="1:23" hidden="1">
      <c r="A71" s="2" t="s">
        <v>17</v>
      </c>
      <c r="C71" s="10">
        <v>1525</v>
      </c>
      <c r="D71" s="10">
        <v>176</v>
      </c>
      <c r="E71" s="10">
        <v>341</v>
      </c>
      <c r="F71" s="2" t="s">
        <v>34</v>
      </c>
      <c r="H71" s="1" t="s">
        <v>8</v>
      </c>
      <c r="J71" s="10">
        <v>741</v>
      </c>
      <c r="K71" s="10">
        <v>566</v>
      </c>
      <c r="L71" s="10">
        <v>848</v>
      </c>
      <c r="N71" s="1"/>
      <c r="P71" s="24">
        <f t="shared" ref="P71:R72" si="5">J57+J59+J61+J63</f>
        <v>3868</v>
      </c>
      <c r="Q71" s="24">
        <f t="shared" si="5"/>
        <v>1876</v>
      </c>
      <c r="R71" s="24">
        <f t="shared" si="5"/>
        <v>2680</v>
      </c>
    </row>
    <row r="72" spans="1:23" hidden="1">
      <c r="C72" s="10">
        <v>1507</v>
      </c>
      <c r="D72" s="10">
        <v>214</v>
      </c>
      <c r="E72" s="10">
        <v>335</v>
      </c>
      <c r="H72" s="1"/>
      <c r="J72" s="22">
        <v>873</v>
      </c>
      <c r="K72" s="22">
        <v>607</v>
      </c>
      <c r="L72" s="22">
        <v>851</v>
      </c>
      <c r="N72" s="1" t="s">
        <v>32</v>
      </c>
      <c r="P72" s="24">
        <f t="shared" si="5"/>
        <v>5430</v>
      </c>
      <c r="Q72" s="24">
        <f t="shared" si="5"/>
        <v>1932</v>
      </c>
      <c r="R72" s="24">
        <f t="shared" si="5"/>
        <v>2952</v>
      </c>
    </row>
    <row r="73" spans="1:23" hidden="1">
      <c r="A73" s="2" t="s">
        <v>11</v>
      </c>
      <c r="C73" s="10">
        <v>332</v>
      </c>
      <c r="D73" s="10">
        <v>429</v>
      </c>
      <c r="E73" s="10">
        <v>654</v>
      </c>
      <c r="H73" s="1" t="s">
        <v>9</v>
      </c>
      <c r="J73" s="10">
        <v>2023</v>
      </c>
      <c r="K73" s="10">
        <v>945</v>
      </c>
      <c r="L73" s="10">
        <v>713</v>
      </c>
      <c r="N73" s="1"/>
      <c r="P73" s="24">
        <f t="shared" ref="P73:R74" si="6">J53+J55</f>
        <v>4337</v>
      </c>
      <c r="Q73" s="24">
        <f t="shared" si="6"/>
        <v>2434</v>
      </c>
      <c r="R73" s="24">
        <f t="shared" si="6"/>
        <v>3397</v>
      </c>
    </row>
    <row r="74" spans="1:23" hidden="1">
      <c r="C74" s="10">
        <v>411</v>
      </c>
      <c r="D74" s="10">
        <v>468</v>
      </c>
      <c r="E74" s="10">
        <v>769</v>
      </c>
      <c r="H74" s="1"/>
      <c r="J74" s="22">
        <v>5234</v>
      </c>
      <c r="K74" s="22">
        <v>671</v>
      </c>
      <c r="L74" s="22">
        <v>790</v>
      </c>
      <c r="N74" s="1" t="s">
        <v>31</v>
      </c>
      <c r="P74" s="24">
        <f t="shared" si="6"/>
        <v>7919</v>
      </c>
      <c r="Q74" s="24">
        <f t="shared" si="6"/>
        <v>2114</v>
      </c>
      <c r="R74" s="24">
        <f t="shared" si="6"/>
        <v>3106</v>
      </c>
    </row>
    <row r="75" spans="1:23" hidden="1">
      <c r="A75" s="2" t="s">
        <v>19</v>
      </c>
      <c r="C75" s="10">
        <v>713</v>
      </c>
      <c r="D75" s="10">
        <v>249</v>
      </c>
      <c r="E75" s="10">
        <v>310</v>
      </c>
      <c r="H75" s="1" t="s">
        <v>10</v>
      </c>
      <c r="J75" s="10">
        <v>3933</v>
      </c>
      <c r="K75" s="10">
        <v>417</v>
      </c>
      <c r="L75" s="10">
        <v>492</v>
      </c>
      <c r="N75" s="1"/>
      <c r="P75" s="24">
        <f t="shared" ref="P75:R76" si="7">J45+J47+J49+J51</f>
        <v>6529</v>
      </c>
      <c r="Q75" s="24">
        <f t="shared" si="7"/>
        <v>2124</v>
      </c>
      <c r="R75" s="24">
        <f t="shared" si="7"/>
        <v>3556</v>
      </c>
    </row>
    <row r="76" spans="1:23" hidden="1">
      <c r="C76" s="10">
        <v>1772</v>
      </c>
      <c r="D76" s="10">
        <v>291</v>
      </c>
      <c r="E76" s="10">
        <v>371</v>
      </c>
      <c r="F76" s="30"/>
      <c r="G76" s="30"/>
      <c r="H76" s="21"/>
      <c r="I76" s="30"/>
      <c r="J76" s="23">
        <v>4967</v>
      </c>
      <c r="K76" s="23">
        <v>435</v>
      </c>
      <c r="L76" s="23">
        <v>551</v>
      </c>
      <c r="N76" s="1" t="s">
        <v>29</v>
      </c>
      <c r="P76" s="24">
        <f t="shared" si="7"/>
        <v>9034</v>
      </c>
      <c r="Q76" s="24">
        <f t="shared" si="7"/>
        <v>1792</v>
      </c>
      <c r="R76" s="24">
        <f t="shared" si="7"/>
        <v>3176</v>
      </c>
    </row>
    <row r="77" spans="1:23" hidden="1">
      <c r="A77" s="2" t="s">
        <v>22</v>
      </c>
      <c r="C77" s="10">
        <v>26</v>
      </c>
      <c r="D77" s="10">
        <v>106</v>
      </c>
      <c r="E77" s="10">
        <v>132</v>
      </c>
      <c r="F77" s="2" t="s">
        <v>3</v>
      </c>
      <c r="H77" s="1" t="s">
        <v>3</v>
      </c>
      <c r="J77" s="10">
        <v>4073</v>
      </c>
      <c r="K77" s="10">
        <v>6791</v>
      </c>
      <c r="L77" s="10">
        <v>5840</v>
      </c>
      <c r="N77" s="1"/>
      <c r="P77" s="24">
        <f t="shared" ref="P77:R78" si="8">J41+J43</f>
        <v>6776</v>
      </c>
      <c r="Q77" s="24">
        <f t="shared" si="8"/>
        <v>1931</v>
      </c>
      <c r="R77" s="24">
        <f t="shared" si="8"/>
        <v>2974</v>
      </c>
    </row>
    <row r="78" spans="1:23" hidden="1">
      <c r="C78" s="10">
        <v>30</v>
      </c>
      <c r="D78" s="10">
        <v>99</v>
      </c>
      <c r="E78" s="10">
        <v>120</v>
      </c>
      <c r="H78" s="1"/>
      <c r="J78" s="22">
        <v>4743</v>
      </c>
      <c r="K78" s="22">
        <v>5734</v>
      </c>
      <c r="L78" s="22">
        <v>5166</v>
      </c>
      <c r="N78" s="1" t="s">
        <v>28</v>
      </c>
      <c r="P78" s="24">
        <f t="shared" si="8"/>
        <v>7164</v>
      </c>
      <c r="Q78" s="24">
        <f t="shared" si="8"/>
        <v>1957</v>
      </c>
      <c r="R78" s="24">
        <f t="shared" si="8"/>
        <v>2895</v>
      </c>
    </row>
    <row r="79" spans="1:23" hidden="1">
      <c r="A79" s="1"/>
      <c r="B79" s="1"/>
      <c r="C79" s="1"/>
      <c r="D79" s="1"/>
      <c r="E79" s="1"/>
    </row>
    <row r="80" spans="1:23">
      <c r="A80" s="3" t="s">
        <v>149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1:23">
      <c r="A81" s="12" t="s">
        <v>123</v>
      </c>
      <c r="B81" s="12"/>
      <c r="C81" s="12" t="s">
        <v>122</v>
      </c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</row>
    <row r="82" spans="1:23">
      <c r="A82" s="12"/>
      <c r="B82" s="12"/>
      <c r="C82" s="12" t="s">
        <v>124</v>
      </c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</row>
    <row r="83" spans="1:23" ht="43.2">
      <c r="A83" s="5" t="s">
        <v>55</v>
      </c>
      <c r="B83" s="5"/>
      <c r="C83" s="69" t="s">
        <v>125</v>
      </c>
      <c r="D83" s="5" t="s">
        <v>1</v>
      </c>
      <c r="E83" s="5" t="s">
        <v>27</v>
      </c>
      <c r="F83" s="5" t="s">
        <v>26</v>
      </c>
      <c r="G83" s="8" t="s">
        <v>2</v>
      </c>
      <c r="H83" s="71" t="s">
        <v>127</v>
      </c>
    </row>
    <row r="84" spans="1:23">
      <c r="A84" s="2" t="s">
        <v>3</v>
      </c>
      <c r="C84" s="24">
        <f t="shared" ref="C84:C102" si="9">W6-G6</f>
        <v>16738</v>
      </c>
      <c r="D84" s="24">
        <f t="shared" ref="D84:D102" si="10">G6+$M$84*C84</f>
        <v>13487.082553662654</v>
      </c>
      <c r="E84" s="24">
        <f t="shared" ref="E84:E101" si="11">H6*$N$6/$H$26</f>
        <v>5686.9666381346478</v>
      </c>
      <c r="F84" s="24">
        <f t="shared" ref="F84:F101" si="12">I6*$N$5/$I$26</f>
        <v>7387.4295288063131</v>
      </c>
      <c r="G84" s="6">
        <f>SUM(D84:F84)</f>
        <v>26561.478720603613</v>
      </c>
      <c r="H84" s="11">
        <f t="shared" ref="H84:H103" si="13">D84/W6</f>
        <v>0.64807469865276313</v>
      </c>
      <c r="J84" s="5" t="s">
        <v>126</v>
      </c>
      <c r="K84" s="5"/>
      <c r="L84" s="5"/>
      <c r="M84" s="72">
        <f>(N7-G26)/C103</f>
        <v>0.56243771977910473</v>
      </c>
    </row>
    <row r="85" spans="1:23">
      <c r="A85" s="2" t="s">
        <v>4</v>
      </c>
      <c r="C85" s="24">
        <f t="shared" si="9"/>
        <v>1801</v>
      </c>
      <c r="D85" s="24">
        <f t="shared" si="10"/>
        <v>2053.9503333221674</v>
      </c>
      <c r="E85" s="24">
        <f t="shared" si="11"/>
        <v>1390.9662179269105</v>
      </c>
      <c r="F85" s="24">
        <f t="shared" si="12"/>
        <v>2714.6273576743747</v>
      </c>
      <c r="G85" s="6">
        <f t="shared" ref="G85:G102" si="14">SUM(D85:F85)</f>
        <v>6159.5439089234533</v>
      </c>
      <c r="H85" s="11">
        <f t="shared" si="13"/>
        <v>0.72271299553911583</v>
      </c>
    </row>
    <row r="86" spans="1:23">
      <c r="A86" s="2" t="s">
        <v>5</v>
      </c>
      <c r="C86" s="24">
        <f t="shared" si="9"/>
        <v>5903</v>
      </c>
      <c r="D86" s="24">
        <f t="shared" si="10"/>
        <v>6654.0698598560557</v>
      </c>
      <c r="E86" s="24">
        <f t="shared" si="11"/>
        <v>592.06087662512084</v>
      </c>
      <c r="F86" s="24">
        <f t="shared" si="12"/>
        <v>1315.5696421161927</v>
      </c>
      <c r="G86" s="6">
        <f t="shared" si="14"/>
        <v>8561.7003785973684</v>
      </c>
      <c r="H86" s="11">
        <f t="shared" si="13"/>
        <v>0.72037131751175232</v>
      </c>
    </row>
    <row r="87" spans="1:23">
      <c r="A87" s="2" t="s">
        <v>6</v>
      </c>
      <c r="C87" s="24">
        <f t="shared" si="9"/>
        <v>948</v>
      </c>
      <c r="D87" s="24">
        <f t="shared" si="10"/>
        <v>1286.1909583505912</v>
      </c>
      <c r="E87" s="24">
        <f t="shared" si="11"/>
        <v>484.03279588305497</v>
      </c>
      <c r="F87" s="24">
        <f t="shared" si="12"/>
        <v>1011.9766477816867</v>
      </c>
      <c r="G87" s="6">
        <f t="shared" si="14"/>
        <v>2782.2004020153327</v>
      </c>
      <c r="H87" s="11">
        <f t="shared" si="13"/>
        <v>0.75613812954179382</v>
      </c>
      <c r="J87" s="14"/>
      <c r="K87" s="5" t="s">
        <v>125</v>
      </c>
      <c r="L87" s="5" t="s">
        <v>1</v>
      </c>
      <c r="M87" s="5" t="s">
        <v>27</v>
      </c>
      <c r="N87" s="5" t="s">
        <v>26</v>
      </c>
      <c r="O87" s="5" t="s">
        <v>388</v>
      </c>
      <c r="Q87" s="7" t="s">
        <v>387</v>
      </c>
    </row>
    <row r="88" spans="1:23">
      <c r="A88" s="2" t="s">
        <v>7</v>
      </c>
      <c r="C88" s="24">
        <f t="shared" si="9"/>
        <v>2703</v>
      </c>
      <c r="D88" s="24">
        <f t="shared" si="10"/>
        <v>3492.2691565629202</v>
      </c>
      <c r="E88" s="24">
        <f t="shared" si="11"/>
        <v>1375.8925322419711</v>
      </c>
      <c r="F88" s="24">
        <f t="shared" si="12"/>
        <v>2767.7561316829133</v>
      </c>
      <c r="G88" s="6">
        <f t="shared" si="14"/>
        <v>7635.9178204878044</v>
      </c>
      <c r="H88" s="11">
        <f t="shared" si="13"/>
        <v>0.74700944525410062</v>
      </c>
      <c r="J88" s="1" t="s">
        <v>28</v>
      </c>
      <c r="K88" s="24">
        <f>(C101+C99)*(1-M84)</f>
        <v>7127.4519825181633</v>
      </c>
      <c r="L88" s="24">
        <f>D101+D99</f>
        <v>15937.548017481837</v>
      </c>
      <c r="M88" s="24">
        <f>E101+E99</f>
        <v>1617.0715032010019</v>
      </c>
      <c r="N88" s="24">
        <f>F101+F99</f>
        <v>3762.0231881284208</v>
      </c>
      <c r="O88" s="134">
        <f t="shared" ref="O88:O94" si="15">SUM(L88:N88)</f>
        <v>21316.642708811258</v>
      </c>
      <c r="Q88" s="6">
        <f>O88/8.76</f>
        <v>2433.4067019190934</v>
      </c>
    </row>
    <row r="89" spans="1:23">
      <c r="A89" s="2" t="s">
        <v>8</v>
      </c>
      <c r="C89" s="24">
        <f t="shared" si="9"/>
        <v>1516</v>
      </c>
      <c r="D89" s="24">
        <f t="shared" si="10"/>
        <v>1593.6555831851229</v>
      </c>
      <c r="E89" s="24">
        <f t="shared" si="11"/>
        <v>473.98367209309538</v>
      </c>
      <c r="F89" s="24">
        <f t="shared" si="12"/>
        <v>1072.695246648588</v>
      </c>
      <c r="G89" s="6">
        <f t="shared" si="14"/>
        <v>3140.3345019268063</v>
      </c>
      <c r="H89" s="11">
        <f t="shared" si="13"/>
        <v>0.70609463145109563</v>
      </c>
      <c r="J89" s="1" t="s">
        <v>29</v>
      </c>
      <c r="K89" s="24">
        <f>(C98+C97+C96+C86)*(1-M84)</f>
        <v>5805.5763339708383</v>
      </c>
      <c r="L89" s="24">
        <f>D98+D97+D96+D86</f>
        <v>13991.423666029163</v>
      </c>
      <c r="M89" s="24">
        <f>E98+E97+E96+E86</f>
        <v>1778.6949108228523</v>
      </c>
      <c r="N89" s="24">
        <f>F98+F97+F96+F86</f>
        <v>4498.2361993895975</v>
      </c>
      <c r="O89" s="134">
        <f t="shared" si="15"/>
        <v>20268.354776241613</v>
      </c>
      <c r="Q89" s="6">
        <f t="shared" ref="Q89:Q95" si="16">O89/8.76</f>
        <v>2313.7391297079466</v>
      </c>
    </row>
    <row r="90" spans="1:23">
      <c r="A90" s="2" t="s">
        <v>9</v>
      </c>
      <c r="C90" s="24">
        <f t="shared" si="9"/>
        <v>8120</v>
      </c>
      <c r="D90" s="24">
        <f t="shared" si="10"/>
        <v>6589.9942846063304</v>
      </c>
      <c r="E90" s="24">
        <f t="shared" si="11"/>
        <v>791.36849845931999</v>
      </c>
      <c r="F90" s="24">
        <f t="shared" si="12"/>
        <v>901.92418733542843</v>
      </c>
      <c r="G90" s="6">
        <f t="shared" si="14"/>
        <v>8283.2869704010791</v>
      </c>
      <c r="H90" s="11">
        <f t="shared" si="13"/>
        <v>0.6497085955443489</v>
      </c>
      <c r="J90" s="1" t="s">
        <v>31</v>
      </c>
      <c r="K90" s="24">
        <f>(C88+C95)*(1-M84)</f>
        <v>5112.0401198207192</v>
      </c>
      <c r="L90" s="24">
        <f>D88+D95</f>
        <v>10907.959880179282</v>
      </c>
      <c r="M90" s="24">
        <f>E88+E95</f>
        <v>2038.2972753968093</v>
      </c>
      <c r="N90" s="24">
        <f>F88+F95</f>
        <v>4297.1058406429875</v>
      </c>
      <c r="O90" s="134">
        <f t="shared" si="15"/>
        <v>17243.362996219079</v>
      </c>
      <c r="Q90" s="6">
        <f t="shared" si="16"/>
        <v>1968.4204333583423</v>
      </c>
    </row>
    <row r="91" spans="1:23">
      <c r="A91" s="2" t="s">
        <v>10</v>
      </c>
      <c r="C91" s="24">
        <f t="shared" si="9"/>
        <v>14226</v>
      </c>
      <c r="D91" s="24">
        <f t="shared" si="10"/>
        <v>11934.239001577544</v>
      </c>
      <c r="E91" s="24">
        <f t="shared" si="11"/>
        <v>349.20705170109676</v>
      </c>
      <c r="F91" s="24">
        <f t="shared" si="12"/>
        <v>622.36563838573738</v>
      </c>
      <c r="G91" s="6">
        <f t="shared" si="14"/>
        <v>12905.811691664378</v>
      </c>
      <c r="H91" s="11">
        <f t="shared" si="13"/>
        <v>0.65720794105278613</v>
      </c>
      <c r="J91" s="1" t="s">
        <v>32</v>
      </c>
      <c r="K91" s="24">
        <f>(C100+C93+C92+C94)*(1-M84)</f>
        <v>3181.5153394861295</v>
      </c>
      <c r="L91" s="24">
        <f>D100+D93+D92+D94</f>
        <v>7957.4846605138709</v>
      </c>
      <c r="M91" s="24">
        <f>E100+E93+E92+E94</f>
        <v>1571.0130191636867</v>
      </c>
      <c r="N91" s="24">
        <f>F100+F93+F92+F94</f>
        <v>3390.1217700686507</v>
      </c>
      <c r="O91" s="134">
        <f t="shared" si="15"/>
        <v>12918.619449746207</v>
      </c>
      <c r="Q91" s="6">
        <f t="shared" si="16"/>
        <v>1474.7282476879232</v>
      </c>
    </row>
    <row r="92" spans="1:23">
      <c r="A92" s="2" t="s">
        <v>11</v>
      </c>
      <c r="C92" s="24">
        <f t="shared" si="9"/>
        <v>878</v>
      </c>
      <c r="D92" s="24">
        <f t="shared" si="10"/>
        <v>825.82031796605395</v>
      </c>
      <c r="E92" s="24">
        <f t="shared" si="11"/>
        <v>359.25617549105635</v>
      </c>
      <c r="F92" s="24">
        <f t="shared" si="12"/>
        <v>827.29090956152891</v>
      </c>
      <c r="G92" s="6">
        <f t="shared" si="14"/>
        <v>2012.3674030186392</v>
      </c>
      <c r="H92" s="11">
        <f t="shared" si="13"/>
        <v>0.68249613055045777</v>
      </c>
      <c r="J92" s="1" t="s">
        <v>33</v>
      </c>
      <c r="K92" s="24">
        <f>(C102+C85+C87)*(1-M84)</f>
        <v>1234.3631925031455</v>
      </c>
      <c r="L92" s="24">
        <f>D102+D85+D87</f>
        <v>3380.6368074968541</v>
      </c>
      <c r="M92" s="24">
        <f>E102+E85+E87</f>
        <v>1963.766273954609</v>
      </c>
      <c r="N92" s="24">
        <f>F102+F85+F87</f>
        <v>3893.5801523400396</v>
      </c>
      <c r="O92" s="134">
        <f t="shared" si="15"/>
        <v>9237.9832337915032</v>
      </c>
      <c r="Q92" s="6">
        <f t="shared" si="16"/>
        <v>1054.5642960949206</v>
      </c>
    </row>
    <row r="93" spans="1:23">
      <c r="A93" s="2" t="s">
        <v>12</v>
      </c>
      <c r="C93" s="24">
        <f t="shared" si="9"/>
        <v>2890</v>
      </c>
      <c r="D93" s="24">
        <f t="shared" si="10"/>
        <v>3194.4450101616126</v>
      </c>
      <c r="E93" s="24">
        <f t="shared" si="11"/>
        <v>640.63164160992562</v>
      </c>
      <c r="F93" s="24">
        <f t="shared" si="12"/>
        <v>1283.9453718730151</v>
      </c>
      <c r="G93" s="6">
        <f t="shared" si="14"/>
        <v>5119.022023644553</v>
      </c>
      <c r="H93" s="11">
        <f t="shared" si="13"/>
        <v>0.71640390449912816</v>
      </c>
      <c r="J93" s="1" t="s">
        <v>34</v>
      </c>
      <c r="K93" s="24">
        <f>(C89+C90+C91)*(1-M84)</f>
        <v>10441.111130631003</v>
      </c>
      <c r="L93" s="24">
        <f>D89+D90+D91</f>
        <v>20117.888869368995</v>
      </c>
      <c r="M93" s="24">
        <f>E89+E90+E91</f>
        <v>1614.5592222535122</v>
      </c>
      <c r="N93" s="24">
        <f>F89+F90+F91</f>
        <v>2596.9850723697537</v>
      </c>
      <c r="O93" s="134">
        <f t="shared" si="15"/>
        <v>24329.43316399226</v>
      </c>
      <c r="P93" s="53"/>
      <c r="Q93" s="6">
        <f t="shared" si="16"/>
        <v>2777.3325529671529</v>
      </c>
    </row>
    <row r="94" spans="1:23">
      <c r="A94" s="2" t="s">
        <v>13</v>
      </c>
      <c r="C94" s="24">
        <f t="shared" si="9"/>
        <v>3199</v>
      </c>
      <c r="D94" s="24">
        <f t="shared" si="10"/>
        <v>3053.2382655733563</v>
      </c>
      <c r="E94" s="24">
        <f t="shared" si="11"/>
        <v>362.6058834210429</v>
      </c>
      <c r="F94" s="24">
        <f t="shared" si="12"/>
        <v>886.74453761870302</v>
      </c>
      <c r="G94" s="6">
        <f t="shared" si="14"/>
        <v>4302.5886866131023</v>
      </c>
      <c r="H94" s="11">
        <f t="shared" si="13"/>
        <v>0.68565871672431089</v>
      </c>
      <c r="J94" s="1" t="s">
        <v>3</v>
      </c>
      <c r="K94" s="24">
        <f>C84*(1-M84)</f>
        <v>7323.9174463373447</v>
      </c>
      <c r="L94" s="24">
        <f>D84</f>
        <v>13487.082553662654</v>
      </c>
      <c r="M94" s="24">
        <f>E84</f>
        <v>5686.9666381346478</v>
      </c>
      <c r="N94" s="24">
        <f>F84</f>
        <v>7387.4295288063131</v>
      </c>
      <c r="O94" s="134">
        <f t="shared" si="15"/>
        <v>26561.478720603613</v>
      </c>
      <c r="Q94" s="6">
        <f t="shared" si="16"/>
        <v>3032.1322740415085</v>
      </c>
    </row>
    <row r="95" spans="1:23">
      <c r="A95" s="2" t="s">
        <v>14</v>
      </c>
      <c r="C95" s="24">
        <f t="shared" si="9"/>
        <v>8980</v>
      </c>
      <c r="D95" s="24">
        <f t="shared" si="10"/>
        <v>7415.6907236163606</v>
      </c>
      <c r="E95" s="24">
        <f t="shared" si="11"/>
        <v>662.40474315483823</v>
      </c>
      <c r="F95" s="24">
        <f t="shared" si="12"/>
        <v>1529.3497089600739</v>
      </c>
      <c r="G95" s="6">
        <f t="shared" si="14"/>
        <v>9607.4451757312727</v>
      </c>
      <c r="H95" s="11">
        <f t="shared" si="13"/>
        <v>0.65365277422797363</v>
      </c>
      <c r="K95" s="6">
        <f>SUM(K88:K94)</f>
        <v>40225.975545267342</v>
      </c>
      <c r="L95" s="6">
        <f>SUM(L88:L94)</f>
        <v>85780.024454732658</v>
      </c>
      <c r="M95" s="6">
        <f>SUM(M88:M94)</f>
        <v>16270.368842927121</v>
      </c>
      <c r="N95" s="6">
        <f>SUM(N88:N94)</f>
        <v>29825.481751745763</v>
      </c>
      <c r="O95" s="6">
        <f>SUM(O88:O94)</f>
        <v>131875.87504940553</v>
      </c>
      <c r="Q95" s="6">
        <f t="shared" si="16"/>
        <v>15054.323635776887</v>
      </c>
    </row>
    <row r="96" spans="1:23">
      <c r="A96" s="2" t="s">
        <v>23</v>
      </c>
      <c r="C96" s="24">
        <f t="shared" si="9"/>
        <v>831</v>
      </c>
      <c r="D96" s="24">
        <f t="shared" si="10"/>
        <v>1012.3857451364361</v>
      </c>
      <c r="E96" s="24">
        <f t="shared" si="11"/>
        <v>520.87958311290686</v>
      </c>
      <c r="F96" s="24">
        <f t="shared" si="12"/>
        <v>1170.0979989975754</v>
      </c>
      <c r="G96" s="6">
        <f t="shared" si="14"/>
        <v>2703.3633272469183</v>
      </c>
      <c r="H96" s="11">
        <f t="shared" si="13"/>
        <v>0.73574545431427041</v>
      </c>
    </row>
    <row r="97" spans="1:8">
      <c r="A97" s="2" t="s">
        <v>16</v>
      </c>
      <c r="C97" s="24">
        <f t="shared" si="9"/>
        <v>5710</v>
      </c>
      <c r="D97" s="24">
        <f t="shared" si="10"/>
        <v>4336.519379938688</v>
      </c>
      <c r="E97" s="24">
        <f t="shared" si="11"/>
        <v>518.36730216541696</v>
      </c>
      <c r="F97" s="24">
        <f t="shared" si="12"/>
        <v>1581.2135121588856</v>
      </c>
      <c r="G97" s="6">
        <f t="shared" si="14"/>
        <v>6436.10019426299</v>
      </c>
      <c r="H97" s="11">
        <f t="shared" si="13"/>
        <v>0.63445784636996161</v>
      </c>
    </row>
    <row r="98" spans="1:8">
      <c r="A98" s="2" t="s">
        <v>17</v>
      </c>
      <c r="C98" s="24">
        <f t="shared" si="9"/>
        <v>824</v>
      </c>
      <c r="D98" s="24">
        <f t="shared" si="10"/>
        <v>1988.4486810979822</v>
      </c>
      <c r="E98" s="24">
        <f t="shared" si="11"/>
        <v>147.38714891940774</v>
      </c>
      <c r="F98" s="24">
        <f t="shared" si="12"/>
        <v>431.35504611694398</v>
      </c>
      <c r="G98" s="6">
        <f t="shared" si="14"/>
        <v>2567.1908761343338</v>
      </c>
      <c r="H98" s="11">
        <f t="shared" si="13"/>
        <v>0.84650859135716572</v>
      </c>
    </row>
    <row r="99" spans="1:8">
      <c r="A99" s="2" t="s">
        <v>18</v>
      </c>
      <c r="C99" s="24">
        <f t="shared" si="9"/>
        <v>9584</v>
      </c>
      <c r="D99" s="24">
        <f t="shared" si="10"/>
        <v>7809.40310636294</v>
      </c>
      <c r="E99" s="24">
        <f t="shared" si="11"/>
        <v>1050.1334360507801</v>
      </c>
      <c r="F99" s="24">
        <f t="shared" si="12"/>
        <v>2256.7079245531618</v>
      </c>
      <c r="G99" s="6">
        <f t="shared" si="14"/>
        <v>11116.244466966882</v>
      </c>
      <c r="H99" s="11">
        <f t="shared" si="13"/>
        <v>0.65062093696267098</v>
      </c>
    </row>
    <row r="100" spans="1:8">
      <c r="A100" s="2" t="s">
        <v>19</v>
      </c>
      <c r="C100" s="24">
        <f t="shared" si="9"/>
        <v>304</v>
      </c>
      <c r="D100" s="24">
        <f t="shared" si="10"/>
        <v>883.98106681284787</v>
      </c>
      <c r="E100" s="24">
        <f t="shared" si="11"/>
        <v>208.51931864166207</v>
      </c>
      <c r="F100" s="24">
        <f t="shared" si="12"/>
        <v>392.14095101540363</v>
      </c>
      <c r="G100" s="6">
        <f t="shared" si="14"/>
        <v>1484.6413364699138</v>
      </c>
      <c r="H100" s="11">
        <f t="shared" si="13"/>
        <v>0.86920458880319362</v>
      </c>
    </row>
    <row r="101" spans="1:8">
      <c r="A101" s="2" t="s">
        <v>20</v>
      </c>
      <c r="C101" s="24">
        <f t="shared" si="9"/>
        <v>6705</v>
      </c>
      <c r="D101" s="24">
        <f t="shared" si="10"/>
        <v>8128.1449111188977</v>
      </c>
      <c r="E101" s="24">
        <f t="shared" si="11"/>
        <v>566.93806715022174</v>
      </c>
      <c r="F101" s="24">
        <f t="shared" si="12"/>
        <v>1505.3152635752592</v>
      </c>
      <c r="G101" s="6">
        <f t="shared" si="14"/>
        <v>10200.398241844379</v>
      </c>
      <c r="H101" s="11">
        <f t="shared" si="13"/>
        <v>0.73478077301743783</v>
      </c>
    </row>
    <row r="102" spans="1:8">
      <c r="A102" s="2" t="s">
        <v>22</v>
      </c>
      <c r="C102" s="24">
        <f t="shared" si="9"/>
        <v>72</v>
      </c>
      <c r="D102" s="24">
        <f t="shared" si="10"/>
        <v>40.495515824095541</v>
      </c>
      <c r="E102" s="24">
        <f>H25*$N$6/$H$26</f>
        <v>88.767260144643302</v>
      </c>
      <c r="F102" s="24">
        <f>I25*$N$5/$I$26</f>
        <v>166.97614688397832</v>
      </c>
      <c r="G102" s="6">
        <f t="shared" si="14"/>
        <v>296.23892285271717</v>
      </c>
      <c r="H102" s="11">
        <f t="shared" si="13"/>
        <v>0.56243771977910473</v>
      </c>
    </row>
    <row r="103" spans="1:8">
      <c r="A103" s="7" t="s">
        <v>2</v>
      </c>
      <c r="C103" s="6">
        <f>SUM(C84:C102)</f>
        <v>91932</v>
      </c>
      <c r="D103" s="6">
        <f>SUM(D84:D102)</f>
        <v>85780.024454732658</v>
      </c>
      <c r="E103" s="6">
        <f>SUM(E84:E102)</f>
        <v>16270.368842927122</v>
      </c>
      <c r="F103" s="6">
        <f>SUM(F84:F102)</f>
        <v>29825.481751745763</v>
      </c>
      <c r="G103" s="6">
        <f>SUM(G84:G102)</f>
        <v>131875.87504940553</v>
      </c>
      <c r="H103" s="11">
        <f t="shared" si="13"/>
        <v>0.68076142766798931</v>
      </c>
    </row>
    <row r="104" spans="1:8">
      <c r="C104" s="2">
        <f>C103*(1-M84)</f>
        <v>40225.975545267342</v>
      </c>
    </row>
  </sheetData>
  <mergeCells count="8">
    <mergeCell ref="A32:B33"/>
    <mergeCell ref="A39:E39"/>
    <mergeCell ref="F39:L39"/>
    <mergeCell ref="G4:J4"/>
    <mergeCell ref="C4:F4"/>
    <mergeCell ref="E32:F32"/>
    <mergeCell ref="G32:H32"/>
    <mergeCell ref="C32:D33"/>
  </mergeCells>
  <hyperlinks>
    <hyperlink ref="B2" r:id="rId1" display="https://view.officeapps.live.com/op/view.aspx?src=https%3A%2F%2Fenergia.fi%2Fwp-content%2Fuploads%2F2024%2F12%2FSahkonkulutus-maakunnittain-2007-2023.xlsx&amp;wdOrigin=BROWSELINK" xr:uid="{F486580F-AD54-4E74-B065-6067696B7B52}"/>
    <hyperlink ref="U3" r:id="rId2" display="https://pxdata.stat.fi/PxWeb/pxweb/en/StatFin/StatFin__tene/statfin_tene_pxt_12bw.px/table/tableViewLayout1/" xr:uid="{0BF2BADF-AED2-40D7-B5E4-CF296D62E11C}"/>
    <hyperlink ref="U4" r:id="rId3" display="https://pxdata.stat.fi/PxWeb/pxweb/en/StatFin/StatFin__tene/statfin_tene_pxt_12bu.px/" xr:uid="{70C4025F-0D36-425D-A4BE-68E6EC117225}"/>
  </hyperlinks>
  <pageMargins left="0.7" right="0.7" top="0.75" bottom="0.75" header="0.3" footer="0.3"/>
  <pageSetup paperSize="9" orientation="portrait" verticalDpi="0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C84D6-B410-4C67-9AFC-3B5BFB58A4CF}">
  <sheetPr>
    <tabColor rgb="FF006600"/>
  </sheetPr>
  <dimension ref="A1:AI52"/>
  <sheetViews>
    <sheetView workbookViewId="0">
      <selection activeCell="V8" sqref="V8"/>
    </sheetView>
  </sheetViews>
  <sheetFormatPr defaultColWidth="9.109375" defaultRowHeight="14.4"/>
  <cols>
    <col min="1" max="16384" width="9.109375" style="2"/>
  </cols>
  <sheetData>
    <row r="1" spans="1:35">
      <c r="A1" s="3" t="s">
        <v>170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U1" s="3" t="s">
        <v>172</v>
      </c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>
      <c r="A2" s="12" t="s">
        <v>78</v>
      </c>
      <c r="B2" s="44"/>
      <c r="C2" s="44"/>
      <c r="D2" s="12"/>
      <c r="E2" s="12"/>
      <c r="G2" s="12" t="s">
        <v>81</v>
      </c>
      <c r="H2" s="12"/>
      <c r="I2" s="12"/>
      <c r="J2" s="12"/>
      <c r="K2" s="12"/>
      <c r="L2" s="46" t="s">
        <v>69</v>
      </c>
      <c r="M2" s="12"/>
      <c r="N2" s="12"/>
      <c r="O2" s="12"/>
      <c r="U2" s="5"/>
      <c r="V2" s="5" t="s">
        <v>57</v>
      </c>
      <c r="X2" s="7" t="s">
        <v>59</v>
      </c>
      <c r="Y2" s="7" t="s">
        <v>87</v>
      </c>
    </row>
    <row r="3" spans="1:35">
      <c r="A3" s="12" t="s">
        <v>59</v>
      </c>
      <c r="B3" s="49" t="s">
        <v>80</v>
      </c>
      <c r="C3" s="44"/>
      <c r="D3" s="12"/>
      <c r="E3" s="12"/>
      <c r="G3" s="5" t="s">
        <v>48</v>
      </c>
      <c r="H3" s="5"/>
      <c r="I3" s="167" t="s">
        <v>70</v>
      </c>
      <c r="J3" s="161"/>
      <c r="K3" s="168"/>
      <c r="L3" s="167" t="s">
        <v>71</v>
      </c>
      <c r="M3" s="161"/>
      <c r="N3" s="161"/>
      <c r="O3" s="161"/>
      <c r="P3" s="7" t="s">
        <v>86</v>
      </c>
      <c r="U3" s="2" t="s">
        <v>60</v>
      </c>
      <c r="V3" s="38">
        <v>20.740078131868135</v>
      </c>
      <c r="X3" s="2" t="s">
        <v>88</v>
      </c>
      <c r="Y3" s="2" t="s">
        <v>150</v>
      </c>
    </row>
    <row r="4" spans="1:35">
      <c r="A4" s="12"/>
      <c r="B4" s="25" t="s">
        <v>79</v>
      </c>
      <c r="C4" s="44"/>
      <c r="D4" s="12"/>
      <c r="E4" s="12"/>
      <c r="G4" s="5"/>
      <c r="H4" s="5"/>
      <c r="I4" s="169" t="s">
        <v>72</v>
      </c>
      <c r="J4" s="166" t="s">
        <v>73</v>
      </c>
      <c r="K4" s="166" t="s">
        <v>74</v>
      </c>
      <c r="L4" s="169" t="s">
        <v>75</v>
      </c>
      <c r="M4" s="166" t="s">
        <v>76</v>
      </c>
      <c r="N4" s="166" t="s">
        <v>77</v>
      </c>
      <c r="O4" s="166" t="s">
        <v>82</v>
      </c>
      <c r="U4" s="1" t="s">
        <v>28</v>
      </c>
      <c r="V4" s="39">
        <f>$V$3*D_el!K88/D_el!$K$95</f>
        <v>3.6748371915111178</v>
      </c>
      <c r="Y4" s="2" t="s">
        <v>89</v>
      </c>
    </row>
    <row r="5" spans="1:35">
      <c r="A5" s="5" t="s">
        <v>49</v>
      </c>
      <c r="B5" s="14">
        <v>2025</v>
      </c>
      <c r="C5" s="14">
        <v>2035</v>
      </c>
      <c r="G5" s="5"/>
      <c r="H5" s="5"/>
      <c r="I5" s="169"/>
      <c r="J5" s="166"/>
      <c r="K5" s="166"/>
      <c r="L5" s="169"/>
      <c r="M5" s="166"/>
      <c r="N5" s="166"/>
      <c r="O5" s="166"/>
      <c r="U5" s="1" t="s">
        <v>29</v>
      </c>
      <c r="V5" s="39">
        <f>$V$3*D_el!K89/D_el!$K$95</f>
        <v>2.993292397137302</v>
      </c>
    </row>
    <row r="6" spans="1:35" ht="15" customHeight="1">
      <c r="A6" s="2" t="s">
        <v>61</v>
      </c>
      <c r="B6" s="38">
        <v>6.5466201846226735</v>
      </c>
      <c r="C6" s="38">
        <v>6.8940564264295006</v>
      </c>
      <c r="G6" s="5"/>
      <c r="H6" s="5"/>
      <c r="I6" s="169"/>
      <c r="J6" s="166"/>
      <c r="K6" s="166"/>
      <c r="L6" s="169"/>
      <c r="M6" s="166"/>
      <c r="N6" s="166"/>
      <c r="O6" s="166"/>
      <c r="U6" s="1" t="s">
        <v>31</v>
      </c>
      <c r="V6" s="39">
        <f>$V$3*D_el!K90/D_el!$K$95</f>
        <v>2.6357126225320391</v>
      </c>
    </row>
    <row r="7" spans="1:35">
      <c r="A7" s="2" t="s">
        <v>62</v>
      </c>
      <c r="B7" s="38">
        <v>2.2342092575747032</v>
      </c>
      <c r="C7" s="38">
        <v>2.3116653064160797</v>
      </c>
      <c r="G7" s="5"/>
      <c r="H7" s="5"/>
      <c r="I7" s="169"/>
      <c r="J7" s="166"/>
      <c r="K7" s="166"/>
      <c r="L7" s="169"/>
      <c r="M7" s="166"/>
      <c r="N7" s="166"/>
      <c r="O7" s="166"/>
      <c r="U7" s="1" t="s">
        <v>32</v>
      </c>
      <c r="V7" s="39">
        <f>$V$3*D_el!K91/D_el!$K$95</f>
        <v>1.6403549155551191</v>
      </c>
    </row>
    <row r="8" spans="1:35">
      <c r="A8" s="2" t="s">
        <v>63</v>
      </c>
      <c r="B8" s="38">
        <v>1.8913769365150044</v>
      </c>
      <c r="C8" s="38">
        <v>1.9534342636259119</v>
      </c>
      <c r="G8" s="5"/>
      <c r="H8" s="5"/>
      <c r="I8" s="169"/>
      <c r="J8" s="166"/>
      <c r="K8" s="166"/>
      <c r="L8" s="169"/>
      <c r="M8" s="166"/>
      <c r="N8" s="166"/>
      <c r="O8" s="166"/>
      <c r="U8" s="1" t="s">
        <v>33</v>
      </c>
      <c r="V8" s="39">
        <f>$V$3*D_el!K92/D_el!$K$95</f>
        <v>0.63642431808293098</v>
      </c>
      <c r="X8" s="2">
        <f>V8/0.00876</f>
        <v>72.651177863348281</v>
      </c>
    </row>
    <row r="9" spans="1:35">
      <c r="A9" s="2" t="s">
        <v>64</v>
      </c>
      <c r="B9" s="38">
        <v>2.0784622759415696</v>
      </c>
      <c r="C9" s="38">
        <v>2.0619270698705732</v>
      </c>
      <c r="G9" s="5"/>
      <c r="H9" s="5"/>
      <c r="I9" s="169"/>
      <c r="J9" s="166"/>
      <c r="K9" s="166"/>
      <c r="L9" s="169"/>
      <c r="M9" s="166"/>
      <c r="N9" s="166"/>
      <c r="O9" s="166"/>
      <c r="U9" s="1" t="s">
        <v>34</v>
      </c>
      <c r="V9" s="39">
        <f>$V$3*D_el!K93/D_el!$K$95</f>
        <v>5.3833240262654733</v>
      </c>
    </row>
    <row r="10" spans="1:35">
      <c r="A10" s="2" t="s">
        <v>65</v>
      </c>
      <c r="B10" s="38">
        <v>2.1785868062160931</v>
      </c>
      <c r="C10" s="38">
        <v>2.2303641536293948</v>
      </c>
      <c r="G10" s="2" t="s">
        <v>3</v>
      </c>
      <c r="I10" s="50">
        <v>10143.999999999998</v>
      </c>
      <c r="J10" s="9">
        <v>2449.7999999999997</v>
      </c>
      <c r="K10" s="51">
        <v>929.30000000000007</v>
      </c>
      <c r="L10" s="52">
        <v>11908.699999999997</v>
      </c>
      <c r="M10" s="9">
        <v>616.9</v>
      </c>
      <c r="N10" s="10">
        <v>997.49999999999977</v>
      </c>
      <c r="O10" s="24">
        <f>L10+N10</f>
        <v>12906.199999999997</v>
      </c>
      <c r="U10" s="1" t="s">
        <v>3</v>
      </c>
      <c r="V10" s="39">
        <f>$V$3*D_el!K94/D_el!$K$95</f>
        <v>3.7761326607841537</v>
      </c>
    </row>
    <row r="11" spans="1:35">
      <c r="A11" s="2" t="s">
        <v>66</v>
      </c>
      <c r="B11" s="38">
        <v>1.9651785616096522</v>
      </c>
      <c r="C11" s="38">
        <v>1.9174791297331568</v>
      </c>
      <c r="G11" s="2" t="s">
        <v>4</v>
      </c>
      <c r="I11" s="50">
        <v>2073.8000000000002</v>
      </c>
      <c r="J11" s="9">
        <v>757.30000000000018</v>
      </c>
      <c r="K11" s="51">
        <v>2257.1</v>
      </c>
      <c r="L11" s="52">
        <v>2596.3999999999996</v>
      </c>
      <c r="M11" s="9">
        <v>2257.1</v>
      </c>
      <c r="N11" s="10">
        <v>234.70000000000005</v>
      </c>
      <c r="O11" s="24">
        <f t="shared" ref="O11:O29" si="0">L11+N11</f>
        <v>2831.0999999999995</v>
      </c>
    </row>
    <row r="12" spans="1:35">
      <c r="A12" s="2" t="s">
        <v>67</v>
      </c>
      <c r="B12" s="38">
        <v>1.2152905512460432</v>
      </c>
      <c r="C12" s="45">
        <v>1.2125035647713862</v>
      </c>
      <c r="G12" s="2" t="s">
        <v>5</v>
      </c>
      <c r="I12" s="50">
        <v>1229.5999999999999</v>
      </c>
      <c r="J12" s="9">
        <v>96.6</v>
      </c>
      <c r="K12" s="51">
        <v>431.90000000000003</v>
      </c>
      <c r="L12" s="52">
        <v>1165.8</v>
      </c>
      <c r="M12" s="9">
        <v>431.90000000000003</v>
      </c>
      <c r="N12" s="10">
        <v>160.39999999999998</v>
      </c>
      <c r="O12" s="24">
        <f t="shared" si="0"/>
        <v>1326.1999999999998</v>
      </c>
    </row>
    <row r="13" spans="1:35">
      <c r="A13" s="2" t="s">
        <v>68</v>
      </c>
      <c r="B13" s="38">
        <v>20.381214206217507</v>
      </c>
      <c r="C13" s="38">
        <v>20.045262703680852</v>
      </c>
      <c r="G13" s="2" t="s">
        <v>6</v>
      </c>
      <c r="I13" s="50">
        <v>1088.3</v>
      </c>
      <c r="J13" s="9">
        <v>214.29999999999998</v>
      </c>
      <c r="K13" s="51">
        <v>237.89999999999998</v>
      </c>
      <c r="L13" s="52">
        <v>855.90000000000009</v>
      </c>
      <c r="M13" s="9">
        <v>549.80000000000007</v>
      </c>
      <c r="N13" s="10">
        <v>134.80000000000001</v>
      </c>
      <c r="O13" s="24">
        <f t="shared" si="0"/>
        <v>990.7</v>
      </c>
    </row>
    <row r="14" spans="1:35">
      <c r="A14" s="2" t="s">
        <v>60</v>
      </c>
      <c r="B14" s="34">
        <f>SUM(B6:B13)</f>
        <v>38.490938779943249</v>
      </c>
      <c r="C14" s="34">
        <f>SUM(C6:C13)</f>
        <v>38.626692618156852</v>
      </c>
      <c r="G14" s="2" t="s">
        <v>7</v>
      </c>
      <c r="I14" s="50">
        <v>2583.2999999999988</v>
      </c>
      <c r="J14" s="9">
        <v>468.09999999999997</v>
      </c>
      <c r="K14" s="51">
        <v>513.1</v>
      </c>
      <c r="L14" s="52">
        <v>2816.7000000000003</v>
      </c>
      <c r="M14" s="9">
        <v>513.1</v>
      </c>
      <c r="N14" s="10">
        <v>234.69999999999996</v>
      </c>
      <c r="O14" s="24">
        <f t="shared" si="0"/>
        <v>3051.4</v>
      </c>
    </row>
    <row r="15" spans="1:35">
      <c r="G15" s="2" t="s">
        <v>8</v>
      </c>
      <c r="I15" s="50">
        <v>1277.8</v>
      </c>
      <c r="J15" s="9">
        <v>231.1</v>
      </c>
      <c r="K15" s="51">
        <v>134.10000000000002</v>
      </c>
      <c r="L15" s="52">
        <v>1328.9</v>
      </c>
      <c r="M15" s="9">
        <v>128.19999999999999</v>
      </c>
      <c r="N15" s="10">
        <v>185.9</v>
      </c>
      <c r="O15" s="24">
        <f t="shared" si="0"/>
        <v>1514.8000000000002</v>
      </c>
    </row>
    <row r="16" spans="1:35">
      <c r="G16" s="2" t="s">
        <v>9</v>
      </c>
      <c r="I16" s="50">
        <v>820.39999999999986</v>
      </c>
      <c r="J16" s="9">
        <v>112.2</v>
      </c>
      <c r="K16" s="51">
        <v>794.3</v>
      </c>
      <c r="L16" s="52">
        <v>815.6</v>
      </c>
      <c r="M16" s="9">
        <v>794.3</v>
      </c>
      <c r="N16" s="10">
        <v>117.00000000000001</v>
      </c>
      <c r="O16" s="24">
        <f t="shared" si="0"/>
        <v>932.6</v>
      </c>
    </row>
    <row r="17" spans="1:15">
      <c r="G17" s="2" t="s">
        <v>10</v>
      </c>
      <c r="I17" s="50">
        <v>775.5</v>
      </c>
      <c r="J17" s="9">
        <v>34.799999999999997</v>
      </c>
      <c r="K17" s="51">
        <v>610.1</v>
      </c>
      <c r="L17" s="52">
        <v>698.3</v>
      </c>
      <c r="M17" s="9">
        <v>610.09999999999991</v>
      </c>
      <c r="N17" s="10">
        <v>111.99999999999999</v>
      </c>
      <c r="O17" s="24">
        <f t="shared" si="0"/>
        <v>810.3</v>
      </c>
    </row>
    <row r="18" spans="1:15">
      <c r="G18" s="2" t="s">
        <v>11</v>
      </c>
      <c r="I18" s="50">
        <v>840.6</v>
      </c>
      <c r="J18" s="9">
        <v>25.899999999999995</v>
      </c>
      <c r="K18" s="51">
        <v>184</v>
      </c>
      <c r="L18" s="52">
        <v>751.59999999999991</v>
      </c>
      <c r="M18" s="9">
        <v>191.3</v>
      </c>
      <c r="N18" s="10">
        <v>107.59999999999998</v>
      </c>
      <c r="O18" s="24">
        <f t="shared" si="0"/>
        <v>859.19999999999993</v>
      </c>
    </row>
    <row r="19" spans="1:15">
      <c r="G19" s="2" t="s">
        <v>12</v>
      </c>
      <c r="I19" s="50">
        <v>1476.9</v>
      </c>
      <c r="J19" s="9">
        <v>305.20000000000005</v>
      </c>
      <c r="K19" s="51">
        <v>264.70000000000005</v>
      </c>
      <c r="L19" s="52">
        <v>1616.8</v>
      </c>
      <c r="M19" s="9">
        <v>246.8</v>
      </c>
      <c r="N19" s="10">
        <v>183.20000000000002</v>
      </c>
      <c r="O19" s="24">
        <f t="shared" si="0"/>
        <v>1800</v>
      </c>
    </row>
    <row r="20" spans="1:15">
      <c r="G20" s="2" t="s">
        <v>13</v>
      </c>
      <c r="I20" s="50">
        <v>802.1</v>
      </c>
      <c r="J20" s="9">
        <v>185.5</v>
      </c>
      <c r="K20" s="51">
        <v>28.3</v>
      </c>
      <c r="L20" s="52">
        <v>874.69999999999993</v>
      </c>
      <c r="M20" s="9">
        <v>28.3</v>
      </c>
      <c r="N20" s="10">
        <v>112.89999999999999</v>
      </c>
      <c r="O20" s="24">
        <f t="shared" si="0"/>
        <v>987.59999999999991</v>
      </c>
    </row>
    <row r="21" spans="1:15">
      <c r="G21" s="2" t="s">
        <v>14</v>
      </c>
      <c r="I21" s="50">
        <v>1533.5</v>
      </c>
      <c r="J21" s="9">
        <v>113.1</v>
      </c>
      <c r="K21" s="51">
        <v>1578.8</v>
      </c>
      <c r="L21" s="52">
        <v>1530.6000000000004</v>
      </c>
      <c r="M21" s="9">
        <v>1482.5</v>
      </c>
      <c r="N21" s="10">
        <v>212.3</v>
      </c>
      <c r="O21" s="24">
        <f t="shared" si="0"/>
        <v>1742.9000000000003</v>
      </c>
    </row>
    <row r="22" spans="1:15">
      <c r="G22" s="2" t="s">
        <v>23</v>
      </c>
      <c r="I22" s="50">
        <v>961.5</v>
      </c>
      <c r="J22" s="9">
        <v>85.3</v>
      </c>
      <c r="K22" s="51">
        <v>588.1</v>
      </c>
      <c r="L22" s="52">
        <v>912.1</v>
      </c>
      <c r="M22" s="9">
        <v>579.5</v>
      </c>
      <c r="N22" s="10">
        <v>143.29999999999998</v>
      </c>
      <c r="O22" s="24">
        <f t="shared" si="0"/>
        <v>1055.4000000000001</v>
      </c>
    </row>
    <row r="23" spans="1:15">
      <c r="G23" s="2" t="s">
        <v>16</v>
      </c>
      <c r="I23" s="50">
        <v>999.5</v>
      </c>
      <c r="J23" s="9">
        <v>68.600000000000009</v>
      </c>
      <c r="K23" s="51">
        <v>1004.5999999999999</v>
      </c>
      <c r="L23" s="52">
        <v>940.10000000000014</v>
      </c>
      <c r="M23" s="9">
        <v>1004.6</v>
      </c>
      <c r="N23" s="10">
        <v>127.99999999999999</v>
      </c>
      <c r="O23" s="24">
        <f t="shared" si="0"/>
        <v>1068.1000000000001</v>
      </c>
    </row>
    <row r="24" spans="1:15">
      <c r="G24" s="2" t="s">
        <v>17</v>
      </c>
      <c r="I24" s="50">
        <v>321.10000000000002</v>
      </c>
      <c r="J24" s="9">
        <v>113.7</v>
      </c>
      <c r="K24" s="51">
        <v>9</v>
      </c>
      <c r="L24" s="52">
        <v>379.9</v>
      </c>
      <c r="M24" s="9"/>
      <c r="N24" s="10">
        <v>63.9</v>
      </c>
      <c r="O24" s="24">
        <f t="shared" si="0"/>
        <v>443.79999999999995</v>
      </c>
    </row>
    <row r="25" spans="1:15">
      <c r="G25" s="2" t="s">
        <v>18</v>
      </c>
      <c r="I25" s="50">
        <v>2004.1999999999996</v>
      </c>
      <c r="J25" s="9">
        <v>793.69999999999993</v>
      </c>
      <c r="K25" s="51">
        <v>498.8</v>
      </c>
      <c r="L25" s="52">
        <v>2496.2000000000003</v>
      </c>
      <c r="M25" s="9">
        <v>496.29999999999995</v>
      </c>
      <c r="N25" s="10">
        <v>304.19999999999987</v>
      </c>
      <c r="O25" s="24">
        <f t="shared" si="0"/>
        <v>2800.4</v>
      </c>
    </row>
    <row r="26" spans="1:15">
      <c r="G26" s="2" t="s">
        <v>19</v>
      </c>
      <c r="I26" s="50">
        <v>404</v>
      </c>
      <c r="J26" s="9">
        <v>58</v>
      </c>
      <c r="K26" s="51">
        <v>304.79999999999995</v>
      </c>
      <c r="L26" s="52">
        <v>396.4</v>
      </c>
      <c r="M26" s="9">
        <v>304.79999999999995</v>
      </c>
      <c r="N26" s="10">
        <v>65.599999999999994</v>
      </c>
      <c r="O26" s="24">
        <f t="shared" si="0"/>
        <v>462</v>
      </c>
    </row>
    <row r="27" spans="1:15">
      <c r="G27" s="2" t="s">
        <v>20</v>
      </c>
      <c r="I27" s="50">
        <v>1045.8000000000002</v>
      </c>
      <c r="J27" s="9">
        <v>121.80000000000001</v>
      </c>
      <c r="K27" s="51">
        <v>140</v>
      </c>
      <c r="L27" s="52">
        <v>1035.1000000000001</v>
      </c>
      <c r="M27" s="9">
        <v>144.4</v>
      </c>
      <c r="N27" s="10">
        <v>128.1</v>
      </c>
      <c r="O27" s="24">
        <f t="shared" si="0"/>
        <v>1163.2</v>
      </c>
    </row>
    <row r="28" spans="1:15">
      <c r="G28" s="2" t="s">
        <v>22</v>
      </c>
      <c r="I28" s="50">
        <v>108.4</v>
      </c>
      <c r="J28" s="9">
        <v>13.9</v>
      </c>
      <c r="K28" s="51">
        <v>108.1</v>
      </c>
      <c r="L28" s="52">
        <v>107.6</v>
      </c>
      <c r="M28" s="9">
        <v>108.1</v>
      </c>
      <c r="N28" s="10">
        <v>14.7</v>
      </c>
      <c r="O28" s="24">
        <f t="shared" si="0"/>
        <v>122.3</v>
      </c>
    </row>
    <row r="29" spans="1:15">
      <c r="G29" s="2" t="s">
        <v>2</v>
      </c>
      <c r="I29" s="47">
        <v>30490.299999999996</v>
      </c>
      <c r="J29" s="6">
        <v>6248.9</v>
      </c>
      <c r="K29" s="48">
        <v>10617</v>
      </c>
      <c r="L29" s="47">
        <v>33227.399999999994</v>
      </c>
      <c r="M29" s="6">
        <v>10488</v>
      </c>
      <c r="N29" s="6">
        <v>3640.7999999999993</v>
      </c>
      <c r="O29" s="6">
        <f t="shared" si="0"/>
        <v>36868.199999999997</v>
      </c>
    </row>
    <row r="31" spans="1:15">
      <c r="A31" s="3" t="s">
        <v>171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</row>
    <row r="32" spans="1:15">
      <c r="A32" s="12" t="s">
        <v>83</v>
      </c>
      <c r="B32" s="12"/>
      <c r="C32" s="12"/>
      <c r="E32" s="12" t="s">
        <v>84</v>
      </c>
      <c r="F32" s="12"/>
      <c r="G32" s="12"/>
      <c r="I32" s="12" t="s">
        <v>85</v>
      </c>
      <c r="J32" s="12"/>
      <c r="K32" s="12"/>
      <c r="M32" s="7" t="s">
        <v>28</v>
      </c>
      <c r="N32" s="7"/>
      <c r="O32" s="35" t="s">
        <v>20</v>
      </c>
    </row>
    <row r="33" spans="1:15">
      <c r="A33" s="2" t="s">
        <v>3</v>
      </c>
      <c r="C33" s="39">
        <f>O10*$C$14/$O$29</f>
        <v>13.521783549738146</v>
      </c>
      <c r="E33" s="1" t="s">
        <v>28</v>
      </c>
      <c r="G33" s="39">
        <f>C50+C48</f>
        <v>4.1526507630241376</v>
      </c>
      <c r="I33" s="2" t="s">
        <v>61</v>
      </c>
      <c r="K33" s="38">
        <f t="shared" ref="K33:K39" si="1">C6</f>
        <v>6.8940564264295006</v>
      </c>
      <c r="M33" s="7"/>
      <c r="N33" s="7"/>
      <c r="O33" s="35" t="s">
        <v>18</v>
      </c>
    </row>
    <row r="34" spans="1:15">
      <c r="A34" s="2" t="s">
        <v>4</v>
      </c>
      <c r="C34" s="39">
        <f t="shared" ref="C34:C52" si="2">O11*$C$14/$O$29</f>
        <v>2.9661342151573402</v>
      </c>
      <c r="E34" s="1" t="s">
        <v>29</v>
      </c>
      <c r="G34" s="39">
        <f>C47+C46+C45+C35</f>
        <v>4.0792072221804618</v>
      </c>
      <c r="I34" s="2" t="s">
        <v>62</v>
      </c>
      <c r="K34" s="38">
        <f t="shared" si="1"/>
        <v>2.3116653064160797</v>
      </c>
      <c r="M34" s="7" t="s">
        <v>29</v>
      </c>
      <c r="N34" s="7"/>
      <c r="O34" s="35" t="s">
        <v>17</v>
      </c>
    </row>
    <row r="35" spans="1:15">
      <c r="A35" s="2" t="s">
        <v>5</v>
      </c>
      <c r="C35" s="39">
        <f t="shared" si="2"/>
        <v>1.3894554046630867</v>
      </c>
      <c r="E35" s="1" t="s">
        <v>31</v>
      </c>
      <c r="G35" s="39">
        <f>C37+C44</f>
        <v>5.0229724374726574</v>
      </c>
      <c r="I35" s="2" t="s">
        <v>63</v>
      </c>
      <c r="K35" s="38">
        <f t="shared" si="1"/>
        <v>1.9534342636259119</v>
      </c>
      <c r="M35" s="7"/>
      <c r="N35" s="7"/>
      <c r="O35" s="35" t="s">
        <v>16</v>
      </c>
    </row>
    <row r="36" spans="1:15">
      <c r="A36" s="2" t="s">
        <v>6</v>
      </c>
      <c r="C36" s="39">
        <f t="shared" si="2"/>
        <v>1.037953151409833</v>
      </c>
      <c r="E36" s="1" t="s">
        <v>32</v>
      </c>
      <c r="G36" s="39">
        <f>C49+C42+C41+C43</f>
        <v>4.304776328366529</v>
      </c>
      <c r="I36" s="2" t="s">
        <v>64</v>
      </c>
      <c r="K36" s="38">
        <f t="shared" si="1"/>
        <v>2.0619270698705732</v>
      </c>
      <c r="M36" s="7"/>
      <c r="N36" s="7"/>
      <c r="O36" s="35" t="s">
        <v>30</v>
      </c>
    </row>
    <row r="37" spans="1:15">
      <c r="A37" s="2" t="s">
        <v>7</v>
      </c>
      <c r="C37" s="39">
        <f t="shared" si="2"/>
        <v>3.1969418049984495</v>
      </c>
      <c r="E37" s="1" t="s">
        <v>33</v>
      </c>
      <c r="G37" s="39">
        <f>C51+C34+C36</f>
        <v>4.1322206767694771</v>
      </c>
      <c r="I37" s="2" t="s">
        <v>65</v>
      </c>
      <c r="K37" s="38">
        <f t="shared" si="1"/>
        <v>2.2303641536293948</v>
      </c>
      <c r="M37" s="7"/>
      <c r="N37" s="7"/>
      <c r="O37" s="35" t="s">
        <v>5</v>
      </c>
    </row>
    <row r="38" spans="1:15">
      <c r="A38" s="2" t="s">
        <v>8</v>
      </c>
      <c r="C38" s="39">
        <f t="shared" si="2"/>
        <v>1.5870510081312355</v>
      </c>
      <c r="E38" s="1" t="s">
        <v>34</v>
      </c>
      <c r="G38" s="39">
        <f>C38+C39+C40</f>
        <v>3.4130816406054429</v>
      </c>
      <c r="I38" s="2" t="s">
        <v>66</v>
      </c>
      <c r="K38" s="38">
        <f t="shared" si="1"/>
        <v>1.9174791297331568</v>
      </c>
      <c r="M38" s="7" t="s">
        <v>31</v>
      </c>
      <c r="N38" s="7"/>
      <c r="O38" s="35" t="s">
        <v>7</v>
      </c>
    </row>
    <row r="39" spans="1:15">
      <c r="A39" s="2" t="s">
        <v>9</v>
      </c>
      <c r="C39" s="39">
        <f t="shared" si="2"/>
        <v>0.97708197133825592</v>
      </c>
      <c r="E39" s="1" t="s">
        <v>3</v>
      </c>
      <c r="G39" s="39">
        <f>C33</f>
        <v>13.521783549738146</v>
      </c>
      <c r="I39" s="2" t="s">
        <v>67</v>
      </c>
      <c r="K39" s="38">
        <f t="shared" si="1"/>
        <v>1.2125035647713862</v>
      </c>
      <c r="M39" s="7"/>
      <c r="N39" s="7"/>
      <c r="O39" s="35" t="s">
        <v>14</v>
      </c>
    </row>
    <row r="40" spans="1:15">
      <c r="A40" s="2" t="s">
        <v>10</v>
      </c>
      <c r="C40" s="39">
        <f t="shared" si="2"/>
        <v>0.8489486611359518</v>
      </c>
      <c r="E40" s="7" t="s">
        <v>2</v>
      </c>
      <c r="G40" s="34">
        <f>SUM(G33:G39)</f>
        <v>38.626692618156852</v>
      </c>
      <c r="I40" s="1" t="s">
        <v>28</v>
      </c>
      <c r="K40" s="39">
        <f>G33-K38</f>
        <v>2.2351716332909808</v>
      </c>
      <c r="M40" s="7" t="s">
        <v>32</v>
      </c>
      <c r="N40" s="7"/>
      <c r="O40" s="35" t="s">
        <v>19</v>
      </c>
    </row>
    <row r="41" spans="1:15">
      <c r="A41" s="2" t="s">
        <v>11</v>
      </c>
      <c r="C41" s="39">
        <f t="shared" si="2"/>
        <v>0.90018103128225324</v>
      </c>
      <c r="I41" s="1" t="s">
        <v>29</v>
      </c>
      <c r="K41" s="39">
        <f>G34</f>
        <v>4.0792072221804618</v>
      </c>
      <c r="M41" s="7"/>
      <c r="N41" s="7"/>
      <c r="O41" s="35" t="s">
        <v>12</v>
      </c>
    </row>
    <row r="42" spans="1:15">
      <c r="A42" s="2" t="s">
        <v>12</v>
      </c>
      <c r="C42" s="39">
        <f t="shared" si="2"/>
        <v>1.8858541158147764</v>
      </c>
      <c r="I42" s="1" t="s">
        <v>31</v>
      </c>
      <c r="K42" s="39">
        <f>G35-K39-K37</f>
        <v>1.5801047190718767</v>
      </c>
      <c r="M42" s="7"/>
      <c r="N42" s="7"/>
      <c r="O42" s="35" t="s">
        <v>11</v>
      </c>
    </row>
    <row r="43" spans="1:15">
      <c r="A43" s="2" t="s">
        <v>13</v>
      </c>
      <c r="C43" s="39">
        <f t="shared" si="2"/>
        <v>1.0347052915437072</v>
      </c>
      <c r="I43" s="1" t="s">
        <v>32</v>
      </c>
      <c r="K43" s="39">
        <f>G36</f>
        <v>4.304776328366529</v>
      </c>
      <c r="M43" s="7"/>
      <c r="N43" s="7"/>
      <c r="O43" s="35" t="s">
        <v>13</v>
      </c>
    </row>
    <row r="44" spans="1:15">
      <c r="A44" s="2" t="s">
        <v>14</v>
      </c>
      <c r="C44" s="39">
        <f t="shared" si="2"/>
        <v>1.8260306324742082</v>
      </c>
      <c r="I44" s="1" t="s">
        <v>33</v>
      </c>
      <c r="K44" s="39">
        <f>G37-K36</f>
        <v>2.070293606898904</v>
      </c>
      <c r="M44" s="7" t="s">
        <v>33</v>
      </c>
      <c r="N44" s="7"/>
      <c r="O44" s="35" t="s">
        <v>22</v>
      </c>
    </row>
    <row r="45" spans="1:15">
      <c r="A45" s="2" t="s">
        <v>23</v>
      </c>
      <c r="C45" s="39">
        <f t="shared" si="2"/>
        <v>1.1057391299060639</v>
      </c>
      <c r="I45" s="1" t="s">
        <v>34</v>
      </c>
      <c r="K45" s="39">
        <f>G38</f>
        <v>3.4130816406054429</v>
      </c>
      <c r="M45" s="7"/>
      <c r="N45" s="7"/>
      <c r="O45" s="35" t="s">
        <v>4</v>
      </c>
    </row>
    <row r="46" spans="1:15">
      <c r="A46" s="2" t="s">
        <v>16</v>
      </c>
      <c r="C46" s="39">
        <f t="shared" si="2"/>
        <v>1.1190448783898683</v>
      </c>
      <c r="I46" s="1" t="s">
        <v>3</v>
      </c>
      <c r="K46" s="39">
        <f>G39-SUM(K33:K35)</f>
        <v>2.3626275532666536</v>
      </c>
      <c r="M46" s="7"/>
      <c r="N46" s="7"/>
      <c r="O46" s="35" t="s">
        <v>6</v>
      </c>
    </row>
    <row r="47" spans="1:15">
      <c r="A47" s="2" t="s">
        <v>17</v>
      </c>
      <c r="C47" s="39">
        <f t="shared" si="2"/>
        <v>0.46496780922144321</v>
      </c>
      <c r="I47" s="7" t="s">
        <v>2</v>
      </c>
      <c r="K47" s="34">
        <f>SUM(K33:K46)</f>
        <v>38.626692618156845</v>
      </c>
      <c r="M47" s="7" t="s">
        <v>34</v>
      </c>
      <c r="N47" s="7"/>
      <c r="O47" s="35" t="s">
        <v>8</v>
      </c>
    </row>
    <row r="48" spans="1:15">
      <c r="A48" s="2" t="s">
        <v>18</v>
      </c>
      <c r="C48" s="39">
        <f t="shared" si="2"/>
        <v>2.933969925515389</v>
      </c>
      <c r="M48" s="7"/>
      <c r="N48" s="7"/>
      <c r="O48" s="35" t="s">
        <v>9</v>
      </c>
    </row>
    <row r="49" spans="1:15">
      <c r="A49" s="2" t="s">
        <v>19</v>
      </c>
      <c r="C49" s="39">
        <f t="shared" si="2"/>
        <v>0.48403588972579259</v>
      </c>
      <c r="M49" s="7"/>
      <c r="N49" s="7"/>
      <c r="O49" s="35" t="s">
        <v>10</v>
      </c>
    </row>
    <row r="50" spans="1:15">
      <c r="A50" s="2" t="s">
        <v>20</v>
      </c>
      <c r="C50" s="39">
        <f t="shared" si="2"/>
        <v>1.218680837508749</v>
      </c>
      <c r="M50" s="7" t="s">
        <v>3</v>
      </c>
      <c r="N50" s="7"/>
      <c r="O50" s="35" t="s">
        <v>3</v>
      </c>
    </row>
    <row r="51" spans="1:15">
      <c r="A51" s="2" t="s">
        <v>22</v>
      </c>
      <c r="C51" s="39">
        <f t="shared" si="2"/>
        <v>0.12813331020230398</v>
      </c>
    </row>
    <row r="52" spans="1:15">
      <c r="A52" s="7" t="s">
        <v>2</v>
      </c>
      <c r="B52" s="7"/>
      <c r="C52" s="34">
        <f t="shared" si="2"/>
        <v>38.626692618156852</v>
      </c>
    </row>
  </sheetData>
  <mergeCells count="9">
    <mergeCell ref="J4:J9"/>
    <mergeCell ref="M4:M9"/>
    <mergeCell ref="O4:O9"/>
    <mergeCell ref="L3:O3"/>
    <mergeCell ref="I3:K3"/>
    <mergeCell ref="K4:K9"/>
    <mergeCell ref="I4:I9"/>
    <mergeCell ref="N4:N9"/>
    <mergeCell ref="L4:L9"/>
  </mergeCells>
  <conditionalFormatting sqref="X2:Y2">
    <cfRule type="duplicateValues" dxfId="0" priority="1"/>
  </conditionalFormatting>
  <hyperlinks>
    <hyperlink ref="L2" r:id="rId1" display="https://view.officeapps.live.com/op/view.aspx?src=https%3A%2F%2Fenergia.fi%2Fwp-content%2Fuploads%2F2024%2F05%2FDH_Regional_2023.xlsx&amp;wdOrigin=BROWSELINK" xr:uid="{D4564A1C-330D-463A-A440-67096DC4D3D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C9F93-E9FB-4A2D-8B6F-BA653DCC811E}">
  <sheetPr>
    <tabColor rgb="FF009900"/>
  </sheetPr>
  <dimension ref="A1:AK73"/>
  <sheetViews>
    <sheetView topLeftCell="A28" workbookViewId="0">
      <selection activeCell="F60" sqref="F60"/>
    </sheetView>
  </sheetViews>
  <sheetFormatPr defaultColWidth="9.109375" defaultRowHeight="14.4"/>
  <cols>
    <col min="1" max="16384" width="9.109375" style="1"/>
  </cols>
  <sheetData>
    <row r="1" spans="1:37">
      <c r="A1" s="102" t="s">
        <v>389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</row>
    <row r="2" spans="1:37">
      <c r="A2" s="43" t="s">
        <v>225</v>
      </c>
      <c r="B2" s="36"/>
      <c r="C2" s="36"/>
      <c r="D2" s="36"/>
      <c r="E2" s="36"/>
      <c r="F2" s="36"/>
      <c r="H2" s="43" t="s">
        <v>226</v>
      </c>
      <c r="I2" s="43"/>
      <c r="J2" s="43"/>
      <c r="K2" s="43"/>
      <c r="L2" s="43"/>
      <c r="M2" s="43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AJ2" s="35"/>
      <c r="AK2" s="35"/>
    </row>
    <row r="3" spans="1:37">
      <c r="A3" s="41" t="s">
        <v>161</v>
      </c>
      <c r="B3" s="46" t="s">
        <v>196</v>
      </c>
      <c r="C3" s="41"/>
      <c r="D3" s="41"/>
      <c r="E3" s="41"/>
      <c r="F3" s="41"/>
      <c r="H3" s="41" t="s">
        <v>205</v>
      </c>
      <c r="I3" s="41"/>
      <c r="K3" s="41" t="s">
        <v>206</v>
      </c>
      <c r="L3" s="41"/>
      <c r="M3" s="41"/>
      <c r="N3" s="41"/>
      <c r="O3" s="41"/>
      <c r="P3" s="41"/>
      <c r="Q3" s="41"/>
      <c r="R3" s="41"/>
      <c r="T3" s="41" t="s">
        <v>208</v>
      </c>
      <c r="U3" s="41"/>
      <c r="V3" s="41"/>
      <c r="W3" s="41"/>
      <c r="X3" s="41"/>
      <c r="Y3" s="41"/>
      <c r="AJ3" s="35"/>
      <c r="AK3" s="35"/>
    </row>
    <row r="4" spans="1:37">
      <c r="A4" s="41"/>
      <c r="B4" s="46" t="s">
        <v>203</v>
      </c>
      <c r="C4" s="41"/>
      <c r="D4" s="41"/>
      <c r="E4" s="41"/>
      <c r="F4" s="41"/>
      <c r="H4" s="41" t="s">
        <v>173</v>
      </c>
      <c r="I4" s="41"/>
      <c r="K4" s="14" t="s">
        <v>207</v>
      </c>
      <c r="L4" s="14"/>
      <c r="M4" s="163" t="s">
        <v>187</v>
      </c>
      <c r="N4" s="163"/>
      <c r="O4" s="163" t="s">
        <v>162</v>
      </c>
      <c r="P4" s="163"/>
      <c r="Q4" s="14" t="s">
        <v>204</v>
      </c>
      <c r="R4" s="14"/>
      <c r="T4" s="41" t="s">
        <v>222</v>
      </c>
      <c r="U4" s="41"/>
      <c r="V4" s="46" t="s">
        <v>223</v>
      </c>
      <c r="W4" s="41"/>
      <c r="X4" s="41"/>
      <c r="Y4" s="41"/>
      <c r="AJ4" s="35"/>
      <c r="AK4" s="35"/>
    </row>
    <row r="5" spans="1:37">
      <c r="A5" s="14"/>
      <c r="B5" s="14"/>
      <c r="C5" s="14" t="s">
        <v>199</v>
      </c>
      <c r="D5" s="14" t="s">
        <v>199</v>
      </c>
      <c r="E5" s="14" t="s">
        <v>200</v>
      </c>
      <c r="F5" s="14"/>
      <c r="H5" s="1" t="s">
        <v>184</v>
      </c>
      <c r="I5" s="1" t="s">
        <v>185</v>
      </c>
      <c r="K5" s="1" t="s">
        <v>228</v>
      </c>
      <c r="L5" s="1" t="s">
        <v>178</v>
      </c>
      <c r="M5" s="10">
        <v>2000</v>
      </c>
      <c r="N5" s="9">
        <v>2000</v>
      </c>
      <c r="O5" s="134">
        <v>4400</v>
      </c>
      <c r="P5" s="134">
        <v>4500</v>
      </c>
      <c r="Q5" s="6">
        <f t="shared" ref="Q5:R7" si="0">O5-M5</f>
        <v>2400</v>
      </c>
      <c r="R5" s="6">
        <f t="shared" si="0"/>
        <v>2500</v>
      </c>
      <c r="T5" s="41"/>
      <c r="U5" s="41"/>
      <c r="V5" s="74" t="s">
        <v>224</v>
      </c>
      <c r="W5" s="41"/>
      <c r="X5" s="41"/>
      <c r="Y5" s="41"/>
      <c r="AJ5" s="35"/>
      <c r="AK5" s="35"/>
    </row>
    <row r="6" spans="1:37">
      <c r="A6" s="1" t="s">
        <v>184</v>
      </c>
      <c r="B6" s="1" t="s">
        <v>185</v>
      </c>
      <c r="C6" s="1">
        <v>100</v>
      </c>
      <c r="E6" s="1">
        <v>220</v>
      </c>
      <c r="F6" s="35" t="s">
        <v>197</v>
      </c>
      <c r="H6" s="1" t="s">
        <v>184</v>
      </c>
      <c r="I6" s="1" t="s">
        <v>178</v>
      </c>
      <c r="K6" s="1" t="s">
        <v>327</v>
      </c>
      <c r="L6" s="1" t="s">
        <v>183</v>
      </c>
      <c r="M6" s="10">
        <v>1200</v>
      </c>
      <c r="N6" s="9">
        <v>1200</v>
      </c>
      <c r="O6" s="134">
        <v>1700</v>
      </c>
      <c r="P6" s="134">
        <v>1700</v>
      </c>
      <c r="Q6" s="6">
        <f t="shared" si="0"/>
        <v>500</v>
      </c>
      <c r="R6" s="6">
        <f t="shared" si="0"/>
        <v>500</v>
      </c>
      <c r="T6" s="14" t="s">
        <v>209</v>
      </c>
      <c r="U6" s="14" t="s">
        <v>210</v>
      </c>
      <c r="V6" s="14"/>
      <c r="W6" s="170" t="s">
        <v>211</v>
      </c>
      <c r="X6" s="170" t="s">
        <v>220</v>
      </c>
      <c r="Y6" s="170" t="s">
        <v>212</v>
      </c>
    </row>
    <row r="7" spans="1:37">
      <c r="A7" s="1" t="s">
        <v>184</v>
      </c>
      <c r="B7" s="1" t="s">
        <v>178</v>
      </c>
      <c r="C7" s="1">
        <v>1100</v>
      </c>
      <c r="D7" s="1">
        <v>1200</v>
      </c>
      <c r="E7" s="1" t="s">
        <v>202</v>
      </c>
      <c r="F7" s="35" t="s">
        <v>197</v>
      </c>
      <c r="H7" s="35" t="s">
        <v>184</v>
      </c>
      <c r="I7" s="35" t="s">
        <v>186</v>
      </c>
      <c r="K7" s="1" t="s">
        <v>328</v>
      </c>
      <c r="L7" s="1" t="s">
        <v>181</v>
      </c>
      <c r="M7" s="10">
        <v>1016</v>
      </c>
      <c r="N7" s="9">
        <v>1016</v>
      </c>
      <c r="O7" s="134">
        <v>1716</v>
      </c>
      <c r="P7" s="134">
        <v>1716</v>
      </c>
      <c r="Q7" s="6">
        <f t="shared" si="0"/>
        <v>700</v>
      </c>
      <c r="R7" s="6">
        <f t="shared" si="0"/>
        <v>700</v>
      </c>
      <c r="T7" s="14"/>
      <c r="U7" s="14"/>
      <c r="V7" s="14"/>
      <c r="W7" s="170"/>
      <c r="X7" s="170"/>
      <c r="Y7" s="170"/>
    </row>
    <row r="8" spans="1:37">
      <c r="A8" s="1" t="s">
        <v>201</v>
      </c>
      <c r="B8" s="1" t="s">
        <v>183</v>
      </c>
      <c r="C8" s="82">
        <v>400</v>
      </c>
      <c r="F8" s="35" t="s">
        <v>198</v>
      </c>
      <c r="H8" s="35" t="s">
        <v>174</v>
      </c>
      <c r="I8" s="35" t="s">
        <v>178</v>
      </c>
      <c r="K8" s="14" t="s">
        <v>194</v>
      </c>
      <c r="L8" s="14"/>
      <c r="M8" s="14"/>
      <c r="N8" s="14"/>
      <c r="O8" s="14"/>
      <c r="P8" s="14"/>
      <c r="T8" s="14"/>
      <c r="U8" s="14"/>
      <c r="V8" s="14"/>
      <c r="W8" s="99"/>
      <c r="X8" s="170"/>
      <c r="Y8" s="170"/>
    </row>
    <row r="9" spans="1:37">
      <c r="A9" s="1" t="s">
        <v>201</v>
      </c>
      <c r="B9" s="1" t="s">
        <v>183</v>
      </c>
      <c r="C9" s="1">
        <v>800</v>
      </c>
      <c r="F9" s="35" t="s">
        <v>198</v>
      </c>
      <c r="H9" s="35" t="s">
        <v>174</v>
      </c>
      <c r="I9" s="35" t="s">
        <v>186</v>
      </c>
      <c r="K9" s="92" t="s">
        <v>179</v>
      </c>
      <c r="L9" s="92" t="s">
        <v>185</v>
      </c>
      <c r="M9" s="93" t="s">
        <v>190</v>
      </c>
      <c r="N9" s="94">
        <v>2040</v>
      </c>
      <c r="O9" s="95">
        <v>500</v>
      </c>
      <c r="P9" s="96">
        <v>500</v>
      </c>
      <c r="T9" s="1" t="s">
        <v>213</v>
      </c>
      <c r="U9" s="1" t="s">
        <v>177</v>
      </c>
      <c r="V9" s="1" t="s">
        <v>181</v>
      </c>
      <c r="W9" s="22" t="s">
        <v>214</v>
      </c>
      <c r="X9" s="6">
        <f>R7</f>
        <v>700</v>
      </c>
      <c r="Y9" s="100" t="s">
        <v>154</v>
      </c>
    </row>
    <row r="10" spans="1:37">
      <c r="A10" s="1" t="s">
        <v>177</v>
      </c>
      <c r="B10" s="1" t="s">
        <v>181</v>
      </c>
      <c r="C10" s="1">
        <v>350</v>
      </c>
      <c r="F10" s="35" t="s">
        <v>198</v>
      </c>
      <c r="H10" s="35" t="s">
        <v>174</v>
      </c>
      <c r="I10" s="35" t="s">
        <v>183</v>
      </c>
      <c r="K10" s="88" t="s">
        <v>179</v>
      </c>
      <c r="L10" s="88" t="s">
        <v>185</v>
      </c>
      <c r="M10" s="89" t="s">
        <v>191</v>
      </c>
      <c r="N10" s="90">
        <v>2040</v>
      </c>
      <c r="O10" s="91">
        <v>500</v>
      </c>
      <c r="P10" s="97">
        <v>500</v>
      </c>
      <c r="T10" s="1" t="s">
        <v>215</v>
      </c>
      <c r="U10" s="1" t="s">
        <v>184</v>
      </c>
      <c r="V10" s="1" t="s">
        <v>219</v>
      </c>
      <c r="W10" s="22" t="s">
        <v>216</v>
      </c>
      <c r="X10" s="100"/>
      <c r="Y10" s="100" t="s">
        <v>154</v>
      </c>
    </row>
    <row r="11" spans="1:37">
      <c r="A11" s="1" t="s">
        <v>177</v>
      </c>
      <c r="B11" s="1" t="s">
        <v>181</v>
      </c>
      <c r="C11" s="1">
        <v>650</v>
      </c>
      <c r="F11" s="35" t="s">
        <v>198</v>
      </c>
      <c r="H11" s="1" t="s">
        <v>175</v>
      </c>
      <c r="I11" s="1" t="s">
        <v>183</v>
      </c>
      <c r="K11" s="92" t="s">
        <v>179</v>
      </c>
      <c r="L11" s="92" t="s">
        <v>178</v>
      </c>
      <c r="M11" s="93" t="s">
        <v>188</v>
      </c>
      <c r="N11" s="94">
        <v>2035</v>
      </c>
      <c r="O11" s="87">
        <v>800</v>
      </c>
      <c r="P11" s="87">
        <v>800</v>
      </c>
      <c r="T11" s="1" t="s">
        <v>217</v>
      </c>
      <c r="U11" s="1" t="s">
        <v>184</v>
      </c>
      <c r="V11" s="1" t="s">
        <v>219</v>
      </c>
      <c r="W11" s="22" t="s">
        <v>214</v>
      </c>
      <c r="X11" s="6">
        <f>Q5-800</f>
        <v>1600</v>
      </c>
      <c r="Y11" s="100" t="s">
        <v>155</v>
      </c>
    </row>
    <row r="12" spans="1:37">
      <c r="H12" s="35" t="s">
        <v>175</v>
      </c>
      <c r="I12" s="35" t="s">
        <v>180</v>
      </c>
      <c r="K12" s="92" t="s">
        <v>179</v>
      </c>
      <c r="L12" s="92" t="s">
        <v>178</v>
      </c>
      <c r="M12" s="93" t="s">
        <v>189</v>
      </c>
      <c r="N12" s="94">
        <v>2030</v>
      </c>
      <c r="O12" s="87">
        <v>800</v>
      </c>
      <c r="P12" s="87">
        <v>900</v>
      </c>
      <c r="U12" s="1" t="s">
        <v>184</v>
      </c>
      <c r="V12" s="1" t="s">
        <v>185</v>
      </c>
      <c r="W12" s="22" t="s">
        <v>218</v>
      </c>
      <c r="X12" s="100"/>
      <c r="Y12" s="100" t="s">
        <v>154</v>
      </c>
    </row>
    <row r="13" spans="1:37">
      <c r="H13" s="1" t="s">
        <v>177</v>
      </c>
      <c r="I13" s="1" t="s">
        <v>181</v>
      </c>
      <c r="K13" s="92" t="s">
        <v>179</v>
      </c>
      <c r="L13" s="92" t="s">
        <v>178</v>
      </c>
      <c r="M13" s="93" t="s">
        <v>190</v>
      </c>
      <c r="N13" s="94">
        <v>2030</v>
      </c>
      <c r="O13" s="87">
        <v>800</v>
      </c>
      <c r="P13" s="87">
        <v>800</v>
      </c>
    </row>
    <row r="14" spans="1:37">
      <c r="H14" s="35" t="s">
        <v>176</v>
      </c>
      <c r="I14" s="35" t="s">
        <v>181</v>
      </c>
      <c r="K14" s="92" t="s">
        <v>179</v>
      </c>
      <c r="L14" s="92" t="s">
        <v>178</v>
      </c>
      <c r="M14" s="93" t="s">
        <v>191</v>
      </c>
      <c r="N14" s="94">
        <v>2040</v>
      </c>
      <c r="O14" s="95">
        <v>800</v>
      </c>
      <c r="P14" s="96">
        <v>800</v>
      </c>
      <c r="T14" s="41" t="s">
        <v>221</v>
      </c>
      <c r="U14" s="41"/>
      <c r="V14" s="41"/>
      <c r="W14" s="41"/>
      <c r="X14" s="41"/>
      <c r="Y14" s="41"/>
    </row>
    <row r="15" spans="1:37">
      <c r="K15" s="88" t="s">
        <v>179</v>
      </c>
      <c r="L15" s="88" t="s">
        <v>178</v>
      </c>
      <c r="M15" s="89" t="s">
        <v>192</v>
      </c>
      <c r="N15" s="90">
        <v>2040</v>
      </c>
      <c r="O15" s="91">
        <v>800</v>
      </c>
      <c r="P15" s="97">
        <v>800</v>
      </c>
    </row>
    <row r="16" spans="1:37">
      <c r="K16" s="92" t="s">
        <v>179</v>
      </c>
      <c r="L16" s="92" t="s">
        <v>186</v>
      </c>
      <c r="M16" s="93" t="s">
        <v>190</v>
      </c>
      <c r="N16" s="94">
        <v>2030</v>
      </c>
      <c r="O16" s="95">
        <v>500</v>
      </c>
      <c r="P16" s="96">
        <v>500</v>
      </c>
    </row>
    <row r="17" spans="11:16">
      <c r="K17" s="92" t="s">
        <v>179</v>
      </c>
      <c r="L17" s="92" t="s">
        <v>186</v>
      </c>
      <c r="M17" s="93" t="s">
        <v>191</v>
      </c>
      <c r="N17" s="94">
        <v>2040</v>
      </c>
      <c r="O17" s="95">
        <v>500</v>
      </c>
      <c r="P17" s="96">
        <v>500</v>
      </c>
    </row>
    <row r="18" spans="11:16">
      <c r="K18" s="92" t="s">
        <v>179</v>
      </c>
      <c r="L18" s="92" t="s">
        <v>186</v>
      </c>
      <c r="M18" s="93" t="s">
        <v>192</v>
      </c>
      <c r="N18" s="94">
        <v>2040</v>
      </c>
      <c r="O18" s="95">
        <v>500</v>
      </c>
      <c r="P18" s="96">
        <v>500</v>
      </c>
    </row>
    <row r="19" spans="11:16">
      <c r="K19" s="88" t="s">
        <v>179</v>
      </c>
      <c r="L19" s="88" t="s">
        <v>186</v>
      </c>
      <c r="M19" s="89" t="s">
        <v>193</v>
      </c>
      <c r="N19" s="90">
        <v>2040</v>
      </c>
      <c r="O19" s="91">
        <v>500</v>
      </c>
      <c r="P19" s="97">
        <v>500</v>
      </c>
    </row>
    <row r="20" spans="11:16">
      <c r="K20" s="92" t="s">
        <v>179</v>
      </c>
      <c r="L20" s="92" t="s">
        <v>183</v>
      </c>
      <c r="M20" s="93" t="s">
        <v>188</v>
      </c>
      <c r="N20" s="94">
        <v>2040</v>
      </c>
      <c r="O20" s="95">
        <v>800</v>
      </c>
      <c r="P20" s="96">
        <v>800</v>
      </c>
    </row>
    <row r="21" spans="11:16">
      <c r="K21" s="92" t="s">
        <v>179</v>
      </c>
      <c r="L21" s="92" t="s">
        <v>183</v>
      </c>
      <c r="M21" s="93" t="s">
        <v>190</v>
      </c>
      <c r="N21" s="94">
        <v>2030</v>
      </c>
      <c r="O21" s="87">
        <v>500</v>
      </c>
      <c r="P21" s="87">
        <v>500</v>
      </c>
    </row>
    <row r="22" spans="11:16">
      <c r="K22" s="92" t="s">
        <v>179</v>
      </c>
      <c r="L22" s="92" t="s">
        <v>183</v>
      </c>
      <c r="M22" s="93" t="s">
        <v>191</v>
      </c>
      <c r="N22" s="94">
        <v>2040</v>
      </c>
      <c r="O22" s="95">
        <v>500</v>
      </c>
      <c r="P22" s="96">
        <v>500</v>
      </c>
    </row>
    <row r="23" spans="11:16">
      <c r="K23" s="92" t="s">
        <v>179</v>
      </c>
      <c r="L23" s="92" t="s">
        <v>183</v>
      </c>
      <c r="M23" s="93" t="s">
        <v>192</v>
      </c>
      <c r="N23" s="94">
        <v>2040</v>
      </c>
      <c r="O23" s="95">
        <v>500</v>
      </c>
      <c r="P23" s="96">
        <v>500</v>
      </c>
    </row>
    <row r="24" spans="11:16">
      <c r="K24" s="88" t="s">
        <v>179</v>
      </c>
      <c r="L24" s="88" t="s">
        <v>183</v>
      </c>
      <c r="M24" s="89" t="s">
        <v>193</v>
      </c>
      <c r="N24" s="90">
        <v>2040</v>
      </c>
      <c r="O24" s="91">
        <v>500</v>
      </c>
      <c r="P24" s="97">
        <v>500</v>
      </c>
    </row>
    <row r="25" spans="11:16">
      <c r="K25" s="92" t="s">
        <v>179</v>
      </c>
      <c r="L25" s="92" t="s">
        <v>181</v>
      </c>
      <c r="M25" s="93" t="s">
        <v>188</v>
      </c>
      <c r="N25" s="94">
        <v>2035</v>
      </c>
      <c r="O25" s="87">
        <v>700</v>
      </c>
      <c r="P25" s="87">
        <v>700</v>
      </c>
    </row>
    <row r="26" spans="11:16">
      <c r="K26" s="92" t="s">
        <v>179</v>
      </c>
      <c r="L26" s="92" t="s">
        <v>181</v>
      </c>
      <c r="M26" s="93" t="s">
        <v>190</v>
      </c>
      <c r="N26" s="94">
        <v>2030</v>
      </c>
      <c r="O26" s="95">
        <v>700</v>
      </c>
      <c r="P26" s="96">
        <v>700</v>
      </c>
    </row>
    <row r="27" spans="11:16">
      <c r="K27" s="88" t="s">
        <v>179</v>
      </c>
      <c r="L27" s="88" t="s">
        <v>181</v>
      </c>
      <c r="M27" s="89" t="s">
        <v>191</v>
      </c>
      <c r="N27" s="90">
        <v>2040</v>
      </c>
      <c r="O27" s="91">
        <v>700</v>
      </c>
      <c r="P27" s="97">
        <v>700</v>
      </c>
    </row>
    <row r="28" spans="11:16">
      <c r="K28" s="14" t="s">
        <v>195</v>
      </c>
      <c r="L28" s="14"/>
      <c r="M28" s="14"/>
      <c r="N28" s="14"/>
      <c r="O28" s="14"/>
      <c r="P28" s="14"/>
    </row>
    <row r="29" spans="11:16">
      <c r="K29" s="92" t="s">
        <v>179</v>
      </c>
      <c r="L29" s="92" t="s">
        <v>185</v>
      </c>
      <c r="O29" s="6">
        <f>SUM(O9:O10)</f>
        <v>1000</v>
      </c>
      <c r="P29" s="98">
        <f>SUM(P9:P10)</f>
        <v>1000</v>
      </c>
    </row>
    <row r="30" spans="11:16">
      <c r="K30" s="92" t="s">
        <v>179</v>
      </c>
      <c r="L30" s="92" t="s">
        <v>178</v>
      </c>
      <c r="O30" s="6">
        <f>SUM(O11:O15)</f>
        <v>4000</v>
      </c>
      <c r="P30" s="6">
        <f>SUM(P11:P15)</f>
        <v>4100</v>
      </c>
    </row>
    <row r="31" spans="11:16">
      <c r="K31" s="92" t="s">
        <v>179</v>
      </c>
      <c r="L31" s="92" t="s">
        <v>186</v>
      </c>
      <c r="O31" s="6">
        <f>SUM(O16:O19)</f>
        <v>2000</v>
      </c>
      <c r="P31" s="98">
        <f>SUM(P16:P19)</f>
        <v>2000</v>
      </c>
    </row>
    <row r="32" spans="11:16">
      <c r="K32" s="92" t="s">
        <v>179</v>
      </c>
      <c r="L32" s="92" t="s">
        <v>183</v>
      </c>
      <c r="O32" s="6">
        <f>SUM(O20:O24)</f>
        <v>2800</v>
      </c>
      <c r="P32" s="98">
        <f>SUM(P20:P24)</f>
        <v>2800</v>
      </c>
    </row>
    <row r="33" spans="1:25">
      <c r="K33" s="92" t="s">
        <v>179</v>
      </c>
      <c r="L33" s="92" t="s">
        <v>181</v>
      </c>
      <c r="O33" s="6">
        <f>SUM(O25:O27)</f>
        <v>2100</v>
      </c>
      <c r="P33" s="98">
        <f>SUM(P25:P27)</f>
        <v>2100</v>
      </c>
    </row>
    <row r="35" spans="1:25">
      <c r="A35" s="102" t="s">
        <v>390</v>
      </c>
      <c r="B35" s="101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</row>
    <row r="36" spans="1:25">
      <c r="A36" s="41" t="s">
        <v>59</v>
      </c>
      <c r="B36" s="46" t="s">
        <v>244</v>
      </c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Q36" s="74" t="s">
        <v>266</v>
      </c>
      <c r="R36" s="41"/>
      <c r="S36" s="41"/>
      <c r="T36" s="41"/>
      <c r="U36" s="41"/>
      <c r="V36" s="41"/>
    </row>
    <row r="37" spans="1:25">
      <c r="A37" s="14"/>
      <c r="B37" s="14"/>
      <c r="C37" s="104" t="s">
        <v>250</v>
      </c>
      <c r="D37" s="14"/>
      <c r="E37" s="14"/>
      <c r="F37" s="14"/>
      <c r="G37" s="104" t="s">
        <v>251</v>
      </c>
      <c r="H37" s="14"/>
      <c r="I37" s="14"/>
      <c r="J37" s="104" t="s">
        <v>258</v>
      </c>
      <c r="K37" s="14"/>
      <c r="L37" s="104" t="s">
        <v>226</v>
      </c>
      <c r="M37" s="14"/>
      <c r="N37" s="14"/>
      <c r="O37" s="14"/>
      <c r="Q37" s="74" t="s">
        <v>241</v>
      </c>
      <c r="R37" s="74"/>
      <c r="S37" s="74"/>
      <c r="T37" s="74"/>
      <c r="U37" s="74"/>
      <c r="V37" s="41"/>
    </row>
    <row r="38" spans="1:25">
      <c r="A38" s="14"/>
      <c r="B38" s="14"/>
      <c r="C38" s="104" t="s">
        <v>245</v>
      </c>
      <c r="D38" s="14" t="s">
        <v>246</v>
      </c>
      <c r="E38" s="14" t="s">
        <v>247</v>
      </c>
      <c r="F38" s="14" t="s">
        <v>159</v>
      </c>
      <c r="G38" s="104" t="s">
        <v>260</v>
      </c>
      <c r="H38" s="14"/>
      <c r="I38" s="14" t="s">
        <v>261</v>
      </c>
      <c r="J38" s="104"/>
      <c r="K38" s="14"/>
      <c r="L38" s="104" t="s">
        <v>245</v>
      </c>
      <c r="M38" s="14" t="s">
        <v>246</v>
      </c>
      <c r="N38" s="14" t="s">
        <v>247</v>
      </c>
      <c r="O38" s="14" t="s">
        <v>159</v>
      </c>
      <c r="Q38" s="74" t="s">
        <v>242</v>
      </c>
      <c r="R38" s="74"/>
      <c r="S38" s="74"/>
      <c r="T38" s="74"/>
      <c r="U38" s="74"/>
      <c r="V38" s="41"/>
    </row>
    <row r="39" spans="1:25">
      <c r="A39" s="1" t="s">
        <v>228</v>
      </c>
      <c r="B39" s="35" t="s">
        <v>233</v>
      </c>
      <c r="C39" s="105">
        <v>2</v>
      </c>
      <c r="D39" s="22">
        <v>1</v>
      </c>
      <c r="E39" s="22"/>
      <c r="F39" s="6">
        <f t="shared" ref="F39:F50" si="1">C39*$C$59+D39*$D$59+E39*$E$59</f>
        <v>2300</v>
      </c>
      <c r="G39" s="105" t="s">
        <v>253</v>
      </c>
      <c r="H39" s="22"/>
      <c r="I39" s="22"/>
      <c r="J39" s="103"/>
      <c r="L39" s="109">
        <v>3</v>
      </c>
      <c r="M39" s="79"/>
      <c r="N39" s="79"/>
      <c r="O39" s="24">
        <f t="shared" ref="O39:O50" si="2">L39*$C$59+M39*$D$59+N39*$E$59</f>
        <v>3000</v>
      </c>
      <c r="Q39" s="74" t="s">
        <v>243</v>
      </c>
      <c r="R39" s="74"/>
      <c r="S39" s="74"/>
      <c r="T39" s="74"/>
      <c r="U39" s="74"/>
      <c r="V39" s="41"/>
    </row>
    <row r="40" spans="1:25">
      <c r="A40" s="1" t="s">
        <v>228</v>
      </c>
      <c r="B40" s="35" t="s">
        <v>234</v>
      </c>
      <c r="C40" s="105">
        <v>1</v>
      </c>
      <c r="D40" s="22"/>
      <c r="E40" s="22"/>
      <c r="F40" s="6">
        <f t="shared" si="1"/>
        <v>1000</v>
      </c>
      <c r="G40" s="107" t="s">
        <v>254</v>
      </c>
      <c r="H40" s="22"/>
      <c r="I40" s="83" t="s">
        <v>252</v>
      </c>
      <c r="J40" s="103"/>
      <c r="L40" s="109">
        <v>2</v>
      </c>
      <c r="M40" s="79"/>
      <c r="N40" s="79"/>
      <c r="O40" s="24">
        <f t="shared" si="2"/>
        <v>2000</v>
      </c>
      <c r="Q40" s="14"/>
      <c r="R40" s="14"/>
      <c r="S40" s="76">
        <v>2025</v>
      </c>
      <c r="T40" s="76">
        <v>2035</v>
      </c>
      <c r="U40" s="110" t="s">
        <v>240</v>
      </c>
      <c r="V40" s="14"/>
    </row>
    <row r="41" spans="1:25">
      <c r="A41" s="1" t="s">
        <v>228</v>
      </c>
      <c r="B41" s="35" t="s">
        <v>235</v>
      </c>
      <c r="C41" s="105">
        <v>1</v>
      </c>
      <c r="D41" s="22">
        <v>1</v>
      </c>
      <c r="E41" s="22">
        <v>1</v>
      </c>
      <c r="F41" s="6">
        <f t="shared" si="1"/>
        <v>1400</v>
      </c>
      <c r="G41" s="107" t="s">
        <v>255</v>
      </c>
      <c r="H41" s="22"/>
      <c r="I41" s="22"/>
      <c r="J41" s="103"/>
      <c r="L41" s="109">
        <v>1</v>
      </c>
      <c r="M41" s="79">
        <v>1</v>
      </c>
      <c r="N41" s="79">
        <v>1</v>
      </c>
      <c r="O41" s="24">
        <f t="shared" si="2"/>
        <v>1400</v>
      </c>
      <c r="Q41" s="1" t="s">
        <v>228</v>
      </c>
      <c r="R41" s="35" t="s">
        <v>233</v>
      </c>
      <c r="S41" s="9">
        <v>1200</v>
      </c>
      <c r="T41" s="9">
        <v>1600</v>
      </c>
      <c r="U41" s="9">
        <f>T41-S41</f>
        <v>400</v>
      </c>
    </row>
    <row r="42" spans="1:25">
      <c r="A42" s="1" t="s">
        <v>227</v>
      </c>
      <c r="B42" s="35" t="s">
        <v>234</v>
      </c>
      <c r="C42" s="105">
        <v>4</v>
      </c>
      <c r="D42" s="22">
        <v>3</v>
      </c>
      <c r="E42" s="22"/>
      <c r="F42" s="6">
        <f t="shared" si="1"/>
        <v>4900</v>
      </c>
      <c r="G42" s="105" t="s">
        <v>256</v>
      </c>
      <c r="H42" s="22"/>
      <c r="I42" s="83" t="s">
        <v>252</v>
      </c>
      <c r="J42" s="103"/>
      <c r="L42" s="109">
        <v>6</v>
      </c>
      <c r="M42" s="79">
        <v>2</v>
      </c>
      <c r="N42" s="79">
        <v>1</v>
      </c>
      <c r="O42" s="24">
        <f t="shared" si="2"/>
        <v>6700</v>
      </c>
      <c r="Q42" s="1" t="s">
        <v>228</v>
      </c>
      <c r="R42" s="35" t="s">
        <v>234</v>
      </c>
      <c r="S42" s="9">
        <v>1800</v>
      </c>
      <c r="T42" s="9">
        <v>3000</v>
      </c>
      <c r="U42" s="9">
        <f t="shared" ref="U42:U50" si="3">T42-S42</f>
        <v>1200</v>
      </c>
    </row>
    <row r="43" spans="1:25">
      <c r="A43" s="1" t="s">
        <v>227</v>
      </c>
      <c r="B43" s="35" t="s">
        <v>236</v>
      </c>
      <c r="C43" s="105">
        <v>2</v>
      </c>
      <c r="D43" s="22">
        <v>1</v>
      </c>
      <c r="E43" s="22"/>
      <c r="F43" s="6">
        <f t="shared" si="1"/>
        <v>2300</v>
      </c>
      <c r="G43" s="105"/>
      <c r="H43" s="22"/>
      <c r="I43" s="22"/>
      <c r="J43" s="103"/>
      <c r="L43" s="109">
        <v>2</v>
      </c>
      <c r="M43" s="79">
        <v>1</v>
      </c>
      <c r="N43" s="79"/>
      <c r="O43" s="24">
        <f t="shared" si="2"/>
        <v>2300</v>
      </c>
      <c r="Q43" s="1" t="s">
        <v>228</v>
      </c>
      <c r="R43" s="35" t="s">
        <v>235</v>
      </c>
      <c r="S43" s="9">
        <v>1200</v>
      </c>
      <c r="T43" s="9">
        <v>2400</v>
      </c>
      <c r="U43" s="9">
        <f t="shared" si="3"/>
        <v>1200</v>
      </c>
    </row>
    <row r="44" spans="1:25">
      <c r="A44" s="1" t="s">
        <v>229</v>
      </c>
      <c r="B44" s="35" t="s">
        <v>236</v>
      </c>
      <c r="C44" s="105">
        <v>1</v>
      </c>
      <c r="D44" s="22">
        <v>1</v>
      </c>
      <c r="E44" s="22"/>
      <c r="F44" s="6">
        <f t="shared" si="1"/>
        <v>1300</v>
      </c>
      <c r="G44" s="105" t="s">
        <v>257</v>
      </c>
      <c r="H44" s="22"/>
      <c r="I44" s="22"/>
      <c r="J44" s="103"/>
      <c r="L44" s="109">
        <v>3</v>
      </c>
      <c r="M44" s="79"/>
      <c r="N44" s="79">
        <v>1</v>
      </c>
      <c r="O44" s="24">
        <f t="shared" si="2"/>
        <v>3100</v>
      </c>
      <c r="Q44" s="1" t="s">
        <v>227</v>
      </c>
      <c r="R44" s="35" t="s">
        <v>234</v>
      </c>
      <c r="S44" s="9">
        <v>1200</v>
      </c>
      <c r="T44" s="9">
        <v>2400</v>
      </c>
      <c r="U44" s="9">
        <f t="shared" si="3"/>
        <v>1200</v>
      </c>
    </row>
    <row r="45" spans="1:25">
      <c r="A45" s="1" t="s">
        <v>229</v>
      </c>
      <c r="B45" s="35" t="s">
        <v>237</v>
      </c>
      <c r="C45" s="105"/>
      <c r="D45" s="22"/>
      <c r="E45" s="22"/>
      <c r="F45" s="6">
        <f t="shared" si="1"/>
        <v>0</v>
      </c>
      <c r="G45" s="105"/>
      <c r="H45" s="22"/>
      <c r="I45" s="22"/>
      <c r="J45" s="103"/>
      <c r="L45" s="109"/>
      <c r="M45" s="79"/>
      <c r="N45" s="79"/>
      <c r="O45" s="24">
        <f t="shared" si="2"/>
        <v>0</v>
      </c>
      <c r="Q45" s="1" t="s">
        <v>227</v>
      </c>
      <c r="R45" s="35" t="s">
        <v>236</v>
      </c>
      <c r="S45" s="9">
        <v>1500</v>
      </c>
      <c r="T45" s="9">
        <v>1800</v>
      </c>
      <c r="U45" s="9">
        <f t="shared" si="3"/>
        <v>300</v>
      </c>
    </row>
    <row r="46" spans="1:25">
      <c r="A46" s="1" t="s">
        <v>229</v>
      </c>
      <c r="B46" s="35" t="s">
        <v>238</v>
      </c>
      <c r="C46" s="105">
        <v>1</v>
      </c>
      <c r="D46" s="22">
        <v>1</v>
      </c>
      <c r="E46" s="22"/>
      <c r="F46" s="6">
        <f t="shared" si="1"/>
        <v>1300</v>
      </c>
      <c r="G46" s="106"/>
      <c r="H46" s="22"/>
      <c r="I46" s="22"/>
      <c r="J46" s="108" t="s">
        <v>259</v>
      </c>
      <c r="L46" s="109">
        <v>1</v>
      </c>
      <c r="M46" s="79">
        <v>1</v>
      </c>
      <c r="N46" s="79"/>
      <c r="O46" s="24">
        <f t="shared" si="2"/>
        <v>1300</v>
      </c>
      <c r="Q46" s="1" t="s">
        <v>229</v>
      </c>
      <c r="R46" s="35" t="s">
        <v>236</v>
      </c>
      <c r="S46" s="9">
        <v>1500</v>
      </c>
      <c r="T46" s="9">
        <v>1800</v>
      </c>
      <c r="U46" s="9">
        <f t="shared" si="3"/>
        <v>300</v>
      </c>
    </row>
    <row r="47" spans="1:25">
      <c r="A47" s="1" t="s">
        <v>230</v>
      </c>
      <c r="B47" s="35" t="s">
        <v>237</v>
      </c>
      <c r="C47" s="105">
        <v>1</v>
      </c>
      <c r="D47" s="22">
        <v>3</v>
      </c>
      <c r="E47" s="22"/>
      <c r="F47" s="6">
        <f t="shared" si="1"/>
        <v>1900</v>
      </c>
      <c r="G47" s="105"/>
      <c r="H47" s="22"/>
      <c r="I47" s="22"/>
      <c r="J47" s="103"/>
      <c r="L47" s="109">
        <v>1</v>
      </c>
      <c r="M47" s="79">
        <v>3</v>
      </c>
      <c r="N47" s="79"/>
      <c r="O47" s="24">
        <f t="shared" si="2"/>
        <v>1900</v>
      </c>
      <c r="Q47" s="1" t="s">
        <v>229</v>
      </c>
      <c r="R47" s="35" t="s">
        <v>237</v>
      </c>
      <c r="S47" s="9">
        <v>1200</v>
      </c>
      <c r="T47" s="9">
        <v>2000</v>
      </c>
      <c r="U47" s="9">
        <f t="shared" si="3"/>
        <v>800</v>
      </c>
    </row>
    <row r="48" spans="1:25">
      <c r="A48" s="1" t="s">
        <v>231</v>
      </c>
      <c r="B48" s="35" t="s">
        <v>237</v>
      </c>
      <c r="C48" s="105"/>
      <c r="D48" s="22">
        <v>1</v>
      </c>
      <c r="E48" s="22"/>
      <c r="F48" s="6">
        <f t="shared" si="1"/>
        <v>300</v>
      </c>
      <c r="G48" s="105"/>
      <c r="H48" s="22"/>
      <c r="I48" s="22"/>
      <c r="J48" s="103"/>
      <c r="L48" s="109"/>
      <c r="M48" s="79">
        <v>1</v>
      </c>
      <c r="N48" s="79"/>
      <c r="O48" s="24">
        <f t="shared" si="2"/>
        <v>300</v>
      </c>
      <c r="Q48" s="1" t="s">
        <v>229</v>
      </c>
      <c r="R48" s="35" t="s">
        <v>238</v>
      </c>
      <c r="S48" s="9">
        <v>1200</v>
      </c>
      <c r="T48" s="9">
        <v>1800</v>
      </c>
      <c r="U48" s="9">
        <f t="shared" si="3"/>
        <v>600</v>
      </c>
    </row>
    <row r="49" spans="1:25">
      <c r="A49" s="1" t="s">
        <v>231</v>
      </c>
      <c r="B49" s="35" t="s">
        <v>239</v>
      </c>
      <c r="C49" s="105">
        <v>4</v>
      </c>
      <c r="D49" s="22">
        <v>3</v>
      </c>
      <c r="E49" s="22"/>
      <c r="F49" s="6">
        <f t="shared" si="1"/>
        <v>4900</v>
      </c>
      <c r="G49" s="106"/>
      <c r="H49" s="22"/>
      <c r="I49" s="22" t="s">
        <v>252</v>
      </c>
      <c r="J49" s="108" t="s">
        <v>259</v>
      </c>
      <c r="L49" s="109">
        <v>5</v>
      </c>
      <c r="M49" s="79">
        <v>3</v>
      </c>
      <c r="N49" s="79"/>
      <c r="O49" s="24">
        <f t="shared" si="2"/>
        <v>5900</v>
      </c>
      <c r="Q49" s="1" t="s">
        <v>230</v>
      </c>
      <c r="R49" s="35" t="s">
        <v>237</v>
      </c>
      <c r="S49" s="9">
        <v>1200</v>
      </c>
      <c r="T49" s="9">
        <v>1800</v>
      </c>
      <c r="U49" s="9">
        <f t="shared" si="3"/>
        <v>600</v>
      </c>
    </row>
    <row r="50" spans="1:25">
      <c r="A50" s="1" t="s">
        <v>232</v>
      </c>
      <c r="B50" s="35" t="s">
        <v>239</v>
      </c>
      <c r="C50" s="105">
        <v>2</v>
      </c>
      <c r="D50" s="22">
        <v>1</v>
      </c>
      <c r="E50" s="22"/>
      <c r="F50" s="6">
        <f t="shared" si="1"/>
        <v>2300</v>
      </c>
      <c r="G50" s="105"/>
      <c r="H50" s="22"/>
      <c r="I50" s="22"/>
      <c r="J50" s="103"/>
      <c r="L50" s="109">
        <v>2</v>
      </c>
      <c r="M50" s="79">
        <v>1</v>
      </c>
      <c r="N50" s="79"/>
      <c r="O50" s="24">
        <f t="shared" si="2"/>
        <v>2300</v>
      </c>
      <c r="Q50" s="1" t="s">
        <v>231</v>
      </c>
      <c r="R50" s="35" t="s">
        <v>239</v>
      </c>
      <c r="S50" s="9">
        <v>1800</v>
      </c>
      <c r="T50" s="9">
        <v>2200</v>
      </c>
      <c r="U50" s="9">
        <f t="shared" si="3"/>
        <v>400</v>
      </c>
    </row>
    <row r="51" spans="1:25">
      <c r="C51" s="22"/>
      <c r="D51" s="22"/>
      <c r="E51" s="22"/>
      <c r="F51" s="6">
        <f>SUM(F39:F50)</f>
        <v>23900</v>
      </c>
      <c r="M51" s="6"/>
      <c r="O51" s="6">
        <f>SUM(O39:O50)</f>
        <v>30200</v>
      </c>
      <c r="Q51" s="1" t="s">
        <v>232</v>
      </c>
      <c r="R51" s="35" t="s">
        <v>239</v>
      </c>
      <c r="S51" s="9">
        <v>1200</v>
      </c>
      <c r="T51" s="9">
        <v>1500</v>
      </c>
      <c r="U51" s="9">
        <f>T51-S51</f>
        <v>300</v>
      </c>
    </row>
    <row r="52" spans="1:25">
      <c r="Q52" s="1" t="s">
        <v>231</v>
      </c>
      <c r="R52" s="35" t="s">
        <v>237</v>
      </c>
      <c r="S52" s="9">
        <v>700</v>
      </c>
      <c r="T52" s="9">
        <v>1000</v>
      </c>
      <c r="U52" s="9">
        <f>T52-S52</f>
        <v>300</v>
      </c>
    </row>
    <row r="53" spans="1:25">
      <c r="A53" s="41" t="s">
        <v>263</v>
      </c>
      <c r="B53" s="41"/>
      <c r="C53" s="41"/>
      <c r="D53" s="41"/>
      <c r="E53" s="41"/>
      <c r="F53" s="41"/>
      <c r="S53" s="9">
        <f>SUM(S41:S52)</f>
        <v>15700</v>
      </c>
      <c r="T53" s="9">
        <f>SUM(T41:T52)</f>
        <v>23300</v>
      </c>
      <c r="U53" s="9">
        <f>SUM(U41:U52)</f>
        <v>7600</v>
      </c>
    </row>
    <row r="54" spans="1:25">
      <c r="A54" s="41" t="s">
        <v>59</v>
      </c>
      <c r="B54" s="41" t="s">
        <v>265</v>
      </c>
      <c r="C54" s="41"/>
      <c r="D54" s="41"/>
      <c r="E54" s="41"/>
      <c r="F54" s="41"/>
    </row>
    <row r="55" spans="1:25">
      <c r="A55" s="41"/>
      <c r="B55" s="46" t="s">
        <v>264</v>
      </c>
      <c r="C55" s="41"/>
      <c r="D55" s="41"/>
      <c r="E55" s="41"/>
      <c r="F55" s="41"/>
    </row>
    <row r="56" spans="1:25">
      <c r="A56" s="14" t="s">
        <v>263</v>
      </c>
      <c r="B56" s="14"/>
      <c r="C56" s="14" t="s">
        <v>245</v>
      </c>
      <c r="D56" s="14" t="s">
        <v>246</v>
      </c>
      <c r="E56" s="14" t="s">
        <v>247</v>
      </c>
    </row>
    <row r="57" spans="1:25">
      <c r="A57" s="76" t="s">
        <v>248</v>
      </c>
      <c r="B57" s="14"/>
      <c r="C57" s="42">
        <v>700</v>
      </c>
      <c r="D57" s="42">
        <v>230</v>
      </c>
      <c r="E57" s="42">
        <v>60</v>
      </c>
    </row>
    <row r="58" spans="1:25">
      <c r="A58" s="76" t="s">
        <v>249</v>
      </c>
      <c r="B58" s="14"/>
      <c r="C58" s="42">
        <v>1030</v>
      </c>
      <c r="D58" s="42">
        <v>320</v>
      </c>
      <c r="E58" s="42">
        <v>95</v>
      </c>
    </row>
    <row r="59" spans="1:25">
      <c r="A59" s="14" t="s">
        <v>262</v>
      </c>
      <c r="B59" s="14"/>
      <c r="C59" s="79">
        <v>1000</v>
      </c>
      <c r="D59" s="79">
        <v>300</v>
      </c>
      <c r="E59" s="79">
        <v>100</v>
      </c>
    </row>
    <row r="61" spans="1:25">
      <c r="A61" s="43" t="s">
        <v>391</v>
      </c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</row>
    <row r="63" spans="1:25">
      <c r="A63" s="14" t="s">
        <v>182</v>
      </c>
      <c r="B63" s="14"/>
      <c r="C63" s="35"/>
      <c r="D63" s="35"/>
    </row>
    <row r="64" spans="1:25">
      <c r="A64" s="1" t="s">
        <v>329</v>
      </c>
      <c r="B64" s="1" t="s">
        <v>178</v>
      </c>
      <c r="C64" s="35">
        <v>7899</v>
      </c>
      <c r="D64" s="35">
        <v>7546</v>
      </c>
    </row>
    <row r="65" spans="1:4">
      <c r="A65" s="1" t="s">
        <v>327</v>
      </c>
      <c r="B65" s="1" t="s">
        <v>180</v>
      </c>
      <c r="C65" s="35">
        <v>21000</v>
      </c>
      <c r="D65" s="35">
        <v>21000</v>
      </c>
    </row>
    <row r="66" spans="1:4">
      <c r="A66" s="1" t="s">
        <v>328</v>
      </c>
      <c r="B66" s="1" t="s">
        <v>326</v>
      </c>
      <c r="C66" s="35">
        <v>8330</v>
      </c>
      <c r="D66" s="35">
        <v>4205</v>
      </c>
    </row>
    <row r="68" spans="1:4">
      <c r="A68" s="1" t="s">
        <v>267</v>
      </c>
    </row>
    <row r="69" spans="1:4">
      <c r="A69" s="1" t="s">
        <v>329</v>
      </c>
      <c r="B69" s="1" t="s">
        <v>330</v>
      </c>
      <c r="C69" s="1">
        <v>8000</v>
      </c>
    </row>
    <row r="70" spans="1:4">
      <c r="A70" s="1" t="s">
        <v>330</v>
      </c>
      <c r="B70" s="1" t="s">
        <v>333</v>
      </c>
      <c r="C70" s="1">
        <v>8000</v>
      </c>
    </row>
    <row r="71" spans="1:4">
      <c r="A71" s="1" t="s">
        <v>327</v>
      </c>
      <c r="B71" s="1" t="s">
        <v>331</v>
      </c>
      <c r="C71" s="1">
        <v>8000</v>
      </c>
    </row>
    <row r="72" spans="1:4">
      <c r="A72" s="1" t="s">
        <v>331</v>
      </c>
      <c r="B72" s="1" t="s">
        <v>332</v>
      </c>
      <c r="C72" s="1">
        <v>8000</v>
      </c>
    </row>
    <row r="73" spans="1:4">
      <c r="A73" s="1" t="s">
        <v>332</v>
      </c>
      <c r="B73" s="1" t="s">
        <v>328</v>
      </c>
      <c r="C73" s="1">
        <v>8000</v>
      </c>
    </row>
  </sheetData>
  <mergeCells count="5">
    <mergeCell ref="M4:N4"/>
    <mergeCell ref="O4:P4"/>
    <mergeCell ref="W6:W7"/>
    <mergeCell ref="X6:X8"/>
    <mergeCell ref="Y6:Y8"/>
  </mergeCells>
  <hyperlinks>
    <hyperlink ref="B3" r:id="rId1" display="https://www.fingrid.fi/en/grid/development/part-of-the-nordic-power-system/" xr:uid="{A856FD75-3492-42EF-81A7-4D0F912A1179}"/>
    <hyperlink ref="B4" r:id="rId2" display="https://www.fingrid.fi/globalassets/dokumentit/fi/kantaverkko/kantaverkon-kehittaminen/fingrid_kehittamissuunnitelma_syksy23_en.pdf" xr:uid="{3C899368-2B38-43B5-9F68-3F6A327D98B5}"/>
    <hyperlink ref="V4" r:id="rId3" xr:uid="{7C4A4BC1-CD48-44A3-AC42-E8F12BB27758}"/>
    <hyperlink ref="B55" r:id="rId4" display="https://www.e-cigre.org/publications/detail/207-thermal-behaviour-of-overhead-conductors.html" xr:uid="{02EF5042-0E7E-4349-A5D8-5B532D8169AE}"/>
    <hyperlink ref="B36" r:id="rId5" display="https://karttapalaute.fingrid.fi/?link=hDzo" xr:uid="{CC4B8EB2-20C5-4E74-BE33-47C2E674F72C}"/>
  </hyperlinks>
  <pageMargins left="0.7" right="0.7" top="0.75" bottom="0.75" header="0.3" footer="0.3"/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F60FB-7EAB-41D7-A9E1-029D22EDEAD0}">
  <sheetPr>
    <tabColor rgb="FF009900"/>
  </sheetPr>
  <dimension ref="A1:K17"/>
  <sheetViews>
    <sheetView workbookViewId="0">
      <selection activeCell="G23" sqref="G23"/>
    </sheetView>
  </sheetViews>
  <sheetFormatPr defaultColWidth="9.109375" defaultRowHeight="14.4"/>
  <cols>
    <col min="1" max="5" width="9" style="1" customWidth="1"/>
    <col min="6" max="6" width="4.5546875" style="1" customWidth="1"/>
    <col min="7" max="7" width="9.88671875" style="1" customWidth="1"/>
    <col min="8" max="16384" width="9.109375" style="1"/>
  </cols>
  <sheetData>
    <row r="1" spans="1:11">
      <c r="A1" s="43" t="s">
        <v>392</v>
      </c>
      <c r="B1" s="36"/>
      <c r="C1" s="36"/>
      <c r="D1" s="36"/>
      <c r="E1" s="36"/>
      <c r="G1" s="43" t="s">
        <v>397</v>
      </c>
      <c r="H1" s="36"/>
      <c r="I1" s="36"/>
      <c r="J1" s="36"/>
      <c r="K1" s="36"/>
    </row>
    <row r="2" spans="1:11">
      <c r="A2" s="172"/>
      <c r="B2" s="173"/>
      <c r="C2" s="172"/>
      <c r="D2" s="172"/>
      <c r="E2" s="172"/>
      <c r="F2" s="172"/>
      <c r="G2" s="14" t="s">
        <v>182</v>
      </c>
      <c r="H2" s="14"/>
      <c r="I2" s="35"/>
      <c r="J2" s="35"/>
    </row>
    <row r="3" spans="1:11">
      <c r="A3" s="171" t="s">
        <v>393</v>
      </c>
      <c r="B3" s="175"/>
      <c r="C3" s="14"/>
      <c r="D3" s="14"/>
      <c r="E3" s="172">
        <v>10.467000000000001</v>
      </c>
      <c r="F3" s="172"/>
      <c r="G3" s="1" t="s">
        <v>329</v>
      </c>
      <c r="H3" s="1" t="s">
        <v>178</v>
      </c>
      <c r="I3" s="35">
        <v>7899</v>
      </c>
      <c r="J3" s="35">
        <v>7546</v>
      </c>
    </row>
    <row r="4" spans="1:11" ht="14.4" customHeight="1">
      <c r="F4" s="174"/>
      <c r="G4" s="1" t="s">
        <v>327</v>
      </c>
      <c r="H4" s="1" t="s">
        <v>180</v>
      </c>
      <c r="I4" s="35">
        <v>21000</v>
      </c>
      <c r="J4" s="35">
        <v>21000</v>
      </c>
    </row>
    <row r="5" spans="1:11">
      <c r="A5" s="171" t="s">
        <v>396</v>
      </c>
      <c r="B5" s="14"/>
      <c r="C5" s="14"/>
      <c r="D5" s="14"/>
      <c r="F5" s="174"/>
      <c r="G5" s="1" t="s">
        <v>328</v>
      </c>
      <c r="H5" s="1" t="s">
        <v>326</v>
      </c>
      <c r="I5" s="35">
        <v>8330</v>
      </c>
      <c r="J5" s="35">
        <v>4205</v>
      </c>
    </row>
    <row r="6" spans="1:11" ht="14.4" customHeight="1">
      <c r="A6" s="178" t="s">
        <v>394</v>
      </c>
      <c r="B6" s="178"/>
      <c r="C6" s="178"/>
      <c r="D6" s="178"/>
      <c r="E6" s="179"/>
      <c r="F6" s="172"/>
    </row>
    <row r="7" spans="1:11" ht="15" customHeight="1">
      <c r="A7" s="178"/>
      <c r="B7" s="178"/>
      <c r="C7" s="178"/>
      <c r="D7" s="178"/>
      <c r="E7" s="179"/>
      <c r="F7" s="173"/>
      <c r="G7" s="1" t="s">
        <v>267</v>
      </c>
    </row>
    <row r="8" spans="1:11">
      <c r="A8" s="177" t="s">
        <v>395</v>
      </c>
      <c r="B8" s="14"/>
      <c r="C8" s="14"/>
      <c r="D8" s="176"/>
      <c r="E8" s="172"/>
      <c r="F8" s="173"/>
      <c r="G8" s="1" t="s">
        <v>329</v>
      </c>
      <c r="H8" s="1" t="s">
        <v>330</v>
      </c>
      <c r="I8" s="1">
        <v>8000</v>
      </c>
    </row>
    <row r="9" spans="1:11">
      <c r="E9" s="173"/>
      <c r="F9" s="173"/>
      <c r="G9" s="1" t="s">
        <v>330</v>
      </c>
      <c r="H9" s="1" t="s">
        <v>333</v>
      </c>
      <c r="I9" s="1">
        <v>8000</v>
      </c>
    </row>
    <row r="10" spans="1:11">
      <c r="A10" s="14" t="s">
        <v>24</v>
      </c>
      <c r="B10" s="14" t="s">
        <v>58</v>
      </c>
      <c r="E10" s="173"/>
      <c r="F10" s="173"/>
      <c r="G10" s="1" t="s">
        <v>327</v>
      </c>
      <c r="H10" s="1" t="s">
        <v>331</v>
      </c>
      <c r="I10" s="1">
        <v>8000</v>
      </c>
    </row>
    <row r="11" spans="1:11">
      <c r="A11" s="1" t="s">
        <v>28</v>
      </c>
      <c r="B11" s="39">
        <f>$E$3*D_el!K88/(D_el!$K$95-D_el!$K$91)</f>
        <v>2.0138784446203095</v>
      </c>
      <c r="E11" s="173"/>
      <c r="F11" s="173"/>
      <c r="G11" s="1" t="s">
        <v>331</v>
      </c>
      <c r="H11" s="1" t="s">
        <v>332</v>
      </c>
      <c r="I11" s="1">
        <v>8000</v>
      </c>
    </row>
    <row r="12" spans="1:11">
      <c r="A12" s="1" t="s">
        <v>29</v>
      </c>
      <c r="B12" s="39">
        <f>$E$3*D_el!K89/(D_el!$K$95-D_el!$K$91)</f>
        <v>1.6403793482240936</v>
      </c>
      <c r="G12" s="1" t="s">
        <v>332</v>
      </c>
      <c r="H12" s="1" t="s">
        <v>328</v>
      </c>
      <c r="I12" s="1">
        <v>8000</v>
      </c>
    </row>
    <row r="13" spans="1:11">
      <c r="A13" s="1" t="s">
        <v>31</v>
      </c>
      <c r="B13" s="39">
        <f>$E$3*D_el!K90/(D_el!$K$95-D_el!$K$91)</f>
        <v>1.4444190477315411</v>
      </c>
      <c r="G13" s="173"/>
      <c r="H13" s="173"/>
      <c r="I13" s="173"/>
      <c r="J13" s="173"/>
    </row>
    <row r="14" spans="1:11">
      <c r="A14" s="1" t="s">
        <v>33</v>
      </c>
      <c r="B14" s="39">
        <f>$E$3*D_el!K92/(D_el!$K$95-D_el!$K$91)</f>
        <v>0.34877224459904799</v>
      </c>
      <c r="G14" s="173"/>
      <c r="H14" s="173"/>
      <c r="I14" s="173"/>
      <c r="J14" s="173"/>
    </row>
    <row r="15" spans="1:11">
      <c r="A15" s="1" t="s">
        <v>34</v>
      </c>
      <c r="B15" s="39">
        <f>$E$3*D_el!K93/(D_el!$K$95-D_el!$K$91)</f>
        <v>2.9501606879200577</v>
      </c>
      <c r="G15" s="173"/>
      <c r="H15" s="173"/>
      <c r="I15" s="173"/>
      <c r="J15" s="173"/>
    </row>
    <row r="16" spans="1:11">
      <c r="A16" s="1" t="s">
        <v>3</v>
      </c>
      <c r="B16" s="39">
        <f>$E$3*D_el!K94/(D_el!$K$95-D_el!$K$91)</f>
        <v>2.0693902269049502</v>
      </c>
      <c r="G16" s="173"/>
      <c r="H16" s="173"/>
      <c r="I16" s="173"/>
      <c r="J16" s="173"/>
    </row>
    <row r="17" spans="2:3">
      <c r="B17" s="34">
        <f>SUM(B11:B16)</f>
        <v>10.467000000000001</v>
      </c>
      <c r="C17" s="2"/>
    </row>
  </sheetData>
  <mergeCells count="1">
    <mergeCell ref="A6:D7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3089D-9B6C-4792-ACAD-0037950CA586}">
  <sheetPr>
    <tabColor rgb="FF002060"/>
  </sheetPr>
  <dimension ref="A1:G35"/>
  <sheetViews>
    <sheetView tabSelected="1" workbookViewId="0">
      <selection activeCell="F20" sqref="F20"/>
    </sheetView>
  </sheetViews>
  <sheetFormatPr defaultColWidth="9.109375" defaultRowHeight="14.4"/>
  <cols>
    <col min="1" max="1" width="9.109375" style="1"/>
    <col min="2" max="2" width="13.6640625" style="1" bestFit="1" customWidth="1"/>
    <col min="3" max="3" width="10.44140625" style="1" bestFit="1" customWidth="1"/>
    <col min="4" max="5" width="9.109375" style="35"/>
    <col min="6" max="6" width="9.88671875" style="1" bestFit="1" customWidth="1"/>
    <col min="7" max="7" width="15" style="1" bestFit="1" customWidth="1"/>
    <col min="8" max="16384" width="9.109375" style="1"/>
  </cols>
  <sheetData>
    <row r="1" spans="1:7">
      <c r="A1" s="129" t="s">
        <v>308</v>
      </c>
      <c r="B1" s="129" t="s">
        <v>138</v>
      </c>
      <c r="C1" s="129" t="s">
        <v>348</v>
      </c>
      <c r="D1" s="135" t="s">
        <v>309</v>
      </c>
      <c r="E1" s="135" t="s">
        <v>310</v>
      </c>
      <c r="F1" s="129" t="s">
        <v>311</v>
      </c>
      <c r="G1" s="130" t="s">
        <v>312</v>
      </c>
    </row>
    <row r="2" spans="1:7">
      <c r="A2" s="1" t="s">
        <v>319</v>
      </c>
      <c r="B2" s="1" t="s">
        <v>313</v>
      </c>
      <c r="D2" s="35" t="s">
        <v>314</v>
      </c>
      <c r="E2" s="35">
        <v>2035</v>
      </c>
      <c r="F2" s="39">
        <f>D_el!O88/1000</f>
        <v>21.316642708811258</v>
      </c>
    </row>
    <row r="3" spans="1:7">
      <c r="A3" s="1" t="s">
        <v>174</v>
      </c>
      <c r="B3" s="1" t="s">
        <v>313</v>
      </c>
      <c r="D3" s="35" t="s">
        <v>314</v>
      </c>
      <c r="E3" s="35">
        <v>2035</v>
      </c>
      <c r="F3" s="39">
        <f>D_el!O89/1000</f>
        <v>20.268354776241612</v>
      </c>
    </row>
    <row r="4" spans="1:7">
      <c r="A4" s="1" t="s">
        <v>321</v>
      </c>
      <c r="B4" s="1" t="s">
        <v>313</v>
      </c>
      <c r="D4" s="35" t="s">
        <v>314</v>
      </c>
      <c r="E4" s="35">
        <v>2035</v>
      </c>
      <c r="F4" s="39">
        <f>D_el!O90/1000</f>
        <v>17.24336299621908</v>
      </c>
    </row>
    <row r="5" spans="1:7">
      <c r="A5" s="1" t="s">
        <v>320</v>
      </c>
      <c r="B5" s="1" t="s">
        <v>313</v>
      </c>
      <c r="D5" s="35" t="s">
        <v>314</v>
      </c>
      <c r="E5" s="35">
        <v>2035</v>
      </c>
      <c r="F5" s="39">
        <f>D_el!O91/1000</f>
        <v>12.918619449746208</v>
      </c>
    </row>
    <row r="6" spans="1:7">
      <c r="A6" s="1" t="s">
        <v>175</v>
      </c>
      <c r="B6" s="1" t="s">
        <v>313</v>
      </c>
      <c r="D6" s="35" t="s">
        <v>314</v>
      </c>
      <c r="E6" s="35">
        <v>2035</v>
      </c>
      <c r="F6" s="39">
        <f>D_el!O92/1000</f>
        <v>9.2379832337915033</v>
      </c>
    </row>
    <row r="7" spans="1:7">
      <c r="A7" s="1" t="s">
        <v>176</v>
      </c>
      <c r="B7" s="1" t="s">
        <v>313</v>
      </c>
      <c r="D7" s="35" t="s">
        <v>314</v>
      </c>
      <c r="E7" s="35">
        <v>2035</v>
      </c>
      <c r="F7" s="39">
        <f>D_el!O93/1000</f>
        <v>24.32943316399226</v>
      </c>
    </row>
    <row r="8" spans="1:7">
      <c r="A8" s="21" t="s">
        <v>177</v>
      </c>
      <c r="B8" s="21" t="s">
        <v>313</v>
      </c>
      <c r="C8" s="21"/>
      <c r="D8" s="138" t="s">
        <v>314</v>
      </c>
      <c r="E8" s="138">
        <v>2035</v>
      </c>
      <c r="F8" s="145">
        <f>D_el!O94/1000</f>
        <v>26.561478720603613</v>
      </c>
      <c r="G8" s="21"/>
    </row>
    <row r="9" spans="1:7">
      <c r="A9" s="1" t="s">
        <v>319</v>
      </c>
      <c r="B9" s="1" t="s">
        <v>336</v>
      </c>
      <c r="D9" s="35" t="s">
        <v>314</v>
      </c>
      <c r="E9" s="35">
        <v>2035</v>
      </c>
      <c r="F9" s="85">
        <f>'H2'!B11</f>
        <v>2.0138784446203095</v>
      </c>
    </row>
    <row r="10" spans="1:7">
      <c r="A10" s="1" t="s">
        <v>174</v>
      </c>
      <c r="B10" s="1" t="s">
        <v>336</v>
      </c>
      <c r="D10" s="35" t="s">
        <v>314</v>
      </c>
      <c r="E10" s="35">
        <v>2035</v>
      </c>
      <c r="F10" s="85">
        <f>'H2'!B12</f>
        <v>1.6403793482240936</v>
      </c>
    </row>
    <row r="11" spans="1:7">
      <c r="A11" s="1" t="s">
        <v>321</v>
      </c>
      <c r="B11" s="1" t="s">
        <v>336</v>
      </c>
      <c r="D11" s="35" t="s">
        <v>314</v>
      </c>
      <c r="E11" s="35">
        <v>2035</v>
      </c>
      <c r="F11" s="85">
        <f>'H2'!B13</f>
        <v>1.4444190477315411</v>
      </c>
    </row>
    <row r="12" spans="1:7">
      <c r="A12" s="1" t="s">
        <v>175</v>
      </c>
      <c r="B12" s="1" t="s">
        <v>336</v>
      </c>
      <c r="D12" s="35" t="s">
        <v>314</v>
      </c>
      <c r="E12" s="35">
        <v>2035</v>
      </c>
      <c r="F12" s="85">
        <f>'H2'!B14</f>
        <v>0.34877224459904799</v>
      </c>
    </row>
    <row r="13" spans="1:7">
      <c r="A13" s="1" t="s">
        <v>176</v>
      </c>
      <c r="B13" s="1" t="s">
        <v>336</v>
      </c>
      <c r="D13" s="35" t="s">
        <v>314</v>
      </c>
      <c r="E13" s="35">
        <v>2035</v>
      </c>
      <c r="F13" s="85">
        <f>'H2'!B15</f>
        <v>2.9501606879200577</v>
      </c>
    </row>
    <row r="14" spans="1:7">
      <c r="A14" s="21" t="s">
        <v>177</v>
      </c>
      <c r="B14" s="21" t="s">
        <v>336</v>
      </c>
      <c r="C14" s="21"/>
      <c r="D14" s="138" t="s">
        <v>314</v>
      </c>
      <c r="E14" s="138">
        <v>2035</v>
      </c>
      <c r="F14" s="146">
        <f>'H2'!B16</f>
        <v>2.0693902269049502</v>
      </c>
      <c r="G14" s="21"/>
    </row>
    <row r="15" spans="1:7">
      <c r="A15" s="1" t="s">
        <v>177</v>
      </c>
      <c r="B15" s="1" t="s">
        <v>324</v>
      </c>
      <c r="C15" s="1" t="s">
        <v>61</v>
      </c>
      <c r="D15" s="35" t="s">
        <v>314</v>
      </c>
      <c r="E15" s="35">
        <v>2035</v>
      </c>
      <c r="F15" s="85">
        <f>D_heat!K33</f>
        <v>6.8940564264295006</v>
      </c>
      <c r="G15" s="22">
        <v>0.3</v>
      </c>
    </row>
    <row r="16" spans="1:7">
      <c r="A16" s="1" t="s">
        <v>177</v>
      </c>
      <c r="B16" s="1" t="s">
        <v>324</v>
      </c>
      <c r="C16" s="1" t="s">
        <v>62</v>
      </c>
      <c r="D16" s="35" t="s">
        <v>314</v>
      </c>
      <c r="E16" s="35">
        <v>2035</v>
      </c>
      <c r="F16" s="85">
        <f>D_heat!K34</f>
        <v>2.3116653064160797</v>
      </c>
      <c r="G16" s="22">
        <v>0.3</v>
      </c>
    </row>
    <row r="17" spans="1:7">
      <c r="A17" s="1" t="s">
        <v>177</v>
      </c>
      <c r="B17" s="1" t="s">
        <v>324</v>
      </c>
      <c r="C17" s="1" t="s">
        <v>63</v>
      </c>
      <c r="D17" s="35" t="s">
        <v>314</v>
      </c>
      <c r="E17" s="35">
        <v>2035</v>
      </c>
      <c r="F17" s="85">
        <f>D_heat!K35</f>
        <v>1.9534342636259119</v>
      </c>
      <c r="G17" s="22">
        <v>0.3</v>
      </c>
    </row>
    <row r="18" spans="1:7">
      <c r="A18" s="1" t="s">
        <v>175</v>
      </c>
      <c r="B18" s="1" t="s">
        <v>324</v>
      </c>
      <c r="C18" s="1" t="s">
        <v>64</v>
      </c>
      <c r="D18" s="35" t="s">
        <v>314</v>
      </c>
      <c r="E18" s="35">
        <v>2035</v>
      </c>
      <c r="F18" s="85">
        <f>D_heat!K36</f>
        <v>2.0619270698705732</v>
      </c>
      <c r="G18" s="22">
        <v>0.3</v>
      </c>
    </row>
    <row r="19" spans="1:7">
      <c r="A19" s="1" t="s">
        <v>321</v>
      </c>
      <c r="B19" s="1" t="s">
        <v>324</v>
      </c>
      <c r="C19" s="1" t="s">
        <v>65</v>
      </c>
      <c r="D19" s="35" t="s">
        <v>314</v>
      </c>
      <c r="E19" s="35">
        <v>2035</v>
      </c>
      <c r="F19" s="85">
        <f>D_heat!K37</f>
        <v>2.2303641536293948</v>
      </c>
      <c r="G19" s="22">
        <v>0.3</v>
      </c>
    </row>
    <row r="20" spans="1:7">
      <c r="A20" s="1" t="s">
        <v>319</v>
      </c>
      <c r="B20" s="1" t="s">
        <v>324</v>
      </c>
      <c r="C20" s="1" t="s">
        <v>66</v>
      </c>
      <c r="D20" s="35" t="s">
        <v>314</v>
      </c>
      <c r="E20" s="35">
        <v>2035</v>
      </c>
      <c r="F20" s="85">
        <f>D_heat!K38</f>
        <v>1.9174791297331568</v>
      </c>
      <c r="G20" s="22">
        <v>0.3</v>
      </c>
    </row>
    <row r="21" spans="1:7">
      <c r="A21" s="1" t="s">
        <v>321</v>
      </c>
      <c r="B21" s="1" t="s">
        <v>324</v>
      </c>
      <c r="C21" s="1" t="s">
        <v>67</v>
      </c>
      <c r="D21" s="35" t="s">
        <v>314</v>
      </c>
      <c r="E21" s="35">
        <v>2035</v>
      </c>
      <c r="F21" s="85">
        <f>D_heat!K39</f>
        <v>1.2125035647713862</v>
      </c>
      <c r="G21" s="22">
        <v>0.3</v>
      </c>
    </row>
    <row r="22" spans="1:7">
      <c r="A22" s="1" t="s">
        <v>319</v>
      </c>
      <c r="B22" s="1" t="s">
        <v>324</v>
      </c>
      <c r="D22" s="35" t="s">
        <v>314</v>
      </c>
      <c r="E22" s="35">
        <v>2035</v>
      </c>
      <c r="F22" s="85">
        <f>D_heat!K40</f>
        <v>2.2351716332909808</v>
      </c>
      <c r="G22" s="22">
        <v>0.3</v>
      </c>
    </row>
    <row r="23" spans="1:7">
      <c r="A23" s="1" t="s">
        <v>174</v>
      </c>
      <c r="B23" s="1" t="s">
        <v>324</v>
      </c>
      <c r="D23" s="35" t="s">
        <v>314</v>
      </c>
      <c r="E23" s="35">
        <v>2035</v>
      </c>
      <c r="F23" s="85">
        <f>D_heat!K41</f>
        <v>4.0792072221804618</v>
      </c>
      <c r="G23" s="22">
        <v>0.3</v>
      </c>
    </row>
    <row r="24" spans="1:7">
      <c r="A24" s="1" t="s">
        <v>321</v>
      </c>
      <c r="B24" s="1" t="s">
        <v>324</v>
      </c>
      <c r="D24" s="35" t="s">
        <v>314</v>
      </c>
      <c r="E24" s="35">
        <v>2035</v>
      </c>
      <c r="F24" s="85">
        <f>D_heat!K42</f>
        <v>1.5801047190718767</v>
      </c>
      <c r="G24" s="22">
        <v>0.3</v>
      </c>
    </row>
    <row r="25" spans="1:7">
      <c r="A25" s="1" t="s">
        <v>320</v>
      </c>
      <c r="B25" s="1" t="s">
        <v>324</v>
      </c>
      <c r="D25" s="35" t="s">
        <v>314</v>
      </c>
      <c r="E25" s="35">
        <v>2035</v>
      </c>
      <c r="F25" s="85">
        <f>D_heat!K43</f>
        <v>4.304776328366529</v>
      </c>
      <c r="G25" s="22">
        <v>0.3</v>
      </c>
    </row>
    <row r="26" spans="1:7">
      <c r="A26" s="1" t="s">
        <v>175</v>
      </c>
      <c r="B26" s="1" t="s">
        <v>324</v>
      </c>
      <c r="D26" s="35" t="s">
        <v>314</v>
      </c>
      <c r="E26" s="35">
        <v>2035</v>
      </c>
      <c r="F26" s="85">
        <f>D_heat!K44</f>
        <v>2.070293606898904</v>
      </c>
      <c r="G26" s="22">
        <v>0.3</v>
      </c>
    </row>
    <row r="27" spans="1:7">
      <c r="A27" s="1" t="s">
        <v>176</v>
      </c>
      <c r="B27" s="1" t="s">
        <v>324</v>
      </c>
      <c r="D27" s="35" t="s">
        <v>314</v>
      </c>
      <c r="E27" s="35">
        <v>2035</v>
      </c>
      <c r="F27" s="85">
        <f>D_heat!K45</f>
        <v>3.4130816406054429</v>
      </c>
      <c r="G27" s="22">
        <v>0.3</v>
      </c>
    </row>
    <row r="28" spans="1:7">
      <c r="A28" s="21" t="s">
        <v>177</v>
      </c>
      <c r="B28" s="21" t="s">
        <v>324</v>
      </c>
      <c r="C28" s="21"/>
      <c r="D28" s="138" t="s">
        <v>314</v>
      </c>
      <c r="E28" s="138">
        <v>2035</v>
      </c>
      <c r="F28" s="146">
        <f>D_heat!K46</f>
        <v>2.3626275532666536</v>
      </c>
      <c r="G28" s="23">
        <v>0.3</v>
      </c>
    </row>
    <row r="29" spans="1:7">
      <c r="A29" s="1" t="s">
        <v>319</v>
      </c>
      <c r="B29" s="140" t="s">
        <v>337</v>
      </c>
      <c r="C29" s="140" t="s">
        <v>334</v>
      </c>
      <c r="D29" s="35" t="s">
        <v>314</v>
      </c>
      <c r="E29" s="35">
        <v>2035</v>
      </c>
      <c r="F29" s="39">
        <f>D_heat!V4</f>
        <v>3.6748371915111178</v>
      </c>
    </row>
    <row r="30" spans="1:7">
      <c r="A30" s="1" t="s">
        <v>174</v>
      </c>
      <c r="B30" s="1" t="s">
        <v>337</v>
      </c>
      <c r="C30" s="1" t="s">
        <v>334</v>
      </c>
      <c r="D30" s="35" t="s">
        <v>314</v>
      </c>
      <c r="E30" s="35">
        <v>2035</v>
      </c>
      <c r="F30" s="39">
        <f>D_heat!V5</f>
        <v>2.993292397137302</v>
      </c>
    </row>
    <row r="31" spans="1:7">
      <c r="A31" s="1" t="s">
        <v>321</v>
      </c>
      <c r="B31" s="1" t="s">
        <v>337</v>
      </c>
      <c r="C31" s="1" t="s">
        <v>334</v>
      </c>
      <c r="D31" s="35" t="s">
        <v>314</v>
      </c>
      <c r="E31" s="35">
        <v>2035</v>
      </c>
      <c r="F31" s="39">
        <f>D_heat!V6</f>
        <v>2.6357126225320391</v>
      </c>
    </row>
    <row r="32" spans="1:7">
      <c r="A32" s="1" t="s">
        <v>320</v>
      </c>
      <c r="B32" s="1" t="s">
        <v>337</v>
      </c>
      <c r="C32" s="1" t="s">
        <v>334</v>
      </c>
      <c r="D32" s="35" t="s">
        <v>314</v>
      </c>
      <c r="E32" s="35">
        <v>2035</v>
      </c>
      <c r="F32" s="39">
        <f>D_heat!V7</f>
        <v>1.6403549155551191</v>
      </c>
    </row>
    <row r="33" spans="1:7">
      <c r="A33" s="1" t="s">
        <v>175</v>
      </c>
      <c r="B33" s="1" t="s">
        <v>337</v>
      </c>
      <c r="C33" s="1" t="s">
        <v>334</v>
      </c>
      <c r="D33" s="35" t="s">
        <v>314</v>
      </c>
      <c r="E33" s="35">
        <v>2035</v>
      </c>
      <c r="F33" s="39">
        <f>D_heat!V8</f>
        <v>0.63642431808293098</v>
      </c>
    </row>
    <row r="34" spans="1:7">
      <c r="A34" s="1" t="s">
        <v>176</v>
      </c>
      <c r="B34" s="1" t="s">
        <v>337</v>
      </c>
      <c r="C34" s="1" t="s">
        <v>334</v>
      </c>
      <c r="D34" s="35" t="s">
        <v>314</v>
      </c>
      <c r="E34" s="35">
        <v>2035</v>
      </c>
      <c r="F34" s="39">
        <f>D_heat!V9</f>
        <v>5.3833240262654733</v>
      </c>
    </row>
    <row r="35" spans="1:7">
      <c r="A35" s="21" t="s">
        <v>177</v>
      </c>
      <c r="B35" s="21" t="s">
        <v>337</v>
      </c>
      <c r="C35" s="21" t="s">
        <v>334</v>
      </c>
      <c r="D35" s="138" t="s">
        <v>314</v>
      </c>
      <c r="E35" s="138">
        <v>2035</v>
      </c>
      <c r="F35" s="145">
        <f>D_heat!V10</f>
        <v>3.7761326607841537</v>
      </c>
      <c r="G35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174D7-2A14-4134-9AA3-2BCEBD68C535}">
  <sheetPr>
    <tabColor rgb="FF002060"/>
  </sheetPr>
  <dimension ref="A1:L51"/>
  <sheetViews>
    <sheetView workbookViewId="0">
      <pane ySplit="1" topLeftCell="A2" activePane="bottomLeft" state="frozen"/>
      <selection pane="bottomLeft" activeCell="H45" sqref="H45"/>
    </sheetView>
  </sheetViews>
  <sheetFormatPr defaultColWidth="9.109375" defaultRowHeight="14.4"/>
  <cols>
    <col min="1" max="1" width="12.6640625" style="1" bestFit="1" customWidth="1"/>
    <col min="2" max="2" width="10.6640625" style="1" bestFit="1" customWidth="1"/>
    <col min="3" max="3" width="10.33203125" style="1" bestFit="1" customWidth="1"/>
    <col min="4" max="4" width="8.33203125" style="1" bestFit="1" customWidth="1"/>
    <col min="5" max="5" width="9.109375" style="1"/>
    <col min="6" max="7" width="9.109375" style="35"/>
    <col min="8" max="8" width="10.77734375" style="1" bestFit="1" customWidth="1"/>
    <col min="9" max="16384" width="9.109375" style="1"/>
  </cols>
  <sheetData>
    <row r="1" spans="1:12">
      <c r="A1" s="131" t="s">
        <v>338</v>
      </c>
      <c r="B1" s="131" t="s">
        <v>339</v>
      </c>
      <c r="C1" s="131" t="s">
        <v>340</v>
      </c>
      <c r="D1" s="131" t="s">
        <v>341</v>
      </c>
      <c r="E1" s="132" t="s">
        <v>315</v>
      </c>
      <c r="F1" s="136" t="s">
        <v>316</v>
      </c>
      <c r="G1" s="137" t="s">
        <v>310</v>
      </c>
      <c r="H1" s="133" t="s">
        <v>325</v>
      </c>
      <c r="I1" s="133" t="s">
        <v>317</v>
      </c>
      <c r="J1" s="133" t="s">
        <v>318</v>
      </c>
    </row>
    <row r="2" spans="1:12">
      <c r="A2" s="1" t="s">
        <v>228</v>
      </c>
      <c r="C2" s="1" t="s">
        <v>178</v>
      </c>
      <c r="E2" s="1" t="s">
        <v>313</v>
      </c>
      <c r="F2" s="35" t="s">
        <v>314</v>
      </c>
      <c r="G2" s="35">
        <v>2035</v>
      </c>
      <c r="H2" s="148">
        <f>Tr_el!O5</f>
        <v>4400</v>
      </c>
      <c r="I2" s="22">
        <v>1.5</v>
      </c>
      <c r="J2" s="22">
        <v>0.01</v>
      </c>
    </row>
    <row r="3" spans="1:12">
      <c r="A3" s="1" t="s">
        <v>327</v>
      </c>
      <c r="C3" s="1" t="s">
        <v>183</v>
      </c>
      <c r="E3" s="1" t="s">
        <v>313</v>
      </c>
      <c r="F3" s="35" t="s">
        <v>314</v>
      </c>
      <c r="G3" s="35">
        <v>2035</v>
      </c>
      <c r="H3" s="148">
        <f>Tr_el!O6</f>
        <v>1700</v>
      </c>
      <c r="I3" s="22">
        <v>1.5</v>
      </c>
      <c r="J3" s="22">
        <v>0.01</v>
      </c>
    </row>
    <row r="4" spans="1:12">
      <c r="A4" s="21" t="s">
        <v>328</v>
      </c>
      <c r="B4" s="21"/>
      <c r="C4" s="21" t="s">
        <v>326</v>
      </c>
      <c r="D4" s="21"/>
      <c r="E4" s="21" t="s">
        <v>313</v>
      </c>
      <c r="F4" s="138" t="s">
        <v>314</v>
      </c>
      <c r="G4" s="138">
        <v>2035</v>
      </c>
      <c r="H4" s="149">
        <f>Tr_el!O7</f>
        <v>1716</v>
      </c>
      <c r="I4" s="23">
        <v>1.5</v>
      </c>
      <c r="J4" s="23">
        <v>0.01</v>
      </c>
    </row>
    <row r="5" spans="1:12">
      <c r="A5" s="1" t="s">
        <v>178</v>
      </c>
      <c r="C5" s="1" t="s">
        <v>228</v>
      </c>
      <c r="E5" s="1" t="s">
        <v>313</v>
      </c>
      <c r="F5" s="35" t="s">
        <v>314</v>
      </c>
      <c r="G5" s="35">
        <v>2035</v>
      </c>
      <c r="H5" s="148">
        <f>Tr_el!P5</f>
        <v>4500</v>
      </c>
      <c r="I5" s="22">
        <v>1.5</v>
      </c>
      <c r="J5" s="22">
        <v>0.01</v>
      </c>
    </row>
    <row r="6" spans="1:12">
      <c r="A6" s="1" t="s">
        <v>183</v>
      </c>
      <c r="C6" s="1" t="s">
        <v>327</v>
      </c>
      <c r="E6" s="1" t="s">
        <v>313</v>
      </c>
      <c r="F6" s="35" t="s">
        <v>314</v>
      </c>
      <c r="G6" s="35">
        <v>2035</v>
      </c>
      <c r="H6" s="148">
        <f>Tr_el!P6</f>
        <v>1700</v>
      </c>
      <c r="I6" s="22">
        <v>1.5</v>
      </c>
      <c r="J6" s="22">
        <v>0.01</v>
      </c>
    </row>
    <row r="7" spans="1:12">
      <c r="A7" s="21" t="s">
        <v>326</v>
      </c>
      <c r="B7" s="21"/>
      <c r="C7" s="21" t="s">
        <v>328</v>
      </c>
      <c r="D7" s="21"/>
      <c r="E7" s="21" t="s">
        <v>313</v>
      </c>
      <c r="F7" s="138" t="s">
        <v>314</v>
      </c>
      <c r="G7" s="138">
        <v>2035</v>
      </c>
      <c r="H7" s="149">
        <f>Tr_el!P7</f>
        <v>1716</v>
      </c>
      <c r="I7" s="23">
        <v>1.5</v>
      </c>
      <c r="J7" s="23">
        <v>0.01</v>
      </c>
    </row>
    <row r="8" spans="1:12">
      <c r="A8" s="1" t="s">
        <v>228</v>
      </c>
      <c r="C8" s="35" t="s">
        <v>233</v>
      </c>
      <c r="D8" s="35"/>
      <c r="E8" s="1" t="s">
        <v>313</v>
      </c>
      <c r="F8" s="35" t="s">
        <v>314</v>
      </c>
      <c r="G8" s="35">
        <v>2035</v>
      </c>
      <c r="H8" s="24">
        <f>Tr_el!O39</f>
        <v>3000</v>
      </c>
      <c r="I8" s="22">
        <v>1.5</v>
      </c>
      <c r="J8" s="22">
        <v>0.01</v>
      </c>
      <c r="L8" s="35"/>
    </row>
    <row r="9" spans="1:12">
      <c r="A9" s="1" t="s">
        <v>228</v>
      </c>
      <c r="C9" s="35" t="s">
        <v>234</v>
      </c>
      <c r="D9" s="35"/>
      <c r="E9" s="1" t="s">
        <v>313</v>
      </c>
      <c r="F9" s="35" t="s">
        <v>314</v>
      </c>
      <c r="G9" s="35">
        <v>2035</v>
      </c>
      <c r="H9" s="24">
        <f>Tr_el!O40</f>
        <v>2000</v>
      </c>
      <c r="I9" s="22">
        <v>1.5</v>
      </c>
      <c r="J9" s="22">
        <v>0.01</v>
      </c>
      <c r="L9" s="35"/>
    </row>
    <row r="10" spans="1:12">
      <c r="A10" s="1" t="s">
        <v>228</v>
      </c>
      <c r="C10" s="35" t="s">
        <v>235</v>
      </c>
      <c r="D10" s="35"/>
      <c r="E10" s="1" t="s">
        <v>313</v>
      </c>
      <c r="F10" s="35" t="s">
        <v>314</v>
      </c>
      <c r="G10" s="35">
        <v>2035</v>
      </c>
      <c r="H10" s="24">
        <f>Tr_el!O41</f>
        <v>1400</v>
      </c>
      <c r="I10" s="22">
        <v>1.5</v>
      </c>
      <c r="J10" s="22">
        <v>0.01</v>
      </c>
      <c r="L10" s="35"/>
    </row>
    <row r="11" spans="1:12">
      <c r="A11" s="1" t="s">
        <v>227</v>
      </c>
      <c r="C11" s="35" t="s">
        <v>234</v>
      </c>
      <c r="D11" s="35"/>
      <c r="E11" s="1" t="s">
        <v>313</v>
      </c>
      <c r="F11" s="35" t="s">
        <v>314</v>
      </c>
      <c r="G11" s="35">
        <v>2035</v>
      </c>
      <c r="H11" s="24">
        <f>Tr_el!O42</f>
        <v>6700</v>
      </c>
      <c r="I11" s="22">
        <v>1.5</v>
      </c>
      <c r="J11" s="22">
        <v>0.01</v>
      </c>
      <c r="L11" s="35"/>
    </row>
    <row r="12" spans="1:12">
      <c r="A12" s="1" t="s">
        <v>227</v>
      </c>
      <c r="C12" s="35" t="s">
        <v>236</v>
      </c>
      <c r="D12" s="35"/>
      <c r="E12" s="1" t="s">
        <v>313</v>
      </c>
      <c r="F12" s="35" t="s">
        <v>314</v>
      </c>
      <c r="G12" s="35">
        <v>2035</v>
      </c>
      <c r="H12" s="24">
        <f>Tr_el!O43</f>
        <v>2300</v>
      </c>
      <c r="I12" s="22">
        <v>1.5</v>
      </c>
      <c r="J12" s="22">
        <v>0.01</v>
      </c>
      <c r="L12" s="35"/>
    </row>
    <row r="13" spans="1:12">
      <c r="A13" s="1" t="s">
        <v>229</v>
      </c>
      <c r="C13" s="35" t="s">
        <v>236</v>
      </c>
      <c r="D13" s="35"/>
      <c r="E13" s="1" t="s">
        <v>313</v>
      </c>
      <c r="F13" s="35" t="s">
        <v>314</v>
      </c>
      <c r="G13" s="35">
        <v>2035</v>
      </c>
      <c r="H13" s="24">
        <f>Tr_el!O44</f>
        <v>3100</v>
      </c>
      <c r="I13" s="22">
        <v>1.5</v>
      </c>
      <c r="J13" s="22">
        <v>0.01</v>
      </c>
      <c r="L13" s="35"/>
    </row>
    <row r="14" spans="1:12">
      <c r="A14" s="1" t="s">
        <v>229</v>
      </c>
      <c r="C14" s="35" t="s">
        <v>238</v>
      </c>
      <c r="D14" s="35"/>
      <c r="E14" s="1" t="s">
        <v>313</v>
      </c>
      <c r="F14" s="35" t="s">
        <v>314</v>
      </c>
      <c r="G14" s="35">
        <v>2035</v>
      </c>
      <c r="H14" s="24">
        <f>Tr_el!O46</f>
        <v>1300</v>
      </c>
      <c r="I14" s="22">
        <v>1.5</v>
      </c>
      <c r="J14" s="22">
        <v>0.01</v>
      </c>
      <c r="L14" s="35"/>
    </row>
    <row r="15" spans="1:12">
      <c r="A15" s="1" t="s">
        <v>230</v>
      </c>
      <c r="C15" s="35" t="s">
        <v>237</v>
      </c>
      <c r="D15" s="35"/>
      <c r="E15" s="1" t="s">
        <v>313</v>
      </c>
      <c r="F15" s="35" t="s">
        <v>314</v>
      </c>
      <c r="G15" s="35">
        <v>2035</v>
      </c>
      <c r="H15" s="24">
        <f>Tr_el!O47</f>
        <v>1900</v>
      </c>
      <c r="I15" s="22">
        <v>1.5</v>
      </c>
      <c r="J15" s="22">
        <v>0.01</v>
      </c>
      <c r="L15" s="35"/>
    </row>
    <row r="16" spans="1:12">
      <c r="A16" s="1" t="s">
        <v>231</v>
      </c>
      <c r="C16" s="35" t="s">
        <v>237</v>
      </c>
      <c r="D16" s="35"/>
      <c r="E16" s="1" t="s">
        <v>313</v>
      </c>
      <c r="F16" s="35" t="s">
        <v>314</v>
      </c>
      <c r="G16" s="35">
        <v>2035</v>
      </c>
      <c r="H16" s="24">
        <f>Tr_el!O48</f>
        <v>300</v>
      </c>
      <c r="I16" s="22">
        <v>1.5</v>
      </c>
      <c r="J16" s="22">
        <v>0.01</v>
      </c>
      <c r="L16" s="35"/>
    </row>
    <row r="17" spans="1:12">
      <c r="A17" s="1" t="s">
        <v>231</v>
      </c>
      <c r="C17" s="35" t="s">
        <v>239</v>
      </c>
      <c r="D17" s="35"/>
      <c r="E17" s="1" t="s">
        <v>313</v>
      </c>
      <c r="F17" s="35" t="s">
        <v>314</v>
      </c>
      <c r="G17" s="35">
        <v>2035</v>
      </c>
      <c r="H17" s="24">
        <f>Tr_el!O49</f>
        <v>5900</v>
      </c>
      <c r="I17" s="22">
        <v>1.5</v>
      </c>
      <c r="J17" s="22">
        <v>0.01</v>
      </c>
      <c r="L17" s="35"/>
    </row>
    <row r="18" spans="1:12">
      <c r="A18" s="21" t="s">
        <v>232</v>
      </c>
      <c r="B18" s="21"/>
      <c r="C18" s="138" t="s">
        <v>239</v>
      </c>
      <c r="D18" s="138"/>
      <c r="E18" s="21" t="s">
        <v>313</v>
      </c>
      <c r="F18" s="138" t="s">
        <v>314</v>
      </c>
      <c r="G18" s="138">
        <v>2035</v>
      </c>
      <c r="H18" s="150">
        <f>Tr_el!O50</f>
        <v>2300</v>
      </c>
      <c r="I18" s="23">
        <v>1.5</v>
      </c>
      <c r="J18" s="23">
        <v>0.01</v>
      </c>
    </row>
    <row r="19" spans="1:12">
      <c r="A19" s="35" t="s">
        <v>233</v>
      </c>
      <c r="B19" s="35"/>
      <c r="C19" s="1" t="s">
        <v>228</v>
      </c>
      <c r="E19" s="1" t="s">
        <v>313</v>
      </c>
      <c r="F19" s="35" t="s">
        <v>314</v>
      </c>
      <c r="G19" s="35">
        <v>2035</v>
      </c>
      <c r="H19" s="24">
        <f>Tr_el!O39</f>
        <v>3000</v>
      </c>
      <c r="I19" s="22">
        <v>1.5</v>
      </c>
      <c r="J19" s="22">
        <v>0.01</v>
      </c>
    </row>
    <row r="20" spans="1:12">
      <c r="A20" s="35" t="s">
        <v>234</v>
      </c>
      <c r="B20" s="35"/>
      <c r="C20" s="1" t="s">
        <v>228</v>
      </c>
      <c r="E20" s="1" t="s">
        <v>313</v>
      </c>
      <c r="F20" s="35" t="s">
        <v>314</v>
      </c>
      <c r="G20" s="35">
        <v>2035</v>
      </c>
      <c r="H20" s="24">
        <f>Tr_el!O40</f>
        <v>2000</v>
      </c>
      <c r="I20" s="22">
        <v>1.5</v>
      </c>
      <c r="J20" s="22">
        <v>0.01</v>
      </c>
    </row>
    <row r="21" spans="1:12">
      <c r="A21" s="35" t="s">
        <v>235</v>
      </c>
      <c r="B21" s="35"/>
      <c r="C21" s="1" t="s">
        <v>228</v>
      </c>
      <c r="E21" s="1" t="s">
        <v>313</v>
      </c>
      <c r="F21" s="35" t="s">
        <v>314</v>
      </c>
      <c r="G21" s="35">
        <v>2035</v>
      </c>
      <c r="H21" s="24">
        <f>Tr_el!O41</f>
        <v>1400</v>
      </c>
      <c r="I21" s="22">
        <v>1.5</v>
      </c>
      <c r="J21" s="22">
        <v>0.01</v>
      </c>
    </row>
    <row r="22" spans="1:12">
      <c r="A22" s="35" t="s">
        <v>234</v>
      </c>
      <c r="B22" s="35"/>
      <c r="C22" s="1" t="s">
        <v>227</v>
      </c>
      <c r="E22" s="1" t="s">
        <v>313</v>
      </c>
      <c r="F22" s="35" t="s">
        <v>314</v>
      </c>
      <c r="G22" s="35">
        <v>2035</v>
      </c>
      <c r="H22" s="24">
        <f>Tr_el!O42</f>
        <v>6700</v>
      </c>
      <c r="I22" s="22">
        <v>1.5</v>
      </c>
      <c r="J22" s="22">
        <v>0.01</v>
      </c>
    </row>
    <row r="23" spans="1:12">
      <c r="A23" s="35" t="s">
        <v>236</v>
      </c>
      <c r="B23" s="35"/>
      <c r="C23" s="1" t="s">
        <v>227</v>
      </c>
      <c r="E23" s="1" t="s">
        <v>313</v>
      </c>
      <c r="F23" s="35" t="s">
        <v>314</v>
      </c>
      <c r="G23" s="35">
        <v>2035</v>
      </c>
      <c r="H23" s="24">
        <f>Tr_el!O43</f>
        <v>2300</v>
      </c>
      <c r="I23" s="22">
        <v>1.5</v>
      </c>
      <c r="J23" s="22">
        <v>0.01</v>
      </c>
    </row>
    <row r="24" spans="1:12">
      <c r="A24" s="35" t="s">
        <v>236</v>
      </c>
      <c r="B24" s="35"/>
      <c r="C24" s="1" t="s">
        <v>229</v>
      </c>
      <c r="E24" s="1" t="s">
        <v>313</v>
      </c>
      <c r="F24" s="35" t="s">
        <v>314</v>
      </c>
      <c r="G24" s="35">
        <v>2035</v>
      </c>
      <c r="H24" s="24">
        <f>Tr_el!O44</f>
        <v>3100</v>
      </c>
      <c r="I24" s="22">
        <v>1.5</v>
      </c>
      <c r="J24" s="22">
        <v>0.01</v>
      </c>
    </row>
    <row r="25" spans="1:12">
      <c r="A25" s="35" t="s">
        <v>238</v>
      </c>
      <c r="B25" s="35"/>
      <c r="C25" s="1" t="s">
        <v>229</v>
      </c>
      <c r="E25" s="1" t="s">
        <v>313</v>
      </c>
      <c r="F25" s="35" t="s">
        <v>314</v>
      </c>
      <c r="G25" s="35">
        <v>2035</v>
      </c>
      <c r="H25" s="24">
        <f>Tr_el!O46</f>
        <v>1300</v>
      </c>
      <c r="I25" s="22">
        <v>1.5</v>
      </c>
      <c r="J25" s="22">
        <v>0.01</v>
      </c>
    </row>
    <row r="26" spans="1:12">
      <c r="A26" s="35" t="s">
        <v>237</v>
      </c>
      <c r="B26" s="35"/>
      <c r="C26" s="1" t="s">
        <v>230</v>
      </c>
      <c r="E26" s="1" t="s">
        <v>313</v>
      </c>
      <c r="F26" s="35" t="s">
        <v>314</v>
      </c>
      <c r="G26" s="35">
        <v>2035</v>
      </c>
      <c r="H26" s="24">
        <f>Tr_el!O47</f>
        <v>1900</v>
      </c>
      <c r="I26" s="22">
        <v>1.5</v>
      </c>
      <c r="J26" s="22">
        <v>0.01</v>
      </c>
    </row>
    <row r="27" spans="1:12">
      <c r="A27" s="35" t="s">
        <v>237</v>
      </c>
      <c r="B27" s="35"/>
      <c r="C27" s="1" t="s">
        <v>231</v>
      </c>
      <c r="E27" s="1" t="s">
        <v>313</v>
      </c>
      <c r="F27" s="35" t="s">
        <v>314</v>
      </c>
      <c r="G27" s="35">
        <v>2035</v>
      </c>
      <c r="H27" s="24">
        <f>Tr_el!O48</f>
        <v>300</v>
      </c>
      <c r="I27" s="22">
        <v>1.5</v>
      </c>
      <c r="J27" s="22">
        <v>0.01</v>
      </c>
    </row>
    <row r="28" spans="1:12">
      <c r="A28" s="35" t="s">
        <v>239</v>
      </c>
      <c r="B28" s="35"/>
      <c r="C28" s="1" t="s">
        <v>231</v>
      </c>
      <c r="E28" s="1" t="s">
        <v>313</v>
      </c>
      <c r="F28" s="35" t="s">
        <v>314</v>
      </c>
      <c r="G28" s="35">
        <v>2035</v>
      </c>
      <c r="H28" s="24">
        <f>Tr_el!O49</f>
        <v>5900</v>
      </c>
      <c r="I28" s="22">
        <v>1.5</v>
      </c>
      <c r="J28" s="22">
        <v>0.01</v>
      </c>
    </row>
    <row r="29" spans="1:12">
      <c r="A29" s="139" t="s">
        <v>239</v>
      </c>
      <c r="B29" s="139"/>
      <c r="C29" s="40" t="s">
        <v>232</v>
      </c>
      <c r="D29" s="40"/>
      <c r="E29" s="40" t="s">
        <v>313</v>
      </c>
      <c r="F29" s="139" t="s">
        <v>314</v>
      </c>
      <c r="G29" s="139">
        <v>2035</v>
      </c>
      <c r="H29" s="151">
        <f>Tr_el!O50</f>
        <v>2300</v>
      </c>
      <c r="I29" s="147">
        <v>1.5</v>
      </c>
      <c r="J29" s="147">
        <v>0.01</v>
      </c>
    </row>
    <row r="30" spans="1:12">
      <c r="A30" s="1" t="s">
        <v>329</v>
      </c>
      <c r="C30" s="1" t="s">
        <v>178</v>
      </c>
      <c r="E30" s="1" t="s">
        <v>323</v>
      </c>
      <c r="F30" s="35" t="s">
        <v>314</v>
      </c>
      <c r="G30" s="35">
        <v>2035</v>
      </c>
      <c r="H30" s="24">
        <f>'H2'!I3</f>
        <v>7899</v>
      </c>
      <c r="I30" s="22">
        <v>1.5</v>
      </c>
      <c r="J30" s="22"/>
    </row>
    <row r="31" spans="1:12">
      <c r="A31" s="1" t="s">
        <v>327</v>
      </c>
      <c r="C31" s="1" t="s">
        <v>180</v>
      </c>
      <c r="E31" s="1" t="s">
        <v>323</v>
      </c>
      <c r="F31" s="35" t="s">
        <v>314</v>
      </c>
      <c r="G31" s="35">
        <v>2035</v>
      </c>
      <c r="H31" s="24">
        <f>'H2'!I4</f>
        <v>21000</v>
      </c>
      <c r="I31" s="22">
        <v>1.5</v>
      </c>
      <c r="J31" s="22"/>
    </row>
    <row r="32" spans="1:12">
      <c r="A32" s="21" t="s">
        <v>328</v>
      </c>
      <c r="B32" s="21"/>
      <c r="C32" s="21" t="s">
        <v>326</v>
      </c>
      <c r="D32" s="21"/>
      <c r="E32" s="21" t="s">
        <v>323</v>
      </c>
      <c r="F32" s="138" t="s">
        <v>314</v>
      </c>
      <c r="G32" s="138">
        <v>2035</v>
      </c>
      <c r="H32" s="150">
        <f>'H2'!I5</f>
        <v>8330</v>
      </c>
      <c r="I32" s="23">
        <v>1.5</v>
      </c>
      <c r="J32" s="23"/>
    </row>
    <row r="33" spans="1:10">
      <c r="A33" s="1" t="s">
        <v>178</v>
      </c>
      <c r="C33" s="1" t="s">
        <v>329</v>
      </c>
      <c r="E33" s="1" t="s">
        <v>323</v>
      </c>
      <c r="F33" s="35" t="s">
        <v>314</v>
      </c>
      <c r="G33" s="35">
        <v>2035</v>
      </c>
      <c r="H33" s="24">
        <f>'H2'!J3</f>
        <v>7546</v>
      </c>
      <c r="I33" s="22">
        <v>1.5</v>
      </c>
      <c r="J33" s="22"/>
    </row>
    <row r="34" spans="1:10">
      <c r="A34" s="1" t="s">
        <v>180</v>
      </c>
      <c r="C34" s="1" t="s">
        <v>327</v>
      </c>
      <c r="E34" s="1" t="s">
        <v>323</v>
      </c>
      <c r="F34" s="35" t="s">
        <v>314</v>
      </c>
      <c r="G34" s="35">
        <v>2035</v>
      </c>
      <c r="H34" s="24">
        <f>'H2'!J4</f>
        <v>21000</v>
      </c>
      <c r="I34" s="22">
        <v>1.5</v>
      </c>
      <c r="J34" s="22"/>
    </row>
    <row r="35" spans="1:10">
      <c r="A35" s="21" t="s">
        <v>326</v>
      </c>
      <c r="B35" s="21"/>
      <c r="C35" s="21" t="s">
        <v>328</v>
      </c>
      <c r="D35" s="21"/>
      <c r="E35" s="21" t="s">
        <v>323</v>
      </c>
      <c r="F35" s="138" t="s">
        <v>314</v>
      </c>
      <c r="G35" s="138">
        <v>2035</v>
      </c>
      <c r="H35" s="150">
        <f>'H2'!J5</f>
        <v>4205</v>
      </c>
      <c r="I35" s="23">
        <v>1.5</v>
      </c>
      <c r="J35" s="23"/>
    </row>
    <row r="36" spans="1:10">
      <c r="A36" s="1" t="s">
        <v>329</v>
      </c>
      <c r="C36" s="1" t="s">
        <v>330</v>
      </c>
      <c r="E36" s="1" t="s">
        <v>323</v>
      </c>
      <c r="F36" s="35" t="s">
        <v>314</v>
      </c>
      <c r="G36" s="35">
        <v>2035</v>
      </c>
      <c r="H36" s="24">
        <f>'H2'!I8</f>
        <v>8000</v>
      </c>
      <c r="I36" s="22">
        <v>1.5</v>
      </c>
      <c r="J36" s="22"/>
    </row>
    <row r="37" spans="1:10">
      <c r="A37" s="1" t="s">
        <v>330</v>
      </c>
      <c r="C37" s="1" t="s">
        <v>333</v>
      </c>
      <c r="E37" s="1" t="s">
        <v>323</v>
      </c>
      <c r="F37" s="35" t="s">
        <v>314</v>
      </c>
      <c r="G37" s="35">
        <v>2035</v>
      </c>
      <c r="H37" s="24">
        <f>'H2'!I9</f>
        <v>8000</v>
      </c>
      <c r="I37" s="22">
        <v>1.5</v>
      </c>
      <c r="J37" s="22"/>
    </row>
    <row r="38" spans="1:10">
      <c r="A38" s="1" t="s">
        <v>327</v>
      </c>
      <c r="C38" s="1" t="s">
        <v>331</v>
      </c>
      <c r="E38" s="1" t="s">
        <v>323</v>
      </c>
      <c r="F38" s="35" t="s">
        <v>314</v>
      </c>
      <c r="G38" s="35">
        <v>2035</v>
      </c>
      <c r="H38" s="24">
        <f>'H2'!I10</f>
        <v>8000</v>
      </c>
      <c r="I38" s="22">
        <v>1.5</v>
      </c>
      <c r="J38" s="22"/>
    </row>
    <row r="39" spans="1:10">
      <c r="A39" s="1" t="s">
        <v>331</v>
      </c>
      <c r="C39" s="1" t="s">
        <v>332</v>
      </c>
      <c r="E39" s="1" t="s">
        <v>323</v>
      </c>
      <c r="F39" s="35" t="s">
        <v>314</v>
      </c>
      <c r="G39" s="35">
        <v>2035</v>
      </c>
      <c r="H39" s="24">
        <f>'H2'!I11</f>
        <v>8000</v>
      </c>
      <c r="I39" s="22">
        <v>1.5</v>
      </c>
      <c r="J39" s="22"/>
    </row>
    <row r="40" spans="1:10">
      <c r="A40" s="21" t="s">
        <v>332</v>
      </c>
      <c r="B40" s="21"/>
      <c r="C40" s="21" t="s">
        <v>328</v>
      </c>
      <c r="D40" s="21"/>
      <c r="E40" s="21" t="s">
        <v>323</v>
      </c>
      <c r="F40" s="138" t="s">
        <v>314</v>
      </c>
      <c r="G40" s="138">
        <v>2035</v>
      </c>
      <c r="H40" s="150">
        <f>'H2'!I12</f>
        <v>8000</v>
      </c>
      <c r="I40" s="23">
        <v>1.5</v>
      </c>
      <c r="J40" s="23"/>
    </row>
    <row r="41" spans="1:10">
      <c r="A41" s="1" t="s">
        <v>330</v>
      </c>
      <c r="C41" s="1" t="s">
        <v>329</v>
      </c>
      <c r="E41" s="1" t="s">
        <v>323</v>
      </c>
      <c r="F41" s="35" t="s">
        <v>314</v>
      </c>
      <c r="G41" s="35">
        <v>2035</v>
      </c>
      <c r="H41" s="24">
        <f>'H2'!I8</f>
        <v>8000</v>
      </c>
      <c r="I41" s="22">
        <v>1.5</v>
      </c>
      <c r="J41" s="22"/>
    </row>
    <row r="42" spans="1:10">
      <c r="A42" s="1" t="s">
        <v>333</v>
      </c>
      <c r="C42" s="1" t="s">
        <v>330</v>
      </c>
      <c r="E42" s="1" t="s">
        <v>323</v>
      </c>
      <c r="F42" s="35" t="s">
        <v>314</v>
      </c>
      <c r="G42" s="35">
        <v>2035</v>
      </c>
      <c r="H42" s="24">
        <f>'H2'!I9</f>
        <v>8000</v>
      </c>
      <c r="I42" s="22">
        <v>1.5</v>
      </c>
      <c r="J42" s="22"/>
    </row>
    <row r="43" spans="1:10">
      <c r="A43" s="1" t="s">
        <v>331</v>
      </c>
      <c r="C43" s="1" t="s">
        <v>327</v>
      </c>
      <c r="E43" s="1" t="s">
        <v>323</v>
      </c>
      <c r="F43" s="35" t="s">
        <v>314</v>
      </c>
      <c r="G43" s="35">
        <v>2035</v>
      </c>
      <c r="H43" s="24">
        <f>'H2'!I10</f>
        <v>8000</v>
      </c>
      <c r="I43" s="22">
        <v>1.5</v>
      </c>
      <c r="J43" s="22"/>
    </row>
    <row r="44" spans="1:10">
      <c r="A44" s="1" t="s">
        <v>332</v>
      </c>
      <c r="C44" s="1" t="s">
        <v>331</v>
      </c>
      <c r="E44" s="1" t="s">
        <v>323</v>
      </c>
      <c r="F44" s="35" t="s">
        <v>314</v>
      </c>
      <c r="G44" s="35">
        <v>2035</v>
      </c>
      <c r="H44" s="24">
        <f>'H2'!I11</f>
        <v>8000</v>
      </c>
      <c r="I44" s="22">
        <v>1.5</v>
      </c>
      <c r="J44" s="22"/>
    </row>
    <row r="45" spans="1:10">
      <c r="A45" s="40" t="s">
        <v>328</v>
      </c>
      <c r="B45" s="40"/>
      <c r="C45" s="40" t="s">
        <v>332</v>
      </c>
      <c r="D45" s="40"/>
      <c r="E45" s="40" t="s">
        <v>323</v>
      </c>
      <c r="F45" s="139" t="s">
        <v>314</v>
      </c>
      <c r="G45" s="139">
        <v>2035</v>
      </c>
      <c r="H45" s="151">
        <f>'H2'!I12</f>
        <v>8000</v>
      </c>
      <c r="I45" s="147">
        <v>1.5</v>
      </c>
      <c r="J45" s="147"/>
    </row>
    <row r="46" spans="1:10">
      <c r="A46" s="1" t="s">
        <v>328</v>
      </c>
      <c r="B46" s="1" t="s">
        <v>63</v>
      </c>
      <c r="C46" s="1" t="s">
        <v>328</v>
      </c>
      <c r="D46" s="1" t="s">
        <v>61</v>
      </c>
      <c r="E46" s="1" t="s">
        <v>324</v>
      </c>
      <c r="F46" s="35" t="s">
        <v>314</v>
      </c>
      <c r="G46" s="35">
        <v>2035</v>
      </c>
      <c r="H46" s="22">
        <v>130</v>
      </c>
      <c r="I46" s="22">
        <v>1</v>
      </c>
      <c r="J46" s="22">
        <v>0.01</v>
      </c>
    </row>
    <row r="47" spans="1:10">
      <c r="A47" s="1" t="s">
        <v>328</v>
      </c>
      <c r="B47" s="1" t="s">
        <v>61</v>
      </c>
      <c r="C47" s="1" t="s">
        <v>328</v>
      </c>
      <c r="D47" s="1" t="s">
        <v>63</v>
      </c>
      <c r="E47" s="1" t="s">
        <v>324</v>
      </c>
      <c r="F47" s="35" t="s">
        <v>314</v>
      </c>
      <c r="G47" s="35">
        <v>2035</v>
      </c>
      <c r="H47" s="22">
        <v>130</v>
      </c>
      <c r="I47" s="22">
        <v>1</v>
      </c>
      <c r="J47" s="22">
        <v>0.01</v>
      </c>
    </row>
    <row r="48" spans="1:10">
      <c r="A48" s="1" t="s">
        <v>328</v>
      </c>
      <c r="B48" s="1" t="s">
        <v>62</v>
      </c>
      <c r="C48" s="1" t="s">
        <v>328</v>
      </c>
      <c r="D48" s="1" t="s">
        <v>61</v>
      </c>
      <c r="E48" s="1" t="s">
        <v>324</v>
      </c>
      <c r="F48" s="35" t="s">
        <v>314</v>
      </c>
      <c r="G48" s="35">
        <v>2035</v>
      </c>
      <c r="H48" s="22">
        <v>120</v>
      </c>
      <c r="I48" s="22">
        <v>1</v>
      </c>
      <c r="J48" s="22">
        <v>0.01</v>
      </c>
    </row>
    <row r="49" spans="1:10">
      <c r="A49" s="1" t="s">
        <v>328</v>
      </c>
      <c r="B49" s="1" t="s">
        <v>61</v>
      </c>
      <c r="C49" s="1" t="s">
        <v>328</v>
      </c>
      <c r="D49" s="1" t="s">
        <v>62</v>
      </c>
      <c r="E49" s="1" t="s">
        <v>324</v>
      </c>
      <c r="F49" s="35" t="s">
        <v>314</v>
      </c>
      <c r="G49" s="35">
        <v>2035</v>
      </c>
      <c r="H49" s="22">
        <v>120</v>
      </c>
      <c r="I49" s="22">
        <v>1</v>
      </c>
      <c r="J49" s="22">
        <v>0.01</v>
      </c>
    </row>
    <row r="50" spans="1:10">
      <c r="A50" s="1" t="s">
        <v>328</v>
      </c>
      <c r="B50" s="1" t="s">
        <v>62</v>
      </c>
      <c r="C50" s="1" t="s">
        <v>328</v>
      </c>
      <c r="D50" s="1" t="s">
        <v>63</v>
      </c>
      <c r="E50" s="1" t="s">
        <v>324</v>
      </c>
      <c r="F50" s="35" t="s">
        <v>314</v>
      </c>
      <c r="G50" s="35">
        <v>2035</v>
      </c>
      <c r="H50" s="22">
        <v>50</v>
      </c>
      <c r="I50" s="22">
        <v>1</v>
      </c>
      <c r="J50" s="22">
        <v>0.01</v>
      </c>
    </row>
    <row r="51" spans="1:10">
      <c r="A51" s="40" t="s">
        <v>328</v>
      </c>
      <c r="B51" s="40" t="s">
        <v>63</v>
      </c>
      <c r="C51" s="40" t="s">
        <v>328</v>
      </c>
      <c r="D51" s="40" t="s">
        <v>62</v>
      </c>
      <c r="E51" s="40" t="s">
        <v>324</v>
      </c>
      <c r="F51" s="139" t="s">
        <v>314</v>
      </c>
      <c r="G51" s="139">
        <v>2035</v>
      </c>
      <c r="H51" s="147">
        <v>50</v>
      </c>
      <c r="I51" s="147">
        <v>1</v>
      </c>
      <c r="J51" s="147">
        <v>0.01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FAEE9-5A53-4AC2-862D-146AC44A2721}">
  <sheetPr>
    <tabColor rgb="FF002060"/>
  </sheetPr>
  <dimension ref="A1:M46"/>
  <sheetViews>
    <sheetView workbookViewId="0">
      <pane ySplit="1" topLeftCell="A2" activePane="bottomLeft" state="frozen"/>
      <selection pane="bottomLeft" activeCell="C1" sqref="C1"/>
    </sheetView>
  </sheetViews>
  <sheetFormatPr defaultRowHeight="14.4"/>
  <cols>
    <col min="1" max="2" width="8.77734375" style="1" customWidth="1"/>
    <col min="3" max="3" width="11.109375" style="1" bestFit="1" customWidth="1"/>
    <col min="4" max="5" width="8.77734375" style="1" customWidth="1"/>
    <col min="6" max="6" width="11.88671875" style="1" bestFit="1" customWidth="1"/>
    <col min="7" max="7" width="11.5546875" style="1" bestFit="1" customWidth="1"/>
    <col min="8" max="8" width="9" style="1" bestFit="1" customWidth="1"/>
    <col min="9" max="9" width="14" style="1" bestFit="1" customWidth="1"/>
    <col min="10" max="10" width="15.6640625" style="1" bestFit="1" customWidth="1"/>
    <col min="11" max="12" width="8.77734375" style="1" customWidth="1"/>
    <col min="13" max="13" width="12.77734375" style="1" bestFit="1" customWidth="1"/>
    <col min="14" max="16384" width="8.88671875" style="1"/>
  </cols>
  <sheetData>
    <row r="1" spans="1:13">
      <c r="A1" s="152" t="s">
        <v>308</v>
      </c>
      <c r="B1" s="152" t="s">
        <v>138</v>
      </c>
      <c r="C1" s="152" t="s">
        <v>348</v>
      </c>
      <c r="D1" s="152" t="s">
        <v>309</v>
      </c>
      <c r="E1" s="152" t="s">
        <v>310</v>
      </c>
      <c r="F1" s="152" t="s">
        <v>349</v>
      </c>
      <c r="G1" s="152" t="s">
        <v>350</v>
      </c>
      <c r="H1" s="152" t="s">
        <v>351</v>
      </c>
      <c r="I1" s="152" t="s">
        <v>352</v>
      </c>
      <c r="J1" s="152" t="s">
        <v>353</v>
      </c>
      <c r="K1" s="152" t="s">
        <v>354</v>
      </c>
      <c r="L1" s="144" t="s">
        <v>355</v>
      </c>
      <c r="M1" s="144" t="s">
        <v>356</v>
      </c>
    </row>
    <row r="2" spans="1:13">
      <c r="A2" s="1" t="s">
        <v>228</v>
      </c>
      <c r="B2" s="1" t="s">
        <v>313</v>
      </c>
      <c r="D2" s="1" t="s">
        <v>314</v>
      </c>
      <c r="E2" s="1">
        <v>1</v>
      </c>
      <c r="I2" s="22">
        <v>3000</v>
      </c>
    </row>
    <row r="3" spans="1:13">
      <c r="A3" s="1" t="s">
        <v>227</v>
      </c>
      <c r="B3" s="1" t="s">
        <v>313</v>
      </c>
      <c r="D3" s="1" t="s">
        <v>314</v>
      </c>
      <c r="E3" s="1">
        <v>1</v>
      </c>
      <c r="I3" s="22">
        <v>3000</v>
      </c>
    </row>
    <row r="4" spans="1:13">
      <c r="A4" s="1" t="s">
        <v>229</v>
      </c>
      <c r="B4" s="1" t="s">
        <v>313</v>
      </c>
      <c r="D4" s="1" t="s">
        <v>314</v>
      </c>
      <c r="E4" s="1">
        <v>1</v>
      </c>
      <c r="I4" s="22">
        <v>3000</v>
      </c>
    </row>
    <row r="5" spans="1:13">
      <c r="A5" s="1" t="s">
        <v>230</v>
      </c>
      <c r="B5" s="1" t="s">
        <v>313</v>
      </c>
      <c r="D5" s="1" t="s">
        <v>314</v>
      </c>
      <c r="E5" s="1">
        <v>1</v>
      </c>
      <c r="I5" s="22">
        <v>3000</v>
      </c>
    </row>
    <row r="6" spans="1:13">
      <c r="A6" s="1" t="s">
        <v>327</v>
      </c>
      <c r="B6" s="1" t="s">
        <v>313</v>
      </c>
      <c r="D6" s="1" t="s">
        <v>314</v>
      </c>
      <c r="E6" s="1">
        <v>1</v>
      </c>
      <c r="I6" s="22">
        <v>3000</v>
      </c>
    </row>
    <row r="7" spans="1:13">
      <c r="A7" s="1" t="s">
        <v>332</v>
      </c>
      <c r="B7" s="1" t="s">
        <v>313</v>
      </c>
      <c r="D7" s="1" t="s">
        <v>314</v>
      </c>
      <c r="E7" s="1">
        <v>1</v>
      </c>
      <c r="I7" s="22">
        <v>3000</v>
      </c>
    </row>
    <row r="8" spans="1:13">
      <c r="A8" s="21" t="s">
        <v>328</v>
      </c>
      <c r="B8" s="21" t="s">
        <v>313</v>
      </c>
      <c r="C8" s="21"/>
      <c r="D8" s="21" t="s">
        <v>314</v>
      </c>
      <c r="E8" s="21">
        <v>1</v>
      </c>
      <c r="F8" s="21"/>
      <c r="G8" s="21"/>
      <c r="H8" s="21"/>
      <c r="I8" s="23">
        <v>3000</v>
      </c>
      <c r="J8" s="21"/>
      <c r="K8" s="21"/>
      <c r="L8" s="21"/>
      <c r="M8" s="21"/>
    </row>
    <row r="9" spans="1:13">
      <c r="A9" s="1" t="s">
        <v>228</v>
      </c>
      <c r="B9" s="1" t="s">
        <v>336</v>
      </c>
      <c r="D9" s="1" t="s">
        <v>314</v>
      </c>
      <c r="E9" s="1">
        <v>1</v>
      </c>
      <c r="I9" s="22">
        <v>240</v>
      </c>
    </row>
    <row r="10" spans="1:13">
      <c r="A10" s="1" t="s">
        <v>227</v>
      </c>
      <c r="B10" s="1" t="s">
        <v>336</v>
      </c>
      <c r="D10" s="1" t="s">
        <v>314</v>
      </c>
      <c r="E10" s="1">
        <v>1</v>
      </c>
      <c r="I10" s="22">
        <v>240</v>
      </c>
    </row>
    <row r="11" spans="1:13">
      <c r="A11" s="1" t="s">
        <v>229</v>
      </c>
      <c r="B11" s="1" t="s">
        <v>336</v>
      </c>
      <c r="D11" s="1" t="s">
        <v>314</v>
      </c>
      <c r="E11" s="1">
        <v>1</v>
      </c>
      <c r="I11" s="22">
        <v>240</v>
      </c>
    </row>
    <row r="12" spans="1:13">
      <c r="A12" s="1" t="s">
        <v>327</v>
      </c>
      <c r="B12" s="1" t="s">
        <v>336</v>
      </c>
      <c r="D12" s="1" t="s">
        <v>314</v>
      </c>
      <c r="E12" s="1">
        <v>1</v>
      </c>
      <c r="I12" s="22">
        <v>240</v>
      </c>
    </row>
    <row r="13" spans="1:13">
      <c r="A13" s="1" t="s">
        <v>332</v>
      </c>
      <c r="B13" s="1" t="s">
        <v>336</v>
      </c>
      <c r="D13" s="1" t="s">
        <v>314</v>
      </c>
      <c r="E13" s="1">
        <v>1</v>
      </c>
      <c r="I13" s="22">
        <v>240</v>
      </c>
    </row>
    <row r="14" spans="1:13">
      <c r="A14" s="21" t="s">
        <v>328</v>
      </c>
      <c r="B14" s="21" t="s">
        <v>336</v>
      </c>
      <c r="C14" s="21"/>
      <c r="D14" s="21" t="s">
        <v>314</v>
      </c>
      <c r="E14" s="21">
        <v>1</v>
      </c>
      <c r="F14" s="21"/>
      <c r="G14" s="21"/>
      <c r="H14" s="21"/>
      <c r="I14" s="23">
        <v>240</v>
      </c>
      <c r="J14" s="21"/>
      <c r="K14" s="21"/>
      <c r="L14" s="21"/>
      <c r="M14" s="21"/>
    </row>
    <row r="15" spans="1:13">
      <c r="A15" s="1" t="s">
        <v>228</v>
      </c>
      <c r="B15" s="1" t="s">
        <v>323</v>
      </c>
      <c r="D15" s="1" t="s">
        <v>314</v>
      </c>
      <c r="E15" s="1">
        <v>1</v>
      </c>
      <c r="F15" s="1">
        <v>1</v>
      </c>
      <c r="I15" s="22">
        <v>2250</v>
      </c>
    </row>
    <row r="16" spans="1:13">
      <c r="A16" s="1" t="s">
        <v>227</v>
      </c>
      <c r="B16" s="1" t="s">
        <v>323</v>
      </c>
      <c r="D16" s="1" t="s">
        <v>314</v>
      </c>
      <c r="E16" s="1">
        <v>1</v>
      </c>
      <c r="F16" s="1">
        <v>1</v>
      </c>
      <c r="I16" s="22">
        <v>2250</v>
      </c>
    </row>
    <row r="17" spans="1:13">
      <c r="A17" s="1" t="s">
        <v>229</v>
      </c>
      <c r="B17" s="1" t="s">
        <v>323</v>
      </c>
      <c r="D17" s="1" t="s">
        <v>314</v>
      </c>
      <c r="E17" s="1">
        <v>1</v>
      </c>
      <c r="F17" s="1">
        <v>1</v>
      </c>
      <c r="I17" s="22">
        <v>2250</v>
      </c>
    </row>
    <row r="18" spans="1:13">
      <c r="A18" s="1" t="s">
        <v>327</v>
      </c>
      <c r="B18" s="1" t="s">
        <v>323</v>
      </c>
      <c r="D18" s="1" t="s">
        <v>314</v>
      </c>
      <c r="E18" s="1">
        <v>1</v>
      </c>
      <c r="F18" s="1">
        <v>1</v>
      </c>
      <c r="I18" s="22">
        <v>2250</v>
      </c>
    </row>
    <row r="19" spans="1:13">
      <c r="A19" s="1" t="s">
        <v>332</v>
      </c>
      <c r="B19" s="1" t="s">
        <v>323</v>
      </c>
      <c r="D19" s="1" t="s">
        <v>314</v>
      </c>
      <c r="E19" s="1">
        <v>1</v>
      </c>
      <c r="F19" s="1">
        <v>1</v>
      </c>
      <c r="I19" s="22">
        <v>2250</v>
      </c>
    </row>
    <row r="20" spans="1:13">
      <c r="A20" s="21" t="s">
        <v>328</v>
      </c>
      <c r="B20" s="21" t="s">
        <v>323</v>
      </c>
      <c r="C20" s="21"/>
      <c r="D20" s="21" t="s">
        <v>314</v>
      </c>
      <c r="E20" s="21">
        <v>1</v>
      </c>
      <c r="F20" s="21">
        <v>1</v>
      </c>
      <c r="G20" s="21"/>
      <c r="H20" s="21"/>
      <c r="I20" s="23">
        <v>2250</v>
      </c>
      <c r="J20" s="21"/>
      <c r="K20" s="21"/>
      <c r="L20" s="21"/>
      <c r="M20" s="21"/>
    </row>
    <row r="21" spans="1:13">
      <c r="A21" s="1" t="s">
        <v>328</v>
      </c>
      <c r="B21" s="1" t="s">
        <v>324</v>
      </c>
      <c r="C21" s="1" t="s">
        <v>62</v>
      </c>
      <c r="D21" s="1" t="s">
        <v>357</v>
      </c>
      <c r="E21" s="1">
        <v>1</v>
      </c>
      <c r="G21" s="1">
        <v>0</v>
      </c>
      <c r="H21" s="1">
        <v>0</v>
      </c>
      <c r="I21" s="22">
        <v>4000</v>
      </c>
      <c r="K21" s="22">
        <v>29</v>
      </c>
    </row>
    <row r="22" spans="1:13">
      <c r="A22" s="1" t="s">
        <v>328</v>
      </c>
      <c r="B22" s="1" t="s">
        <v>324</v>
      </c>
      <c r="C22" s="1" t="s">
        <v>61</v>
      </c>
      <c r="D22" s="1" t="s">
        <v>357</v>
      </c>
      <c r="E22" s="1">
        <v>1</v>
      </c>
      <c r="G22" s="1">
        <v>0</v>
      </c>
      <c r="H22" s="1">
        <v>0</v>
      </c>
      <c r="I22" s="22">
        <v>4000</v>
      </c>
      <c r="K22" s="22">
        <v>59</v>
      </c>
    </row>
    <row r="23" spans="1:13">
      <c r="A23" s="1" t="s">
        <v>229</v>
      </c>
      <c r="B23" s="1" t="s">
        <v>324</v>
      </c>
      <c r="C23" s="1" t="s">
        <v>67</v>
      </c>
      <c r="D23" s="1" t="s">
        <v>357</v>
      </c>
      <c r="E23" s="1">
        <v>1</v>
      </c>
      <c r="G23" s="1">
        <v>0</v>
      </c>
      <c r="H23" s="1">
        <v>0</v>
      </c>
      <c r="I23" s="22">
        <v>4000</v>
      </c>
      <c r="K23" s="22">
        <v>44</v>
      </c>
    </row>
    <row r="24" spans="1:13">
      <c r="A24" s="1" t="s">
        <v>228</v>
      </c>
      <c r="B24" s="1" t="s">
        <v>324</v>
      </c>
      <c r="C24" s="1" t="s">
        <v>66</v>
      </c>
      <c r="D24" s="1" t="s">
        <v>357</v>
      </c>
      <c r="E24" s="1">
        <v>1</v>
      </c>
      <c r="G24" s="1">
        <v>0</v>
      </c>
      <c r="H24" s="1">
        <v>0</v>
      </c>
      <c r="I24" s="22">
        <v>4000</v>
      </c>
      <c r="K24" s="22">
        <v>35</v>
      </c>
    </row>
    <row r="25" spans="1:13">
      <c r="A25" s="1" t="s">
        <v>229</v>
      </c>
      <c r="B25" s="1" t="s">
        <v>324</v>
      </c>
      <c r="C25" s="1" t="s">
        <v>65</v>
      </c>
      <c r="D25" s="1" t="s">
        <v>357</v>
      </c>
      <c r="E25" s="1">
        <v>1</v>
      </c>
      <c r="G25" s="1">
        <v>0</v>
      </c>
      <c r="H25" s="1">
        <v>0</v>
      </c>
      <c r="I25" s="22">
        <v>4000</v>
      </c>
      <c r="K25" s="22">
        <v>32</v>
      </c>
    </row>
    <row r="26" spans="1:13">
      <c r="A26" s="1" t="s">
        <v>327</v>
      </c>
      <c r="B26" s="1" t="s">
        <v>324</v>
      </c>
      <c r="C26" s="1" t="s">
        <v>64</v>
      </c>
      <c r="D26" s="1" t="s">
        <v>357</v>
      </c>
      <c r="E26" s="1">
        <v>1</v>
      </c>
      <c r="G26" s="1">
        <v>0</v>
      </c>
      <c r="H26" s="1">
        <v>0</v>
      </c>
      <c r="I26" s="22">
        <v>4000</v>
      </c>
      <c r="K26" s="22">
        <v>43</v>
      </c>
    </row>
    <row r="27" spans="1:13">
      <c r="A27" s="1" t="s">
        <v>328</v>
      </c>
      <c r="B27" s="1" t="s">
        <v>324</v>
      </c>
      <c r="C27" s="1" t="s">
        <v>63</v>
      </c>
      <c r="D27" s="1" t="s">
        <v>357</v>
      </c>
      <c r="E27" s="1">
        <v>1</v>
      </c>
      <c r="G27" s="1">
        <v>0</v>
      </c>
      <c r="H27" s="1">
        <v>0</v>
      </c>
      <c r="I27" s="22">
        <v>4000</v>
      </c>
      <c r="K27" s="22">
        <v>34</v>
      </c>
    </row>
    <row r="28" spans="1:13">
      <c r="A28" s="1" t="s">
        <v>228</v>
      </c>
      <c r="B28" s="1" t="s">
        <v>324</v>
      </c>
      <c r="D28" s="1" t="s">
        <v>357</v>
      </c>
      <c r="E28" s="1">
        <v>1</v>
      </c>
      <c r="G28" s="1">
        <v>0</v>
      </c>
      <c r="H28" s="1">
        <v>0</v>
      </c>
      <c r="I28" s="22">
        <v>4000</v>
      </c>
      <c r="K28" s="153">
        <f>ROUND(D_heat!K40/0.00876*0.2,0)</f>
        <v>51</v>
      </c>
    </row>
    <row r="29" spans="1:13">
      <c r="A29" s="1" t="s">
        <v>227</v>
      </c>
      <c r="B29" s="1" t="s">
        <v>324</v>
      </c>
      <c r="D29" s="1" t="s">
        <v>357</v>
      </c>
      <c r="E29" s="1">
        <v>1</v>
      </c>
      <c r="G29" s="1">
        <v>0</v>
      </c>
      <c r="H29" s="1">
        <v>0</v>
      </c>
      <c r="I29" s="22">
        <v>4000</v>
      </c>
      <c r="K29" s="153">
        <f>ROUND(D_heat!K41/0.00876*0.2,0)</f>
        <v>93</v>
      </c>
    </row>
    <row r="30" spans="1:13">
      <c r="A30" s="1" t="s">
        <v>229</v>
      </c>
      <c r="B30" s="1" t="s">
        <v>324</v>
      </c>
      <c r="D30" s="1" t="s">
        <v>357</v>
      </c>
      <c r="E30" s="1">
        <v>1</v>
      </c>
      <c r="G30" s="1">
        <v>0</v>
      </c>
      <c r="H30" s="1">
        <v>0</v>
      </c>
      <c r="I30" s="22">
        <v>4000</v>
      </c>
      <c r="K30" s="153">
        <f>ROUND(D_heat!K42/0.00876*0.2,0)</f>
        <v>36</v>
      </c>
    </row>
    <row r="31" spans="1:13">
      <c r="A31" s="1" t="s">
        <v>230</v>
      </c>
      <c r="B31" s="1" t="s">
        <v>324</v>
      </c>
      <c r="D31" s="1" t="s">
        <v>357</v>
      </c>
      <c r="E31" s="1">
        <v>1</v>
      </c>
      <c r="G31" s="1">
        <v>0</v>
      </c>
      <c r="H31" s="1">
        <v>0</v>
      </c>
      <c r="I31" s="22">
        <v>4000</v>
      </c>
      <c r="K31" s="153">
        <f>ROUND(D_heat!K43/0.00876*0.2,0)</f>
        <v>98</v>
      </c>
    </row>
    <row r="32" spans="1:13">
      <c r="A32" s="1" t="s">
        <v>327</v>
      </c>
      <c r="B32" s="1" t="s">
        <v>324</v>
      </c>
      <c r="D32" s="1" t="s">
        <v>357</v>
      </c>
      <c r="E32" s="1">
        <v>1</v>
      </c>
      <c r="G32" s="1">
        <v>0</v>
      </c>
      <c r="H32" s="1">
        <v>0</v>
      </c>
      <c r="I32" s="22">
        <v>4000</v>
      </c>
      <c r="K32" s="153">
        <f>ROUND(D_heat!K44/0.00876*0.2,0)</f>
        <v>47</v>
      </c>
    </row>
    <row r="33" spans="1:13">
      <c r="A33" s="1" t="s">
        <v>332</v>
      </c>
      <c r="B33" s="1" t="s">
        <v>324</v>
      </c>
      <c r="D33" s="1" t="s">
        <v>357</v>
      </c>
      <c r="E33" s="1">
        <v>1</v>
      </c>
      <c r="G33" s="1">
        <v>0</v>
      </c>
      <c r="H33" s="1">
        <v>0</v>
      </c>
      <c r="I33" s="22">
        <v>4000</v>
      </c>
      <c r="K33" s="153">
        <f>ROUND(D_heat!K45/0.00876*0.2,0)</f>
        <v>78</v>
      </c>
    </row>
    <row r="34" spans="1:13">
      <c r="A34" s="21" t="s">
        <v>328</v>
      </c>
      <c r="B34" s="21" t="s">
        <v>324</v>
      </c>
      <c r="C34" s="21"/>
      <c r="D34" s="21" t="s">
        <v>357</v>
      </c>
      <c r="E34" s="21">
        <v>1</v>
      </c>
      <c r="F34" s="21"/>
      <c r="G34" s="21">
        <v>0</v>
      </c>
      <c r="H34" s="21">
        <v>0</v>
      </c>
      <c r="I34" s="23">
        <v>4000</v>
      </c>
      <c r="J34" s="21"/>
      <c r="K34" s="154">
        <f>ROUND(D_heat!K46/0.00876*0.2,0)</f>
        <v>54</v>
      </c>
      <c r="L34" s="21"/>
      <c r="M34" s="21"/>
    </row>
    <row r="35" spans="1:13">
      <c r="A35" s="1" t="s">
        <v>228</v>
      </c>
      <c r="B35" s="1" t="s">
        <v>337</v>
      </c>
      <c r="C35" s="1" t="s">
        <v>334</v>
      </c>
      <c r="D35" s="1" t="s">
        <v>357</v>
      </c>
      <c r="E35" s="1">
        <v>1</v>
      </c>
      <c r="I35" s="22">
        <v>4000</v>
      </c>
    </row>
    <row r="36" spans="1:13">
      <c r="A36" s="1" t="s">
        <v>227</v>
      </c>
      <c r="B36" s="1" t="s">
        <v>337</v>
      </c>
      <c r="C36" s="1" t="s">
        <v>334</v>
      </c>
      <c r="D36" s="1" t="s">
        <v>357</v>
      </c>
      <c r="E36" s="1">
        <v>1</v>
      </c>
      <c r="I36" s="22">
        <v>4000</v>
      </c>
    </row>
    <row r="37" spans="1:13">
      <c r="A37" s="1" t="s">
        <v>229</v>
      </c>
      <c r="B37" s="1" t="s">
        <v>337</v>
      </c>
      <c r="C37" s="1" t="s">
        <v>334</v>
      </c>
      <c r="D37" s="1" t="s">
        <v>357</v>
      </c>
      <c r="E37" s="1">
        <v>1</v>
      </c>
      <c r="I37" s="22">
        <v>4000</v>
      </c>
    </row>
    <row r="38" spans="1:13">
      <c r="A38" s="1" t="s">
        <v>230</v>
      </c>
      <c r="B38" s="1" t="s">
        <v>337</v>
      </c>
      <c r="C38" s="1" t="s">
        <v>334</v>
      </c>
      <c r="D38" s="1" t="s">
        <v>357</v>
      </c>
      <c r="E38" s="1">
        <v>1</v>
      </c>
      <c r="I38" s="22">
        <v>4000</v>
      </c>
    </row>
    <row r="39" spans="1:13">
      <c r="A39" s="1" t="s">
        <v>327</v>
      </c>
      <c r="B39" s="1" t="s">
        <v>337</v>
      </c>
      <c r="C39" s="1" t="s">
        <v>334</v>
      </c>
      <c r="D39" s="1" t="s">
        <v>357</v>
      </c>
      <c r="E39" s="1">
        <v>1</v>
      </c>
      <c r="I39" s="22">
        <v>4000</v>
      </c>
    </row>
    <row r="40" spans="1:13">
      <c r="A40" s="1" t="s">
        <v>332</v>
      </c>
      <c r="B40" s="1" t="s">
        <v>337</v>
      </c>
      <c r="C40" s="1" t="s">
        <v>334</v>
      </c>
      <c r="D40" s="1" t="s">
        <v>357</v>
      </c>
      <c r="E40" s="1">
        <v>1</v>
      </c>
      <c r="I40" s="22">
        <v>4000</v>
      </c>
    </row>
    <row r="41" spans="1:13">
      <c r="A41" s="21" t="s">
        <v>328</v>
      </c>
      <c r="B41" s="21" t="s">
        <v>337</v>
      </c>
      <c r="C41" s="21" t="s">
        <v>334</v>
      </c>
      <c r="D41" s="21" t="s">
        <v>357</v>
      </c>
      <c r="E41" s="21">
        <v>1</v>
      </c>
      <c r="F41" s="21"/>
      <c r="G41" s="21"/>
      <c r="H41" s="21"/>
      <c r="I41" s="23">
        <v>4000</v>
      </c>
      <c r="J41" s="21"/>
      <c r="K41" s="21"/>
      <c r="L41" s="21"/>
      <c r="M41" s="21"/>
    </row>
    <row r="42" spans="1:13">
      <c r="A42" s="1" t="s">
        <v>228</v>
      </c>
      <c r="B42" s="1" t="s">
        <v>358</v>
      </c>
      <c r="D42" s="1" t="s">
        <v>357</v>
      </c>
      <c r="E42" s="1">
        <v>1</v>
      </c>
      <c r="F42" s="1">
        <v>1</v>
      </c>
      <c r="H42" s="24">
        <v>3319465.2987736524</v>
      </c>
      <c r="I42" s="22">
        <v>5000</v>
      </c>
      <c r="K42" s="24">
        <v>20000</v>
      </c>
    </row>
    <row r="43" spans="1:13">
      <c r="A43" s="1" t="s">
        <v>227</v>
      </c>
      <c r="B43" s="1" t="s">
        <v>358</v>
      </c>
      <c r="D43" s="1" t="s">
        <v>357</v>
      </c>
      <c r="E43" s="1">
        <v>1</v>
      </c>
      <c r="F43" s="1">
        <v>1</v>
      </c>
      <c r="H43" s="24">
        <v>281788.22570234741</v>
      </c>
      <c r="I43" s="22">
        <v>5000</v>
      </c>
      <c r="K43" s="24">
        <v>20000</v>
      </c>
    </row>
    <row r="44" spans="1:13">
      <c r="A44" s="1" t="s">
        <v>229</v>
      </c>
      <c r="B44" s="1" t="s">
        <v>358</v>
      </c>
      <c r="D44" s="1" t="s">
        <v>357</v>
      </c>
      <c r="E44" s="1">
        <v>1</v>
      </c>
      <c r="F44" s="1">
        <v>1</v>
      </c>
      <c r="H44" s="24">
        <v>218104.08669361687</v>
      </c>
      <c r="I44" s="22">
        <v>5000</v>
      </c>
      <c r="K44" s="24">
        <v>20000</v>
      </c>
    </row>
    <row r="45" spans="1:13">
      <c r="A45" s="1" t="s">
        <v>230</v>
      </c>
      <c r="B45" s="1" t="s">
        <v>358</v>
      </c>
      <c r="D45" s="1" t="s">
        <v>357</v>
      </c>
      <c r="E45" s="1">
        <v>1</v>
      </c>
      <c r="F45" s="1">
        <v>1</v>
      </c>
      <c r="H45" s="24">
        <v>860205.52366069914</v>
      </c>
      <c r="I45" s="22">
        <v>5000</v>
      </c>
      <c r="K45" s="24">
        <v>20000</v>
      </c>
    </row>
    <row r="46" spans="1:13">
      <c r="A46" s="1" t="s">
        <v>332</v>
      </c>
      <c r="B46" s="1" t="s">
        <v>358</v>
      </c>
      <c r="D46" s="1" t="s">
        <v>357</v>
      </c>
      <c r="E46" s="1">
        <v>1</v>
      </c>
      <c r="F46" s="1">
        <v>1</v>
      </c>
      <c r="H46" s="24">
        <v>850436.86516968452</v>
      </c>
      <c r="I46" s="22">
        <v>5000</v>
      </c>
      <c r="K46" s="24">
        <v>20000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BAF66-4085-41A8-A32F-4C0E59A2D9B8}">
  <sheetPr>
    <tabColor rgb="FF002060"/>
  </sheetPr>
  <dimension ref="A1:M21"/>
  <sheetViews>
    <sheetView workbookViewId="0">
      <selection activeCell="G25" sqref="G25"/>
    </sheetView>
  </sheetViews>
  <sheetFormatPr defaultRowHeight="14.4"/>
  <cols>
    <col min="1" max="1" width="8" style="1" bestFit="1" customWidth="1"/>
    <col min="2" max="2" width="4.5546875" style="1" bestFit="1" customWidth="1"/>
    <col min="3" max="3" width="7.21875" style="1" bestFit="1" customWidth="1"/>
    <col min="4" max="4" width="22.5546875" style="1" bestFit="1" customWidth="1"/>
    <col min="5" max="5" width="12.21875" style="1" bestFit="1" customWidth="1"/>
    <col min="6" max="6" width="12.77734375" style="1" bestFit="1" customWidth="1"/>
    <col min="7" max="7" width="19" style="1" bestFit="1" customWidth="1"/>
    <col min="8" max="8" width="12.44140625" style="1" bestFit="1" customWidth="1"/>
    <col min="9" max="9" width="9.5546875" style="1" bestFit="1" customWidth="1"/>
    <col min="10" max="10" width="5.33203125" style="1" bestFit="1" customWidth="1"/>
    <col min="11" max="16384" width="8.88671875" style="1"/>
  </cols>
  <sheetData>
    <row r="1" spans="1:13">
      <c r="A1" s="41" t="s">
        <v>309</v>
      </c>
      <c r="B1" s="41" t="s">
        <v>359</v>
      </c>
      <c r="C1" s="41" t="s">
        <v>360</v>
      </c>
      <c r="D1" s="41" t="s">
        <v>361</v>
      </c>
      <c r="E1" s="41" t="s">
        <v>362</v>
      </c>
      <c r="F1" s="41" t="s">
        <v>363</v>
      </c>
      <c r="G1" s="41" t="s">
        <v>364</v>
      </c>
      <c r="H1" s="41" t="s">
        <v>365</v>
      </c>
      <c r="I1" s="41" t="s">
        <v>366</v>
      </c>
      <c r="J1" s="41" t="s">
        <v>367</v>
      </c>
    </row>
    <row r="2" spans="1:13">
      <c r="A2" s="1" t="s">
        <v>357</v>
      </c>
      <c r="B2" s="1">
        <v>1</v>
      </c>
      <c r="C2" s="1" t="s">
        <v>228</v>
      </c>
      <c r="D2" s="1" t="s">
        <v>372</v>
      </c>
      <c r="E2" s="1" t="s">
        <v>313</v>
      </c>
      <c r="F2" s="1" t="s">
        <v>377</v>
      </c>
      <c r="G2" s="1" t="s">
        <v>378</v>
      </c>
      <c r="H2" s="1" t="s">
        <v>342</v>
      </c>
      <c r="I2" s="1" t="s">
        <v>368</v>
      </c>
      <c r="J2" s="1">
        <v>1</v>
      </c>
    </row>
    <row r="3" spans="1:13">
      <c r="A3" s="1" t="s">
        <v>357</v>
      </c>
      <c r="B3" s="1">
        <v>1</v>
      </c>
      <c r="C3" s="1" t="s">
        <v>228</v>
      </c>
      <c r="D3" s="1" t="s">
        <v>372</v>
      </c>
      <c r="E3" s="1" t="s">
        <v>342</v>
      </c>
      <c r="F3" s="1" t="s">
        <v>342</v>
      </c>
      <c r="G3" s="1" t="s">
        <v>342</v>
      </c>
      <c r="H3" s="1" t="s">
        <v>342</v>
      </c>
      <c r="I3" s="1" t="s">
        <v>369</v>
      </c>
      <c r="J3" s="1">
        <v>-1</v>
      </c>
      <c r="M3" s="24"/>
    </row>
    <row r="4" spans="1:13">
      <c r="A4" s="1" t="s">
        <v>357</v>
      </c>
      <c r="B4" s="1">
        <v>1</v>
      </c>
      <c r="C4" s="1" t="s">
        <v>228</v>
      </c>
      <c r="D4" s="1" t="s">
        <v>372</v>
      </c>
      <c r="E4" s="1" t="s">
        <v>342</v>
      </c>
      <c r="F4" s="1" t="s">
        <v>342</v>
      </c>
      <c r="G4" s="1" t="s">
        <v>342</v>
      </c>
      <c r="H4" s="1" t="s">
        <v>342</v>
      </c>
      <c r="I4" s="1" t="s">
        <v>370</v>
      </c>
      <c r="J4" s="24">
        <v>250.91075856914767</v>
      </c>
      <c r="M4" s="24"/>
    </row>
    <row r="5" spans="1:13">
      <c r="A5" s="1" t="s">
        <v>357</v>
      </c>
      <c r="B5" s="1">
        <v>1</v>
      </c>
      <c r="C5" s="1" t="s">
        <v>228</v>
      </c>
      <c r="D5" s="1" t="s">
        <v>372</v>
      </c>
      <c r="E5" s="1" t="s">
        <v>342</v>
      </c>
      <c r="F5" s="1" t="s">
        <v>342</v>
      </c>
      <c r="G5" s="1" t="s">
        <v>342</v>
      </c>
      <c r="H5" s="1" t="s">
        <v>342</v>
      </c>
      <c r="I5" s="1" t="s">
        <v>371</v>
      </c>
      <c r="J5" s="1">
        <v>2500</v>
      </c>
      <c r="M5" s="24"/>
    </row>
    <row r="6" spans="1:13">
      <c r="A6" s="1" t="s">
        <v>357</v>
      </c>
      <c r="B6" s="1">
        <v>1</v>
      </c>
      <c r="C6" s="1" t="s">
        <v>227</v>
      </c>
      <c r="D6" s="1" t="s">
        <v>373</v>
      </c>
      <c r="E6" s="1" t="s">
        <v>313</v>
      </c>
      <c r="F6" s="1" t="s">
        <v>379</v>
      </c>
      <c r="G6" s="1" t="s">
        <v>380</v>
      </c>
      <c r="H6" s="1" t="s">
        <v>342</v>
      </c>
      <c r="I6" s="1" t="s">
        <v>368</v>
      </c>
      <c r="J6" s="1">
        <v>1</v>
      </c>
      <c r="M6" s="24"/>
    </row>
    <row r="7" spans="1:13">
      <c r="A7" s="1" t="s">
        <v>357</v>
      </c>
      <c r="B7" s="1">
        <v>1</v>
      </c>
      <c r="C7" s="1" t="s">
        <v>227</v>
      </c>
      <c r="D7" s="1" t="s">
        <v>373</v>
      </c>
      <c r="E7" s="1" t="s">
        <v>342</v>
      </c>
      <c r="F7" s="1" t="s">
        <v>342</v>
      </c>
      <c r="G7" s="1" t="s">
        <v>342</v>
      </c>
      <c r="H7" s="1" t="s">
        <v>342</v>
      </c>
      <c r="I7" s="1" t="s">
        <v>369</v>
      </c>
      <c r="J7" s="1">
        <v>-1</v>
      </c>
      <c r="M7" s="24"/>
    </row>
    <row r="8" spans="1:13">
      <c r="A8" s="1" t="s">
        <v>357</v>
      </c>
      <c r="B8" s="1">
        <v>1</v>
      </c>
      <c r="C8" s="1" t="s">
        <v>227</v>
      </c>
      <c r="D8" s="1" t="s">
        <v>373</v>
      </c>
      <c r="E8" s="1" t="s">
        <v>342</v>
      </c>
      <c r="F8" s="1" t="s">
        <v>342</v>
      </c>
      <c r="G8" s="1" t="s">
        <v>342</v>
      </c>
      <c r="H8" s="1" t="s">
        <v>342</v>
      </c>
      <c r="I8" s="1" t="s">
        <v>370</v>
      </c>
      <c r="J8" s="24">
        <v>21.299724836090636</v>
      </c>
    </row>
    <row r="9" spans="1:13">
      <c r="A9" s="1" t="s">
        <v>357</v>
      </c>
      <c r="B9" s="1">
        <v>1</v>
      </c>
      <c r="C9" s="1" t="s">
        <v>227</v>
      </c>
      <c r="D9" s="1" t="s">
        <v>373</v>
      </c>
      <c r="E9" s="1" t="s">
        <v>342</v>
      </c>
      <c r="F9" s="1" t="s">
        <v>342</v>
      </c>
      <c r="G9" s="1" t="s">
        <v>342</v>
      </c>
      <c r="H9" s="1" t="s">
        <v>342</v>
      </c>
      <c r="I9" s="1" t="s">
        <v>371</v>
      </c>
      <c r="J9" s="1">
        <v>2500</v>
      </c>
    </row>
    <row r="10" spans="1:13">
      <c r="A10" s="1" t="s">
        <v>357</v>
      </c>
      <c r="B10" s="1">
        <v>1</v>
      </c>
      <c r="C10" s="1" t="s">
        <v>229</v>
      </c>
      <c r="D10" s="1" t="s">
        <v>374</v>
      </c>
      <c r="E10" s="1" t="s">
        <v>313</v>
      </c>
      <c r="F10" s="1" t="s">
        <v>381</v>
      </c>
      <c r="G10" s="1" t="s">
        <v>382</v>
      </c>
      <c r="H10" s="1" t="s">
        <v>342</v>
      </c>
      <c r="I10" s="1" t="s">
        <v>368</v>
      </c>
      <c r="J10" s="1">
        <v>1</v>
      </c>
    </row>
    <row r="11" spans="1:13">
      <c r="A11" s="1" t="s">
        <v>357</v>
      </c>
      <c r="B11" s="1">
        <v>1</v>
      </c>
      <c r="C11" s="1" t="s">
        <v>229</v>
      </c>
      <c r="D11" s="1" t="s">
        <v>374</v>
      </c>
      <c r="E11" s="1" t="s">
        <v>342</v>
      </c>
      <c r="F11" s="1" t="s">
        <v>342</v>
      </c>
      <c r="G11" s="1" t="s">
        <v>342</v>
      </c>
      <c r="H11" s="1" t="s">
        <v>342</v>
      </c>
      <c r="I11" s="1" t="s">
        <v>369</v>
      </c>
      <c r="J11" s="1">
        <v>-1</v>
      </c>
    </row>
    <row r="12" spans="1:13">
      <c r="A12" s="1" t="s">
        <v>357</v>
      </c>
      <c r="B12" s="1">
        <v>1</v>
      </c>
      <c r="C12" s="1" t="s">
        <v>229</v>
      </c>
      <c r="D12" s="1" t="s">
        <v>374</v>
      </c>
      <c r="E12" s="1" t="s">
        <v>342</v>
      </c>
      <c r="F12" s="1" t="s">
        <v>342</v>
      </c>
      <c r="G12" s="1" t="s">
        <v>342</v>
      </c>
      <c r="H12" s="1" t="s">
        <v>342</v>
      </c>
      <c r="I12" s="1" t="s">
        <v>370</v>
      </c>
      <c r="J12" s="24">
        <v>16.48598702313415</v>
      </c>
    </row>
    <row r="13" spans="1:13">
      <c r="A13" s="1" t="s">
        <v>357</v>
      </c>
      <c r="B13" s="1">
        <v>1</v>
      </c>
      <c r="C13" s="1" t="s">
        <v>229</v>
      </c>
      <c r="D13" s="1" t="s">
        <v>374</v>
      </c>
      <c r="E13" s="1" t="s">
        <v>342</v>
      </c>
      <c r="F13" s="1" t="s">
        <v>342</v>
      </c>
      <c r="G13" s="1" t="s">
        <v>342</v>
      </c>
      <c r="H13" s="1" t="s">
        <v>342</v>
      </c>
      <c r="I13" s="1" t="s">
        <v>371</v>
      </c>
      <c r="J13" s="1">
        <v>2500</v>
      </c>
    </row>
    <row r="14" spans="1:13">
      <c r="A14" s="1" t="s">
        <v>357</v>
      </c>
      <c r="B14" s="1">
        <v>1</v>
      </c>
      <c r="C14" s="1" t="s">
        <v>230</v>
      </c>
      <c r="D14" s="1" t="s">
        <v>375</v>
      </c>
      <c r="E14" s="1" t="s">
        <v>313</v>
      </c>
      <c r="F14" s="1" t="s">
        <v>383</v>
      </c>
      <c r="G14" s="1" t="s">
        <v>384</v>
      </c>
      <c r="H14" s="1" t="s">
        <v>342</v>
      </c>
      <c r="I14" s="1" t="s">
        <v>368</v>
      </c>
      <c r="J14" s="1">
        <v>1</v>
      </c>
    </row>
    <row r="15" spans="1:13">
      <c r="A15" s="1" t="s">
        <v>357</v>
      </c>
      <c r="B15" s="1">
        <v>1</v>
      </c>
      <c r="C15" s="1" t="s">
        <v>230</v>
      </c>
      <c r="D15" s="1" t="s">
        <v>375</v>
      </c>
      <c r="E15" s="1" t="s">
        <v>342</v>
      </c>
      <c r="F15" s="1" t="s">
        <v>342</v>
      </c>
      <c r="G15" s="1" t="s">
        <v>342</v>
      </c>
      <c r="H15" s="1" t="s">
        <v>342</v>
      </c>
      <c r="I15" s="1" t="s">
        <v>369</v>
      </c>
      <c r="J15" s="1">
        <v>-1</v>
      </c>
    </row>
    <row r="16" spans="1:13">
      <c r="A16" s="1" t="s">
        <v>357</v>
      </c>
      <c r="B16" s="1">
        <v>1</v>
      </c>
      <c r="C16" s="1" t="s">
        <v>230</v>
      </c>
      <c r="D16" s="1" t="s">
        <v>375</v>
      </c>
      <c r="E16" s="1" t="s">
        <v>342</v>
      </c>
      <c r="F16" s="1" t="s">
        <v>342</v>
      </c>
      <c r="G16" s="1" t="s">
        <v>342</v>
      </c>
      <c r="H16" s="1" t="s">
        <v>342</v>
      </c>
      <c r="I16" s="1" t="s">
        <v>370</v>
      </c>
      <c r="J16" s="24">
        <v>65.020960016306006</v>
      </c>
    </row>
    <row r="17" spans="1:10">
      <c r="A17" s="1" t="s">
        <v>357</v>
      </c>
      <c r="B17" s="1">
        <v>1</v>
      </c>
      <c r="C17" s="1" t="s">
        <v>230</v>
      </c>
      <c r="D17" s="1" t="s">
        <v>375</v>
      </c>
      <c r="E17" s="1" t="s">
        <v>342</v>
      </c>
      <c r="F17" s="1" t="s">
        <v>342</v>
      </c>
      <c r="G17" s="1" t="s">
        <v>342</v>
      </c>
      <c r="H17" s="1" t="s">
        <v>342</v>
      </c>
      <c r="I17" s="1" t="s">
        <v>371</v>
      </c>
      <c r="J17" s="1">
        <v>2500</v>
      </c>
    </row>
    <row r="18" spans="1:10">
      <c r="A18" s="1" t="s">
        <v>357</v>
      </c>
      <c r="B18" s="1">
        <v>1</v>
      </c>
      <c r="C18" s="1" t="s">
        <v>332</v>
      </c>
      <c r="D18" s="1" t="s">
        <v>376</v>
      </c>
      <c r="E18" s="1" t="s">
        <v>313</v>
      </c>
      <c r="F18" s="1" t="s">
        <v>385</v>
      </c>
      <c r="G18" s="1" t="s">
        <v>386</v>
      </c>
      <c r="H18" s="1" t="s">
        <v>342</v>
      </c>
      <c r="I18" s="1" t="s">
        <v>368</v>
      </c>
      <c r="J18" s="1">
        <v>1</v>
      </c>
    </row>
    <row r="19" spans="1:10">
      <c r="A19" s="1" t="s">
        <v>357</v>
      </c>
      <c r="B19" s="1">
        <v>1</v>
      </c>
      <c r="C19" s="1" t="s">
        <v>332</v>
      </c>
      <c r="D19" s="1" t="s">
        <v>376</v>
      </c>
      <c r="E19" s="1" t="s">
        <v>342</v>
      </c>
      <c r="F19" s="1" t="s">
        <v>342</v>
      </c>
      <c r="G19" s="1" t="s">
        <v>342</v>
      </c>
      <c r="H19" s="1" t="s">
        <v>342</v>
      </c>
      <c r="I19" s="1" t="s">
        <v>369</v>
      </c>
      <c r="J19" s="1">
        <v>-1</v>
      </c>
    </row>
    <row r="20" spans="1:10">
      <c r="A20" s="1" t="s">
        <v>357</v>
      </c>
      <c r="B20" s="1">
        <v>1</v>
      </c>
      <c r="C20" s="1" t="s">
        <v>332</v>
      </c>
      <c r="D20" s="1" t="s">
        <v>376</v>
      </c>
      <c r="E20" s="1" t="s">
        <v>342</v>
      </c>
      <c r="F20" s="1" t="s">
        <v>342</v>
      </c>
      <c r="G20" s="1" t="s">
        <v>342</v>
      </c>
      <c r="H20" s="1" t="s">
        <v>342</v>
      </c>
      <c r="I20" s="1" t="s">
        <v>370</v>
      </c>
      <c r="J20" s="24">
        <v>64.282569555321544</v>
      </c>
    </row>
    <row r="21" spans="1:10">
      <c r="A21" s="1" t="s">
        <v>357</v>
      </c>
      <c r="B21" s="1">
        <v>1</v>
      </c>
      <c r="C21" s="1" t="s">
        <v>332</v>
      </c>
      <c r="D21" s="1" t="s">
        <v>376</v>
      </c>
      <c r="E21" s="1" t="s">
        <v>342</v>
      </c>
      <c r="F21" s="1" t="s">
        <v>342</v>
      </c>
      <c r="G21" s="1" t="s">
        <v>342</v>
      </c>
      <c r="H21" s="1" t="s">
        <v>342</v>
      </c>
      <c r="I21" s="1" t="s">
        <v>371</v>
      </c>
      <c r="J21" s="1">
        <v>2500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Geography</vt:lpstr>
      <vt:lpstr>D_el</vt:lpstr>
      <vt:lpstr>D_heat</vt:lpstr>
      <vt:lpstr>Tr_el</vt:lpstr>
      <vt:lpstr>H2</vt:lpstr>
      <vt:lpstr>demanddata</vt:lpstr>
      <vt:lpstr>transferdata</vt:lpstr>
      <vt:lpstr>nodedata</vt:lpstr>
      <vt:lpstr>userconstraintdata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Jasiunas Justinas</dc:creator>
  <cp:lastModifiedBy>Jasiunas Justinas</cp:lastModifiedBy>
  <dcterms:created xsi:type="dcterms:W3CDTF">2015-06-05T18:17:20Z</dcterms:created>
  <dcterms:modified xsi:type="dcterms:W3CDTF">2026-09-25T12:58:40Z</dcterms:modified>
</cp:coreProperties>
</file>