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backbone\north_european_model (2IMatch)\src_files\data_files\"/>
    </mc:Choice>
  </mc:AlternateContent>
  <xr:revisionPtr revIDLastSave="0" documentId="13_ncr:1_{4EE0EEAC-D0AB-47ED-B67D-7C7748151FCD}" xr6:coauthVersionLast="47" xr6:coauthVersionMax="47" xr10:uidLastSave="{00000000-0000-0000-0000-000000000000}"/>
  <bookViews>
    <workbookView xWindow="-28920" yWindow="-75" windowWidth="29040" windowHeight="17520" tabRatio="793" activeTab="10" xr2:uid="{00000000-000D-0000-FFFF-FFFF00000000}"/>
  </bookViews>
  <sheets>
    <sheet name="Overview" sheetId="6" r:id="rId1"/>
    <sheet name="Regions" sheetId="8" r:id="rId2"/>
    <sheet name="D_el" sheetId="1" r:id="rId3"/>
    <sheet name="D_heat" sheetId="3" r:id="rId4"/>
    <sheet name="P_hydro" sheetId="7" r:id="rId5"/>
    <sheet name="P_el" sheetId="9" r:id="rId6"/>
    <sheet name="P_ind_chp" sheetId="19" r:id="rId7"/>
    <sheet name="P_dh_chp" sheetId="10" r:id="rId8"/>
    <sheet name="Tr_el" sheetId="20" r:id="rId9"/>
    <sheet name="H2" sheetId="2" r:id="rId10"/>
    <sheet name="demanddata" sheetId="23" r:id="rId11"/>
    <sheet name="transferdata" sheetId="22" r:id="rId12"/>
    <sheet name="2demanddata2" sheetId="21" r:id="rId13"/>
  </sheets>
  <definedNames>
    <definedName name="_xlnm._FilterDatabase" localSheetId="4" hidden="1">P_hydro!$A$10:$E$147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8" l="1"/>
  <c r="F18" i="8"/>
  <c r="F15" i="8"/>
  <c r="F11" i="8"/>
  <c r="F9" i="8"/>
  <c r="F5" i="8"/>
  <c r="F3" i="8"/>
  <c r="E8" i="23"/>
  <c r="E7" i="23"/>
  <c r="E6" i="23"/>
  <c r="E5" i="23"/>
  <c r="E4" i="23"/>
  <c r="E3" i="23"/>
  <c r="E2" i="23"/>
  <c r="E3" i="21" l="1"/>
  <c r="E4" i="21"/>
  <c r="E5" i="21"/>
  <c r="E6" i="21"/>
  <c r="E7" i="21"/>
  <c r="E8" i="21"/>
  <c r="E2" i="21"/>
  <c r="E12" i="21"/>
  <c r="E11" i="21"/>
  <c r="AI21" i="1" l="1"/>
  <c r="AI4" i="1"/>
  <c r="AI5" i="1"/>
  <c r="AI6" i="1"/>
  <c r="AI7" i="1"/>
  <c r="AI8" i="1"/>
  <c r="AI9" i="1"/>
  <c r="AI10" i="1"/>
  <c r="AI11" i="1"/>
  <c r="AI12" i="1"/>
  <c r="AI13" i="1"/>
  <c r="AI14" i="1"/>
  <c r="AI15" i="1"/>
  <c r="AI16" i="1"/>
  <c r="AI17" i="1"/>
  <c r="AI18" i="1"/>
  <c r="AI19" i="1"/>
  <c r="AI20" i="1"/>
  <c r="AI3" i="1"/>
  <c r="AC5" i="1"/>
  <c r="AB5" i="1"/>
  <c r="AA5" i="1"/>
  <c r="AB4" i="1"/>
  <c r="AC4" i="1"/>
  <c r="AA4" i="1"/>
  <c r="AA6" i="1" s="1"/>
  <c r="AB3" i="1"/>
  <c r="AC3" i="1"/>
  <c r="AA3" i="1"/>
  <c r="X6" i="1"/>
  <c r="U16" i="10"/>
  <c r="O50" i="20" l="1"/>
  <c r="O49" i="20"/>
  <c r="O48" i="20"/>
  <c r="O47" i="20"/>
  <c r="O46" i="20"/>
  <c r="O45" i="20"/>
  <c r="O44" i="20"/>
  <c r="O43" i="20"/>
  <c r="O42" i="20"/>
  <c r="O41" i="20"/>
  <c r="O40" i="20"/>
  <c r="O39" i="20"/>
  <c r="F40" i="20"/>
  <c r="F41" i="20"/>
  <c r="F42" i="20"/>
  <c r="F43" i="20"/>
  <c r="F44" i="20"/>
  <c r="F45" i="20"/>
  <c r="F46" i="20"/>
  <c r="F47" i="20"/>
  <c r="F48" i="20"/>
  <c r="F49" i="20"/>
  <c r="F50" i="20"/>
  <c r="F39" i="20"/>
  <c r="T53" i="20"/>
  <c r="S53" i="20"/>
  <c r="U42" i="20"/>
  <c r="U43" i="20"/>
  <c r="U44" i="20"/>
  <c r="U45" i="20"/>
  <c r="U46" i="20"/>
  <c r="U47" i="20"/>
  <c r="U48" i="20"/>
  <c r="U49" i="20"/>
  <c r="U50" i="20"/>
  <c r="U52" i="20"/>
  <c r="U51" i="20"/>
  <c r="U41" i="20"/>
  <c r="U53" i="20" s="1"/>
  <c r="Q6" i="20"/>
  <c r="R6" i="20"/>
  <c r="Q7" i="20"/>
  <c r="R7" i="20"/>
  <c r="X9" i="20" s="1"/>
  <c r="R5" i="20"/>
  <c r="Q5" i="20"/>
  <c r="X11" i="20" s="1"/>
  <c r="P31" i="20"/>
  <c r="P32" i="20"/>
  <c r="P33" i="20"/>
  <c r="P29" i="20"/>
  <c r="P30" i="20"/>
  <c r="O33" i="20"/>
  <c r="O32" i="20"/>
  <c r="O31" i="20"/>
  <c r="O30" i="20"/>
  <c r="O29" i="20"/>
  <c r="P29" i="19"/>
  <c r="P30" i="19"/>
  <c r="P31" i="19"/>
  <c r="P32" i="19"/>
  <c r="P33" i="19"/>
  <c r="P34" i="19"/>
  <c r="P35" i="19"/>
  <c r="AB38" i="10"/>
  <c r="AB39" i="10"/>
  <c r="AB40" i="10"/>
  <c r="AB41" i="10"/>
  <c r="AB42" i="10"/>
  <c r="AB43" i="10"/>
  <c r="AB44" i="10"/>
  <c r="Y31" i="10"/>
  <c r="Y32" i="10"/>
  <c r="Y33" i="10"/>
  <c r="Y34" i="10"/>
  <c r="Y35" i="10"/>
  <c r="Y36" i="10"/>
  <c r="Y37" i="10"/>
  <c r="Y20" i="10"/>
  <c r="AB20" i="10" s="1"/>
  <c r="Z20" i="10"/>
  <c r="AA20" i="10"/>
  <c r="Y21" i="10"/>
  <c r="Z21" i="10"/>
  <c r="AA21" i="10"/>
  <c r="Y22" i="10"/>
  <c r="Z22" i="10"/>
  <c r="AA22" i="10"/>
  <c r="Y23" i="10"/>
  <c r="Z23" i="10"/>
  <c r="AA23" i="10"/>
  <c r="Y24" i="10"/>
  <c r="Z24" i="10"/>
  <c r="AA24" i="10"/>
  <c r="Y25" i="10"/>
  <c r="Z25" i="10"/>
  <c r="AA25" i="10"/>
  <c r="Y26" i="10"/>
  <c r="Z26" i="10"/>
  <c r="AA26" i="10"/>
  <c r="X21" i="10"/>
  <c r="X22" i="10"/>
  <c r="X23" i="10"/>
  <c r="X24" i="10"/>
  <c r="X25" i="10"/>
  <c r="X26" i="10"/>
  <c r="X20" i="10"/>
  <c r="S32" i="10"/>
  <c r="T32" i="10"/>
  <c r="S33" i="10"/>
  <c r="S34" i="10"/>
  <c r="S35" i="10"/>
  <c r="S36" i="10"/>
  <c r="T36" i="10"/>
  <c r="S37" i="10"/>
  <c r="T37" i="10"/>
  <c r="R38" i="10"/>
  <c r="Q36" i="10"/>
  <c r="Q37" i="10"/>
  <c r="Q38" i="10"/>
  <c r="Q39" i="10"/>
  <c r="Q32" i="10"/>
  <c r="T28" i="10"/>
  <c r="S28" i="10"/>
  <c r="R28" i="10"/>
  <c r="Q28" i="10"/>
  <c r="U27" i="10"/>
  <c r="U26" i="10"/>
  <c r="U25" i="10"/>
  <c r="U24" i="10"/>
  <c r="U23" i="10"/>
  <c r="U22" i="10"/>
  <c r="U21" i="10"/>
  <c r="U20" i="10"/>
  <c r="U28" i="10" s="1"/>
  <c r="AB64" i="10"/>
  <c r="AA64" i="10"/>
  <c r="Z64" i="10"/>
  <c r="Y64" i="10"/>
  <c r="X64" i="10"/>
  <c r="W64" i="10"/>
  <c r="V64" i="10"/>
  <c r="U64" i="10"/>
  <c r="T64" i="10"/>
  <c r="S64" i="10"/>
  <c r="R64" i="10"/>
  <c r="Q64" i="10"/>
  <c r="T16" i="10"/>
  <c r="S16" i="10"/>
  <c r="R16" i="10"/>
  <c r="Q16" i="10"/>
  <c r="AC59" i="10"/>
  <c r="AC58" i="10"/>
  <c r="AC57" i="10"/>
  <c r="AC56" i="10"/>
  <c r="X45" i="10"/>
  <c r="AB45" i="10" s="1"/>
  <c r="Z45" i="10"/>
  <c r="AA45" i="10"/>
  <c r="Y45" i="10"/>
  <c r="AB21" i="10"/>
  <c r="AB22" i="10"/>
  <c r="AB23" i="10"/>
  <c r="AB24" i="10"/>
  <c r="AB25" i="10"/>
  <c r="Y27" i="10"/>
  <c r="AB26" i="10" s="1"/>
  <c r="J8" i="10" a="1"/>
  <c r="J8" i="10" s="1"/>
  <c r="C74" i="10"/>
  <c r="C73" i="10"/>
  <c r="C72" i="10"/>
  <c r="C71" i="10"/>
  <c r="C70" i="10"/>
  <c r="D74" i="10"/>
  <c r="D73" i="10"/>
  <c r="D72" i="10"/>
  <c r="D71" i="10"/>
  <c r="D70" i="10"/>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6" i="19"/>
  <c r="L45" i="19"/>
  <c r="L46" i="19"/>
  <c r="L47" i="19"/>
  <c r="L48" i="19"/>
  <c r="L49" i="19"/>
  <c r="L50" i="19"/>
  <c r="L51" i="19"/>
  <c r="L52" i="19"/>
  <c r="L53" i="19"/>
  <c r="C83" i="19"/>
  <c r="C82" i="19"/>
  <c r="C81" i="19"/>
  <c r="C80" i="19"/>
  <c r="D83" i="19"/>
  <c r="D82" i="19"/>
  <c r="D81" i="19"/>
  <c r="D80" i="19"/>
  <c r="C79" i="19"/>
  <c r="D79" i="19"/>
  <c r="D78" i="19"/>
  <c r="C78" i="19"/>
  <c r="P27" i="19"/>
  <c r="P5" i="19"/>
  <c r="J7" i="19" a="1"/>
  <c r="D69" i="10"/>
  <c r="H11" i="7"/>
  <c r="H12" i="7"/>
  <c r="H13" i="7"/>
  <c r="H14" i="7"/>
  <c r="H15" i="7"/>
  <c r="H16" i="7"/>
  <c r="H17" i="7"/>
  <c r="H18" i="7"/>
  <c r="H19" i="7"/>
  <c r="H20" i="7"/>
  <c r="H21" i="7"/>
  <c r="H22" i="7"/>
  <c r="H23" i="7"/>
  <c r="H24" i="7"/>
  <c r="H25" i="7"/>
  <c r="H26" i="7"/>
  <c r="H27" i="7"/>
  <c r="H28" i="7"/>
  <c r="C153" i="7"/>
  <c r="C152" i="7"/>
  <c r="C151" i="7"/>
  <c r="C69" i="10"/>
  <c r="AB53" i="9" a="1"/>
  <c r="AB53" i="9" s="1"/>
  <c r="AB54" i="9" a="1"/>
  <c r="AB54" i="9" s="1"/>
  <c r="AB55" i="9" a="1"/>
  <c r="AB55" i="9" s="1"/>
  <c r="AD30" i="9"/>
  <c r="AD32" i="9"/>
  <c r="AD33" i="9"/>
  <c r="AD34" i="9"/>
  <c r="AD36" i="9"/>
  <c r="AD39" i="9"/>
  <c r="AD42" i="9"/>
  <c r="AD27" i="9"/>
  <c r="AD28" i="9"/>
  <c r="AD29" i="9"/>
  <c r="AJ16" i="9"/>
  <c r="AJ22" i="9" s="1"/>
  <c r="W37" i="9"/>
  <c r="W36" i="9"/>
  <c r="R22" i="9"/>
  <c r="R20" i="9"/>
  <c r="R21" i="9"/>
  <c r="M16" i="9"/>
  <c r="M44" i="9" s="1" a="1"/>
  <c r="M44" i="9" s="1"/>
  <c r="M17" i="9"/>
  <c r="M18" i="9"/>
  <c r="M19" i="9"/>
  <c r="M20" i="9"/>
  <c r="M21" i="9"/>
  <c r="M22" i="9"/>
  <c r="M23" i="9"/>
  <c r="M24" i="9"/>
  <c r="M25" i="9"/>
  <c r="M26" i="9"/>
  <c r="M27" i="9"/>
  <c r="M28" i="9"/>
  <c r="M29" i="9"/>
  <c r="M30" i="9"/>
  <c r="M31" i="9"/>
  <c r="M32" i="9"/>
  <c r="M33" i="9"/>
  <c r="R23" i="9"/>
  <c r="J16" i="9"/>
  <c r="J17" i="9"/>
  <c r="J18" i="9"/>
  <c r="J19" i="9"/>
  <c r="J20" i="9"/>
  <c r="J21" i="9"/>
  <c r="J22" i="9"/>
  <c r="J23" i="9"/>
  <c r="J24" i="9"/>
  <c r="J25" i="9"/>
  <c r="J26" i="9"/>
  <c r="J27" i="9"/>
  <c r="J28" i="9"/>
  <c r="J29" i="9"/>
  <c r="J30" i="9"/>
  <c r="J31" i="9"/>
  <c r="J32" i="9"/>
  <c r="J33" i="9"/>
  <c r="L16" i="9"/>
  <c r="L44" i="9" s="1" a="1"/>
  <c r="L44" i="9" s="1"/>
  <c r="AK21" i="9" s="1"/>
  <c r="L17" i="9"/>
  <c r="L18" i="9"/>
  <c r="L19" i="9"/>
  <c r="L20" i="9"/>
  <c r="L21" i="9"/>
  <c r="L22" i="9"/>
  <c r="L23" i="9"/>
  <c r="L24" i="9"/>
  <c r="L25" i="9"/>
  <c r="L26" i="9"/>
  <c r="L27" i="9"/>
  <c r="L28" i="9"/>
  <c r="L29" i="9"/>
  <c r="L30" i="9"/>
  <c r="L31" i="9"/>
  <c r="L32" i="9"/>
  <c r="L33" i="9"/>
  <c r="K16" i="9"/>
  <c r="K44" i="9" s="1" a="1"/>
  <c r="K44" i="9" s="1"/>
  <c r="K17" i="9"/>
  <c r="K18" i="9"/>
  <c r="K19" i="9"/>
  <c r="K20" i="9"/>
  <c r="K21" i="9"/>
  <c r="K22" i="9"/>
  <c r="K23" i="9"/>
  <c r="K24" i="9"/>
  <c r="K25" i="9"/>
  <c r="K26" i="9"/>
  <c r="K27" i="9"/>
  <c r="K28" i="9"/>
  <c r="K29" i="9"/>
  <c r="K30" i="9"/>
  <c r="K31" i="9"/>
  <c r="K32" i="9"/>
  <c r="K33" i="9"/>
  <c r="E278" i="9"/>
  <c r="E277" i="9"/>
  <c r="F278" i="9"/>
  <c r="F277" i="9"/>
  <c r="E273" i="9"/>
  <c r="F273" i="9"/>
  <c r="E275" i="9"/>
  <c r="F275" i="9"/>
  <c r="E276" i="9"/>
  <c r="F276" i="9"/>
  <c r="E274" i="9"/>
  <c r="F274" i="9"/>
  <c r="C150" i="7"/>
  <c r="C149" i="7"/>
  <c r="O51" i="20" l="1"/>
  <c r="F51" i="20"/>
  <c r="L54" i="19"/>
  <c r="L55" i="19"/>
  <c r="L56" i="19"/>
  <c r="L57" i="19"/>
  <c r="L58" i="19"/>
  <c r="L59" i="19"/>
  <c r="L60" i="19"/>
  <c r="L61" i="19"/>
  <c r="L62" i="19"/>
  <c r="K45" i="19"/>
  <c r="K46" i="19"/>
  <c r="K47" i="19"/>
  <c r="K48" i="19"/>
  <c r="K49" i="19"/>
  <c r="K50" i="19"/>
  <c r="K51" i="19"/>
  <c r="K52" i="19"/>
  <c r="K53" i="19"/>
  <c r="K54" i="19"/>
  <c r="K55" i="19"/>
  <c r="K56" i="19"/>
  <c r="K57" i="19"/>
  <c r="K58" i="19"/>
  <c r="K59" i="19"/>
  <c r="K60" i="19"/>
  <c r="K61" i="19"/>
  <c r="K62" i="19"/>
  <c r="J7" i="19"/>
  <c r="E83" i="19"/>
  <c r="E82" i="19"/>
  <c r="E81" i="19"/>
  <c r="E80" i="19"/>
  <c r="E79" i="19"/>
  <c r="M58" i="19"/>
  <c r="K17" i="7" a="1"/>
  <c r="K17" i="7" s="1"/>
  <c r="H29" i="7"/>
  <c r="G276" i="9"/>
  <c r="G275" i="9"/>
  <c r="G274" i="9"/>
  <c r="E74" i="10"/>
  <c r="E73" i="10"/>
  <c r="E72" i="10"/>
  <c r="E70" i="10"/>
  <c r="E71" i="10"/>
  <c r="AB37" i="9"/>
  <c r="AB31" i="9"/>
  <c r="AB51" i="9" s="1" a="1"/>
  <c r="AB51" i="9" s="1"/>
  <c r="AB44" i="9"/>
  <c r="AB49" i="9" s="1" a="1"/>
  <c r="AB49" i="9" s="1"/>
  <c r="AB43" i="9"/>
  <c r="AB38" i="9"/>
  <c r="AB41" i="9"/>
  <c r="AB40" i="9"/>
  <c r="AB50" i="9" s="1" a="1"/>
  <c r="AB50" i="9" s="1"/>
  <c r="AB35" i="9"/>
  <c r="AB52" i="9" s="1" a="1"/>
  <c r="AB52" i="9" s="1"/>
  <c r="X37" i="9"/>
  <c r="M38" i="9" a="1"/>
  <c r="M38" i="9" s="1"/>
  <c r="M39" i="9" a="1"/>
  <c r="M39" i="9" s="1"/>
  <c r="K39" i="9" a="1"/>
  <c r="K39" i="9" s="1"/>
  <c r="M40" i="9" a="1"/>
  <c r="M40" i="9" s="1"/>
  <c r="M43" i="9" a="1"/>
  <c r="M43" i="9" s="1"/>
  <c r="M42" i="9" a="1"/>
  <c r="M42" i="9" s="1"/>
  <c r="N28" i="9"/>
  <c r="M41" i="9" a="1"/>
  <c r="M41" i="9" s="1"/>
  <c r="N17" i="9"/>
  <c r="N18" i="9"/>
  <c r="N19" i="9"/>
  <c r="N20" i="9"/>
  <c r="N21" i="9"/>
  <c r="N22" i="9"/>
  <c r="N23" i="9"/>
  <c r="N24" i="9"/>
  <c r="N25" i="9"/>
  <c r="N26" i="9"/>
  <c r="N27" i="9"/>
  <c r="N29" i="9"/>
  <c r="N30" i="9"/>
  <c r="N31" i="9"/>
  <c r="N32" i="9"/>
  <c r="N33" i="9"/>
  <c r="J44" i="9" a="1"/>
  <c r="J44" i="9" s="1"/>
  <c r="N44" i="9" s="1"/>
  <c r="N16" i="9"/>
  <c r="J42" i="9" a="1"/>
  <c r="J42" i="9" s="1"/>
  <c r="J39" i="9" a="1"/>
  <c r="J39" i="9" s="1"/>
  <c r="AG16" i="9" s="1"/>
  <c r="L42" i="9" a="1"/>
  <c r="L42" i="9" s="1"/>
  <c r="AK19" i="9" s="1"/>
  <c r="L38" i="9" a="1"/>
  <c r="L38" i="9" s="1"/>
  <c r="AK15" i="9" s="1"/>
  <c r="K38" i="9" a="1"/>
  <c r="K38" i="9" s="1"/>
  <c r="L41" i="9" a="1"/>
  <c r="L41" i="9" s="1"/>
  <c r="AK18" i="9" s="1"/>
  <c r="K41" i="9" a="1"/>
  <c r="K41" i="9" s="1"/>
  <c r="J40" i="9" a="1"/>
  <c r="J40" i="9" s="1"/>
  <c r="J43" i="9" a="1"/>
  <c r="J43" i="9" s="1"/>
  <c r="J41" i="9" a="1"/>
  <c r="J41" i="9" s="1"/>
  <c r="J38" i="9" a="1"/>
  <c r="J38" i="9" s="1"/>
  <c r="L39" i="9" a="1"/>
  <c r="L39" i="9" s="1"/>
  <c r="AK16" i="9" s="1"/>
  <c r="L40" i="9" a="1"/>
  <c r="L40" i="9" s="1"/>
  <c r="AK17" i="9" s="1"/>
  <c r="L43" i="9" a="1"/>
  <c r="L43" i="9" s="1"/>
  <c r="AK20" i="9" s="1"/>
  <c r="K42" i="9" a="1"/>
  <c r="K42" i="9" s="1"/>
  <c r="K40" i="9" a="1"/>
  <c r="K40" i="9" s="1"/>
  <c r="K43" i="9" a="1"/>
  <c r="K43" i="9" s="1"/>
  <c r="J34" i="9"/>
  <c r="L34" i="9"/>
  <c r="K34" i="9"/>
  <c r="G277" i="9"/>
  <c r="G278" i="9"/>
  <c r="K15" i="7" a="1"/>
  <c r="K15" i="7" s="1"/>
  <c r="K11" i="7" a="1"/>
  <c r="K11" i="7" s="1"/>
  <c r="K16" i="7" a="1"/>
  <c r="K16" i="7" s="1"/>
  <c r="K13" i="7" a="1"/>
  <c r="K13" i="7" s="1"/>
  <c r="K14" i="7" a="1"/>
  <c r="K14" i="7" s="1"/>
  <c r="K12" i="7" a="1"/>
  <c r="K12" i="7" s="1"/>
  <c r="D150" i="7"/>
  <c r="D152" i="7"/>
  <c r="D151" i="7"/>
  <c r="D153" i="7"/>
  <c r="H11" i="10" l="1"/>
  <c r="H22" i="10"/>
  <c r="H25" i="10"/>
  <c r="H27" i="10"/>
  <c r="H31" i="10"/>
  <c r="H34" i="10"/>
  <c r="H36" i="10"/>
  <c r="H51" i="10"/>
  <c r="H55" i="10"/>
  <c r="H57" i="10"/>
  <c r="H59" i="10"/>
  <c r="H63" i="10"/>
  <c r="H65" i="10"/>
  <c r="H38" i="10"/>
  <c r="H39" i="10"/>
  <c r="H40" i="10"/>
  <c r="H41" i="10"/>
  <c r="H42" i="10"/>
  <c r="H43" i="10"/>
  <c r="H44" i="10"/>
  <c r="H45" i="10"/>
  <c r="H46" i="10"/>
  <c r="H47" i="10"/>
  <c r="H48" i="10"/>
  <c r="H49" i="10"/>
  <c r="H50" i="10"/>
  <c r="H52" i="10"/>
  <c r="H56" i="10"/>
  <c r="H58" i="10"/>
  <c r="H60" i="10"/>
  <c r="H64" i="10"/>
  <c r="H8" i="10"/>
  <c r="H9" i="10"/>
  <c r="H10" i="10"/>
  <c r="H12" i="10"/>
  <c r="H13" i="10"/>
  <c r="H14" i="10"/>
  <c r="H15" i="10"/>
  <c r="H16" i="10"/>
  <c r="H17" i="10"/>
  <c r="H18" i="10"/>
  <c r="H19" i="10"/>
  <c r="H20" i="10"/>
  <c r="H21" i="10"/>
  <c r="H23" i="10"/>
  <c r="H24" i="10"/>
  <c r="H26" i="10"/>
  <c r="H28" i="10"/>
  <c r="H29" i="10"/>
  <c r="H30" i="10"/>
  <c r="H32" i="10"/>
  <c r="H33" i="10"/>
  <c r="H35" i="10"/>
  <c r="H37" i="10"/>
  <c r="H53" i="10"/>
  <c r="H54" i="10"/>
  <c r="H61" i="10"/>
  <c r="H62" i="10"/>
  <c r="H66" i="10"/>
  <c r="M57" i="19"/>
  <c r="M55" i="19"/>
  <c r="M56" i="19"/>
  <c r="M54" i="19"/>
  <c r="L69" i="19" a="1"/>
  <c r="L69" i="19" s="1"/>
  <c r="M61" i="19"/>
  <c r="L67" i="19" a="1"/>
  <c r="L67" i="19" s="1"/>
  <c r="L68" i="19" a="1"/>
  <c r="L68" i="19" s="1"/>
  <c r="L71" i="19" a="1"/>
  <c r="L71" i="19" s="1"/>
  <c r="M51" i="19"/>
  <c r="K66" i="19" a="1"/>
  <c r="K66" i="19" s="1"/>
  <c r="M60" i="19"/>
  <c r="M45" i="19"/>
  <c r="K63" i="19"/>
  <c r="K72" i="19" a="1"/>
  <c r="K72" i="19" s="1"/>
  <c r="L72" i="19" a="1"/>
  <c r="L72" i="19" s="1"/>
  <c r="L63" i="19"/>
  <c r="M46" i="19"/>
  <c r="K70" i="19" a="1"/>
  <c r="K70" i="19" s="1"/>
  <c r="M47" i="19"/>
  <c r="K67" i="19" a="1"/>
  <c r="K67" i="19" s="1"/>
  <c r="M49" i="19"/>
  <c r="K68" i="19" a="1"/>
  <c r="K68" i="19" s="1"/>
  <c r="M50" i="19"/>
  <c r="K71" i="19" a="1"/>
  <c r="K71" i="19" s="1"/>
  <c r="M53" i="19"/>
  <c r="K69" i="19" a="1"/>
  <c r="K69" i="19" s="1"/>
  <c r="M59" i="19"/>
  <c r="M48" i="19"/>
  <c r="M52" i="19"/>
  <c r="L70" i="19" a="1"/>
  <c r="L70" i="19" s="1"/>
  <c r="L66" i="19" a="1"/>
  <c r="L66" i="19" s="1"/>
  <c r="M62" i="19"/>
  <c r="AB56" i="9"/>
  <c r="AL15" i="9" s="1"/>
  <c r="AB45" i="9"/>
  <c r="AI16" i="9"/>
  <c r="AI15" i="9"/>
  <c r="AI19" i="9"/>
  <c r="AK22" i="9"/>
  <c r="M45" i="9"/>
  <c r="N42" i="9"/>
  <c r="N41" i="9"/>
  <c r="L45" i="9"/>
  <c r="Q22" i="9" s="1"/>
  <c r="N43" i="9"/>
  <c r="K45" i="9"/>
  <c r="N39" i="9"/>
  <c r="N40" i="9"/>
  <c r="J45" i="9"/>
  <c r="Q20" i="9" s="1"/>
  <c r="N38" i="9"/>
  <c r="M34" i="9"/>
  <c r="K18" i="7"/>
  <c r="F102" i="1"/>
  <c r="E102" i="1"/>
  <c r="F85" i="1"/>
  <c r="F86" i="1"/>
  <c r="F87" i="1"/>
  <c r="F88" i="1"/>
  <c r="F89" i="1"/>
  <c r="F90" i="1"/>
  <c r="F91" i="1"/>
  <c r="F92" i="1"/>
  <c r="F93" i="1"/>
  <c r="F94" i="1"/>
  <c r="F95" i="1"/>
  <c r="F96" i="1"/>
  <c r="F97" i="1"/>
  <c r="F98" i="1"/>
  <c r="F99" i="1"/>
  <c r="F100" i="1"/>
  <c r="F101" i="1"/>
  <c r="N88" i="1" s="1"/>
  <c r="F84" i="1"/>
  <c r="N94" i="1" s="1"/>
  <c r="E85" i="1"/>
  <c r="E86" i="1"/>
  <c r="E87" i="1"/>
  <c r="E88" i="1"/>
  <c r="E89" i="1"/>
  <c r="E90" i="1"/>
  <c r="E91" i="1"/>
  <c r="E92" i="1"/>
  <c r="E93" i="1"/>
  <c r="E94" i="1"/>
  <c r="E95" i="1"/>
  <c r="E96" i="1"/>
  <c r="E97" i="1"/>
  <c r="E98" i="1"/>
  <c r="E99" i="1"/>
  <c r="E100" i="1"/>
  <c r="E101" i="1"/>
  <c r="M88" i="1" s="1"/>
  <c r="E84" i="1"/>
  <c r="M94" i="1" s="1"/>
  <c r="M89" i="1" l="1"/>
  <c r="M25" i="10"/>
  <c r="M26" i="10"/>
  <c r="M30" i="10"/>
  <c r="M32" i="10"/>
  <c r="M34" i="10"/>
  <c r="M36" i="10"/>
  <c r="M38" i="10"/>
  <c r="M24" i="10"/>
  <c r="M52" i="10" s="1" a="1"/>
  <c r="M52" i="10" s="1"/>
  <c r="M27" i="10"/>
  <c r="M31" i="10"/>
  <c r="M33" i="10"/>
  <c r="M35" i="10"/>
  <c r="M37" i="10"/>
  <c r="M39" i="10"/>
  <c r="M29" i="10"/>
  <c r="M51" i="10" s="1" a="1"/>
  <c r="M51" i="10" s="1"/>
  <c r="M41" i="10"/>
  <c r="M28" i="10"/>
  <c r="M48" i="10" s="1" a="1"/>
  <c r="M48" i="10" s="1"/>
  <c r="M40" i="10"/>
  <c r="L26" i="10"/>
  <c r="L29" i="10"/>
  <c r="L31" i="10"/>
  <c r="L35" i="10"/>
  <c r="L37" i="10"/>
  <c r="L39" i="10"/>
  <c r="L41" i="10"/>
  <c r="K24" i="10"/>
  <c r="K27" i="10"/>
  <c r="K29" i="10"/>
  <c r="K33" i="10"/>
  <c r="K34" i="10"/>
  <c r="K35" i="10"/>
  <c r="K36" i="10"/>
  <c r="K37" i="10"/>
  <c r="K38" i="10"/>
  <c r="K39" i="10"/>
  <c r="K40" i="10"/>
  <c r="K41" i="10"/>
  <c r="K32" i="10"/>
  <c r="L25" i="10"/>
  <c r="L27" i="10"/>
  <c r="L28" i="10"/>
  <c r="L30" i="10"/>
  <c r="L32" i="10"/>
  <c r="L34" i="10"/>
  <c r="L36" i="10"/>
  <c r="L38" i="10"/>
  <c r="L40" i="10"/>
  <c r="L24" i="10"/>
  <c r="K26" i="10"/>
  <c r="K28" i="10"/>
  <c r="K31" i="10"/>
  <c r="L33" i="10"/>
  <c r="K25" i="10"/>
  <c r="K30" i="10"/>
  <c r="N30" i="10" s="1"/>
  <c r="M69" i="19"/>
  <c r="O24" i="19" s="1"/>
  <c r="O32" i="19" s="1"/>
  <c r="M67" i="19"/>
  <c r="O22" i="19" s="1"/>
  <c r="O30" i="19" s="1"/>
  <c r="M68" i="19"/>
  <c r="O23" i="19" s="1"/>
  <c r="O31" i="19" s="1"/>
  <c r="M71" i="19"/>
  <c r="O26" i="19" s="1"/>
  <c r="O34" i="19" s="1"/>
  <c r="L73" i="19"/>
  <c r="M72" i="19"/>
  <c r="O27" i="19" s="1"/>
  <c r="O35" i="19" s="1"/>
  <c r="M66" i="19"/>
  <c r="O21" i="19" s="1"/>
  <c r="O29" i="19" s="1"/>
  <c r="K73" i="19"/>
  <c r="M70" i="19"/>
  <c r="O25" i="19" s="1"/>
  <c r="O33" i="19" s="1"/>
  <c r="M63" i="19"/>
  <c r="AL16" i="9"/>
  <c r="AL17" i="9"/>
  <c r="AL18" i="9"/>
  <c r="AL21" i="9"/>
  <c r="AL20" i="9"/>
  <c r="AL19" i="9"/>
  <c r="AH16" i="9"/>
  <c r="AH15" i="9"/>
  <c r="AH19" i="9"/>
  <c r="Q23" i="9"/>
  <c r="AH18" i="9"/>
  <c r="AH17" i="9"/>
  <c r="AI22" i="9"/>
  <c r="N45" i="9"/>
  <c r="Q21" i="9"/>
  <c r="AH21" i="9"/>
  <c r="AH20" i="9"/>
  <c r="N92" i="1"/>
  <c r="M90" i="1"/>
  <c r="M95" i="1" s="1"/>
  <c r="M91" i="1"/>
  <c r="N90" i="1"/>
  <c r="N89" i="1"/>
  <c r="M92" i="1"/>
  <c r="N93" i="1"/>
  <c r="N91" i="1"/>
  <c r="M93" i="1"/>
  <c r="E103" i="1"/>
  <c r="F103" i="1"/>
  <c r="N95" i="1" l="1"/>
  <c r="N25" i="10"/>
  <c r="N35" i="10"/>
  <c r="N29" i="10"/>
  <c r="M47" i="10" a="1"/>
  <c r="M47" i="10" s="1"/>
  <c r="N24" i="10"/>
  <c r="N27" i="10"/>
  <c r="N33" i="10"/>
  <c r="N34" i="10"/>
  <c r="N36" i="10"/>
  <c r="M50" i="10" a="1"/>
  <c r="M50" i="10" s="1"/>
  <c r="M49" i="10" a="1"/>
  <c r="M49" i="10" s="1"/>
  <c r="M46" i="10" a="1"/>
  <c r="M46" i="10" s="1"/>
  <c r="L48" i="10" a="1"/>
  <c r="L48" i="10" s="1"/>
  <c r="N28" i="10"/>
  <c r="N31" i="10"/>
  <c r="L46" i="10" a="1"/>
  <c r="L46" i="10" s="1"/>
  <c r="N37" i="10"/>
  <c r="N38" i="10"/>
  <c r="N39" i="10"/>
  <c r="N40" i="10"/>
  <c r="N41" i="10"/>
  <c r="N32" i="10"/>
  <c r="N26" i="10"/>
  <c r="M42" i="10"/>
  <c r="L50" i="10" a="1"/>
  <c r="L50" i="10" s="1"/>
  <c r="L49" i="10" a="1"/>
  <c r="L49" i="10" s="1"/>
  <c r="K42" i="10"/>
  <c r="K52" i="10" a="1"/>
  <c r="K52" i="10" s="1"/>
  <c r="K51" i="10" a="1"/>
  <c r="K51" i="10" s="1"/>
  <c r="K46" i="10" a="1"/>
  <c r="K46" i="10" s="1"/>
  <c r="K49" i="10" a="1"/>
  <c r="K49" i="10" s="1"/>
  <c r="L42" i="10"/>
  <c r="L52" i="10" a="1"/>
  <c r="L52" i="10" s="1"/>
  <c r="K47" i="10" a="1"/>
  <c r="K47" i="10" s="1"/>
  <c r="K48" i="10" a="1"/>
  <c r="K48" i="10" s="1"/>
  <c r="K50" i="10" a="1"/>
  <c r="K50" i="10" s="1"/>
  <c r="L47" i="10" a="1"/>
  <c r="L47" i="10" s="1"/>
  <c r="L51" i="10" a="1"/>
  <c r="L51" i="10" s="1"/>
  <c r="M73" i="19"/>
  <c r="AM20" i="9"/>
  <c r="AM16" i="9"/>
  <c r="AM15" i="9"/>
  <c r="AM19" i="9"/>
  <c r="AM18" i="9"/>
  <c r="AM21" i="9"/>
  <c r="AL22" i="9"/>
  <c r="AM17" i="9"/>
  <c r="AH22" i="9"/>
  <c r="C85" i="1"/>
  <c r="C86" i="1"/>
  <c r="C87" i="1"/>
  <c r="C88" i="1"/>
  <c r="C89" i="1"/>
  <c r="C90" i="1"/>
  <c r="C91" i="1"/>
  <c r="C92" i="1"/>
  <c r="C93" i="1"/>
  <c r="C94" i="1"/>
  <c r="C95" i="1"/>
  <c r="C96" i="1"/>
  <c r="C97" i="1"/>
  <c r="C98" i="1"/>
  <c r="C99" i="1"/>
  <c r="C100" i="1"/>
  <c r="C101" i="1"/>
  <c r="C102" i="1"/>
  <c r="C84" i="1"/>
  <c r="K26" i="1"/>
  <c r="X7" i="1"/>
  <c r="X8" i="1"/>
  <c r="X9" i="1"/>
  <c r="X10" i="1"/>
  <c r="X11" i="1"/>
  <c r="X12" i="1"/>
  <c r="X13" i="1"/>
  <c r="X14" i="1"/>
  <c r="X15" i="1"/>
  <c r="X16" i="1"/>
  <c r="X17" i="1"/>
  <c r="X20" i="1"/>
  <c r="X19" i="1"/>
  <c r="X18" i="1"/>
  <c r="X21" i="1"/>
  <c r="X22" i="1"/>
  <c r="X23" i="1"/>
  <c r="X24" i="1"/>
  <c r="X25" i="1"/>
  <c r="AU13" i="9" l="1"/>
  <c r="B51" i="2"/>
  <c r="AU9" i="9"/>
  <c r="B47" i="2"/>
  <c r="AU8" i="9"/>
  <c r="B46" i="2"/>
  <c r="AU12" i="9"/>
  <c r="B50" i="2"/>
  <c r="AU11" i="9"/>
  <c r="B49" i="2"/>
  <c r="AU14" i="9"/>
  <c r="B52" i="2"/>
  <c r="AU10" i="9"/>
  <c r="B48" i="2"/>
  <c r="N42" i="10"/>
  <c r="M53" i="10"/>
  <c r="Z5" i="10" s="1"/>
  <c r="N48" i="10"/>
  <c r="N50" i="10"/>
  <c r="N46" i="10"/>
  <c r="N49" i="10"/>
  <c r="N52" i="10"/>
  <c r="N47" i="10"/>
  <c r="N51" i="10"/>
  <c r="K53" i="10"/>
  <c r="X5" i="10" s="1"/>
  <c r="L53" i="10"/>
  <c r="Y5" i="10" s="1"/>
  <c r="AM22" i="9"/>
  <c r="C103" i="1"/>
  <c r="G36" i="1"/>
  <c r="G35" i="1"/>
  <c r="E36" i="1"/>
  <c r="F35" i="1"/>
  <c r="E35" i="1"/>
  <c r="E34" i="1"/>
  <c r="G34" i="1" s="1"/>
  <c r="M20" i="1"/>
  <c r="N12" i="1"/>
  <c r="M12" i="1"/>
  <c r="M84" i="1" l="1"/>
  <c r="D84" i="1" s="1"/>
  <c r="C104" i="1"/>
  <c r="B54" i="2"/>
  <c r="B35" i="2" s="1"/>
  <c r="AU15" i="9"/>
  <c r="AV8" i="9" s="1"/>
  <c r="B53" i="2"/>
  <c r="AA13" i="10"/>
  <c r="AA31" i="10" s="1"/>
  <c r="AA16" i="10"/>
  <c r="AA34" i="10" s="1"/>
  <c r="AA17" i="10"/>
  <c r="AA35" i="10" s="1"/>
  <c r="AA14" i="10"/>
  <c r="AA32" i="10" s="1"/>
  <c r="AA15" i="10"/>
  <c r="AA33" i="10" s="1"/>
  <c r="AA18" i="10"/>
  <c r="AA36" i="10" s="1"/>
  <c r="AA19" i="10"/>
  <c r="AA37" i="10" s="1"/>
  <c r="X16" i="10"/>
  <c r="X34" i="10" s="1"/>
  <c r="X13" i="10"/>
  <c r="X31" i="10" s="1"/>
  <c r="X18" i="10"/>
  <c r="X36" i="10" s="1"/>
  <c r="X19" i="10"/>
  <c r="X37" i="10" s="1"/>
  <c r="X17" i="10"/>
  <c r="X35" i="10" s="1"/>
  <c r="X15" i="10"/>
  <c r="X33" i="10" s="1"/>
  <c r="X14" i="10"/>
  <c r="X32" i="10" s="1"/>
  <c r="Z16" i="10"/>
  <c r="Z34" i="10" s="1"/>
  <c r="Z17" i="10"/>
  <c r="Z35" i="10" s="1"/>
  <c r="Z13" i="10"/>
  <c r="Z31" i="10" s="1"/>
  <c r="Z15" i="10"/>
  <c r="Z33" i="10" s="1"/>
  <c r="Z18" i="10"/>
  <c r="Z36" i="10" s="1"/>
  <c r="Z14" i="10"/>
  <c r="Z32" i="10" s="1"/>
  <c r="Z19" i="10"/>
  <c r="Z37" i="10" s="1"/>
  <c r="N53" i="10"/>
  <c r="D99" i="1"/>
  <c r="G99" i="1" s="1"/>
  <c r="D87" i="1"/>
  <c r="G87" i="1" s="1"/>
  <c r="D89" i="1"/>
  <c r="H89" i="1" s="1"/>
  <c r="D91" i="1"/>
  <c r="G91" i="1" s="1"/>
  <c r="D102" i="1"/>
  <c r="D90" i="1"/>
  <c r="G90" i="1" s="1"/>
  <c r="D96" i="1"/>
  <c r="H96" i="1" s="1"/>
  <c r="G27" i="1"/>
  <c r="H27" i="1"/>
  <c r="I27" i="1"/>
  <c r="L94" i="1" l="1"/>
  <c r="O94" i="1" s="1"/>
  <c r="G84" i="1"/>
  <c r="F36" i="1" s="1"/>
  <c r="H84" i="1"/>
  <c r="D97" i="1"/>
  <c r="H97" i="1" s="1"/>
  <c r="D86" i="1"/>
  <c r="D98" i="1"/>
  <c r="G98" i="1" s="1"/>
  <c r="D93" i="1"/>
  <c r="H93" i="1" s="1"/>
  <c r="D92" i="1"/>
  <c r="H92" i="1" s="1"/>
  <c r="D88" i="1"/>
  <c r="H88" i="1" s="1"/>
  <c r="D94" i="1"/>
  <c r="H94" i="1" s="1"/>
  <c r="D85" i="1"/>
  <c r="D101" i="1"/>
  <c r="H101" i="1" s="1"/>
  <c r="D100" i="1"/>
  <c r="G100" i="1" s="1"/>
  <c r="H98" i="1"/>
  <c r="G93" i="1"/>
  <c r="H90" i="1"/>
  <c r="D95" i="1"/>
  <c r="K90" i="1"/>
  <c r="K91" i="1"/>
  <c r="K88" i="1"/>
  <c r="K92" i="1"/>
  <c r="K93" i="1"/>
  <c r="K89" i="1"/>
  <c r="K94" i="1"/>
  <c r="B37" i="2"/>
  <c r="B41" i="2"/>
  <c r="B39" i="2"/>
  <c r="B36" i="2"/>
  <c r="B40" i="2"/>
  <c r="AV13" i="9"/>
  <c r="AV12" i="9"/>
  <c r="AV10" i="9"/>
  <c r="AV9" i="9"/>
  <c r="AV14" i="9"/>
  <c r="AV11" i="9"/>
  <c r="AB31" i="10"/>
  <c r="AB37" i="10"/>
  <c r="AB34" i="10"/>
  <c r="AB36" i="10"/>
  <c r="AB35" i="10"/>
  <c r="AB33" i="10"/>
  <c r="AB32" i="10"/>
  <c r="Z27" i="10"/>
  <c r="AB17" i="10"/>
  <c r="AB15" i="10"/>
  <c r="AA27" i="10"/>
  <c r="AB14" i="10"/>
  <c r="AB19" i="10"/>
  <c r="AB13" i="10"/>
  <c r="AC60" i="10" s="1"/>
  <c r="AB16" i="10"/>
  <c r="H99" i="1"/>
  <c r="G96" i="1"/>
  <c r="L89" i="1"/>
  <c r="O89" i="1" s="1"/>
  <c r="L90" i="1"/>
  <c r="O90" i="1" s="1"/>
  <c r="G101" i="1"/>
  <c r="L93" i="1"/>
  <c r="O93" i="1" s="1"/>
  <c r="D103" i="1"/>
  <c r="H103" i="1" s="1"/>
  <c r="H87" i="1"/>
  <c r="G89" i="1"/>
  <c r="G97" i="1"/>
  <c r="H91" i="1"/>
  <c r="H102" i="1"/>
  <c r="G102" i="1"/>
  <c r="G92" i="1"/>
  <c r="G94" i="1"/>
  <c r="K34" i="3"/>
  <c r="K35" i="3"/>
  <c r="K36" i="3"/>
  <c r="K37" i="3"/>
  <c r="K38" i="3"/>
  <c r="K39" i="3"/>
  <c r="K33" i="3"/>
  <c r="O11" i="3"/>
  <c r="O12" i="3"/>
  <c r="O13" i="3"/>
  <c r="O14" i="3"/>
  <c r="O15" i="3"/>
  <c r="O16" i="3"/>
  <c r="O17" i="3"/>
  <c r="O18" i="3"/>
  <c r="O19" i="3"/>
  <c r="O20" i="3"/>
  <c r="O21" i="3"/>
  <c r="O22" i="3"/>
  <c r="O23" i="3"/>
  <c r="O24" i="3"/>
  <c r="O25" i="3"/>
  <c r="O26" i="3"/>
  <c r="O27" i="3"/>
  <c r="O28" i="3"/>
  <c r="O29" i="3"/>
  <c r="O10" i="3"/>
  <c r="H85" i="1" l="1"/>
  <c r="G85" i="1"/>
  <c r="G103" i="1" s="1"/>
  <c r="H36" i="1" s="1"/>
  <c r="L88" i="1"/>
  <c r="L91" i="1"/>
  <c r="O91" i="1" s="1"/>
  <c r="L92" i="1"/>
  <c r="O92" i="1" s="1"/>
  <c r="H100" i="1"/>
  <c r="G86" i="1"/>
  <c r="H86" i="1"/>
  <c r="G88" i="1"/>
  <c r="H95" i="1"/>
  <c r="G95" i="1"/>
  <c r="O88" i="1"/>
  <c r="L95" i="1"/>
  <c r="O95" i="1" s="1"/>
  <c r="V5" i="3"/>
  <c r="K95" i="1"/>
  <c r="V7" i="3" s="1"/>
  <c r="B42" i="2"/>
  <c r="AC63" i="10"/>
  <c r="AC62" i="10"/>
  <c r="AV15" i="9"/>
  <c r="AC61" i="10"/>
  <c r="C14" i="3"/>
  <c r="V8" i="3" l="1"/>
  <c r="E36" i="2"/>
  <c r="E39" i="2"/>
  <c r="E40" i="2"/>
  <c r="D40" i="2"/>
  <c r="F36" i="2"/>
  <c r="F40" i="2"/>
  <c r="F41" i="2"/>
  <c r="D37" i="2"/>
  <c r="D36" i="2"/>
  <c r="V9" i="3"/>
  <c r="E41" i="2"/>
  <c r="F37" i="2"/>
  <c r="V10" i="3"/>
  <c r="V6" i="3"/>
  <c r="D41" i="2"/>
  <c r="E37" i="2"/>
  <c r="V4" i="3"/>
  <c r="E35" i="2"/>
  <c r="D35" i="2"/>
  <c r="F39" i="2"/>
  <c r="D39" i="2"/>
  <c r="F35" i="2"/>
  <c r="AC64" i="10"/>
  <c r="C51" i="3"/>
  <c r="C33" i="3"/>
  <c r="G39" i="3" s="1"/>
  <c r="K46" i="3" s="1"/>
  <c r="C43" i="3"/>
  <c r="C34" i="3"/>
  <c r="C35" i="3"/>
  <c r="C48" i="3"/>
  <c r="C37" i="3"/>
  <c r="C49" i="3"/>
  <c r="C38" i="3"/>
  <c r="C50" i="3"/>
  <c r="G33" i="3" s="1"/>
  <c r="C44" i="3"/>
  <c r="C45" i="3"/>
  <c r="C46" i="3"/>
  <c r="C47" i="3"/>
  <c r="C36" i="3"/>
  <c r="C39" i="3"/>
  <c r="C40" i="3"/>
  <c r="C52" i="3"/>
  <c r="C41" i="3"/>
  <c r="C42" i="3"/>
  <c r="B14" i="3"/>
  <c r="F14" i="2"/>
  <c r="E14" i="2"/>
  <c r="F21" i="2"/>
  <c r="F22" i="2" s="1"/>
  <c r="E21" i="2"/>
  <c r="D42" i="2" l="1"/>
  <c r="E42" i="2"/>
  <c r="F42" i="2"/>
  <c r="G37" i="3"/>
  <c r="K44" i="3" s="1"/>
  <c r="G38" i="3"/>
  <c r="K45" i="3" s="1"/>
  <c r="E23" i="2"/>
  <c r="E22" i="2"/>
  <c r="K40" i="3"/>
  <c r="G36" i="3"/>
  <c r="K43" i="3" s="1"/>
  <c r="G35" i="3"/>
  <c r="K42" i="3" s="1"/>
  <c r="G34" i="3"/>
  <c r="K41" i="3" s="1"/>
  <c r="N13" i="1"/>
  <c r="M13" i="1"/>
  <c r="C36" i="2" l="1"/>
  <c r="C37" i="2"/>
  <c r="C39" i="2"/>
  <c r="C40" i="2"/>
  <c r="C41" i="2"/>
  <c r="C35" i="2"/>
  <c r="O6" i="1"/>
  <c r="O7" i="1"/>
  <c r="O5" i="1"/>
  <c r="K47" i="3"/>
  <c r="G40" i="3"/>
  <c r="F34" i="1"/>
  <c r="H34" i="1" s="1"/>
  <c r="H35" i="1"/>
  <c r="C42" i="2" l="1"/>
  <c r="Q66" i="1"/>
  <c r="P66" i="1"/>
  <c r="R66" i="1"/>
  <c r="Q65" i="1"/>
  <c r="P65" i="1"/>
  <c r="R65" i="1"/>
  <c r="Q68" i="1"/>
  <c r="P68" i="1"/>
  <c r="R68" i="1"/>
  <c r="Q67" i="1"/>
  <c r="P67" i="1"/>
  <c r="R67" i="1"/>
  <c r="Q70" i="1"/>
  <c r="P70" i="1"/>
  <c r="R70" i="1"/>
  <c r="Q69" i="1"/>
  <c r="P69" i="1"/>
  <c r="R69" i="1"/>
  <c r="Q72" i="1"/>
  <c r="P72" i="1"/>
  <c r="R72" i="1"/>
  <c r="Q71" i="1"/>
  <c r="P71" i="1"/>
  <c r="R71" i="1"/>
  <c r="Q74" i="1"/>
  <c r="P74" i="1"/>
  <c r="R74" i="1"/>
  <c r="Q73" i="1"/>
  <c r="P73" i="1"/>
  <c r="R73" i="1"/>
  <c r="Q76" i="1"/>
  <c r="P76" i="1"/>
  <c r="R76" i="1"/>
  <c r="Q75" i="1"/>
  <c r="P75" i="1"/>
  <c r="R75" i="1"/>
  <c r="Q78" i="1"/>
  <c r="P78" i="1"/>
  <c r="R78" i="1"/>
  <c r="Q77" i="1"/>
  <c r="P77" i="1"/>
  <c r="R77" i="1"/>
  <c r="C27" i="1"/>
  <c r="D27" i="1"/>
  <c r="E27" i="1"/>
  <c r="X27" i="10"/>
  <c r="AB27" i="10" s="1"/>
  <c r="AB18"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<sst xmlns="http://schemas.openxmlformats.org/spreadsheetml/2006/main" count="4061" uniqueCount="1395">
  <si>
    <t>Sahkonkulutus-maakunnittain-2007-2023.xlsx</t>
  </si>
  <si>
    <t>Industry</t>
  </si>
  <si>
    <t>Total</t>
  </si>
  <si>
    <t>Uusimaa</t>
  </si>
  <si>
    <t>Varsinais-Suomi</t>
  </si>
  <si>
    <t>Satakunta</t>
  </si>
  <si>
    <t>Kanta-Häme</t>
  </si>
  <si>
    <t>Pirkanmaa</t>
  </si>
  <si>
    <t>Päijät-Häme</t>
  </si>
  <si>
    <t>Kymenlaakso</t>
  </si>
  <si>
    <t>Etelä-Karjala</t>
  </si>
  <si>
    <t>Etelä-Savo</t>
  </si>
  <si>
    <t>Pohjois-Savo</t>
  </si>
  <si>
    <t>Pohjois-Karjala</t>
  </si>
  <si>
    <t>Keski-Suomi</t>
  </si>
  <si>
    <t xml:space="preserve">Etelä-Pohjanmaa </t>
  </si>
  <si>
    <t>Pohjanmaa</t>
  </si>
  <si>
    <t>Keski-Pohjanmaa</t>
  </si>
  <si>
    <t>Pohjois-Pohjanmaa</t>
  </si>
  <si>
    <t>Kainuu</t>
  </si>
  <si>
    <t>Lappi</t>
  </si>
  <si>
    <t>Itä-Uusimaa</t>
  </si>
  <si>
    <t>Ahvenanmaa</t>
  </si>
  <si>
    <t>Etelä-Pohjanmaa</t>
  </si>
  <si>
    <t>Region</t>
  </si>
  <si>
    <t>(Finnish Energy)</t>
  </si>
  <si>
    <t>Residence</t>
  </si>
  <si>
    <t>Commerce</t>
  </si>
  <si>
    <t>North</t>
  </si>
  <si>
    <t>West</t>
  </si>
  <si>
    <t>Etlä-Pohjanmaa</t>
  </si>
  <si>
    <t>Center</t>
  </si>
  <si>
    <t>East</t>
  </si>
  <si>
    <t>South West</t>
  </si>
  <si>
    <t>South East</t>
  </si>
  <si>
    <t>Comerce</t>
  </si>
  <si>
    <t>1. Data</t>
  </si>
  <si>
    <t>Terminology simplifications: residence - housing and agriculture, commerce - service and buildings</t>
  </si>
  <si>
    <t>Demand Scenarios TYNDP 2024 After Public Consultation.xslx</t>
  </si>
  <si>
    <t>Households</t>
  </si>
  <si>
    <t>Buildings</t>
  </si>
  <si>
    <t>Transport</t>
  </si>
  <si>
    <t>Agriculture</t>
  </si>
  <si>
    <t>Other</t>
  </si>
  <si>
    <t>Energy</t>
  </si>
  <si>
    <t>REF</t>
  </si>
  <si>
    <t>DE</t>
  </si>
  <si>
    <t>Notations: REF - reference of 2019, DE - Distributed Energy 2035 scenario</t>
  </si>
  <si>
    <t>[GWh]</t>
  </si>
  <si>
    <t>[TWh]</t>
  </si>
  <si>
    <t>Aggregated region</t>
  </si>
  <si>
    <t>Native</t>
  </si>
  <si>
    <t>Electrolyser</t>
  </si>
  <si>
    <t>EV</t>
  </si>
  <si>
    <t>Battery</t>
  </si>
  <si>
    <t>2035 [GWh]</t>
  </si>
  <si>
    <t>Total main</t>
  </si>
  <si>
    <t>1. National data</t>
  </si>
  <si>
    <t>Capacity</t>
  </si>
  <si>
    <t>Imports</t>
  </si>
  <si>
    <t>Steam CH4 reformer</t>
  </si>
  <si>
    <t>TWh</t>
  </si>
  <si>
    <t>Demand</t>
  </si>
  <si>
    <t>E-diesel</t>
  </si>
  <si>
    <t>E-kerosene</t>
  </si>
  <si>
    <t>H2 boiler</t>
  </si>
  <si>
    <t>H2P</t>
  </si>
  <si>
    <t>SNG</t>
  </si>
  <si>
    <t>Native share</t>
  </si>
  <si>
    <r>
      <t>TWh</t>
    </r>
    <r>
      <rPr>
        <sz val="11"/>
        <color theme="0" tint="-0.249977111117893"/>
        <rFont val="Calibri"/>
        <family val="2"/>
        <scheme val="minor"/>
      </rPr>
      <t>_h2</t>
    </r>
  </si>
  <si>
    <r>
      <t>MW</t>
    </r>
    <r>
      <rPr>
        <sz val="11"/>
        <color theme="0" tint="-0.249977111117893"/>
        <rFont val="Calibri"/>
        <family val="2"/>
        <scheme val="minor"/>
      </rPr>
      <t>_h2</t>
    </r>
  </si>
  <si>
    <t>Source</t>
  </si>
  <si>
    <t>Simplifications</t>
  </si>
  <si>
    <t>H2 supply is determined by the model. H2 demand sectors are not modeled.</t>
  </si>
  <si>
    <t>FI</t>
  </si>
  <si>
    <t>NE</t>
  </si>
  <si>
    <r>
      <t xml:space="preserve">No H2 inports and production from CH4 -&gt;  demand is scaled down to production capacity of electrolyser </t>
    </r>
    <r>
      <rPr>
        <sz val="11"/>
        <color theme="0" tint="-0.499984740745262"/>
        <rFont val="Calibri"/>
        <family val="2"/>
        <scheme val="minor"/>
      </rPr>
      <t>over all countries present in North European model</t>
    </r>
  </si>
  <si>
    <t>Total (normalized)</t>
  </si>
  <si>
    <r>
      <rPr>
        <sz val="11"/>
        <rFont val="Calibri"/>
        <family val="2"/>
        <scheme val="minor"/>
      </rPr>
      <t>TWh</t>
    </r>
    <r>
      <rPr>
        <sz val="11"/>
        <color theme="0" tint="-0.249977111117893"/>
        <rFont val="Calibri"/>
        <family val="2"/>
        <scheme val="minor"/>
      </rPr>
      <t>_h2</t>
    </r>
  </si>
  <si>
    <t>2. Regional breakdown</t>
  </si>
  <si>
    <t>Demand [TWh_h2]</t>
  </si>
  <si>
    <t>HKI</t>
  </si>
  <si>
    <t>ESP</t>
  </si>
  <si>
    <t>VAN</t>
  </si>
  <si>
    <t>TKU</t>
  </si>
  <si>
    <t>TRE</t>
  </si>
  <si>
    <t>OUL</t>
  </si>
  <si>
    <t>JKL</t>
  </si>
  <si>
    <t>ROF</t>
  </si>
  <si>
    <t>DH_Regional_2023.xlsx</t>
  </si>
  <si>
    <t>SUPPLY</t>
  </si>
  <si>
    <t>CONSUMPTION</t>
  </si>
  <si>
    <t>DH production (net) by fuels</t>
  </si>
  <si>
    <t>Heat recovery and heat produced by heat pumps</t>
  </si>
  <si>
    <t>Purchased from outside</t>
  </si>
  <si>
    <t>DH delivery</t>
  </si>
  <si>
    <t>Delivery to other dh company</t>
  </si>
  <si>
    <t>Network losses and metering errors</t>
  </si>
  <si>
    <t>Breakdown in National Trends scenario</t>
  </si>
  <si>
    <t>Primary source is not specified</t>
  </si>
  <si>
    <t>demanddata_DH_own_projection.xlsx</t>
  </si>
  <si>
    <t>Regional breakdown from Finnish Energy</t>
  </si>
  <si>
    <t>Delivery and losses</t>
  </si>
  <si>
    <t>Scaling</t>
  </si>
  <si>
    <t>Aggregating regions</t>
  </si>
  <si>
    <t>Disaggregating cities from regions</t>
  </si>
  <si>
    <t>Assume that delivery between dh could be ignored</t>
  </si>
  <si>
    <t>Other (non)RES sheet in "H2 heavy.xlsx", values derived from near-constant output of "other (non)RES" technology output</t>
  </si>
  <si>
    <t>Assumption</t>
  </si>
  <si>
    <t>This is obviously inperfect proxy (e.g., sawmill needs a lot of electricity but no steam), but no regional data or better proxy was found</t>
  </si>
  <si>
    <t>Count</t>
  </si>
  <si>
    <t>Ressidence</t>
  </si>
  <si>
    <t>Historic</t>
  </si>
  <si>
    <t>Projected</t>
  </si>
  <si>
    <t>Absolute</t>
  </si>
  <si>
    <t>Relative</t>
  </si>
  <si>
    <t>Industrial</t>
  </si>
  <si>
    <t>Energy use in manufacturing by Year, Region and Information. PxWeb</t>
  </si>
  <si>
    <t>Total electricity consumption by Year, Region, Manufacturing branch and Information. PxWeb</t>
  </si>
  <si>
    <t>South Karelia</t>
  </si>
  <si>
    <t>Central Finland</t>
  </si>
  <si>
    <t>South Ostrobothnia</t>
  </si>
  <si>
    <t>Ostrobothnia</t>
  </si>
  <si>
    <t>North Karelia</t>
  </si>
  <si>
    <t>Central Ostrobothnia</t>
  </si>
  <si>
    <t>North Ostrobothnia</t>
  </si>
  <si>
    <t>Lapland</t>
  </si>
  <si>
    <t>Åland</t>
  </si>
  <si>
    <t>Electricity</t>
  </si>
  <si>
    <t>Statistics Finland (2023)</t>
  </si>
  <si>
    <t>Trend observed</t>
  </si>
  <si>
    <t>Total growth</t>
  </si>
  <si>
    <t>Deindustriliaziation</t>
  </si>
  <si>
    <t>Centralization</t>
  </si>
  <si>
    <t>Coresponding demand</t>
  </si>
  <si>
    <t>2. Assessment of trends</t>
  </si>
  <si>
    <t>Assessment of national trends</t>
  </si>
  <si>
    <t>Projected change for Uusimaa demand are based on regional breakdown assumed in part 3</t>
  </si>
  <si>
    <t>Assessment of historic regional trends</t>
  </si>
  <si>
    <t>Administrative regions</t>
  </si>
  <si>
    <t>Model regions</t>
  </si>
  <si>
    <t>Order: in tables - 2023 values on top of 2007 ones, bar charts - 2007 (in brighter colors) on top of 2023</t>
  </si>
  <si>
    <t>Electfication</t>
  </si>
  <si>
    <t>(1) Industrial electricity demand grows due to electrification of existing industrial energy demand. (2) Electrification share of currently unelectrified demand is equal across all regions.</t>
  </si>
  <si>
    <t>Assumptions</t>
  </si>
  <si>
    <t>(3) Residencial and commertial demand change by same multiplier for annual value to match tyndp2024 projection.</t>
  </si>
  <si>
    <t>Unelectrified industry</t>
  </si>
  <si>
    <t>Electification share increase</t>
  </si>
  <si>
    <t>Electrification share</t>
  </si>
  <si>
    <t>Variable</t>
  </si>
  <si>
    <t>Scalar</t>
  </si>
  <si>
    <t>Generation</t>
  </si>
  <si>
    <t>Storage</t>
  </si>
  <si>
    <t>Transmission</t>
  </si>
  <si>
    <t>Vector</t>
  </si>
  <si>
    <t>El</t>
  </si>
  <si>
    <t>H2</t>
  </si>
  <si>
    <t>DH</t>
  </si>
  <si>
    <t>IH</t>
  </si>
  <si>
    <t>Grid</t>
  </si>
  <si>
    <t>Type</t>
  </si>
  <si>
    <t>Inflow</t>
  </si>
  <si>
    <t>Hydro</t>
  </si>
  <si>
    <t>Wind</t>
  </si>
  <si>
    <t>Solar</t>
  </si>
  <si>
    <t>Limits</t>
  </si>
  <si>
    <t>North Savo</t>
  </si>
  <si>
    <t>South Savo</t>
  </si>
  <si>
    <t>Southwest Finland</t>
  </si>
  <si>
    <t>Trends were initially observed by tinkering with regional values (present bellow in hidden rows), but are much more clearly visible when comparing national values.</t>
  </si>
  <si>
    <t>3. Attempt #2. Combining sources 1+2+4.</t>
  </si>
  <si>
    <t>Industrial demand consumption is distributed among regions proportionally to distribution of unelectrified industrial demand</t>
  </si>
  <si>
    <t>Constant</t>
  </si>
  <si>
    <t>Copy national because Copernicus have only 2 regions for FI at highest granularity</t>
  </si>
  <si>
    <t>Copy national because Copernicus have only Nuts2 regions for FI at highest granularity or gridded data</t>
  </si>
  <si>
    <t>Data</t>
  </si>
  <si>
    <t>Delivery reliability | Energy Authority</t>
  </si>
  <si>
    <t>Hydropower powerplant subset from power plant register (latest update 27.6.2025)</t>
  </si>
  <si>
    <t>Name</t>
  </si>
  <si>
    <t>Location</t>
  </si>
  <si>
    <t>Ahvenkoski</t>
  </si>
  <si>
    <t>Aittokoski</t>
  </si>
  <si>
    <t>Alakoski</t>
  </si>
  <si>
    <t>Alakoski, Vuolteentori 6, 33100 Tampere</t>
  </si>
  <si>
    <t>Anjalankoski, G1</t>
  </si>
  <si>
    <t>Anjalankoski</t>
  </si>
  <si>
    <t>Askala</t>
  </si>
  <si>
    <t>Askala, Voimalantie 116, 21530 Paimio</t>
  </si>
  <si>
    <t>Atro</t>
  </si>
  <si>
    <t>Lapinlahti, Voimalaitoksentie 1, Syvärinpää</t>
  </si>
  <si>
    <t>Billnäs</t>
  </si>
  <si>
    <t>Billnäs, Pohja</t>
  </si>
  <si>
    <t>Björkfors</t>
  </si>
  <si>
    <t>Finlayson ve</t>
  </si>
  <si>
    <t>Haapakoski</t>
  </si>
  <si>
    <t>haapakoski</t>
  </si>
  <si>
    <t>Hamari</t>
  </si>
  <si>
    <t>Hamari, Ylivieska</t>
  </si>
  <si>
    <t>Hanhikoski</t>
  </si>
  <si>
    <t>Evijärvi / Hanhikoski</t>
  </si>
  <si>
    <t>Harjavalta</t>
  </si>
  <si>
    <t>Harjavallan voimalaitos</t>
  </si>
  <si>
    <t>Hattarfors</t>
  </si>
  <si>
    <t>Hattar kraftverk</t>
  </si>
  <si>
    <t>Hietamankoski</t>
  </si>
  <si>
    <t>Äänekoski / Hietamankoski</t>
  </si>
  <si>
    <t>Hilmonkoski</t>
  </si>
  <si>
    <t>Kannonkoski / Hilmonkoski</t>
  </si>
  <si>
    <t>Hinkua</t>
  </si>
  <si>
    <t>Haapajärvi / Hinkua</t>
  </si>
  <si>
    <t>Hirvikoski</t>
  </si>
  <si>
    <t>Nurmo / Hirvikoski</t>
  </si>
  <si>
    <t>Hämeenkyrö ve</t>
  </si>
  <si>
    <t>Kyröskoski</t>
  </si>
  <si>
    <t>Imatra</t>
  </si>
  <si>
    <t>Inkeroinen ve</t>
  </si>
  <si>
    <t>Inkeroinen</t>
  </si>
  <si>
    <t>Isohaara</t>
  </si>
  <si>
    <t>isohaara</t>
  </si>
  <si>
    <t>Jalasjoki/Niiles</t>
  </si>
  <si>
    <t>Niiles, Myllykyläntie 440, 61300 Kurikka</t>
  </si>
  <si>
    <t>Juankoski</t>
  </si>
  <si>
    <t>Juankoski, Juankoskentie 7A</t>
  </si>
  <si>
    <t>Jumisko</t>
  </si>
  <si>
    <t>jumisko</t>
  </si>
  <si>
    <t>Juntola</t>
  </si>
  <si>
    <t>Juntola, Kauppilantie 28, 21530 Paimio</t>
  </si>
  <si>
    <t>Juotas</t>
  </si>
  <si>
    <t>Juva</t>
  </si>
  <si>
    <t>Juva, Alikulmantie 15, 21450 Tarvasjoki</t>
  </si>
  <si>
    <t>Jylhämä</t>
  </si>
  <si>
    <t>Kaaranneskoski</t>
  </si>
  <si>
    <t>Kaarni</t>
  </si>
  <si>
    <t>Kaihua</t>
  </si>
  <si>
    <t>Kaihua I ja II</t>
  </si>
  <si>
    <t>Kaitfors</t>
  </si>
  <si>
    <t>Kalajärvi</t>
  </si>
  <si>
    <t>Kalajärvi, Seinäjoki</t>
  </si>
  <si>
    <t>Kallioinen</t>
  </si>
  <si>
    <t>Kuusankoski</t>
  </si>
  <si>
    <t>Kaltimo</t>
  </si>
  <si>
    <t>Karjalankoski</t>
  </si>
  <si>
    <t>Juankoski, Pohjolantie 10</t>
  </si>
  <si>
    <t>Katerma</t>
  </si>
  <si>
    <t>Kattilakoski</t>
  </si>
  <si>
    <t>Keltti</t>
  </si>
  <si>
    <t>Kelukoski</t>
  </si>
  <si>
    <t>Kierikki</t>
  </si>
  <si>
    <t>kierikki</t>
  </si>
  <si>
    <t>Killinkoski</t>
  </si>
  <si>
    <t>Kiltua</t>
  </si>
  <si>
    <t>Sonkajärvi, Kiltuantie 1129 A, Jyrkkä</t>
  </si>
  <si>
    <t>Kirakkaköngäs</t>
  </si>
  <si>
    <t>Kissakoski</t>
  </si>
  <si>
    <t>Hirvensalmi, Kissakoski</t>
  </si>
  <si>
    <t>Klåsarö</t>
  </si>
  <si>
    <t>Koivukoski</t>
  </si>
  <si>
    <t>Koivukosken voimalaitos Kotka</t>
  </si>
  <si>
    <t>Koivukoski 1 ja 2</t>
  </si>
  <si>
    <t>Koivukoski 3</t>
  </si>
  <si>
    <t>Kokkosniva</t>
  </si>
  <si>
    <t>Kolsi</t>
  </si>
  <si>
    <t>Kolsin voimalaitos Kokemäki</t>
  </si>
  <si>
    <t>Korkeakoski</t>
  </si>
  <si>
    <t>Korkeakosken voimalaitos Kotka</t>
  </si>
  <si>
    <t>Koskenvarsi</t>
  </si>
  <si>
    <t>Koskenvarren vesivoimalaitos</t>
  </si>
  <si>
    <t>Kuhankoski</t>
  </si>
  <si>
    <t>Kuhankoski, Koskentie 76, 41340 Laukaa</t>
  </si>
  <si>
    <t>Kuokkastenkoski</t>
  </si>
  <si>
    <t>Nurmes, Kuokkastenkoski</t>
  </si>
  <si>
    <t>Kurittukoski</t>
  </si>
  <si>
    <t>Kurkiaska</t>
  </si>
  <si>
    <t>Kuurna</t>
  </si>
  <si>
    <t>Kontiolahti, Kuurna</t>
  </si>
  <si>
    <t>Kuusankoski ve</t>
  </si>
  <si>
    <t>Kyrkösjärvi</t>
  </si>
  <si>
    <t>Kyrkösjärvi, Seinäjoki</t>
  </si>
  <si>
    <t>Käenkoski</t>
  </si>
  <si>
    <t>Leppikoski</t>
  </si>
  <si>
    <t>Leuhunkoski</t>
  </si>
  <si>
    <t>Saarijärvi / Leuhunkoski</t>
  </si>
  <si>
    <t>Lieksankoski</t>
  </si>
  <si>
    <t>Liunankoski</t>
  </si>
  <si>
    <t>Joroinen, Liunantie 79</t>
  </si>
  <si>
    <t>Långfors</t>
  </si>
  <si>
    <t>Maalismaa</t>
  </si>
  <si>
    <t>maalismaa</t>
  </si>
  <si>
    <t>Maavesi</t>
  </si>
  <si>
    <t>Joroinen, Katajamäentie 1461, Maavesi</t>
  </si>
  <si>
    <t>Mankala</t>
  </si>
  <si>
    <t>Matarakoski</t>
  </si>
  <si>
    <t>Melo</t>
  </si>
  <si>
    <t>melo</t>
  </si>
  <si>
    <t>Merikoski</t>
  </si>
  <si>
    <t>Koskitie 30, Oulu, Merikosken voimalaitos</t>
  </si>
  <si>
    <t>Montta</t>
  </si>
  <si>
    <t>Mustio</t>
  </si>
  <si>
    <t>Mustio, Mustion Ruukinkatu 7, 10360 Mustio</t>
  </si>
  <si>
    <t>Myllykosken vesivoimalaitos 1</t>
  </si>
  <si>
    <t>Myllykosken vesivoimalaitos 2</t>
  </si>
  <si>
    <t>Mänttä ve</t>
  </si>
  <si>
    <t>Mäntänkoskentie 15 Mänttä</t>
  </si>
  <si>
    <t>Nuojua</t>
  </si>
  <si>
    <t>Oksava</t>
  </si>
  <si>
    <t>Haapajärvi / Oksava</t>
  </si>
  <si>
    <t>Ossauskoski</t>
  </si>
  <si>
    <t>Padinki</t>
  </si>
  <si>
    <t>Padinki, Nivala</t>
  </si>
  <si>
    <t>Pahkakoski</t>
  </si>
  <si>
    <t>pahkakoski</t>
  </si>
  <si>
    <t>Palokki</t>
  </si>
  <si>
    <t>Heinävesi, Palokki</t>
  </si>
  <si>
    <t>Pamilo</t>
  </si>
  <si>
    <t>Pamilon vesivoimalaitos</t>
  </si>
  <si>
    <t>Pankakoski</t>
  </si>
  <si>
    <t>Parantalankoski</t>
  </si>
  <si>
    <t>Parantala, Hammarenintie 1, 44190 Parantala</t>
  </si>
  <si>
    <t>Patalankoski</t>
  </si>
  <si>
    <t>Patala</t>
  </si>
  <si>
    <t>Peltokoski</t>
  </si>
  <si>
    <t>Peltokoski, Hållsnäsintie 7, 10360 Mustio</t>
  </si>
  <si>
    <t>Permantokoski</t>
  </si>
  <si>
    <t>Petäjäskoski</t>
  </si>
  <si>
    <t>Pirttikoski</t>
  </si>
  <si>
    <t>Pitkämö</t>
  </si>
  <si>
    <t>Pitkämö, Myllykyläntie 596, 61300 Kurikka</t>
  </si>
  <si>
    <t>Portimokoski</t>
  </si>
  <si>
    <t>Porttipahta</t>
  </si>
  <si>
    <t>Puntarikoski</t>
  </si>
  <si>
    <t>Kontiolahti, Puntarikoski</t>
  </si>
  <si>
    <t>Pyhäkoski</t>
  </si>
  <si>
    <t>Pyhännänkoski</t>
  </si>
  <si>
    <t>Ristijärvi (Pyhännänkoski</t>
  </si>
  <si>
    <t>Pälli</t>
  </si>
  <si>
    <t>Raasakka</t>
  </si>
  <si>
    <t>raasakka</t>
  </si>
  <si>
    <t>Ruskeakoski</t>
  </si>
  <si>
    <t>Joensuu, Ruskeakoski</t>
  </si>
  <si>
    <t>Saario</t>
  </si>
  <si>
    <t>Tohmajärvi, Saario</t>
  </si>
  <si>
    <t>Sallila</t>
  </si>
  <si>
    <t>Sallila (Vampulan kunnassa)</t>
  </si>
  <si>
    <t>Seitakorva</t>
  </si>
  <si>
    <t>Seitenoikea</t>
  </si>
  <si>
    <t>Siikakoski</t>
  </si>
  <si>
    <t>Valkeala / Siikakoski</t>
  </si>
  <si>
    <t>Siuronkoski</t>
  </si>
  <si>
    <t>Siuronkoski, Nokia</t>
  </si>
  <si>
    <t>Soilu</t>
  </si>
  <si>
    <t>Soilu, Kurkijärventie 222, 93700 Kuusamo</t>
  </si>
  <si>
    <t>Soininkoski</t>
  </si>
  <si>
    <t>Stadsforsens Kraftverk</t>
  </si>
  <si>
    <t>Sälevä</t>
  </si>
  <si>
    <t>Lapinlahti, Itäkoskentie 53, Paloinen</t>
  </si>
  <si>
    <t>Tainionkoski</t>
  </si>
  <si>
    <t>Taivalkoski</t>
  </si>
  <si>
    <t>Tammerkoski</t>
  </si>
  <si>
    <t>Tampella ve</t>
  </si>
  <si>
    <t>Tervasaari vesi</t>
  </si>
  <si>
    <t>Tyrvää</t>
  </si>
  <si>
    <t>Uljua</t>
  </si>
  <si>
    <t>Pulkkila / Uljua</t>
  </si>
  <si>
    <t>Utanen</t>
  </si>
  <si>
    <t>Vaaja</t>
  </si>
  <si>
    <t>Vaajakoski, Jyväskylän mlk</t>
  </si>
  <si>
    <t>Vajukoski</t>
  </si>
  <si>
    <t>Valajaskoski</t>
  </si>
  <si>
    <t>Vanttauskoski</t>
  </si>
  <si>
    <t>Vatajankoski</t>
  </si>
  <si>
    <t>Venetpalo</t>
  </si>
  <si>
    <t>Kärsämäki / Venetpalo</t>
  </si>
  <si>
    <t>Verla 1 ja 2</t>
  </si>
  <si>
    <t>Valkeala / Verla</t>
  </si>
  <si>
    <t>Vihtakoski</t>
  </si>
  <si>
    <t>Joensuu, Vihtakoski</t>
  </si>
  <si>
    <t>Voikkaa ve 1</t>
  </si>
  <si>
    <t>Voikkaa 1</t>
  </si>
  <si>
    <t>Voikkaa ve 2</t>
  </si>
  <si>
    <t>Voikkaa 2</t>
  </si>
  <si>
    <t>Vuolenkosken vesivoimalaitos</t>
  </si>
  <si>
    <t>Värnå</t>
  </si>
  <si>
    <t>Värnå 1, Värnå 2</t>
  </si>
  <si>
    <t>Vääräkoski</t>
  </si>
  <si>
    <t>Tohmajärvi, Vääräkoski</t>
  </si>
  <si>
    <t>Åminnefors</t>
  </si>
  <si>
    <t>Åminnefors, Pohja</t>
  </si>
  <si>
    <t>Äetsä</t>
  </si>
  <si>
    <t>Ämmä</t>
  </si>
  <si>
    <t>Ämmäkoski</t>
  </si>
  <si>
    <t>Äänekoski ve</t>
  </si>
  <si>
    <t>Metsä Board Äänekosken vesivoimalaitos</t>
  </si>
  <si>
    <t>&gt;100 MW</t>
  </si>
  <si>
    <t>&gt;10 MW</t>
  </si>
  <si>
    <t>Y</t>
  </si>
  <si>
    <t>N</t>
  </si>
  <si>
    <t>&gt;20MW</t>
  </si>
  <si>
    <t>Selection</t>
  </si>
  <si>
    <t>Region search</t>
  </si>
  <si>
    <t>Regions were identified manually looking for specified location in google maps. In most but not all cases map search lead to visible identifiable hydro power plants.</t>
  </si>
  <si>
    <t>Multi-hour-long attempt was made to obtain regions automatically with Copilot, but at most 40% of powerplants were identified despite allocation of single site to multiple regions.</t>
  </si>
  <si>
    <r>
      <t>Due to large number of powerplants, search was limited to powerplants over 10 MW, representing 91% of total capacity.</t>
    </r>
    <r>
      <rPr>
        <sz val="11"/>
        <color theme="0" tint="-0.499984740745262"/>
        <rFont val="Calibri"/>
        <family val="2"/>
        <scheme val="minor"/>
      </rPr>
      <t xml:space="preserve"> Two locations of minor powerplants above 10MW not found on google maps were also omitted.</t>
    </r>
  </si>
  <si>
    <t>All</t>
  </si>
  <si>
    <t>Mapped</t>
  </si>
  <si>
    <t>Model</t>
  </si>
  <si>
    <t>Administrative</t>
  </si>
  <si>
    <t>Geographic order</t>
  </si>
  <si>
    <t>Alphabetic order</t>
  </si>
  <si>
    <t>Administrative (FI)</t>
  </si>
  <si>
    <t>Administrative (EN)</t>
  </si>
  <si>
    <t>Units</t>
  </si>
  <si>
    <t>MW</t>
  </si>
  <si>
    <t>Powerplant register subset</t>
  </si>
  <si>
    <t>Given partial and questionable quality list, I decided to dismiss AI generated list altogether.</t>
  </si>
  <si>
    <t>Dam visible</t>
  </si>
  <si>
    <t>Copy national</t>
  </si>
  <si>
    <t>Ajos Wind Oy</t>
  </si>
  <si>
    <t>Alajoki-Peuralinna tuulipuisto</t>
  </si>
  <si>
    <t>Annankangas T1-T10</t>
  </si>
  <si>
    <t>Björkliden, Närpiö</t>
  </si>
  <si>
    <t>Boliden Harjavalta aurinkovoimala</t>
  </si>
  <si>
    <t>Elkko</t>
  </si>
  <si>
    <t>Forssa kt</t>
  </si>
  <si>
    <t>Haapajärven Savinevan Tuulivoimala</t>
  </si>
  <si>
    <t>Haapajärvi Sauviinmäki</t>
  </si>
  <si>
    <t>Haapalamminkangas Saarijärvi</t>
  </si>
  <si>
    <t>Hailikari</t>
  </si>
  <si>
    <t>Hallankangas Kyyjärvi</t>
  </si>
  <si>
    <t>Halmekangas</t>
  </si>
  <si>
    <t>Hamina, Mäkelänkangas tv</t>
  </si>
  <si>
    <t>Hankilannevan tuulipuisto</t>
  </si>
  <si>
    <t>Hanko, Sändö tv 1-4</t>
  </si>
  <si>
    <t>Haukineva Windfarm</t>
  </si>
  <si>
    <t>Hedet</t>
  </si>
  <si>
    <t>Heinineva, Lapua</t>
  </si>
  <si>
    <t>Hietakangas, Kannus</t>
  </si>
  <si>
    <t>Hilskansaari</t>
  </si>
  <si>
    <t>Hirvensalmi</t>
  </si>
  <si>
    <t>Hirvineva</t>
  </si>
  <si>
    <t>Hoikankangas, Kajaanin sähkölaitos</t>
  </si>
  <si>
    <t>Huikku Hailuoto</t>
  </si>
  <si>
    <t>Huittinen, Pahkionvuori tv</t>
  </si>
  <si>
    <t>Humppila-Urjalan tuulipuisto</t>
  </si>
  <si>
    <t>Huutokoski kt</t>
  </si>
  <si>
    <t>Högsara, Kemiönsaari tv</t>
  </si>
  <si>
    <t>Ii, Kuivaniemi tv</t>
  </si>
  <si>
    <t>Ii, Olhava tv</t>
  </si>
  <si>
    <t>Ii, Viinamäki</t>
  </si>
  <si>
    <t>Illevaara</t>
  </si>
  <si>
    <t>Ilmatar Leppävirta Voimalaitos 1,2,3</t>
  </si>
  <si>
    <t>Inkoo, Barösund tv</t>
  </si>
  <si>
    <t>Iskun aurinkovoimala Lahti</t>
  </si>
  <si>
    <t>Isokangas, Ii</t>
  </si>
  <si>
    <t>Isokeidas</t>
  </si>
  <si>
    <t>Isonevan tuulipuisto</t>
  </si>
  <si>
    <t>Isonnevanmäki</t>
  </si>
  <si>
    <t>Jeppo Windfarm</t>
  </si>
  <si>
    <t>Jokelan tuulipuisto 1</t>
  </si>
  <si>
    <t>Jokelan tuulipuisto 2</t>
  </si>
  <si>
    <t>Jokelan tuulipuisto 3</t>
  </si>
  <si>
    <t>Joroisten aurinkovoimalaitos</t>
  </si>
  <si>
    <t>Joukhaisselän Tuulipuisto</t>
  </si>
  <si>
    <t>Jouttikallio Wind Oy</t>
  </si>
  <si>
    <t>Juurakon aurinkovoimala</t>
  </si>
  <si>
    <t>Juurakon tuulipuisto</t>
  </si>
  <si>
    <t>Juvan aurinkovoimala</t>
  </si>
  <si>
    <t>Jäkäläkangas</t>
  </si>
  <si>
    <t>Kalajoki Läntinen</t>
  </si>
  <si>
    <t>Kalax</t>
  </si>
  <si>
    <t>Kalistanneva, Kurikka</t>
  </si>
  <si>
    <t>Kankaanpää</t>
  </si>
  <si>
    <t>Kankaanpäänmäki</t>
  </si>
  <si>
    <t>Kantti</t>
  </si>
  <si>
    <t>Kantvik</t>
  </si>
  <si>
    <t>Karhukankaan ja Navettakankaan tuulipuisto, Siikajoki</t>
  </si>
  <si>
    <t>Karhunnevankankaan tuulipuisto</t>
  </si>
  <si>
    <t>Karhusaaren tuulivoimapuisto</t>
  </si>
  <si>
    <t>Karvetti</t>
  </si>
  <si>
    <t>Kaukanen</t>
  </si>
  <si>
    <t>Kellosaari</t>
  </si>
  <si>
    <t>Kemi Ajos, Sumituuli</t>
  </si>
  <si>
    <t>Keso</t>
  </si>
  <si>
    <t>Kinnula Hautakangas</t>
  </si>
  <si>
    <t>Kirkkokallio-Honkajoki</t>
  </si>
  <si>
    <t>Kivivaara-Peuravaara</t>
  </si>
  <si>
    <t>Kivivaara-Peuravaara 2A</t>
  </si>
  <si>
    <t>Kivivaara-Peuravaaran tuulivoimapuisto 3</t>
  </si>
  <si>
    <t>Koirakari</t>
  </si>
  <si>
    <t>Koiramäki, Karstula</t>
  </si>
  <si>
    <t>Kokkonevan tuulipuisto</t>
  </si>
  <si>
    <t>Konttisuon tuulipuisto</t>
  </si>
  <si>
    <t>Kooninkallio</t>
  </si>
  <si>
    <t>Korkeakankaan tuulipuisto</t>
  </si>
  <si>
    <t>Korpileivonmäki</t>
  </si>
  <si>
    <t>Koskensaari</t>
  </si>
  <si>
    <t>Kristiinankaupunki kt</t>
  </si>
  <si>
    <t>Kröpuln</t>
  </si>
  <si>
    <t>Kuolavaara-Keulakkopään tuulipuisto</t>
  </si>
  <si>
    <t>Kuuronkallion tuulipuisto</t>
  </si>
  <si>
    <t>Kytölä</t>
  </si>
  <si>
    <t>Lakarin aurinkovoimala, Rauma</t>
  </si>
  <si>
    <t>Lakiakangas 1</t>
  </si>
  <si>
    <t>Lakiakangas 2</t>
  </si>
  <si>
    <t>Lakiakangas 3</t>
  </si>
  <si>
    <t>Lappfjärdin tuulipuisto</t>
  </si>
  <si>
    <t>Larsmo tv</t>
  </si>
  <si>
    <t>Latamäki</t>
  </si>
  <si>
    <t>Leipiö 2</t>
  </si>
  <si>
    <t>Lemene Aurinko 1</t>
  </si>
  <si>
    <t>Lemene Aurinko 2</t>
  </si>
  <si>
    <t>Lestijärvi</t>
  </si>
  <si>
    <t>Limakko</t>
  </si>
  <si>
    <t>Lindö Gård</t>
  </si>
  <si>
    <t>Lohjan aurinkovoimala</t>
  </si>
  <si>
    <t>Louhukangas</t>
  </si>
  <si>
    <t>Loviisa Y1</t>
  </si>
  <si>
    <t>Loviisa Y2</t>
  </si>
  <si>
    <t>Lumijoki</t>
  </si>
  <si>
    <t>Lumivaara</t>
  </si>
  <si>
    <t>Lumivaaran tuulipuisto</t>
  </si>
  <si>
    <t>LW Jouttikallio</t>
  </si>
  <si>
    <t>LW Koskenkylä</t>
  </si>
  <si>
    <t>LW Mustaisneva 6</t>
  </si>
  <si>
    <t>LW Pensala</t>
  </si>
  <si>
    <t>Långmossa</t>
  </si>
  <si>
    <t>Maaselänkangas</t>
  </si>
  <si>
    <t>Mastokankaan tuulipuisto</t>
  </si>
  <si>
    <t>Matkussaari, Kurikka</t>
  </si>
  <si>
    <t>Meri-Pori</t>
  </si>
  <si>
    <t>Merkkikallion tuulipuisto</t>
  </si>
  <si>
    <t xml:space="preserve">Mertaniemi 1 ja 2 </t>
  </si>
  <si>
    <t>Metsälamminkankaan tuulipuisto</t>
  </si>
  <si>
    <t>Metsälän tuulivoimapuisto</t>
  </si>
  <si>
    <t>Muntila</t>
  </si>
  <si>
    <t>Murtomäen tuulipuisto</t>
  </si>
  <si>
    <t>Murtotuulen tuulipuisto</t>
  </si>
  <si>
    <t>Mussalon tuulivoimalat</t>
  </si>
  <si>
    <t>Mustaisneva 1-5 ja 7-9</t>
  </si>
  <si>
    <t>Mustalamminmäki, Karstula</t>
  </si>
  <si>
    <t>Mustilankangas</t>
  </si>
  <si>
    <t>Mutkalampi tuulipuisto north</t>
  </si>
  <si>
    <t>Mutkalampi tuulipuisto south</t>
  </si>
  <si>
    <t>Myllykangas</t>
  </si>
  <si>
    <t>Myllykangas 3</t>
  </si>
  <si>
    <t xml:space="preserve">Mäkikankaan tuulipuisto </t>
  </si>
  <si>
    <t>Mäkipää Diesel</t>
  </si>
  <si>
    <t>Möksy</t>
  </si>
  <si>
    <t>Mörknässkogens tuulipuisto</t>
  </si>
  <si>
    <t>Naantali kt</t>
  </si>
  <si>
    <t>Nahkakallio</t>
  </si>
  <si>
    <t>Nikkarinkaarto</t>
  </si>
  <si>
    <t>Norrskogenin tuulipuisto</t>
  </si>
  <si>
    <t>Nuolivaaran tuulipuisto</t>
  </si>
  <si>
    <t>Nurmijärven aurinkovoimala</t>
  </si>
  <si>
    <t>Nurmon Aurinko</t>
  </si>
  <si>
    <t>Nyby-Ii</t>
  </si>
  <si>
    <t>Olkiluoto 1</t>
  </si>
  <si>
    <t>Olkiluoto 2</t>
  </si>
  <si>
    <t>Olkiluoto 3</t>
  </si>
  <si>
    <t>Olkiluoto kt</t>
  </si>
  <si>
    <t>Oltavan tuulipuisto</t>
  </si>
  <si>
    <t>Onkalo 2</t>
  </si>
  <si>
    <t>Oosinselkä, Eurajoki</t>
  </si>
  <si>
    <t>Oosinselkä, Pori, Eurajoki</t>
  </si>
  <si>
    <t>Oulainen, Karahka</t>
  </si>
  <si>
    <t>Oulunsalo Riutunkari tv</t>
  </si>
  <si>
    <t>Pahkakoski, Ii</t>
  </si>
  <si>
    <t>Pajukoski 1 A</t>
  </si>
  <si>
    <t>Pajukoski 1 B</t>
  </si>
  <si>
    <t>Pajuperänkangas</t>
  </si>
  <si>
    <t>Palma</t>
  </si>
  <si>
    <t>Palokangas, Ii</t>
  </si>
  <si>
    <t>Paltusmäen tuulipuisto</t>
  </si>
  <si>
    <t>Parhalahden tuulipuisto</t>
  </si>
  <si>
    <t>Paskoonharju 1</t>
  </si>
  <si>
    <t>Paskoonharju 2</t>
  </si>
  <si>
    <t>Pettumäen Mylly</t>
  </si>
  <si>
    <t>Pihtipudas</t>
  </si>
  <si>
    <t>Piiparinmäen tuulipuisto</t>
  </si>
  <si>
    <t>Pirttiselkä</t>
  </si>
  <si>
    <t>Pjelax-tuulipuisto</t>
  </si>
  <si>
    <t>Polusjärven tuulipuisto</t>
  </si>
  <si>
    <t>Ponsiovuori</t>
  </si>
  <si>
    <t>Pori Kirrinsanta</t>
  </si>
  <si>
    <t>Pori Peittoo</t>
  </si>
  <si>
    <t>Porin tuulipuisto tv 1 - 10</t>
  </si>
  <si>
    <t>Porituuli</t>
  </si>
  <si>
    <t>Porvoo Kilpilahti</t>
  </si>
  <si>
    <t>Porvoo Tolkkinen</t>
  </si>
  <si>
    <t>Posion Energia Oy</t>
  </si>
  <si>
    <t>Puskakorven tuulipuisto</t>
  </si>
  <si>
    <t>Puulaakso</t>
  </si>
  <si>
    <t>Puuska 2</t>
  </si>
  <si>
    <t>Puutinkankaan tuulipuisto</t>
  </si>
  <si>
    <t>Pyhäjoki</t>
  </si>
  <si>
    <t>Pyhänkoski</t>
  </si>
  <si>
    <t>Pälkäne Pälkänvedentie</t>
  </si>
  <si>
    <t>Raahen tuulipuisto tv 1- 9</t>
  </si>
  <si>
    <t>Rasakankaan tuulipuisto</t>
  </si>
  <si>
    <t>Rasmus 1 ja 2</t>
  </si>
  <si>
    <t>Ratiperä</t>
  </si>
  <si>
    <t>RES1</t>
  </si>
  <si>
    <t>Ribäcken</t>
  </si>
  <si>
    <t>Ruda Solpark</t>
  </si>
  <si>
    <t>Rustarin tuulipuisto</t>
  </si>
  <si>
    <t>Ruusutarhat</t>
  </si>
  <si>
    <t>Röyttä, Tornion tehtaat, 11 generaattoria</t>
  </si>
  <si>
    <t>Saarenkylän tuulipuisto</t>
  </si>
  <si>
    <t>Salahmin vesivoimalaitos</t>
  </si>
  <si>
    <t>Salo Märynummi</t>
  </si>
  <si>
    <t>Santavuori 1</t>
  </si>
  <si>
    <t>Sarvankangas</t>
  </si>
  <si>
    <t>Sarvisuon tuulipuisto</t>
  </si>
  <si>
    <t>Saunamaa</t>
  </si>
  <si>
    <t>Savela</t>
  </si>
  <si>
    <t>Seepsula, Tuusula</t>
  </si>
  <si>
    <t>Sievi Jakostenkallio</t>
  </si>
  <si>
    <t>Siikainen Jäneskeidas</t>
  </si>
  <si>
    <t>Simo Leipiö</t>
  </si>
  <si>
    <t>Simo, Onkalonperä tv</t>
  </si>
  <si>
    <t>Simo, Putaankangas tv</t>
  </si>
  <si>
    <t>Sodankylän varuskunta</t>
  </si>
  <si>
    <t>Sopenkorpi</t>
  </si>
  <si>
    <t>Storbacken</t>
  </si>
  <si>
    <t>Storbötet</t>
  </si>
  <si>
    <t>Sulkavan aurinkovoimala</t>
  </si>
  <si>
    <t>Suodenniemen tuulipuisto</t>
  </si>
  <si>
    <t>Svalskulla</t>
  </si>
  <si>
    <t>Sysimylly</t>
  </si>
  <si>
    <t>Sähkäle  II</t>
  </si>
  <si>
    <t>Sänkiaho</t>
  </si>
  <si>
    <t>Tahkoluoto kt</t>
  </si>
  <si>
    <t>Tahkoluoto Offshore tv</t>
  </si>
  <si>
    <t>Tahkoluoto T1-T10</t>
  </si>
  <si>
    <t>Tahkoluoto tv</t>
  </si>
  <si>
    <t>Takanebacken tuulipuisto</t>
  </si>
  <si>
    <t>Tervola, Varevaara tv</t>
  </si>
  <si>
    <t>Tohkoja 1</t>
  </si>
  <si>
    <t>Tohkoja 2</t>
  </si>
  <si>
    <t>Tohkoja 3</t>
  </si>
  <si>
    <t>Tohkoja 4</t>
  </si>
  <si>
    <t>Tohkoja 5</t>
  </si>
  <si>
    <t>Tolpanvaara</t>
  </si>
  <si>
    <t>Torkkolan tuulipuisto</t>
  </si>
  <si>
    <t>Tornio Kitkiäisvaara</t>
  </si>
  <si>
    <t>Tornio tv</t>
  </si>
  <si>
    <t>Torvenkylän tuulipuisto</t>
  </si>
  <si>
    <t>TuuliMuukko</t>
  </si>
  <si>
    <t>Tuulipuisto Ristiveto tv</t>
  </si>
  <si>
    <t>Tuulivoimapuisto Soidinmäki</t>
  </si>
  <si>
    <t>Tyrinselkä</t>
  </si>
  <si>
    <t>Valkeisten voima</t>
  </si>
  <si>
    <t>Vanaja kt 1</t>
  </si>
  <si>
    <t>Varessäikkä</t>
  </si>
  <si>
    <t>Vartinoja 1</t>
  </si>
  <si>
    <t>Vaskiluoto kt</t>
  </si>
  <si>
    <t>Verhonkulma</t>
  </si>
  <si>
    <t>Vihreäsaaren aurinkovoimala 1</t>
  </si>
  <si>
    <t>Vihreäsaaren aurinkovoimala 2</t>
  </si>
  <si>
    <t>Vihreäsaari retrofit</t>
  </si>
  <si>
    <t>Voimala 1 - Etelänkylä-Kalajoki</t>
  </si>
  <si>
    <t>Voimala 2 - Etelänkylä-Kalajoki</t>
  </si>
  <si>
    <t>Välikankaan tuulipuisto</t>
  </si>
  <si>
    <t>Västervik</t>
  </si>
  <si>
    <t>Vöyrinkangas</t>
  </si>
  <si>
    <t xml:space="preserve">Wasa Wind </t>
  </si>
  <si>
    <t>Waskiluoto Validation Center</t>
  </si>
  <si>
    <t>Wärtsilä tehdas</t>
  </si>
  <si>
    <t>Ykspihlaja Wind Oy</t>
  </si>
  <si>
    <t>Alajoki-Peuralinna tuulipuisto, Perho &amp; Kyyjärvi</t>
  </si>
  <si>
    <t>Björklidens Vindpark 1-8B, Yttermark 64200</t>
  </si>
  <si>
    <t>Teollisuuskatu 1, 29200 Harjavalta</t>
  </si>
  <si>
    <t>Elkko, Raahe</t>
  </si>
  <si>
    <t xml:space="preserve">Varavoimalantie 6, 30420 Forssa
</t>
  </si>
  <si>
    <t>Haapajärven Savinevan Tuulivoima</t>
  </si>
  <si>
    <t>Halmekangas 1</t>
  </si>
  <si>
    <t>Hankilanneva</t>
  </si>
  <si>
    <t>Närpiö, Hedet H1-H18</t>
  </si>
  <si>
    <t>Kannus</t>
  </si>
  <si>
    <t>Merituulentie 11, Pori</t>
  </si>
  <si>
    <t>Otavantie 23, 52550 Hirvensalmi</t>
  </si>
  <si>
    <t>Hirvineva, Liminka</t>
  </si>
  <si>
    <t>Pahkionvuori, Huittinen</t>
  </si>
  <si>
    <t>Humppila-Urjala, Humppila-Urjalan tuulipuisto</t>
  </si>
  <si>
    <t>Huutokoski kt 1, 2, 3, 4, 5, 6</t>
  </si>
  <si>
    <t>Högsara, Kemiönsaari</t>
  </si>
  <si>
    <t>Ii, Kuivaniemi tuulivoima</t>
  </si>
  <si>
    <t>Ii Olhava</t>
  </si>
  <si>
    <t>Viinamäki Ii</t>
  </si>
  <si>
    <t>Voimalaitos 1,2,3</t>
  </si>
  <si>
    <t>Inkoo Barösund tv</t>
  </si>
  <si>
    <t>Mukkulankatu 25, 15240 Lahti</t>
  </si>
  <si>
    <t>Ii, Pohjois Pohjanmaa</t>
  </si>
  <si>
    <t>Isonnevanmäki, Kauhava</t>
  </si>
  <si>
    <t>Joroinen</t>
  </si>
  <si>
    <t>Joukhaisselän Tuulipuisto, Sodankylä</t>
  </si>
  <si>
    <t>Vasannevantie 508, 85100 Kalajoki</t>
  </si>
  <si>
    <t>Kalajoki, Juurakko</t>
  </si>
  <si>
    <t>Kuljuntie 60, 51900 Juva</t>
  </si>
  <si>
    <t>Råskogsvägen 390, Närpes</t>
  </si>
  <si>
    <t>Kalistantie 11, 66300 Kurikka</t>
  </si>
  <si>
    <t>Rautakatu 7 Naantali</t>
  </si>
  <si>
    <t>Kemi Ajos Sumituuli</t>
  </si>
  <si>
    <t>Kirkkokallio</t>
  </si>
  <si>
    <t>Kivivaara-Peuravaaran tuulivoimapuisto 1</t>
  </si>
  <si>
    <t>Kokkoneva</t>
  </si>
  <si>
    <t>Konttisuo, Soini</t>
  </si>
  <si>
    <t>Korkeakangas/Karstula</t>
  </si>
  <si>
    <t>Korpilevonmäki</t>
  </si>
  <si>
    <t>Koskensaaren voimalaitos</t>
  </si>
  <si>
    <t>Kristiinankaupunki kt 1, 2</t>
  </si>
  <si>
    <t>Kröpuln, Uusikaarlepyy</t>
  </si>
  <si>
    <t>Kuolavaara-Keulakkopää</t>
  </si>
  <si>
    <t>Rauma, Lakarin Aurinkovoimala</t>
  </si>
  <si>
    <t>Lakiakangas 1, Isojoki</t>
  </si>
  <si>
    <t>Kristiinankaupunki</t>
  </si>
  <si>
    <t>Larsmo Vindkraftverk</t>
  </si>
  <si>
    <t>Latamäki, Luhanka</t>
  </si>
  <si>
    <t>Rajamäentie 15, 37550 Lempäälä</t>
  </si>
  <si>
    <t>Kuljuntie 233, 37550 Lempäälä</t>
  </si>
  <si>
    <t>Loviisa I</t>
  </si>
  <si>
    <t>Loviisa 2</t>
  </si>
  <si>
    <t>Lumivaara tuulipuisto, Kaivopurontie 15-5, Hyrynsalmi 89400</t>
  </si>
  <si>
    <t>Lumivaaran tuulipuisto, Hyrynsalmi</t>
  </si>
  <si>
    <t>Halmeen metsätie 29</t>
  </si>
  <si>
    <t>Norrpiggvägen</t>
  </si>
  <si>
    <t>Långmossa / Maalahden kunta</t>
  </si>
  <si>
    <t>Oulaisten tuulipuisto / Maaselänkangas</t>
  </si>
  <si>
    <t>Mastokangas, Raahe/Siikajoki</t>
  </si>
  <si>
    <t>Kauhajoentie 610, Kurikka</t>
  </si>
  <si>
    <t>Merkkikallio, Vaasa/Mustasaari</t>
  </si>
  <si>
    <t>Mertaniemi 2</t>
  </si>
  <si>
    <t>Metsälamminkangas / Vaalan kunta</t>
  </si>
  <si>
    <t>Pyhäjärvi, Murtomäen tuulipuisto</t>
  </si>
  <si>
    <t>Tuulivoimalat</t>
  </si>
  <si>
    <t>Kalajoki Mustilankangas</t>
  </si>
  <si>
    <t>Kannus/Kalajoki</t>
  </si>
  <si>
    <t>Mäkikankaan tuulipuisto, Pyhäjoki</t>
  </si>
  <si>
    <t>Mörknässkogens tuulipuisto, Vöyri</t>
  </si>
  <si>
    <t>Naantali kt 1, 2</t>
  </si>
  <si>
    <t>Nikkarinkaarto T1-T10</t>
  </si>
  <si>
    <t>Norrskogen</t>
  </si>
  <si>
    <t>Atrian teollisuusalue</t>
  </si>
  <si>
    <t>Nyby</t>
  </si>
  <si>
    <t>Olkiluoto KT 1 ja 2, Eurajoki</t>
  </si>
  <si>
    <t>Oltava Pyhäjoki</t>
  </si>
  <si>
    <t>Onkalo, Simo</t>
  </si>
  <si>
    <t>Eurojoki Oosinselkä tuulipuisto 1</t>
  </si>
  <si>
    <t>Oosinselän tuulipuisto, Eurajoki &amp; Pori</t>
  </si>
  <si>
    <t>Oulunsalo, Riutunkari T1-T4</t>
  </si>
  <si>
    <t>Pajukoski 1A</t>
  </si>
  <si>
    <t>Pajukosken tuulipuisto 1 B</t>
  </si>
  <si>
    <t>Paltusmäki, Pyhäjoki</t>
  </si>
  <si>
    <t>Parhalahti</t>
  </si>
  <si>
    <t>Pettumäki Teuva</t>
  </si>
  <si>
    <t>Piiparinmäki, Pyhäntä/Kajaani. Piiparinmäen tuulipuisto</t>
  </si>
  <si>
    <t>Riksåtten 664, 64200 Närpes</t>
  </si>
  <si>
    <t>Polusjärven tuulipuisto, Pyhäjoku</t>
  </si>
  <si>
    <t>Ponsivuori</t>
  </si>
  <si>
    <t>Pori (Tahkoluoto / Reposaari)</t>
  </si>
  <si>
    <t>Tahkoluodon syväsatama Tuulivoimala 10</t>
  </si>
  <si>
    <t>Kilpilahti kt vvl</t>
  </si>
  <si>
    <t>Tolkkinen kt</t>
  </si>
  <si>
    <t>Puskakorpi, Pyhäjoki, Puskakorven tuulipuisto</t>
  </si>
  <si>
    <t>Puulaakson Energia Oy  Hongantie 93</t>
  </si>
  <si>
    <t>Sievi, Puutikankangas</t>
  </si>
  <si>
    <t>Pälkäne Pälkänevedentie</t>
  </si>
  <si>
    <t>Raahe tv 1-9</t>
  </si>
  <si>
    <t>Rasakangas, Kurikka, Rasakankaan tuulipuisto</t>
  </si>
  <si>
    <t>Rasmus 1 ja 2, Ilmajoki</t>
  </si>
  <si>
    <t>Märynummi, Salo</t>
  </si>
  <si>
    <t>Ribäcken / Maalahden kunta</t>
  </si>
  <si>
    <t>Ruda Solpark Oy</t>
  </si>
  <si>
    <t>Kurikka, Puutikankangas</t>
  </si>
  <si>
    <t>Valkeala</t>
  </si>
  <si>
    <t>Tornion Tehtaat Röyttä</t>
  </si>
  <si>
    <t>Saarenkylän tuulivoimapuisto</t>
  </si>
  <si>
    <t>Vieremä, Kiuruvedentie 31, Salahmi</t>
  </si>
  <si>
    <t>TW Sarvankangas, Raahe</t>
  </si>
  <si>
    <t>Simo Sarvisuon tuulipuisto (Pohjoispuolentie 33, 95200 Simo)</t>
  </si>
  <si>
    <t>Suolakangas/Kauhajoki</t>
  </si>
  <si>
    <t>Senkkerin metsätie 111, 04360 Tuusula</t>
  </si>
  <si>
    <t>Simo, Onkaloperä tv</t>
  </si>
  <si>
    <t>Simo, Putaankangas</t>
  </si>
  <si>
    <t>Sopenkorpi Mestarinkatu 11, Lahti</t>
  </si>
  <si>
    <t>Storbacken, Vöyri</t>
  </si>
  <si>
    <t xml:space="preserve">Storbötet Vind, Lillbötesvägen, Uusikaarlepyy 66840 </t>
  </si>
  <si>
    <t>Pulkkilantie 128, 58700</t>
  </si>
  <si>
    <t>Suodenniemen tuulivoimpuisto Oy / 
Sastamala</t>
  </si>
  <si>
    <t>Svalskulla, Närpiö</t>
  </si>
  <si>
    <t>Luomankyläntie 591, Luomankylä</t>
  </si>
  <si>
    <t>Sähkäle II, Lumijoki</t>
  </si>
  <si>
    <t xml:space="preserve">Sänkiahon 110/ 20 kV sähköasema </t>
  </si>
  <si>
    <t>Tahkoluoto kt 1, 2</t>
  </si>
  <si>
    <t>Pori, Tahkoluodon edusta</t>
  </si>
  <si>
    <t>Pori, Tahkoluoto</t>
  </si>
  <si>
    <t>Tervola Varevaara</t>
  </si>
  <si>
    <t>Tohkojan tuulipuisto 1</t>
  </si>
  <si>
    <t>Tohkojan tuulipuisto 2</t>
  </si>
  <si>
    <t>Tohkojan tuulipuisto 3</t>
  </si>
  <si>
    <t>Tohkojan tuulipuisto 4</t>
  </si>
  <si>
    <t>Tohkojan tuulipuisto 6</t>
  </si>
  <si>
    <t>Tohkojan tuulipuisto 5</t>
  </si>
  <si>
    <t>Tolpanvaara, Pudasjärvi</t>
  </si>
  <si>
    <t>Torkkola</t>
  </si>
  <si>
    <t>Tornio; tuulivoimalaitokset A1-A8</t>
  </si>
  <si>
    <t>Torvenkylän tuulipuisto, Kalajoki</t>
  </si>
  <si>
    <t>Muukko, Lappeenranta</t>
  </si>
  <si>
    <t>Merjärvi</t>
  </si>
  <si>
    <t>Saarijärvi Soidinmäki tuulivoimapuisto</t>
  </si>
  <si>
    <t>Seinäjoki</t>
  </si>
  <si>
    <t>Vanaja kt</t>
  </si>
  <si>
    <t>Vaskiluoto kt 2</t>
  </si>
  <si>
    <t>Verhonkulma / Marttilan kunta</t>
  </si>
  <si>
    <t>Oulu, Vihreäsaari</t>
  </si>
  <si>
    <t>Haapajärvi Välikangas</t>
  </si>
  <si>
    <t>Norinkylä/Teuva/Kurikka</t>
  </si>
  <si>
    <t>Myrgrundintie 346 B, 65410 Vaasa</t>
  </si>
  <si>
    <t>Wärtsilä Engine Laboratory</t>
  </si>
  <si>
    <t>Taking "Maximum, total, MW" as it contains no zero values, unlike "Hour, total, MW"</t>
  </si>
  <si>
    <t>Capacity %</t>
  </si>
  <si>
    <t>&gt;50 MW</t>
  </si>
  <si>
    <t>&gt;20 MW</t>
  </si>
  <si>
    <t>Region 2</t>
  </si>
  <si>
    <t>Region 1</t>
  </si>
  <si>
    <t>Basis</t>
  </si>
  <si>
    <t>[1]</t>
  </si>
  <si>
    <t>[2]</t>
  </si>
  <si>
    <t>[3]</t>
  </si>
  <si>
    <t>[1] Municipality in Location mapped to administrative region</t>
  </si>
  <si>
    <t>[2] Project/plant name mapped to region</t>
  </si>
  <si>
    <t>[3] Heuristic assignment using Location/Name tokens and public plant lists</t>
  </si>
  <si>
    <t>sources: Energy Authority register, developer/operator sites, Wikipedia; cross-checked with sheet "Regions"</t>
  </si>
  <si>
    <t>sources: Energy Authority register, developer/operator sites, Wikipedia, sheet "Regions"</t>
  </si>
  <si>
    <t>In case plant site is in the boundary of region, two regions are listed</t>
  </si>
  <si>
    <t>Capacity column selection</t>
  </si>
  <si>
    <t>&gt;200 MW</t>
  </si>
  <si>
    <r>
      <t>Performed with Copilot</t>
    </r>
    <r>
      <rPr>
        <sz val="11"/>
        <color theme="0" tint="-0.499984740745262"/>
        <rFont val="Calibri"/>
        <family val="2"/>
        <scheme val="minor"/>
      </rPr>
      <t>, which provides one of three basis:</t>
    </r>
  </si>
  <si>
    <t>Manually checked for validation: plants with &gt;200 MW representing 46% of total capacity (no corrections), plants with two regions (most reduced to one region)</t>
  </si>
  <si>
    <t>Nuclear</t>
  </si>
  <si>
    <t>Thermal</t>
  </si>
  <si>
    <t>Notations</t>
  </si>
  <si>
    <t>For simplicity all power plant register types are renamed: nuclear energy &gt; nuclear, wind power &gt; wind, separate electricity production &gt; thermal</t>
  </si>
  <si>
    <t>Omissions</t>
  </si>
  <si>
    <t>Region 2, capacities bellow 100 MW in the final table</t>
  </si>
  <si>
    <t>Wind Onshore</t>
  </si>
  <si>
    <t>Wind Offshore</t>
  </si>
  <si>
    <t>Hard coal new Bio</t>
  </si>
  <si>
    <t>Gas OCGT old</t>
  </si>
  <si>
    <t>Gas CCGT old 2</t>
  </si>
  <si>
    <t>Gas CCGT present 1</t>
  </si>
  <si>
    <t>Gas OCGT new</t>
  </si>
  <si>
    <t>#VALUE!</t>
  </si>
  <si>
    <t>[2] Visual Platform, [3] Plexos output</t>
  </si>
  <si>
    <t>sources: sheet "Regions", Statistics Finland municipal → region mapping</t>
  </si>
  <si>
    <t>Aggregated by region and unit type</t>
  </si>
  <si>
    <t>Aggregated by model region and unit type</t>
  </si>
  <si>
    <t>Distributed Energy 2035 scenario</t>
  </si>
  <si>
    <t>Sources</t>
  </si>
  <si>
    <t>Type [2]</t>
  </si>
  <si>
    <t>Type [3]</t>
  </si>
  <si>
    <t>Aggregated comparison</t>
  </si>
  <si>
    <t>DE 2035</t>
  </si>
  <si>
    <t>Plant register</t>
  </si>
  <si>
    <r>
      <rPr>
        <b/>
        <sz val="11"/>
        <color theme="1"/>
        <rFont val="Calibri"/>
        <family val="2"/>
        <scheme val="minor"/>
      </rPr>
      <t>Power plant register</t>
    </r>
    <r>
      <rPr>
        <sz val="11"/>
        <color theme="1"/>
        <rFont val="Calibri"/>
        <family val="2"/>
        <scheme val="minor"/>
      </rPr>
      <t xml:space="preserve"> (latest update 27.6.2025)</t>
    </r>
  </si>
  <si>
    <t>Assumptions are unit type specific</t>
  </si>
  <si>
    <t>Decrease of 1 119 MW match closure of two Loviisa units</t>
  </si>
  <si>
    <t>While capacity increases 6-fold, there already a lot of wind capacity to be representative for making following assumptions</t>
  </si>
  <si>
    <t>Thernal</t>
  </si>
  <si>
    <t>Fuel</t>
  </si>
  <si>
    <t>coal: bituminous</t>
  </si>
  <si>
    <t>supercritical</t>
  </si>
  <si>
    <t>Technology</t>
  </si>
  <si>
    <t>gas turbine</t>
  </si>
  <si>
    <t>heavy fuel oil</t>
  </si>
  <si>
    <t>light fuel oil</t>
  </si>
  <si>
    <t>light fuel oil, natural gas</t>
  </si>
  <si>
    <t>subcritical</t>
  </si>
  <si>
    <t>Hard coal new bio</t>
  </si>
  <si>
    <t>Global Energy Monitor</t>
  </si>
  <si>
    <t>Total &gt;50MW</t>
  </si>
  <si>
    <t>Checking pages of individual thermal plants (from plant register with over 50 MW) to determine their type more precise matching with data from Plexos output.</t>
  </si>
  <si>
    <t>Gass CCGT old 2</t>
  </si>
  <si>
    <t>Total differs only by 5% -&gt; using current (i.e., plant register) values. Unit type separation followed these considerations:</t>
  </si>
  <si>
    <t xml:space="preserve"> dataset (burning gas vs solid).</t>
  </si>
  <si>
    <t>- Onshore wind is distributed proportionally to existing wind capacity distribution</t>
  </si>
  <si>
    <t>- Offshore wind is distributed proportionally to existing wind capacity on the west coast regions (i.e., no Offshore wind in Gulf of Finland)</t>
  </si>
  <si>
    <t>- Global energy monitor info allows distinction only of two unit types that nonetheless captures major distinctions present in Plexos output</t>
  </si>
  <si>
    <t>- Identified coal plants are separated manually while the remaining capacity is allocated to gas plants</t>
  </si>
  <si>
    <t>- All gas capacity is assigned to unit type present in Plexos output with the largest capacity</t>
  </si>
  <si>
    <t>Renewables Finland</t>
  </si>
  <si>
    <t>The most easy-to-use data in Rewnewables Finland website is in "PV development projects" report. It contains exact capacities only for top 10/19 regions with 80+% of all capacities. It also contains % of capacities for all regions, but less precisely. To fill the absolute values of remaining regions, I need total capacity. I chose to compute it for sataukunta, region with the largest regional capacity, by dividing regional capacity from regional share. Note that same computation for other regions give different values beyond possible error bounds from rounding of regional share percentage.</t>
  </si>
  <si>
    <t>Project stages</t>
  </si>
  <si>
    <t>"PV development report" does not explicitly specify for which project stages are regional values given. The closest, but not exact, national total in the report is for projects in "permitting / studies ongoing" category. It is preferable to account first "operating" and "under construction" project capacities, but they alone are not enough given their low capacities. Rewnewables Finland website does contain project specific information, but only in interactive map. Extraction of this information is deemed too time consuming and therefore not undertaken.</t>
  </si>
  <si>
    <t>Aggregated by model region</t>
  </si>
  <si>
    <t>Regional</t>
  </si>
  <si>
    <t>National</t>
  </si>
  <si>
    <t>Regional%</t>
  </si>
  <si>
    <t>Using proposed instead of built project capacities as the latter is too small to serve as a reasonable proxy for expected future capacity distribution.</t>
  </si>
  <si>
    <t>Other renewable</t>
  </si>
  <si>
    <t>Other non-renewable</t>
  </si>
  <si>
    <t>Aittaluoto</t>
  </si>
  <si>
    <t>Alholma AK 1</t>
  </si>
  <si>
    <t>Alholma AK 2</t>
  </si>
  <si>
    <t>Ekovoimalaitos</t>
  </si>
  <si>
    <t>Haapavesi</t>
  </si>
  <si>
    <t>Haminan höyrykattilalaitos</t>
  </si>
  <si>
    <t>Heinola</t>
  </si>
  <si>
    <t>Heinola vp</t>
  </si>
  <si>
    <t>Hinkismäki</t>
  </si>
  <si>
    <t>Hyötyvoimalaitos</t>
  </si>
  <si>
    <t>Hämeenkyrö lä</t>
  </si>
  <si>
    <t>Ikaalinen</t>
  </si>
  <si>
    <t>Ilomantsin pellettitehdas</t>
  </si>
  <si>
    <t>Joutseno</t>
  </si>
  <si>
    <t>Jämsänkoski bv</t>
  </si>
  <si>
    <t>Järvelän vaneritehdas</t>
  </si>
  <si>
    <t>Kaipola</t>
  </si>
  <si>
    <t>Kaskinen lv ja vp</t>
  </si>
  <si>
    <t>Kaukas</t>
  </si>
  <si>
    <t>Kaukopää</t>
  </si>
  <si>
    <t>Kauttua</t>
  </si>
  <si>
    <t>Kavo</t>
  </si>
  <si>
    <t>Kemi</t>
  </si>
  <si>
    <t>Kemin biotuotetehdas</t>
  </si>
  <si>
    <t>Kiimassuo</t>
  </si>
  <si>
    <t>Kilpilahden voimalaitos</t>
  </si>
  <si>
    <t>Kirkniemi</t>
  </si>
  <si>
    <t>Kokkola</t>
  </si>
  <si>
    <t>Kotka</t>
  </si>
  <si>
    <t>Kuhmon Lämpö</t>
  </si>
  <si>
    <t>Kumpuniemi</t>
  </si>
  <si>
    <t>Kuopio, Savon Sellu</t>
  </si>
  <si>
    <t>Kuusankoski bv</t>
  </si>
  <si>
    <t>Kymi</t>
  </si>
  <si>
    <t>Lieksa Kevätniemi</t>
  </si>
  <si>
    <t>Mänttä lä</t>
  </si>
  <si>
    <t>Nokia kombi</t>
  </si>
  <si>
    <t>Oulu</t>
  </si>
  <si>
    <t>Pietarsaari (TG6)</t>
  </si>
  <si>
    <t>Pihlava</t>
  </si>
  <si>
    <t>Pori</t>
  </si>
  <si>
    <t>Porvoo kt 2</t>
  </si>
  <si>
    <t>Porvoo kt 3</t>
  </si>
  <si>
    <t>Raahe</t>
  </si>
  <si>
    <t>Raisio</t>
  </si>
  <si>
    <t>Rauma</t>
  </si>
  <si>
    <t>Rengon saha</t>
  </si>
  <si>
    <t>Ristiina</t>
  </si>
  <si>
    <t>Siilinjärvi, V1 turb. ja vp turb.</t>
  </si>
  <si>
    <t>Simpele</t>
  </si>
  <si>
    <t>Sotkamo</t>
  </si>
  <si>
    <t>Säkylä</t>
  </si>
  <si>
    <t>Tako T2 ja T5</t>
  </si>
  <si>
    <t>Tervakoski lä</t>
  </si>
  <si>
    <t>Tervasaari vp</t>
  </si>
  <si>
    <t>Tiihala</t>
  </si>
  <si>
    <t>Topinojan Biokaasulaitos</t>
  </si>
  <si>
    <t>Tornio</t>
  </si>
  <si>
    <t>Uimaharju 2 + 1 vp/lv</t>
  </si>
  <si>
    <t>Uusikaupunki</t>
  </si>
  <si>
    <t xml:space="preserve">Varkaus lä </t>
  </si>
  <si>
    <t>Vehmaa</t>
  </si>
  <si>
    <t>Veitsiluoto</t>
  </si>
  <si>
    <t>Viikinmäki</t>
  </si>
  <si>
    <t>Vilppulan saha</t>
  </si>
  <si>
    <t>Äänekoski ht</t>
  </si>
  <si>
    <t>Äänekoski, Biotuotetehdas</t>
  </si>
  <si>
    <t>Pori Aittaluoto</t>
  </si>
  <si>
    <t>AK1</t>
  </si>
  <si>
    <t>AK2</t>
  </si>
  <si>
    <t>Inkeroinen (Kouvola)</t>
  </si>
  <si>
    <t>Oulu, Laanila</t>
  </si>
  <si>
    <t>Hamina</t>
  </si>
  <si>
    <t>Heinola Vuorikatu 24 c</t>
  </si>
  <si>
    <t>Heinolan Flutigtehdas</t>
  </si>
  <si>
    <t>Kouvola / Hinkismäki</t>
  </si>
  <si>
    <t>Metsä Board, Kyron tehdasalue Hämeenkyrö</t>
  </si>
  <si>
    <t>Ikaalinen, moottorivoimalaitos</t>
  </si>
  <si>
    <t>Ilomantsi</t>
  </si>
  <si>
    <t>Metsä Fibre Joutsenon tehdas</t>
  </si>
  <si>
    <t>Jämsänkosken tehtaan voimalaitos</t>
  </si>
  <si>
    <t>Koskisen Oy, Järvelän levyteollisuus</t>
  </si>
  <si>
    <t>Kaipola VP3</t>
  </si>
  <si>
    <t>Metsä Fibre Kaskisten tehdas</t>
  </si>
  <si>
    <t>Lappeenranta</t>
  </si>
  <si>
    <t>Kauttuan voimalaitos</t>
  </si>
  <si>
    <t>Metsä Fibre Kemin tehdas</t>
  </si>
  <si>
    <t>Forssa</t>
  </si>
  <si>
    <t>Porvoo</t>
  </si>
  <si>
    <t>Kirkniemi, Kirkniemen voimalaitos</t>
  </si>
  <si>
    <t>Voimalaitos Power (ent. Kokkolan voimalaitos)</t>
  </si>
  <si>
    <t>Kuhmo</t>
  </si>
  <si>
    <t>Vaneritehtaankatu 1 Suolahti</t>
  </si>
  <si>
    <t>Savon Sellu Vastapainevoimalaitos</t>
  </si>
  <si>
    <t>Kuusankoski, Kouvola</t>
  </si>
  <si>
    <t>Lieksa</t>
  </si>
  <si>
    <t>Tehtaankatu 20 Mänttä</t>
  </si>
  <si>
    <t>Nokia Kombi</t>
  </si>
  <si>
    <t>Pietarsaari</t>
  </si>
  <si>
    <t>Pori Pihlava</t>
  </si>
  <si>
    <t>Titaanitie, 28840 PORI</t>
  </si>
  <si>
    <t>Metsä Fibre Rauman tehdas</t>
  </si>
  <si>
    <t>Renko</t>
  </si>
  <si>
    <t>Siilinjärvi</t>
  </si>
  <si>
    <t>M-real Tako Board kartonkitehdas, Tampere</t>
  </si>
  <si>
    <t>Tervakoski</t>
  </si>
  <si>
    <t>Tervasaari VP</t>
  </si>
  <si>
    <t>Tiihala, Kangasala</t>
  </si>
  <si>
    <t>Tornio; Tornion voimalaitos</t>
  </si>
  <si>
    <t>Uimaharjun voimalaitos</t>
  </si>
  <si>
    <t>Uusukaupunki, Hangonsaari</t>
  </si>
  <si>
    <t>Varkaus</t>
  </si>
  <si>
    <t>markku.ahlqvist@biovakka.fi</t>
  </si>
  <si>
    <t>Viikinmäen jätevedenpuhdistamo</t>
  </si>
  <si>
    <t>Vilppula</t>
  </si>
  <si>
    <t>Metsä Fibre Oy Äänekosken voimalaitos</t>
  </si>
  <si>
    <t>Main fuel</t>
  </si>
  <si>
    <t>Standby fuel 1</t>
  </si>
  <si>
    <t>Standby fuel 2</t>
  </si>
  <si>
    <t>Peat</t>
  </si>
  <si>
    <t>Industrial wood residues</t>
  </si>
  <si>
    <t>Heavy distillates</t>
  </si>
  <si>
    <t>Hard coal and anthracite</t>
  </si>
  <si>
    <t>Mixed fuels</t>
  </si>
  <si>
    <t>Medium heavy distillates</t>
  </si>
  <si>
    <t>Petroleum gases</t>
  </si>
  <si>
    <t>Forest fuelwood</t>
  </si>
  <si>
    <t>Natural gas</t>
  </si>
  <si>
    <t>Black liquor and concentrated liquors</t>
  </si>
  <si>
    <t>Other non-specified energy sources</t>
  </si>
  <si>
    <t>Other by-products and wastes used as fuel</t>
  </si>
  <si>
    <t>By-products from wood processing industry</t>
  </si>
  <si>
    <t>Bioliquids</t>
  </si>
  <si>
    <t>Blast furnace gas</t>
  </si>
  <si>
    <t>Coke oven gas</t>
  </si>
  <si>
    <t>Exothermic heat from industry</t>
  </si>
  <si>
    <t>Light distillates</t>
  </si>
  <si>
    <t>Biogas</t>
  </si>
  <si>
    <t>Björknäs kraftvärmeverk</t>
  </si>
  <si>
    <t>Energia-Tietola</t>
  </si>
  <si>
    <t>Haapaniemi</t>
  </si>
  <si>
    <t>Harabacka</t>
  </si>
  <si>
    <t>Hovinsaari</t>
  </si>
  <si>
    <t>Hämeenlinna</t>
  </si>
  <si>
    <t>Iisalmi</t>
  </si>
  <si>
    <t>Joensuu</t>
  </si>
  <si>
    <t>Järvenpää</t>
  </si>
  <si>
    <t>Keljonlahti</t>
  </si>
  <si>
    <t>Kemijärvi</t>
  </si>
  <si>
    <t>Kerava</t>
  </si>
  <si>
    <t>Koneharju kt</t>
  </si>
  <si>
    <t>Korvenmäen ekovoimalaitos</t>
  </si>
  <si>
    <t>Kuusamo</t>
  </si>
  <si>
    <t>Kymijärvi 1</t>
  </si>
  <si>
    <t>Kymijärvi 2</t>
  </si>
  <si>
    <t>Laanilan biovoimalaitos</t>
  </si>
  <si>
    <t>Lappeenranta, Kaukaan tehdas</t>
  </si>
  <si>
    <t>Lapua</t>
  </si>
  <si>
    <t>Lemene KM1</t>
  </si>
  <si>
    <t>Lemene KM2</t>
  </si>
  <si>
    <t>Lielahti</t>
  </si>
  <si>
    <t>Martinlaakso</t>
  </si>
  <si>
    <t>Naantali</t>
  </si>
  <si>
    <t>Naistenlahti 1</t>
  </si>
  <si>
    <t>Naistenlahti 3</t>
  </si>
  <si>
    <t>Nikkilä</t>
  </si>
  <si>
    <t>Nivala</t>
  </si>
  <si>
    <t>Pieksämäki</t>
  </si>
  <si>
    <t>Posion CHP-laitos</t>
  </si>
  <si>
    <t>Pursiala 1</t>
  </si>
  <si>
    <t>Pursiala 2</t>
  </si>
  <si>
    <t>Rauhalahti</t>
  </si>
  <si>
    <t>Riihimäki (Ekokem)</t>
  </si>
  <si>
    <t>Riikinvoima</t>
  </si>
  <si>
    <t>Salo</t>
  </si>
  <si>
    <t>Savio</t>
  </si>
  <si>
    <t>Savonlinna</t>
  </si>
  <si>
    <t>Seinäjoki (SEVO)</t>
  </si>
  <si>
    <t>Suomenojan voimalaitos</t>
  </si>
  <si>
    <t>Suosiola</t>
  </si>
  <si>
    <t>Tammervoima</t>
  </si>
  <si>
    <t>Toholampi</t>
  </si>
  <si>
    <t>Tolkkinen 1</t>
  </si>
  <si>
    <t>Tolkkinen, Biolaitos</t>
  </si>
  <si>
    <t>Toppila 2</t>
  </si>
  <si>
    <t>Vantaan jätevoimala</t>
  </si>
  <si>
    <t>Varissaari</t>
  </si>
  <si>
    <t>Vaskiluoto 2</t>
  </si>
  <si>
    <t>Vaskiluoto 3</t>
  </si>
  <si>
    <t>Vuosaari A</t>
  </si>
  <si>
    <t>Vuosaari B</t>
  </si>
  <si>
    <t>Westenergy jätteenpolttolaitos</t>
  </si>
  <si>
    <t>Ylivieska</t>
  </si>
  <si>
    <t>Ämmässuo</t>
  </si>
  <si>
    <t>Ämmässuo 2</t>
  </si>
  <si>
    <t>Haapaniemen voimalaitos</t>
  </si>
  <si>
    <t>Iisalmi, Energiakuja 3</t>
  </si>
  <si>
    <t>Joensuu, Iiksenvaarantie 2</t>
  </si>
  <si>
    <t>Voimalankatu, 04430 Järvenpää</t>
  </si>
  <si>
    <t>Keljonrannantie 276</t>
  </si>
  <si>
    <t>Alikeravan voimalaitos</t>
  </si>
  <si>
    <t>04260 Kerava, Alikeravantie 83</t>
  </si>
  <si>
    <t>Voimalaitos Voima</t>
  </si>
  <si>
    <t>Koneharju Koneharjunkatu, Lahti</t>
  </si>
  <si>
    <t>Kuusamon voimalaitos</t>
  </si>
  <si>
    <t>Kymijärvi Voimakatu 16, Lahti</t>
  </si>
  <si>
    <t>Kymijärvi2 Voimakatu 16, Lahti</t>
  </si>
  <si>
    <t>Typpitie 3, Oulu, Laanilan biovoimalaitos</t>
  </si>
  <si>
    <t>Ruokosmetsänkatu 11, 37550 Lempäälä</t>
  </si>
  <si>
    <t>Kalliokummuntie 28, 37550 Lempäälä</t>
  </si>
  <si>
    <t>Naantalin voimalaitos</t>
  </si>
  <si>
    <t>Nikkilän voimalaitos</t>
  </si>
  <si>
    <t>Lämpölä/Hyttitie 5 Nivala</t>
  </si>
  <si>
    <t>Pieksämäki, Kutteritie 2A</t>
  </si>
  <si>
    <t>Posion Voimalaitos Rantatie 3 97900 Posio</t>
  </si>
  <si>
    <t xml:space="preserve">Pursiala 1 </t>
  </si>
  <si>
    <t>Kuulojankatu 1, 11120 RIIHIMÄKI</t>
  </si>
  <si>
    <t>Savion voimalaitos</t>
  </si>
  <si>
    <t>Seinäjoki Sevo</t>
  </si>
  <si>
    <t>Lampelankatu 24, Suosiola</t>
  </si>
  <si>
    <t>Tammervoima / Hyötyvoimankuja 1</t>
  </si>
  <si>
    <t>Tolkkinen</t>
  </si>
  <si>
    <t>Tervahovintie 10, Oulu, Toppila 2</t>
  </si>
  <si>
    <t>Vantaan Jätevoimala</t>
  </si>
  <si>
    <t>Vaasa ( Vaskiluoto 2 )</t>
  </si>
  <si>
    <t>Vaasa  ( Vaskiluoto 3 )</t>
  </si>
  <si>
    <t>Vuosaari A-voimalaitos</t>
  </si>
  <si>
    <t>Vuosaari B-voimalaitos</t>
  </si>
  <si>
    <t>Energiatie 37, 66530 Koivulahti</t>
  </si>
  <si>
    <t>Tulolantien voimalaitos, Ylivieska, Vieskan Voima</t>
  </si>
  <si>
    <t>Ämmässuon jätteenkäsittelykeskus CHP1</t>
  </si>
  <si>
    <t>Ämmässuon jätteenkäsittelykeskus CHP2</t>
  </si>
  <si>
    <t>Vegetable-based fuels and other field biomass</t>
  </si>
  <si>
    <t>Gasified waste</t>
  </si>
  <si>
    <t>Recovered wood</t>
  </si>
  <si>
    <t>?</t>
  </si>
  <si>
    <r>
      <t xml:space="preserve">Capacities are taken from column "Maximum, total, </t>
    </r>
    <r>
      <rPr>
        <sz val="11"/>
        <rFont val="Calibri"/>
        <family val="2"/>
        <scheme val="minor"/>
      </rPr>
      <t>MW</t>
    </r>
    <r>
      <rPr>
        <sz val="11"/>
        <color theme="0" tint="-0.499984740745262"/>
        <rFont val="Calibri"/>
        <family val="2"/>
        <scheme val="minor"/>
      </rPr>
      <t>"</t>
    </r>
  </si>
  <si>
    <t>Performed manualy by looking at Finnish and English wikipedia and global energy monitor (www.gem.wiki)</t>
  </si>
  <si>
    <t>Unit type</t>
  </si>
  <si>
    <t>non-RE</t>
  </si>
  <si>
    <t>RE</t>
  </si>
  <si>
    <t/>
  </si>
  <si>
    <t>Unique fuel</t>
  </si>
  <si>
    <t>Renewable?</t>
  </si>
  <si>
    <t>Unique RE fuel</t>
  </si>
  <si>
    <t>Oil HOB</t>
  </si>
  <si>
    <t>Gas HOB</t>
  </si>
  <si>
    <t>Bio HOB</t>
  </si>
  <si>
    <t>Ground source heat pump</t>
  </si>
  <si>
    <t>Gas CCGT CHP</t>
  </si>
  <si>
    <t>Electric boiler</t>
  </si>
  <si>
    <t>Heat storage charger</t>
  </si>
  <si>
    <t>Heat storage discharger</t>
  </si>
  <si>
    <t>Large heat storage charger</t>
  </si>
  <si>
    <t>Large heat storage discharger</t>
  </si>
  <si>
    <t>Gas OCGT CHP</t>
  </si>
  <si>
    <t>Waste HOB</t>
  </si>
  <si>
    <t>Bio CHP</t>
  </si>
  <si>
    <t>Waste CHP</t>
  </si>
  <si>
    <t>Seasonal heat storage charger</t>
  </si>
  <si>
    <t>Seasonal heat storage discharger</t>
  </si>
  <si>
    <t>Heat</t>
  </si>
  <si>
    <t>Electric</t>
  </si>
  <si>
    <t>Inputs of "H2 heavy"</t>
  </si>
  <si>
    <t>Input</t>
  </si>
  <si>
    <t>Include  clearly RE and unknown fuel types</t>
  </si>
  <si>
    <t>Type identified manually based on fuel name</t>
  </si>
  <si>
    <t>Total changes little, but RE% increase</t>
  </si>
  <si>
    <t>Industrial CHPs are either converted to or replaced by RE-burning units at the same sites to serve unchanged industrial heat demand</t>
  </si>
  <si>
    <t>Observable:</t>
  </si>
  <si>
    <t>Expectation:</t>
  </si>
  <si>
    <t>Assumption:</t>
  </si>
  <si>
    <t>All non-RE remains in region that currently has the largest capacity of it (Uusimaa) while the rest is converted to RE.</t>
  </si>
  <si>
    <t>CHP type</t>
  </si>
  <si>
    <t>Gas</t>
  </si>
  <si>
    <t>Waste</t>
  </si>
  <si>
    <t>Bio</t>
  </si>
  <si>
    <t>Unit type classification</t>
  </si>
  <si>
    <r>
      <t>Main fuels grouped into three categories that are present in "H2 heavy" DH CHP types</t>
    </r>
    <r>
      <rPr>
        <sz val="11"/>
        <color theme="0" tint="-0.499984740745262"/>
        <rFont val="Calibri"/>
        <family val="2"/>
        <scheme val="minor"/>
      </rPr>
      <t xml:space="preserve"> (Gass OCGT CHP is omitted due to its insignificance)</t>
    </r>
  </si>
  <si>
    <t>Fuels with unclear match to CHP type were classified as the largest (bio) type and colored in red.</t>
  </si>
  <si>
    <t>Take major city values from [2] without modifications</t>
  </si>
  <si>
    <t>Source [1]</t>
  </si>
  <si>
    <t>Source [2]</t>
  </si>
  <si>
    <t>Merging [1-2] for CHP</t>
  </si>
  <si>
    <t>Merging [1-2]</t>
  </si>
  <si>
    <t>Source [4]</t>
  </si>
  <si>
    <t>Source [5]</t>
  </si>
  <si>
    <t>Merging sources [1-5]</t>
  </si>
  <si>
    <r>
      <t xml:space="preserve">Source [3] TYNDP 2024 Visualization platfrom </t>
    </r>
    <r>
      <rPr>
        <sz val="11"/>
        <color theme="0" tint="-0.499984740745262"/>
        <rFont val="Calibri"/>
        <family val="2"/>
        <scheme val="minor"/>
      </rPr>
      <t>(DE 2035 scenario)</t>
    </r>
  </si>
  <si>
    <t>Negative regional values are avoided by setting floor of 0</t>
  </si>
  <si>
    <t>Scale regional values from [1] towards [2] for each CHP type and then subtract city values</t>
  </si>
  <si>
    <t>Heat capacity</t>
  </si>
  <si>
    <r>
      <t>Electric capacity.</t>
    </r>
    <r>
      <rPr>
        <sz val="11"/>
        <color theme="0" tint="-0.499984740745262"/>
        <rFont val="Calibri"/>
        <family val="2"/>
        <scheme val="minor"/>
      </rPr>
      <t xml:space="preserve"> Steps of merging:</t>
    </r>
  </si>
  <si>
    <t>Heat/Electric capacity</t>
  </si>
  <si>
    <r>
      <t>Gas</t>
    </r>
    <r>
      <rPr>
        <sz val="11"/>
        <color theme="0" tint="-0.499984740745262"/>
        <rFont val="Calibri"/>
        <family val="2"/>
        <scheme val="minor"/>
      </rPr>
      <t xml:space="preserve"> CCGT</t>
    </r>
  </si>
  <si>
    <r>
      <t xml:space="preserve">Gas </t>
    </r>
    <r>
      <rPr>
        <sz val="11"/>
        <color theme="0" tint="-0.499984740745262"/>
        <rFont val="Calibri"/>
        <family val="2"/>
        <scheme val="minor"/>
      </rPr>
      <t>OCGT</t>
    </r>
  </si>
  <si>
    <r>
      <t>Gas</t>
    </r>
    <r>
      <rPr>
        <sz val="11"/>
        <color theme="0" tint="-0.499984740745262"/>
        <rFont val="Calibri"/>
        <family val="2"/>
        <scheme val="minor"/>
      </rPr>
      <t xml:space="preserve"> OCGT</t>
    </r>
  </si>
  <si>
    <t>Sector-specific multipliers for electicity capacity</t>
  </si>
  <si>
    <t>Electric capacity</t>
  </si>
  <si>
    <t>Heat capacity of CHP</t>
  </si>
  <si>
    <t>Heat capacity of non-CHP units. Currently omitted from regional breakdown</t>
  </si>
  <si>
    <t>Heat to electric capacity ratio</t>
  </si>
  <si>
    <t>non-CHP electricity generation capacity</t>
  </si>
  <si>
    <t>Electrolyser [MW]</t>
  </si>
  <si>
    <t>Assumtions</t>
  </si>
  <si>
    <t>Electrolyser capacity is distributed proportionally to projectected non-CHP electricity production capacity</t>
  </si>
  <si>
    <t>ST (dis)charge</t>
  </si>
  <si>
    <t>LT charge</t>
  </si>
  <si>
    <t>LT discharge</t>
  </si>
  <si>
    <r>
      <t>[1] Visual Platform</t>
    </r>
    <r>
      <rPr>
        <sz val="11"/>
        <color theme="0" tint="-0.499984740745262"/>
        <rFont val="Calibri"/>
        <family val="2"/>
        <scheme val="minor"/>
      </rPr>
      <t>. TYNDP 2024 release - Distributed Energy 2035 scenario.</t>
    </r>
  </si>
  <si>
    <t>[2] H2 Storages.xlsx</t>
  </si>
  <si>
    <t>Capacity [1]</t>
  </si>
  <si>
    <t>Supply [1]</t>
  </si>
  <si>
    <t>Demand [1]</t>
  </si>
  <si>
    <t>Storage [2]</t>
  </si>
  <si>
    <r>
      <rPr>
        <sz val="11"/>
        <rFont val="Calibri"/>
        <family val="2"/>
        <scheme val="minor"/>
      </rPr>
      <t>MW</t>
    </r>
    <r>
      <rPr>
        <sz val="11"/>
        <color theme="0" tint="-0.499984740745262"/>
        <rFont val="Calibri"/>
        <family val="2"/>
        <scheme val="minor"/>
      </rPr>
      <t>_h2</t>
    </r>
  </si>
  <si>
    <t>Storage [MW_h2]</t>
  </si>
  <si>
    <t>ST +/-</t>
  </si>
  <si>
    <t>LT+</t>
  </si>
  <si>
    <t>LT-</t>
  </si>
  <si>
    <t>H2 demand and storage capacities are distributed proportionally to non-electrified demand</t>
  </si>
  <si>
    <t>1. DH Data</t>
  </si>
  <si>
    <r>
      <t xml:space="preserve">2. DH Processing </t>
    </r>
    <r>
      <rPr>
        <b/>
        <sz val="11"/>
        <color theme="0" tint="-0.499984740745262"/>
        <rFont val="Calibri"/>
        <family val="2"/>
        <scheme val="minor"/>
      </rPr>
      <t>[TWh]</t>
    </r>
  </si>
  <si>
    <t>3. Industiral heat</t>
  </si>
  <si>
    <t>Batteries</t>
  </si>
  <si>
    <t>Capacity from Visual Platform</t>
  </si>
  <si>
    <t>Assume proportional distribution to non-CHP generation capacity</t>
  </si>
  <si>
    <t>non-CHP</t>
  </si>
  <si>
    <t>Possible connections</t>
  </si>
  <si>
    <t>FIW0</t>
  </si>
  <si>
    <t>FISW</t>
  </si>
  <si>
    <t>FISE</t>
  </si>
  <si>
    <t>FIUU</t>
  </si>
  <si>
    <t>SE01</t>
  </si>
  <si>
    <t>FI00</t>
  </si>
  <si>
    <t>IBFI</t>
  </si>
  <si>
    <t>EE00</t>
  </si>
  <si>
    <t>Existing h2 connections</t>
  </si>
  <si>
    <t>SE03</t>
  </si>
  <si>
    <t>FINO</t>
  </si>
  <si>
    <t>NON1</t>
  </si>
  <si>
    <t>SE02</t>
  </si>
  <si>
    <t>Domestic</t>
  </si>
  <si>
    <t>Ref</t>
  </si>
  <si>
    <t>Real 1</t>
  </si>
  <si>
    <t>Real 2</t>
  </si>
  <si>
    <t>Concept 1</t>
  </si>
  <si>
    <t>Concept 2</t>
  </si>
  <si>
    <t>Concept 3</t>
  </si>
  <si>
    <t>Concept 4</t>
  </si>
  <si>
    <t>Investment candidates</t>
  </si>
  <si>
    <t>Investment candidates aggregated</t>
  </si>
  <si>
    <t>Part of the Nordic power system - Fingrid</t>
  </si>
  <si>
    <t>AC</t>
  </si>
  <si>
    <t>DC</t>
  </si>
  <si>
    <t>[MW]</t>
  </si>
  <si>
    <t>[kV]</t>
  </si>
  <si>
    <t>FIWE</t>
  </si>
  <si>
    <t>400x2</t>
  </si>
  <si>
    <t>fingrid_kehittamissuunnitelma_syksy23_en.pdf</t>
  </si>
  <si>
    <t>Increase</t>
  </si>
  <si>
    <t>Consideration 1:</t>
  </si>
  <si>
    <t>Consideration 2: TYNDP 2024 data</t>
  </si>
  <si>
    <t>Modeled</t>
  </si>
  <si>
    <t>Consideration 3: Fingrid data</t>
  </si>
  <si>
    <t>New Line</t>
  </si>
  <si>
    <t>Nodes</t>
  </si>
  <si>
    <t>Capacity [MW]</t>
  </si>
  <si>
    <t>Likely in single line</t>
  </si>
  <si>
    <t>EstLink 3</t>
  </si>
  <si>
    <t>Not yet known</t>
  </si>
  <si>
    <t>Aurora 1</t>
  </si>
  <si>
    <t>800 / 900</t>
  </si>
  <si>
    <t>Aurora 2</t>
  </si>
  <si>
    <t>~150 MW</t>
  </si>
  <si>
    <t>SE04</t>
  </si>
  <si>
    <t>Required to match [MW]</t>
  </si>
  <si>
    <t>Conclusion - new capacities will connect the same regions</t>
  </si>
  <si>
    <t>Best source found:</t>
  </si>
  <si>
    <t>Main grid developments 2024-2033</t>
  </si>
  <si>
    <t>Figue 2</t>
  </si>
  <si>
    <t>Cross border</t>
  </si>
  <si>
    <t>Existing</t>
  </si>
  <si>
    <t>Future</t>
  </si>
  <si>
    <r>
      <rPr>
        <sz val="11"/>
        <color theme="0" tint="-0.499984740745262"/>
        <rFont val="Calibri"/>
        <family val="2"/>
        <scheme val="minor"/>
      </rPr>
      <t>FI</t>
    </r>
    <r>
      <rPr>
        <sz val="11"/>
        <color theme="1"/>
        <rFont val="Calibri"/>
        <family val="2"/>
        <scheme val="minor"/>
      </rPr>
      <t>W</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</si>
  <si>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N</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</si>
  <si>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C</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</si>
  <si>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E</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</si>
  <si>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S</t>
    </r>
    <r>
      <rPr>
        <sz val="11"/>
        <rFont val="Calibri"/>
        <family val="2"/>
        <scheme val="minor"/>
      </rPr>
      <t>W</t>
    </r>
  </si>
  <si>
    <r>
      <rPr>
        <sz val="11"/>
        <color theme="0" tint="-0.499984740745262"/>
        <rFont val="Calibri"/>
        <family val="2"/>
        <scheme val="minor"/>
      </rPr>
      <t>FI</t>
    </r>
    <r>
      <rPr>
        <sz val="11"/>
        <color theme="1"/>
        <rFont val="Calibri"/>
        <family val="2"/>
        <scheme val="minor"/>
      </rPr>
      <t>S</t>
    </r>
    <r>
      <rPr>
        <sz val="11"/>
        <rFont val="Calibri"/>
        <family val="2"/>
        <scheme val="minor"/>
      </rPr>
      <t>E</t>
    </r>
  </si>
  <si>
    <r>
      <t>FI</t>
    </r>
    <r>
      <rPr>
        <sz val="11"/>
        <rFont val="Calibri"/>
        <family val="2"/>
        <scheme val="minor"/>
      </rPr>
      <t>W</t>
    </r>
    <r>
      <rPr>
        <sz val="11"/>
        <color theme="0" tint="-0.499984740745262"/>
        <rFont val="Calibri"/>
        <family val="2"/>
        <scheme val="minor"/>
      </rPr>
      <t>0</t>
    </r>
  </si>
  <si>
    <r>
      <t>FI</t>
    </r>
    <r>
      <rPr>
        <sz val="11"/>
        <rFont val="Calibri"/>
        <family val="2"/>
        <scheme val="minor"/>
      </rPr>
      <t>C</t>
    </r>
    <r>
      <rPr>
        <sz val="11"/>
        <color theme="0" tint="-0.499984740745262"/>
        <rFont val="Calibri"/>
        <family val="2"/>
        <scheme val="minor"/>
      </rPr>
      <t>0</t>
    </r>
  </si>
  <si>
    <r>
      <t>FI</t>
    </r>
    <r>
      <rPr>
        <sz val="11"/>
        <rFont val="Calibri"/>
        <family val="2"/>
        <scheme val="minor"/>
      </rPr>
      <t>E</t>
    </r>
    <r>
      <rPr>
        <sz val="11"/>
        <color theme="0" tint="-0.499984740745262"/>
        <rFont val="Calibri"/>
        <family val="2"/>
        <scheme val="minor"/>
      </rPr>
      <t>0</t>
    </r>
  </si>
  <si>
    <r>
      <t>FI</t>
    </r>
    <r>
      <rPr>
        <sz val="11"/>
        <rFont val="Calibri"/>
        <family val="2"/>
        <scheme val="minor"/>
      </rPr>
      <t>SW</t>
    </r>
  </si>
  <si>
    <r>
      <t>FI</t>
    </r>
    <r>
      <rPr>
        <sz val="11"/>
        <rFont val="Calibri"/>
        <family val="2"/>
        <scheme val="minor"/>
      </rPr>
      <t>SE</t>
    </r>
  </si>
  <si>
    <r>
      <t>FI</t>
    </r>
    <r>
      <rPr>
        <sz val="11"/>
        <rFont val="Calibri"/>
        <family val="2"/>
        <scheme val="minor"/>
      </rPr>
      <t>E0</t>
    </r>
  </si>
  <si>
    <r>
      <t>FI</t>
    </r>
    <r>
      <rPr>
        <sz val="11"/>
        <rFont val="Calibri"/>
        <family val="2"/>
        <scheme val="minor"/>
      </rPr>
      <t>UU</t>
    </r>
  </si>
  <si>
    <t>Δ</t>
  </si>
  <si>
    <t>400 kV single main corridor ≈ 1,200 MW</t>
  </si>
  <si>
    <t>2 strong corridors / upgrade completed ≈ 1,800–2,400 MW</t>
  </si>
  <si>
    <t>Major reinforced trunk (2035 north–south) up to 3,000 MW</t>
  </si>
  <si>
    <t>FinGrid map</t>
  </si>
  <si>
    <t>400 kV</t>
  </si>
  <si>
    <t>220 kV</t>
  </si>
  <si>
    <t>100 kV</t>
  </si>
  <si>
    <t>Min</t>
  </si>
  <si>
    <t>Max</t>
  </si>
  <si>
    <t>Current</t>
  </si>
  <si>
    <t>Investment projects</t>
  </si>
  <si>
    <t>+400</t>
  </si>
  <si>
    <t>220 -&gt; 400</t>
  </si>
  <si>
    <t>400 -&gt; ?</t>
  </si>
  <si>
    <t>220 -&gt; ?</t>
  </si>
  <si>
    <t>220 -&gt; 400+110</t>
  </si>
  <si>
    <t>220 -&gt; 2X400+110</t>
  </si>
  <si>
    <t>Planned routes</t>
  </si>
  <si>
    <t>+?</t>
  </si>
  <si>
    <t>Changes</t>
  </si>
  <si>
    <t>New</t>
  </si>
  <si>
    <t>Rounded values</t>
  </si>
  <si>
    <t>Line capacities</t>
  </si>
  <si>
    <t>Thermal behaviour of overhead conductors - eCIGRE</t>
  </si>
  <si>
    <t>Copilot dirrecting to (behind pay-wall):</t>
  </si>
  <si>
    <t>Dirrect Copilot answer. It's assumptions:</t>
  </si>
  <si>
    <t>Extending tyndp2024 cross-border lines internally</t>
  </si>
  <si>
    <t>FICE</t>
  </si>
  <si>
    <t>Inputs</t>
  </si>
  <si>
    <t>Limitations</t>
  </si>
  <si>
    <t>D_2023(region, sector), D_2035(sector)</t>
  </si>
  <si>
    <t>D_ind grows due to electrification of existing D_ind
D_ ind electrification and D_res,com growth is spatially uniform</t>
  </si>
  <si>
    <t>Projected growth reverses two-decade-long trends: ind % and total D decline, centralization.
FinGrid also expects D_ind growth from new industries (data centers, E-fuels, battery production).</t>
  </si>
  <si>
    <t>D_2023(region), D_2035</t>
  </si>
  <si>
    <t>Historic distribution</t>
  </si>
  <si>
    <t>D_ind_unelectrified(region), D_ih</t>
  </si>
  <si>
    <t>Kirsikka list includes only projects for self-consumption, which is inconsistent with tyndp2024 scenario</t>
  </si>
  <si>
    <t>Power plant register, manual identification</t>
  </si>
  <si>
    <t>El_PV</t>
  </si>
  <si>
    <t>Development projects</t>
  </si>
  <si>
    <t>Historic distribution, Lovissa nuclear retirement</t>
  </si>
  <si>
    <t>D_ind_unelectrified(region), D_h2</t>
  </si>
  <si>
    <t>All non-RE remains in Uusimaa while the rest is converted to RE</t>
  </si>
  <si>
    <t>Pauli data could be used dirrectly to identify spatial distribution</t>
  </si>
  <si>
    <t>FinGrid map of existing and future powerlines</t>
  </si>
  <si>
    <t>Visual mapping to model connections, kV to MW conversions</t>
  </si>
  <si>
    <t>Extending cross-border capacities along path in GasGrid map</t>
  </si>
  <si>
    <t>GasGrid map</t>
  </si>
  <si>
    <t>3. Transmission</t>
  </si>
  <si>
    <t>Grid does not reach eastern region</t>
  </si>
  <si>
    <t>Total - East</t>
  </si>
  <si>
    <t>Both omit East as H2 grid does not reach it</t>
  </si>
  <si>
    <t>P_nonCHP(region), P_h2</t>
  </si>
  <si>
    <t>Proportional to P_el_non-CHP, except for East</t>
  </si>
  <si>
    <t>Proportional to unelectrified D_el</t>
  </si>
  <si>
    <t>Proportional to unelectrified D_el, except for East</t>
  </si>
  <si>
    <t>El_batteries</t>
  </si>
  <si>
    <t>No strong reason this to be the case</t>
  </si>
  <si>
    <t>D(region), D(customer type, t)</t>
  </si>
  <si>
    <t>H2, IH</t>
  </si>
  <si>
    <t>Major determinant of system dynamics</t>
  </si>
  <si>
    <t>M</t>
  </si>
  <si>
    <t>Significance</t>
  </si>
  <si>
    <t>H</t>
  </si>
  <si>
    <t>L</t>
  </si>
  <si>
    <t>Evidence quality</t>
  </si>
  <si>
    <r>
      <rPr>
        <sz val="11"/>
        <rFont val="Calibri"/>
        <family val="2"/>
        <scheme val="minor"/>
      </rPr>
      <t>H</t>
    </r>
    <r>
      <rPr>
        <sz val="11"/>
        <color theme="0" tint="-0.499984740745262"/>
        <rFont val="Calibri"/>
        <family val="2"/>
        <scheme val="minor"/>
      </rPr>
      <t>igh</t>
    </r>
  </si>
  <si>
    <r>
      <rPr>
        <sz val="11"/>
        <rFont val="Calibri"/>
        <family val="2"/>
        <scheme val="minor"/>
      </rPr>
      <t>M</t>
    </r>
    <r>
      <rPr>
        <sz val="11"/>
        <color theme="0" tint="-0.499984740745262"/>
        <rFont val="Calibri"/>
        <family val="2"/>
        <scheme val="minor"/>
      </rPr>
      <t>edium</t>
    </r>
  </si>
  <si>
    <r>
      <rPr>
        <sz val="11"/>
        <rFont val="Calibri"/>
        <family val="2"/>
        <scheme val="minor"/>
      </rPr>
      <t>L</t>
    </r>
    <r>
      <rPr>
        <sz val="11"/>
        <color theme="0" tint="-0.499984740745262"/>
        <rFont val="Calibri"/>
        <family val="2"/>
        <scheme val="minor"/>
      </rPr>
      <t>ow</t>
    </r>
  </si>
  <si>
    <t>Wind capacity increases 6-fold. Alternative basis - existing list of proposed wind power projects</t>
  </si>
  <si>
    <t>Sufficiency needs to be tested. Regional model retains same set of cross-border connections, but we now know individual lines - could have multiple connections between individual pairs of nodes.</t>
  </si>
  <si>
    <t>2035*</t>
  </si>
  <si>
    <t>Country</t>
  </si>
  <si>
    <t>Scenario</t>
  </si>
  <si>
    <t>Year</t>
  </si>
  <si>
    <t>TWh/year</t>
  </si>
  <si>
    <t>Constant_share</t>
  </si>
  <si>
    <t>elec</t>
  </si>
  <si>
    <t>H2 heavy</t>
  </si>
  <si>
    <t>Total el.</t>
  </si>
  <si>
    <t>from</t>
  </si>
  <si>
    <t>to</t>
  </si>
  <si>
    <t>grid</t>
  </si>
  <si>
    <t>scenario</t>
  </si>
  <si>
    <t>export_capacity</t>
  </si>
  <si>
    <t>import_capacity</t>
  </si>
  <si>
    <t>rampLimit</t>
  </si>
  <si>
    <t>vomCost</t>
  </si>
  <si>
    <t>losses</t>
  </si>
  <si>
    <t>FIN0</t>
  </si>
  <si>
    <t>FIE0</t>
  </si>
  <si>
    <t>FIC0</t>
  </si>
  <si>
    <t>remove</t>
  </si>
  <si>
    <t>method</t>
  </si>
  <si>
    <t>Method</t>
  </si>
  <si>
    <t>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</si>
</sst>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42">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8" tint="0.59999389629810485"/>
      <name val="Calibri"/>
      <family val="2"/>
      <scheme val="minor"/>
    </font>
    <font>
      <sz val="11"/>
      <color theme="0" tint="-0.499984740745262"/>
      <name val="Calibri"/>
      <family val="2"/>
      <scheme val="minor"/>
    </font>
    <font>
      <sz val="10"/>
      <name val="Arial"/>
      <family val="2"/>
    </font>
    <font>
      <sz val="11"/>
      <color theme="9" tint="0.59999389629810485"/>
      <name val="Calibri"/>
      <family val="2"/>
      <scheme val="minor"/>
    </font>
    <font>
      <sz val="11"/>
      <color theme="9" tint="-0.249977111117893"/>
      <name val="Calibri"/>
      <family val="2"/>
      <scheme val="minor"/>
    </font>
    <font>
      <sz val="11"/>
      <color theme="8" tint="-0.249977111117893"/>
      <name val="Calibri"/>
      <family val="2"/>
      <scheme val="minor"/>
    </font>
    <font>
      <sz val="10"/>
      <color theme="9" tint="0.59999389629810485"/>
      <name val="Arial"/>
      <family val="2"/>
    </font>
    <font>
      <sz val="10"/>
      <color theme="0" tint="-0.499984740745262"/>
      <name val="Arial"/>
      <family val="2"/>
    </font>
    <font>
      <sz val="10"/>
      <color theme="9" tint="-0.249977111117893"/>
      <name val="Arial"/>
      <family val="2"/>
    </font>
    <font>
      <sz val="11"/>
      <name val="Calibri"/>
      <family val="2"/>
      <scheme val="minor"/>
    </font>
    <font>
      <sz val="11"/>
      <color theme="0" tint="-0.249977111117893"/>
      <name val="Calibri"/>
      <family val="2"/>
      <scheme val="minor"/>
    </font>
    <font>
      <sz val="10"/>
      <name val="Verdana"/>
      <family val="2"/>
    </font>
    <font>
      <b/>
      <sz val="11"/>
      <color theme="0" tint="-0.499984740745262"/>
      <name val="Calibri"/>
      <family val="2"/>
      <scheme val="minor"/>
    </font>
    <font>
      <i/>
      <sz val="11"/>
      <color theme="8" tint="0.59999389629810485"/>
      <name val="Calibri"/>
      <family val="2"/>
      <scheme val="minor"/>
    </font>
    <font>
      <sz val="11"/>
      <color theme="5" tint="0.39997558519241921"/>
      <name val="Calibri"/>
      <family val="2"/>
      <scheme val="minor"/>
    </font>
    <font>
      <sz val="11"/>
      <color theme="0" tint="-0.14999847407452621"/>
      <name val="Calibri"/>
      <family val="2"/>
      <scheme val="minor"/>
    </font>
    <font>
      <sz val="11"/>
      <color theme="1"/>
      <name val="AvenirNext LT Com Regular"/>
      <family val="2"/>
    </font>
    <font>
      <sz val="11"/>
      <color theme="8" tint="0.39997558519241921"/>
      <name val="Calibri"/>
      <family val="2"/>
      <scheme val="minor"/>
    </font>
    <font>
      <b/>
      <sz val="11"/>
      <name val="Calibri"/>
      <family val="2"/>
      <scheme val="minor"/>
    </font>
    <font>
      <sz val="8"/>
      <name val="Calibri"/>
      <family val="2"/>
      <scheme val="minor"/>
    </font>
    <font>
      <sz val="11"/>
      <color theme="6" tint="-0.249977111117893"/>
      <name val="Calibri"/>
      <family val="2"/>
      <scheme val="minor"/>
    </font>
    <font>
      <sz val="11"/>
      <color rgb="FFC00000"/>
      <name val="Calibri"/>
      <family val="2"/>
      <scheme val="minor"/>
    </font>
    <font>
      <sz val="11"/>
      <color theme="0"/>
      <name val="Calibri"/>
      <family val="2"/>
      <scheme val="minor"/>
    </font>
    <font>
      <sz val="11"/>
      <color theme="9" tint="-0.249977111117893"/>
      <name val="Calibri"/>
      <family val="2"/>
    </font>
    <font>
      <sz val="11"/>
      <color rgb="FF000000"/>
      <name val="Calibri"/>
      <family val="2"/>
    </font>
    <font>
      <sz val="11"/>
      <color theme="0" tint="-0.499984740745262"/>
      <name val="Calibri"/>
      <family val="2"/>
    </font>
    <font>
      <sz val="11"/>
      <color theme="9" tint="0.59999389629810485"/>
      <name val="Calibri"/>
      <family val="2"/>
    </font>
    <font>
      <sz val="11"/>
      <color theme="9" tint="0.79998168889431442"/>
      <name val="Calibri"/>
      <family val="2"/>
    </font>
    <font>
      <sz val="11"/>
      <color theme="8" tint="0.79998168889431442"/>
      <name val="Calibri"/>
      <family val="2"/>
      <scheme val="minor"/>
    </font>
    <font>
      <sz val="11"/>
      <color theme="0" tint="-0.499984740745262"/>
      <name val="Aptos Narrow"/>
      <family val="2"/>
    </font>
    <font>
      <sz val="11"/>
      <color rgb="FFFF0000"/>
      <name val="Calibri"/>
      <family val="2"/>
      <scheme val="minor"/>
    </font>
    <font>
      <sz val="11"/>
      <color rgb="FF00B050"/>
      <name val="Calibri"/>
      <family val="2"/>
      <scheme val="minor"/>
    </font>
    <font>
      <sz val="11"/>
      <color rgb="FFFFC000"/>
      <name val="Calibri"/>
      <family val="2"/>
      <scheme val="minor"/>
    </font>
    <font>
      <sz val="10"/>
      <name val="Arial"/>
      <family val="2"/>
      <charset val="1"/>
    </font>
    <font>
      <b/>
      <sz val="11"/>
      <color rgb="FF000000"/>
      <name val="Calibri"/>
      <family val="2"/>
      <charset val="1"/>
    </font>
    <font>
      <b/>
      <sz val="10"/>
      <name val="Arial"/>
      <family val="2"/>
    </font>
    <font>
      <b/>
      <sz val="11"/>
      <color rgb="FF000000"/>
      <name val="Calibri"/>
      <family val="2"/>
    </font>
    <font>
      <u/>
      <sz val="11"/>
      <color theme="8" tint="-0.249977111117893"/>
      <name val="Calibri"/>
      <family val="2"/>
      <scheme val="minor"/>
    </font>
  </fonts>
  <fills count="7">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34998626667073579"/>
        <bgColor indexed="64"/>
      </patternFill>
    </fill>
  </fills>
  <borders count="11">
    <border>
      <left/>
      <right/>
      <top/>
      <bottom/>
      <diagonal/>
    </border>
    <border>
      <left style="thin">
        <color theme="0" tint="-0.249977111117893"/>
      </left>
      <right/>
      <top/>
      <bottom/>
      <diagonal/>
    </border>
    <border>
      <left/>
      <right/>
      <top/>
      <bottom style="thin">
        <color theme="0" tint="-0.249977111117893"/>
      </bottom>
      <diagonal/>
    </border>
    <border>
      <left/>
      <right/>
      <top style="thin">
        <color theme="0" tint="-0.499984740745262"/>
      </top>
      <bottom/>
      <diagonal/>
    </border>
    <border>
      <left/>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right/>
      <top/>
      <bottom style="thin">
        <color theme="1"/>
      </bottom>
      <diagonal/>
    </border>
    <border>
      <left/>
      <right/>
      <top style="thin">
        <color theme="0" tint="-0.249977111117893"/>
      </top>
      <bottom/>
      <diagonal/>
    </border>
    <border>
      <left/>
      <right/>
      <top style="thin">
        <color theme="0" tint="-0.249977111117893"/>
      </top>
      <bottom style="thin">
        <color theme="0" tint="-0.249977111117893"/>
      </bottom>
      <diagonal/>
    </border>
    <border>
      <left/>
      <right/>
      <top style="thin">
        <color theme="1"/>
      </top>
      <bottom style="thin">
        <color theme="0" tint="-0.499984740745262"/>
      </bottom>
      <diagonal/>
    </border>
  </borders>
  <cellStyleXfs count="6">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15" fillId="0" borderId="0"/>
    <xf numFmtId="0" fontId="20" fillId="0" borderId="0"/>
    <xf numFmtId="0" fontId="37" fillId="0" borderId="0"/>
  </cellStyleXfs>
  <cellXfs count="243">
    <xf numFmtId="0" fontId="0" fillId="0" borderId="0" xfId="0"/>
    <xf numFmtId="0" fontId="0" fillId="2" borderId="0" xfId="0" applyFill="1"/>
    <xf numFmtId="3" fontId="0" fillId="2" borderId="0" xfId="0" applyNumberFormat="1" applyFill="1"/>
    <xf numFmtId="3" fontId="2" fillId="3" borderId="0" xfId="0" applyNumberFormat="1" applyFont="1" applyFill="1"/>
    <xf numFmtId="3" fontId="0" fillId="3" borderId="0" xfId="0" applyNumberFormat="1" applyFill="1"/>
    <xf numFmtId="3" fontId="0" fillId="5" borderId="0" xfId="0" applyNumberFormat="1" applyFill="1"/>
    <xf numFmtId="3" fontId="4" fillId="2" borderId="0" xfId="0" applyNumberFormat="1" applyFont="1" applyFill="1"/>
    <xf numFmtId="3" fontId="5" fillId="2" borderId="0" xfId="0" applyNumberFormat="1" applyFont="1" applyFill="1"/>
    <xf numFmtId="3" fontId="5" fillId="5" borderId="0" xfId="0" applyNumberFormat="1" applyFont="1" applyFill="1"/>
    <xf numFmtId="3" fontId="7" fillId="2" borderId="0" xfId="0" applyNumberFormat="1" applyFont="1" applyFill="1"/>
    <xf numFmtId="3" fontId="8" fillId="2" borderId="0" xfId="0" applyNumberFormat="1" applyFont="1" applyFill="1"/>
    <xf numFmtId="9" fontId="4" fillId="2" borderId="0" xfId="1" applyFont="1" applyFill="1"/>
    <xf numFmtId="3" fontId="0" fillId="4" borderId="0" xfId="0" applyNumberFormat="1" applyFill="1"/>
    <xf numFmtId="3" fontId="3" fillId="4" borderId="0" xfId="2" applyNumberFormat="1" applyFill="1"/>
    <xf numFmtId="0" fontId="0" fillId="5" borderId="0" xfId="0" applyFill="1"/>
    <xf numFmtId="3" fontId="0" fillId="5" borderId="1" xfId="0" applyNumberFormat="1" applyFill="1" applyBorder="1"/>
    <xf numFmtId="3" fontId="8" fillId="2" borderId="1" xfId="0" applyNumberFormat="1" applyFont="1" applyFill="1" applyBorder="1"/>
    <xf numFmtId="3" fontId="0" fillId="2" borderId="1" xfId="0" applyNumberFormat="1" applyFill="1" applyBorder="1"/>
    <xf numFmtId="0" fontId="0" fillId="5" borderId="2" xfId="0" applyFill="1" applyBorder="1"/>
    <xf numFmtId="0" fontId="6" fillId="5" borderId="2" xfId="0" applyFont="1" applyFill="1" applyBorder="1" applyAlignment="1">
      <alignment horizontal="right"/>
    </xf>
    <xf numFmtId="0" fontId="6" fillId="5" borderId="2" xfId="0" applyFont="1" applyFill="1" applyBorder="1"/>
    <xf numFmtId="0" fontId="0" fillId="2" borderId="2" xfId="0" applyFill="1" applyBorder="1"/>
    <xf numFmtId="0" fontId="8" fillId="2" borderId="0" xfId="0" applyFont="1" applyFill="1"/>
    <xf numFmtId="0" fontId="8" fillId="2" borderId="2" xfId="0" applyFont="1" applyFill="1" applyBorder="1"/>
    <xf numFmtId="3" fontId="9" fillId="2" borderId="0" xfId="0" applyNumberFormat="1" applyFont="1" applyFill="1"/>
    <xf numFmtId="3" fontId="5" fillId="4" borderId="0" xfId="0" applyNumberFormat="1" applyFont="1" applyFill="1"/>
    <xf numFmtId="0" fontId="6" fillId="2" borderId="0" xfId="0" applyFont="1" applyFill="1" applyAlignment="1">
      <alignment horizontal="left" vertical="center"/>
    </xf>
    <xf numFmtId="0" fontId="6" fillId="5" borderId="0" xfId="0" applyFont="1" applyFill="1" applyAlignment="1">
      <alignment horizontal="center" vertical="center"/>
    </xf>
    <xf numFmtId="1" fontId="6" fillId="5" borderId="0" xfId="0" applyNumberFormat="1" applyFont="1" applyFill="1" applyAlignment="1">
      <alignment horizontal="right" vertical="center"/>
    </xf>
    <xf numFmtId="3" fontId="0" fillId="5" borderId="2" xfId="0" applyNumberFormat="1" applyFill="1" applyBorder="1"/>
    <xf numFmtId="3" fontId="0" fillId="2" borderId="2" xfId="0" applyNumberFormat="1" applyFill="1" applyBorder="1"/>
    <xf numFmtId="0" fontId="11" fillId="2" borderId="0" xfId="0" applyFont="1" applyFill="1" applyAlignment="1">
      <alignment horizontal="left" vertical="center"/>
    </xf>
    <xf numFmtId="3" fontId="7" fillId="4" borderId="0" xfId="0" applyNumberFormat="1" applyFont="1" applyFill="1"/>
    <xf numFmtId="3" fontId="4" fillId="2" borderId="1" xfId="0" applyNumberFormat="1" applyFont="1" applyFill="1" applyBorder="1"/>
    <xf numFmtId="165" fontId="4" fillId="2" borderId="0" xfId="0" applyNumberFormat="1" applyFont="1" applyFill="1"/>
    <xf numFmtId="0" fontId="5" fillId="2" borderId="0" xfId="0" applyFont="1" applyFill="1"/>
    <xf numFmtId="0" fontId="0" fillId="3" borderId="0" xfId="0" applyFill="1"/>
    <xf numFmtId="165" fontId="0" fillId="4" borderId="0" xfId="0" applyNumberFormat="1" applyFill="1"/>
    <xf numFmtId="165" fontId="0" fillId="2" borderId="3" xfId="0" applyNumberFormat="1" applyFill="1" applyBorder="1"/>
    <xf numFmtId="165" fontId="0" fillId="2" borderId="0" xfId="0" applyNumberFormat="1" applyFill="1"/>
    <xf numFmtId="165" fontId="0" fillId="2" borderId="4" xfId="0" applyNumberFormat="1" applyFill="1" applyBorder="1"/>
    <xf numFmtId="165" fontId="5" fillId="2" borderId="4" xfId="0" applyNumberFormat="1" applyFont="1" applyFill="1" applyBorder="1"/>
    <xf numFmtId="165" fontId="8" fillId="2" borderId="0" xfId="0" applyNumberFormat="1" applyFont="1" applyFill="1"/>
    <xf numFmtId="165" fontId="9" fillId="2" borderId="0" xfId="0" applyNumberFormat="1" applyFont="1" applyFill="1"/>
    <xf numFmtId="0" fontId="0" fillId="2" borderId="4" xfId="0" applyFill="1" applyBorder="1"/>
    <xf numFmtId="0" fontId="0" fillId="4" borderId="0" xfId="0" applyFill="1"/>
    <xf numFmtId="0" fontId="13" fillId="4" borderId="0" xfId="0" applyFont="1" applyFill="1"/>
    <xf numFmtId="165" fontId="13" fillId="4" borderId="0" xfId="0" applyNumberFormat="1" applyFont="1" applyFill="1"/>
    <xf numFmtId="165" fontId="5" fillId="4" borderId="0" xfId="0" applyNumberFormat="1" applyFont="1" applyFill="1"/>
    <xf numFmtId="9" fontId="4" fillId="2" borderId="0" xfId="1" applyFont="1" applyFill="1" applyBorder="1"/>
    <xf numFmtId="0" fontId="0" fillId="2" borderId="3" xfId="0" applyFill="1" applyBorder="1"/>
    <xf numFmtId="0" fontId="8" fillId="2" borderId="3" xfId="0" applyFont="1" applyFill="1" applyBorder="1"/>
    <xf numFmtId="165" fontId="13" fillId="2" borderId="0" xfId="0" applyNumberFormat="1" applyFont="1" applyFill="1"/>
    <xf numFmtId="165" fontId="7" fillId="2" borderId="0" xfId="0" applyNumberFormat="1" applyFont="1" applyFill="1"/>
    <xf numFmtId="0" fontId="7" fillId="2" borderId="0" xfId="0" applyFont="1" applyFill="1"/>
    <xf numFmtId="164" fontId="7" fillId="2" borderId="0" xfId="0" applyNumberFormat="1" applyFont="1" applyFill="1"/>
    <xf numFmtId="165" fontId="4" fillId="2" borderId="4" xfId="0" applyNumberFormat="1" applyFont="1" applyFill="1" applyBorder="1"/>
    <xf numFmtId="164" fontId="4" fillId="2" borderId="4" xfId="0" applyNumberFormat="1" applyFont="1" applyFill="1" applyBorder="1"/>
    <xf numFmtId="165" fontId="0" fillId="2" borderId="0" xfId="0" applyNumberFormat="1" applyFill="1" applyAlignment="1">
      <alignment vertical="center"/>
    </xf>
    <xf numFmtId="165" fontId="5" fillId="2" borderId="3" xfId="0" applyNumberFormat="1" applyFont="1" applyFill="1" applyBorder="1"/>
    <xf numFmtId="165" fontId="7" fillId="2" borderId="3" xfId="0" applyNumberFormat="1" applyFont="1" applyFill="1" applyBorder="1"/>
    <xf numFmtId="164" fontId="7" fillId="2" borderId="3" xfId="0" applyNumberFormat="1" applyFont="1" applyFill="1" applyBorder="1"/>
    <xf numFmtId="165" fontId="0" fillId="5" borderId="0" xfId="0" applyNumberFormat="1" applyFill="1"/>
    <xf numFmtId="165" fontId="5" fillId="5" borderId="4" xfId="0" applyNumberFormat="1" applyFont="1" applyFill="1" applyBorder="1"/>
    <xf numFmtId="165" fontId="0" fillId="5" borderId="4" xfId="0" applyNumberFormat="1" applyFill="1" applyBorder="1"/>
    <xf numFmtId="0" fontId="2" fillId="3" borderId="0" xfId="0" applyFont="1" applyFill="1"/>
    <xf numFmtId="3" fontId="7" fillId="2" borderId="4" xfId="0" applyNumberFormat="1" applyFont="1" applyFill="1" applyBorder="1"/>
    <xf numFmtId="3" fontId="0" fillId="4" borderId="0" xfId="0" applyNumberFormat="1" applyFill="1" applyAlignment="1">
      <alignment horizontal="center"/>
    </xf>
    <xf numFmtId="165" fontId="8" fillId="2" borderId="0" xfId="1" applyNumberFormat="1" applyFont="1" applyFill="1"/>
    <xf numFmtId="0" fontId="3" fillId="4" borderId="0" xfId="2" applyFill="1"/>
    <xf numFmtId="3" fontId="4" fillId="2" borderId="5" xfId="0" applyNumberFormat="1" applyFont="1" applyFill="1" applyBorder="1"/>
    <xf numFmtId="3" fontId="4" fillId="2" borderId="6" xfId="0" applyNumberFormat="1" applyFont="1" applyFill="1" applyBorder="1"/>
    <xf numFmtId="3" fontId="0" fillId="4" borderId="0" xfId="0" applyNumberFormat="1" applyFill="1" applyAlignment="1">
      <alignment horizontal="left"/>
    </xf>
    <xf numFmtId="3" fontId="7" fillId="2" borderId="5" xfId="0" applyNumberFormat="1" applyFont="1" applyFill="1" applyBorder="1"/>
    <xf numFmtId="3" fontId="7" fillId="2" borderId="6" xfId="0" applyNumberFormat="1" applyFont="1" applyFill="1" applyBorder="1"/>
    <xf numFmtId="3" fontId="8" fillId="2" borderId="5" xfId="0" applyNumberFormat="1" applyFont="1" applyFill="1" applyBorder="1"/>
    <xf numFmtId="9" fontId="0" fillId="2" borderId="0" xfId="1" applyFont="1" applyFill="1"/>
    <xf numFmtId="0" fontId="6" fillId="5" borderId="0" xfId="0" applyFont="1" applyFill="1" applyAlignment="1">
      <alignment horizontal="left"/>
    </xf>
    <xf numFmtId="9" fontId="7" fillId="2" borderId="0" xfId="1" applyFont="1" applyFill="1"/>
    <xf numFmtId="9" fontId="4" fillId="4" borderId="0" xfId="1" applyFont="1" applyFill="1"/>
    <xf numFmtId="9" fontId="4" fillId="3" borderId="0" xfId="1" applyFont="1" applyFill="1"/>
    <xf numFmtId="3" fontId="13" fillId="2" borderId="0" xfId="0" applyNumberFormat="1" applyFont="1" applyFill="1"/>
    <xf numFmtId="3" fontId="10" fillId="2" borderId="0" xfId="0" applyNumberFormat="1" applyFont="1" applyFill="1" applyAlignment="1">
      <alignment vertical="center"/>
    </xf>
    <xf numFmtId="3" fontId="12" fillId="2" borderId="0" xfId="0" applyNumberFormat="1" applyFont="1" applyFill="1" applyAlignment="1">
      <alignment vertical="center"/>
    </xf>
    <xf numFmtId="3" fontId="4" fillId="2" borderId="0" xfId="1" applyNumberFormat="1" applyFont="1" applyFill="1"/>
    <xf numFmtId="3" fontId="17" fillId="2" borderId="0" xfId="1" applyNumberFormat="1" applyFont="1" applyFill="1"/>
    <xf numFmtId="9" fontId="17" fillId="2" borderId="0" xfId="1" applyFont="1" applyFill="1"/>
    <xf numFmtId="3" fontId="13" fillId="5" borderId="0" xfId="0" applyNumberFormat="1" applyFont="1" applyFill="1"/>
    <xf numFmtId="9" fontId="13" fillId="5" borderId="0" xfId="1" applyFont="1" applyFill="1"/>
    <xf numFmtId="3" fontId="2" fillId="2" borderId="0" xfId="0" applyNumberFormat="1" applyFont="1" applyFill="1"/>
    <xf numFmtId="3" fontId="13" fillId="4" borderId="0" xfId="0" applyNumberFormat="1" applyFont="1" applyFill="1"/>
    <xf numFmtId="9" fontId="13" fillId="4" borderId="0" xfId="1" applyFont="1" applyFill="1"/>
    <xf numFmtId="3" fontId="0" fillId="5" borderId="0" xfId="0" applyNumberFormat="1" applyFill="1" applyAlignment="1">
      <alignment wrapText="1"/>
    </xf>
    <xf numFmtId="4" fontId="0" fillId="2" borderId="1" xfId="0" applyNumberFormat="1" applyFill="1" applyBorder="1"/>
    <xf numFmtId="3" fontId="5" fillId="5" borderId="0" xfId="0" applyNumberFormat="1" applyFont="1" applyFill="1" applyAlignment="1">
      <alignment wrapText="1"/>
    </xf>
    <xf numFmtId="9" fontId="9" fillId="2" borderId="0" xfId="1" applyFont="1" applyFill="1"/>
    <xf numFmtId="0" fontId="18" fillId="2" borderId="0" xfId="0" applyFont="1" applyFill="1"/>
    <xf numFmtId="0" fontId="3" fillId="3" borderId="0" xfId="2" applyFill="1"/>
    <xf numFmtId="0" fontId="5" fillId="4" borderId="0" xfId="0" applyFont="1" applyFill="1"/>
    <xf numFmtId="1" fontId="4" fillId="2" borderId="0" xfId="0" applyNumberFormat="1" applyFont="1" applyFill="1"/>
    <xf numFmtId="0" fontId="13" fillId="2" borderId="0" xfId="0" applyFont="1" applyFill="1"/>
    <xf numFmtId="3" fontId="19" fillId="2" borderId="0" xfId="0" applyNumberFormat="1" applyFont="1" applyFill="1"/>
    <xf numFmtId="0" fontId="5" fillId="5" borderId="0" xfId="0" applyFont="1" applyFill="1"/>
    <xf numFmtId="0" fontId="5" fillId="2" borderId="0" xfId="0" applyFont="1" applyFill="1" applyAlignment="1">
      <alignment horizontal="center"/>
    </xf>
    <xf numFmtId="0" fontId="5" fillId="5" borderId="0" xfId="0" applyFont="1" applyFill="1" applyAlignment="1">
      <alignment horizontal="center"/>
    </xf>
    <xf numFmtId="1" fontId="9" fillId="2" borderId="0" xfId="0" applyNumberFormat="1" applyFont="1" applyFill="1"/>
    <xf numFmtId="0" fontId="0" fillId="2" borderId="0" xfId="0" applyFill="1" applyAlignment="1">
      <alignment wrapText="1"/>
    </xf>
    <xf numFmtId="0" fontId="0" fillId="2" borderId="7" xfId="0" applyFill="1" applyBorder="1"/>
    <xf numFmtId="0" fontId="9" fillId="2" borderId="0" xfId="0" applyFont="1" applyFill="1"/>
    <xf numFmtId="0" fontId="5" fillId="5" borderId="0" xfId="0" applyFont="1" applyFill="1" applyAlignment="1">
      <alignment horizontal="left"/>
    </xf>
    <xf numFmtId="3" fontId="4" fillId="5" borderId="0" xfId="0" applyNumberFormat="1" applyFont="1" applyFill="1"/>
    <xf numFmtId="3" fontId="21" fillId="2" borderId="0" xfId="0" applyNumberFormat="1" applyFont="1" applyFill="1"/>
    <xf numFmtId="1" fontId="21" fillId="2" borderId="0" xfId="0" applyNumberFormat="1" applyFont="1" applyFill="1"/>
    <xf numFmtId="0" fontId="0" fillId="2" borderId="0" xfId="0" applyFill="1" applyAlignment="1">
      <alignment vertical="center"/>
    </xf>
    <xf numFmtId="0" fontId="0" fillId="2" borderId="2" xfId="0" applyFill="1" applyBorder="1" applyAlignment="1">
      <alignment vertical="center"/>
    </xf>
    <xf numFmtId="165" fontId="0" fillId="2" borderId="0" xfId="0" applyNumberFormat="1" applyFill="1" applyAlignment="1">
      <alignment horizontal="left" vertical="center"/>
    </xf>
    <xf numFmtId="0" fontId="0" fillId="2" borderId="0" xfId="0" applyFill="1" applyAlignment="1">
      <alignment horizontal="left"/>
    </xf>
    <xf numFmtId="3" fontId="22" fillId="3" borderId="0" xfId="0" applyNumberFormat="1" applyFont="1" applyFill="1"/>
    <xf numFmtId="4" fontId="0" fillId="2" borderId="0" xfId="0" applyNumberFormat="1" applyFill="1"/>
    <xf numFmtId="2" fontId="0" fillId="2" borderId="0" xfId="0" applyNumberFormat="1" applyFill="1"/>
    <xf numFmtId="9" fontId="5" fillId="2" borderId="0" xfId="1" applyFont="1" applyFill="1"/>
    <xf numFmtId="0" fontId="0" fillId="2" borderId="0" xfId="0" applyFill="1" applyAlignment="1">
      <alignment horizontal="center"/>
    </xf>
    <xf numFmtId="0" fontId="5" fillId="2" borderId="0" xfId="0" applyFont="1" applyFill="1" applyAlignment="1">
      <alignment vertical="top" wrapText="1"/>
    </xf>
    <xf numFmtId="0" fontId="5" fillId="4" borderId="0" xfId="0" quotePrefix="1" applyFont="1" applyFill="1"/>
    <xf numFmtId="9" fontId="0" fillId="2" borderId="0" xfId="0" applyNumberFormat="1" applyFill="1"/>
    <xf numFmtId="9" fontId="8" fillId="2" borderId="0" xfId="1" applyFont="1" applyFill="1"/>
    <xf numFmtId="0" fontId="5" fillId="4" borderId="0" xfId="0" applyFont="1" applyFill="1" applyAlignment="1">
      <alignment vertical="top" wrapText="1"/>
    </xf>
    <xf numFmtId="0" fontId="0" fillId="5" borderId="0" xfId="0" applyFill="1" applyAlignment="1">
      <alignment wrapText="1"/>
    </xf>
    <xf numFmtId="0" fontId="13" fillId="5" borderId="0" xfId="0" applyFont="1" applyFill="1"/>
    <xf numFmtId="0" fontId="5" fillId="3" borderId="0" xfId="0" applyFont="1" applyFill="1"/>
    <xf numFmtId="0" fontId="24" fillId="2" borderId="0" xfId="0" applyFont="1" applyFill="1"/>
    <xf numFmtId="0" fontId="0" fillId="2" borderId="0" xfId="0" quotePrefix="1" applyFill="1"/>
    <xf numFmtId="0" fontId="5" fillId="2" borderId="0" xfId="0" quotePrefix="1" applyFont="1" applyFill="1"/>
    <xf numFmtId="0" fontId="5" fillId="2" borderId="7" xfId="0" applyFont="1" applyFill="1" applyBorder="1"/>
    <xf numFmtId="0" fontId="24" fillId="2" borderId="0" xfId="0" quotePrefix="1" applyFont="1" applyFill="1"/>
    <xf numFmtId="0" fontId="13" fillId="3" borderId="0" xfId="0" applyFont="1" applyFill="1"/>
    <xf numFmtId="0" fontId="9" fillId="2" borderId="0" xfId="0" quotePrefix="1" applyFont="1" applyFill="1"/>
    <xf numFmtId="0" fontId="0" fillId="2" borderId="0" xfId="0" applyFill="1" applyAlignment="1">
      <alignment horizontal="right"/>
    </xf>
    <xf numFmtId="0" fontId="0" fillId="5" borderId="0" xfId="0" applyFill="1" applyAlignment="1">
      <alignment horizontal="right"/>
    </xf>
    <xf numFmtId="0" fontId="8" fillId="2" borderId="0" xfId="0" quotePrefix="1" applyFont="1" applyFill="1"/>
    <xf numFmtId="1" fontId="8" fillId="2" borderId="0" xfId="0" applyNumberFormat="1" applyFont="1" applyFill="1"/>
    <xf numFmtId="0" fontId="24" fillId="2" borderId="7" xfId="0" applyFont="1" applyFill="1" applyBorder="1"/>
    <xf numFmtId="0" fontId="24" fillId="2" borderId="7" xfId="0" quotePrefix="1" applyFont="1" applyFill="1" applyBorder="1"/>
    <xf numFmtId="164" fontId="7" fillId="2" borderId="7" xfId="0" applyNumberFormat="1" applyFont="1" applyFill="1" applyBorder="1"/>
    <xf numFmtId="0" fontId="9" fillId="2" borderId="7" xfId="0" quotePrefix="1" applyFont="1" applyFill="1" applyBorder="1"/>
    <xf numFmtId="0" fontId="13" fillId="2" borderId="0" xfId="0" quotePrefix="1" applyFont="1" applyFill="1"/>
    <xf numFmtId="0" fontId="13" fillId="2" borderId="7" xfId="0" applyFont="1" applyFill="1" applyBorder="1"/>
    <xf numFmtId="165" fontId="0" fillId="5" borderId="0" xfId="0" applyNumberFormat="1" applyFill="1" applyAlignment="1">
      <alignment horizontal="left" vertical="center" wrapText="1"/>
    </xf>
    <xf numFmtId="0" fontId="13" fillId="2" borderId="0" xfId="0" applyFont="1" applyFill="1" applyAlignment="1">
      <alignment horizontal="center"/>
    </xf>
    <xf numFmtId="0" fontId="25" fillId="2" borderId="0" xfId="0" applyFont="1" applyFill="1" applyAlignment="1">
      <alignment horizontal="center"/>
    </xf>
    <xf numFmtId="0" fontId="7" fillId="2" borderId="0" xfId="0" quotePrefix="1" applyFont="1" applyFill="1"/>
    <xf numFmtId="4" fontId="4" fillId="2" borderId="0" xfId="0" applyNumberFormat="1" applyFont="1" applyFill="1"/>
    <xf numFmtId="0" fontId="26" fillId="2" borderId="0" xfId="0" applyFont="1" applyFill="1"/>
    <xf numFmtId="0" fontId="5" fillId="5" borderId="0" xfId="0" applyFont="1" applyFill="1" applyAlignment="1">
      <alignment horizontal="right"/>
    </xf>
    <xf numFmtId="4" fontId="9" fillId="2" borderId="0" xfId="0" applyNumberFormat="1" applyFont="1" applyFill="1"/>
    <xf numFmtId="1" fontId="0" fillId="2" borderId="0" xfId="0" applyNumberFormat="1" applyFill="1"/>
    <xf numFmtId="164" fontId="4" fillId="2" borderId="0" xfId="0" applyNumberFormat="1" applyFont="1" applyFill="1"/>
    <xf numFmtId="164" fontId="9" fillId="2" borderId="0" xfId="0" applyNumberFormat="1" applyFont="1" applyFill="1"/>
    <xf numFmtId="165" fontId="5" fillId="2" borderId="0" xfId="0" applyNumberFormat="1" applyFont="1" applyFill="1"/>
    <xf numFmtId="165" fontId="0" fillId="2" borderId="4" xfId="0" applyNumberFormat="1" applyFill="1" applyBorder="1" applyAlignment="1">
      <alignment vertical="center"/>
    </xf>
    <xf numFmtId="165" fontId="9" fillId="2" borderId="4" xfId="0" applyNumberFormat="1" applyFont="1" applyFill="1" applyBorder="1"/>
    <xf numFmtId="0" fontId="7" fillId="2" borderId="4" xfId="0" applyFont="1" applyFill="1" applyBorder="1"/>
    <xf numFmtId="3" fontId="27" fillId="2" borderId="0" xfId="0" applyNumberFormat="1" applyFont="1" applyFill="1"/>
    <xf numFmtId="3" fontId="28" fillId="2" borderId="2" xfId="0" applyNumberFormat="1" applyFont="1" applyFill="1" applyBorder="1"/>
    <xf numFmtId="3" fontId="29" fillId="2" borderId="2" xfId="0" applyNumberFormat="1" applyFont="1" applyFill="1" applyBorder="1"/>
    <xf numFmtId="0" fontId="29" fillId="2" borderId="2" xfId="0" applyFont="1" applyFill="1" applyBorder="1"/>
    <xf numFmtId="3" fontId="30" fillId="2" borderId="2" xfId="0" applyNumberFormat="1" applyFont="1" applyFill="1" applyBorder="1"/>
    <xf numFmtId="3" fontId="28" fillId="2" borderId="0" xfId="0" applyNumberFormat="1" applyFont="1" applyFill="1"/>
    <xf numFmtId="3" fontId="29" fillId="2" borderId="0" xfId="0" applyNumberFormat="1" applyFont="1" applyFill="1"/>
    <xf numFmtId="0" fontId="29" fillId="2" borderId="0" xfId="0" applyFont="1" applyFill="1"/>
    <xf numFmtId="3" fontId="30" fillId="2" borderId="0" xfId="0" applyNumberFormat="1" applyFont="1" applyFill="1"/>
    <xf numFmtId="3" fontId="31" fillId="2" borderId="0" xfId="0" applyNumberFormat="1" applyFont="1" applyFill="1"/>
    <xf numFmtId="3" fontId="31" fillId="2" borderId="2" xfId="0" applyNumberFormat="1" applyFont="1" applyFill="1" applyBorder="1"/>
    <xf numFmtId="3" fontId="32" fillId="2" borderId="0" xfId="0" applyNumberFormat="1" applyFont="1" applyFill="1"/>
    <xf numFmtId="0" fontId="0" fillId="5" borderId="0" xfId="0" applyFill="1" applyAlignment="1">
      <alignment horizontal="left"/>
    </xf>
    <xf numFmtId="0" fontId="4" fillId="2" borderId="0" xfId="0" applyFont="1" applyFill="1"/>
    <xf numFmtId="0" fontId="0" fillId="6" borderId="0" xfId="0" applyFill="1"/>
    <xf numFmtId="0" fontId="2" fillId="6" borderId="0" xfId="0" applyFont="1" applyFill="1"/>
    <xf numFmtId="0" fontId="0" fillId="2" borderId="1" xfId="0" applyFill="1" applyBorder="1"/>
    <xf numFmtId="0" fontId="0" fillId="5" borderId="1" xfId="0" applyFill="1" applyBorder="1"/>
    <xf numFmtId="0" fontId="8" fillId="2" borderId="1" xfId="0" applyFont="1" applyFill="1" applyBorder="1"/>
    <xf numFmtId="0" fontId="8" fillId="2" borderId="1" xfId="0" quotePrefix="1" applyFont="1" applyFill="1" applyBorder="1"/>
    <xf numFmtId="0" fontId="7" fillId="2" borderId="1" xfId="0" applyFont="1" applyFill="1" applyBorder="1"/>
    <xf numFmtId="0" fontId="7" fillId="2" borderId="1" xfId="0" quotePrefix="1" applyFont="1" applyFill="1" applyBorder="1"/>
    <xf numFmtId="0" fontId="9" fillId="2" borderId="1" xfId="0" applyFont="1" applyFill="1" applyBorder="1"/>
    <xf numFmtId="0" fontId="33" fillId="5" borderId="0" xfId="0" applyFont="1" applyFill="1" applyAlignment="1">
      <alignment horizontal="right"/>
    </xf>
    <xf numFmtId="0" fontId="0" fillId="2" borderId="0" xfId="0" applyFill="1" applyAlignment="1">
      <alignment vertical="top"/>
    </xf>
    <xf numFmtId="0" fontId="13" fillId="2" borderId="0" xfId="0" applyFont="1" applyFill="1" applyAlignment="1">
      <alignment vertical="top"/>
    </xf>
    <xf numFmtId="0" fontId="13" fillId="2" borderId="0" xfId="0" applyFont="1" applyFill="1" applyAlignment="1">
      <alignment wrapText="1"/>
    </xf>
    <xf numFmtId="0" fontId="13" fillId="2" borderId="2" xfId="0" applyFont="1" applyFill="1" applyBorder="1"/>
    <xf numFmtId="0" fontId="13" fillId="2" borderId="9" xfId="0" applyFont="1" applyFill="1" applyBorder="1"/>
    <xf numFmtId="0" fontId="0" fillId="3" borderId="0" xfId="0" applyFill="1" applyAlignment="1">
      <alignment horizontal="center"/>
    </xf>
    <xf numFmtId="0" fontId="35" fillId="2" borderId="0" xfId="0" applyFont="1" applyFill="1" applyAlignment="1">
      <alignment horizontal="center" vertical="top"/>
    </xf>
    <xf numFmtId="0" fontId="34" fillId="2" borderId="0" xfId="0" applyFont="1" applyFill="1" applyAlignment="1">
      <alignment horizontal="center"/>
    </xf>
    <xf numFmtId="0" fontId="0" fillId="3" borderId="0" xfId="0" applyFill="1" applyAlignment="1">
      <alignment horizontal="left"/>
    </xf>
    <xf numFmtId="0" fontId="36" fillId="2" borderId="0" xfId="0" quotePrefix="1" applyFont="1" applyFill="1" applyAlignment="1">
      <alignment horizontal="center" vertical="top"/>
    </xf>
    <xf numFmtId="0" fontId="36" fillId="2" borderId="2" xfId="0" applyFont="1" applyFill="1" applyBorder="1" applyAlignment="1">
      <alignment horizontal="center"/>
    </xf>
    <xf numFmtId="0" fontId="36" fillId="2" borderId="0" xfId="0" applyFont="1" applyFill="1" applyAlignment="1">
      <alignment horizontal="center"/>
    </xf>
    <xf numFmtId="0" fontId="35" fillId="2" borderId="0" xfId="0" applyFont="1" applyFill="1" applyAlignment="1">
      <alignment horizontal="center"/>
    </xf>
    <xf numFmtId="0" fontId="35" fillId="2" borderId="2" xfId="0" applyFont="1" applyFill="1" applyBorder="1" applyAlignment="1">
      <alignment horizontal="center"/>
    </xf>
    <xf numFmtId="0" fontId="34" fillId="2" borderId="2" xfId="0" applyFont="1" applyFill="1" applyBorder="1" applyAlignment="1">
      <alignment horizontal="center"/>
    </xf>
    <xf numFmtId="0" fontId="34" fillId="2" borderId="2" xfId="0" quotePrefix="1" applyFont="1" applyFill="1" applyBorder="1" applyAlignment="1">
      <alignment horizontal="center" vertical="top"/>
    </xf>
    <xf numFmtId="0" fontId="36" fillId="2" borderId="0" xfId="0" applyFont="1" applyFill="1" applyAlignment="1">
      <alignment horizontal="center" vertical="top"/>
    </xf>
    <xf numFmtId="3" fontId="0" fillId="2" borderId="0" xfId="0" quotePrefix="1" applyNumberFormat="1" applyFill="1"/>
    <xf numFmtId="0" fontId="38" fillId="4" borderId="10" xfId="5" applyFont="1" applyFill="1" applyBorder="1" applyAlignment="1">
      <alignment horizontal="center" vertical="top"/>
    </xf>
    <xf numFmtId="3" fontId="39" fillId="4" borderId="10" xfId="5" applyNumberFormat="1" applyFont="1" applyFill="1" applyBorder="1"/>
    <xf numFmtId="0" fontId="22" fillId="4" borderId="4" xfId="0" applyFont="1" applyFill="1" applyBorder="1"/>
    <xf numFmtId="0" fontId="40" fillId="4" borderId="4" xfId="0" applyFont="1" applyFill="1" applyBorder="1"/>
    <xf numFmtId="0" fontId="40" fillId="4" borderId="4" xfId="0" applyFont="1" applyFill="1" applyBorder="1" applyAlignment="1">
      <alignment horizontal="center"/>
    </xf>
    <xf numFmtId="3" fontId="41" fillId="2" borderId="0" xfId="0" applyNumberFormat="1" applyFont="1" applyFill="1"/>
    <xf numFmtId="164" fontId="0" fillId="2" borderId="0" xfId="0" applyNumberFormat="1" applyFill="1"/>
    <xf numFmtId="0" fontId="0" fillId="2" borderId="8" xfId="0" applyFill="1" applyBorder="1" applyAlignment="1">
      <alignment horizontal="left" vertical="top"/>
    </xf>
    <xf numFmtId="0" fontId="0" fillId="2" borderId="0" xfId="0" applyFill="1" applyAlignment="1">
      <alignment horizontal="left" vertical="top"/>
    </xf>
    <xf numFmtId="0" fontId="0" fillId="2" borderId="2" xfId="0" applyFill="1" applyBorder="1" applyAlignment="1">
      <alignment horizontal="left" vertical="top"/>
    </xf>
    <xf numFmtId="3" fontId="13" fillId="5" borderId="0" xfId="0" applyNumberFormat="1" applyFont="1" applyFill="1" applyAlignment="1">
      <alignment horizontal="left" vertical="top" wrapText="1"/>
    </xf>
    <xf numFmtId="3" fontId="0" fillId="5" borderId="0" xfId="0" applyNumberFormat="1" applyFill="1" applyAlignment="1">
      <alignment horizontal="center" vertical="top"/>
    </xf>
    <xf numFmtId="3" fontId="0" fillId="5" borderId="0" xfId="0" applyNumberFormat="1" applyFill="1" applyAlignment="1">
      <alignment horizontal="center"/>
    </xf>
    <xf numFmtId="0" fontId="0" fillId="5" borderId="1" xfId="0" applyFill="1" applyBorder="1" applyAlignment="1">
      <alignment horizontal="center"/>
    </xf>
    <xf numFmtId="0" fontId="0" fillId="5" borderId="0" xfId="0" applyFill="1" applyAlignment="1">
      <alignment horizontal="center"/>
    </xf>
    <xf numFmtId="9" fontId="13" fillId="5" borderId="0" xfId="1" applyFont="1" applyFill="1" applyAlignment="1">
      <alignment horizontal="center"/>
    </xf>
    <xf numFmtId="3" fontId="0" fillId="5" borderId="0" xfId="0" applyNumberFormat="1" applyFill="1" applyAlignment="1">
      <alignment horizontal="left" wrapText="1"/>
    </xf>
    <xf numFmtId="0" fontId="13" fillId="5" borderId="0" xfId="3" applyFont="1" applyFill="1" applyAlignment="1">
      <alignment horizontal="center" textRotation="90" wrapText="1"/>
    </xf>
    <xf numFmtId="3" fontId="0" fillId="5" borderId="5" xfId="0" applyNumberFormat="1" applyFill="1" applyBorder="1" applyAlignment="1">
      <alignment horizontal="center"/>
    </xf>
    <xf numFmtId="3" fontId="0" fillId="5" borderId="6" xfId="0" applyNumberFormat="1" applyFill="1" applyBorder="1" applyAlignment="1">
      <alignment horizontal="center"/>
    </xf>
    <xf numFmtId="0" fontId="13" fillId="5" borderId="5" xfId="3" applyFont="1" applyFill="1" applyBorder="1" applyAlignment="1">
      <alignment horizontal="center" textRotation="90" wrapText="1"/>
    </xf>
    <xf numFmtId="0" fontId="0" fillId="4" borderId="0" xfId="0" applyFill="1" applyAlignment="1">
      <alignment horizontal="center"/>
    </xf>
    <xf numFmtId="0" fontId="5" fillId="4" borderId="0" xfId="0" applyFont="1" applyFill="1" applyAlignment="1">
      <alignment horizontal="left" vertical="top" wrapText="1"/>
    </xf>
    <xf numFmtId="0" fontId="5" fillId="4" borderId="0" xfId="0" applyFont="1" applyFill="1" applyAlignment="1">
      <alignment horizontal="left" wrapText="1"/>
    </xf>
    <xf numFmtId="0" fontId="0" fillId="5" borderId="0" xfId="0" applyFill="1" applyAlignment="1">
      <alignment horizontal="left" vertical="top" wrapText="1"/>
    </xf>
    <xf numFmtId="0" fontId="5" fillId="5" borderId="0" xfId="0" applyFont="1" applyFill="1" applyAlignment="1">
      <alignment horizontal="left" vertical="top" wrapText="1"/>
    </xf>
    <xf numFmtId="0" fontId="0" fillId="5" borderId="0" xfId="0" applyFill="1" applyAlignment="1">
      <alignment horizontal="left" wrapText="1"/>
    </xf>
    <xf numFmtId="0" fontId="0" fillId="5" borderId="0" xfId="0" applyFill="1" applyAlignment="1">
      <alignment horizontal="center" wrapText="1"/>
    </xf>
    <xf numFmtId="165" fontId="13" fillId="4" borderId="0" xfId="0" applyNumberFormat="1" applyFont="1" applyFill="1" applyAlignment="1">
      <alignment horizontal="left" wrapText="1"/>
    </xf>
    <xf numFmtId="165" fontId="0" fillId="5" borderId="3" xfId="0" applyNumberFormat="1" applyFill="1" applyBorder="1" applyAlignment="1">
      <alignment horizontal="left" vertical="center" wrapText="1"/>
    </xf>
    <xf numFmtId="165" fontId="0" fillId="5" borderId="0" xfId="0" applyNumberFormat="1" applyFill="1" applyAlignment="1">
      <alignment horizontal="left" vertical="center" wrapText="1"/>
    </xf>
    <xf numFmtId="165" fontId="0" fillId="5" borderId="4" xfId="0" applyNumberFormat="1" applyFill="1" applyBorder="1" applyAlignment="1">
      <alignment horizontal="left" vertical="center" wrapText="1"/>
    </xf>
    <xf numFmtId="165" fontId="5" fillId="2" borderId="3" xfId="0" applyNumberFormat="1" applyFont="1" applyFill="1" applyBorder="1" applyAlignment="1">
      <alignment horizontal="center" vertical="center"/>
    </xf>
    <xf numFmtId="165" fontId="5" fillId="2" borderId="0" xfId="0" applyNumberFormat="1" applyFont="1" applyFill="1" applyAlignment="1">
      <alignment horizontal="center" vertical="center"/>
    </xf>
    <xf numFmtId="165" fontId="5" fillId="2" borderId="4" xfId="0" applyNumberFormat="1" applyFont="1" applyFill="1" applyBorder="1" applyAlignment="1">
      <alignment horizontal="center" vertical="center"/>
    </xf>
    <xf numFmtId="165" fontId="0" fillId="2" borderId="0" xfId="0" applyNumberFormat="1" applyFill="1" applyAlignment="1">
      <alignment horizontal="left" vertical="center"/>
    </xf>
    <xf numFmtId="165" fontId="0" fillId="2" borderId="4" xfId="0" applyNumberFormat="1" applyFill="1" applyBorder="1" applyAlignment="1">
      <alignment horizontal="left" vertical="center"/>
    </xf>
    <xf numFmtId="165" fontId="0" fillId="2" borderId="3" xfId="0" applyNumberFormat="1" applyFill="1" applyBorder="1" applyAlignment="1">
      <alignment horizontal="left" vertical="center"/>
    </xf>
    <xf numFmtId="0" fontId="0" fillId="4" borderId="0" xfId="0" applyFill="1" applyAlignment="1">
      <alignment horizontal="left" vertical="top" wrapText="1"/>
    </xf>
  </cellXfs>
  <cellStyles count="6">
    <cellStyle name="Hyperlink" xfId="2" builtinId="8"/>
    <cellStyle name="Normaali 4" xfId="3" xr:uid="{FB114CE0-098D-45FC-9ECB-05E8082EE4BD}"/>
    <cellStyle name="Normal" xfId="0" builtinId="0"/>
    <cellStyle name="Normal 3" xfId="5" xr:uid="{849C9DB1-9493-49C8-8B82-52F85C97E493}"/>
    <cellStyle name="Normal 5" xfId="4" xr:uid="{4AC22AD3-7798-453A-B423-79643AFA8A24}"/>
    <cellStyle name="Percent" xfId="1" builtinId="5"/>
  </cellStyles>
  <dxfs count="87">
    <dxf>
      <font>
        <color theme="0"/>
      </font>
      <fill>
        <patternFill patternType="solid">
          <bgColor theme="0"/>
        </patternFill>
      </fill>
    </dxf>
    <dxf>
      <font>
        <color theme="0"/>
      </font>
      <fill>
        <patternFill>
          <bgColor theme="0"/>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rgb="FF808080"/>
        <name val="Calibri"/>
        <family val="2"/>
        <scheme val="none"/>
      </font>
      <fill>
        <patternFill patternType="solid">
          <fgColor rgb="FF000000"/>
          <bgColor rgb="FFFFFFFF"/>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b val="0"/>
        <i val="0"/>
        <strike val="0"/>
        <condense val="0"/>
        <extend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alignment horizontal="general" vertical="bottom" textRotation="0" wrapText="1" indent="0" justifyLastLine="0" shrinkToFit="0" readingOrder="0"/>
    </dxf>
    <dxf>
      <font>
        <strike val="0"/>
        <outline val="0"/>
        <shadow val="0"/>
        <u val="none"/>
        <vertAlign val="baseline"/>
        <sz val="11"/>
        <color theme="8" tint="0.39997558519241921"/>
        <name val="Calibri"/>
        <family val="2"/>
        <scheme val="minor"/>
      </font>
      <numFmt numFmtId="1"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8" tint="-0.249977111117893"/>
        <name val="Calibri"/>
        <family val="2"/>
        <scheme val="minor"/>
      </font>
      <fill>
        <patternFill patternType="solid">
          <fgColor indexed="64"/>
          <bgColor theme="0"/>
        </patternFill>
      </fill>
    </dxf>
    <dxf>
      <font>
        <strike val="0"/>
        <outline val="0"/>
        <shadow val="0"/>
        <u val="none"/>
        <vertAlign val="baseline"/>
        <sz val="11"/>
        <color theme="9" tint="-0.249977111117893"/>
        <name val="Calibri"/>
        <family val="2"/>
        <scheme val="minor"/>
      </font>
      <numFmt numFmtId="165" formatCode="#,##0.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1" formatCode="0"/>
      <fill>
        <patternFill patternType="solid">
          <fgColor indexed="64"/>
          <bgColor theme="0"/>
        </patternFill>
      </fill>
    </dxf>
    <dxf>
      <numFmt numFmtId="3" formatCode="#,##0"/>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ont>
        <b val="0"/>
        <i val="0"/>
        <strike val="0"/>
        <condense val="0"/>
        <extend val="0"/>
        <outline val="0"/>
        <shadow val="0"/>
        <u val="none"/>
        <vertAlign val="baseline"/>
        <sz val="11"/>
        <color theme="0"/>
        <name val="Calibri"/>
        <family val="2"/>
        <scheme val="minor"/>
      </font>
      <numFmt numFmtId="3" formatCode="#,##0"/>
      <fill>
        <patternFill patternType="solid">
          <fgColor indexed="64"/>
          <bgColor theme="0"/>
        </patternFill>
      </fill>
    </dxf>
    <dxf>
      <font>
        <b val="0"/>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ont>
        <b val="0"/>
        <i val="0"/>
        <strike val="0"/>
        <condense val="0"/>
        <extend val="0"/>
        <outline val="0"/>
        <shadow val="0"/>
        <u val="none"/>
        <vertAlign val="baseline"/>
        <sz val="11"/>
        <color theme="0"/>
        <name val="Calibri"/>
        <family val="2"/>
        <scheme val="minor"/>
      </font>
      <numFmt numFmtId="3" formatCode="#,##0"/>
      <fill>
        <patternFill patternType="solid">
          <fgColor indexed="64"/>
          <bgColor theme="0"/>
        </patternFill>
      </fill>
    </dxf>
    <dxf>
      <fill>
        <patternFill patternType="solid">
          <fgColor indexed="64"/>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D_el!$C$40</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E38B-4283-9DC1-668FD682DAB7}"/>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E38B-4283-9DC1-668FD682DAB7}"/>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E38B-4283-9DC1-668FD682DAB7}"/>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E38B-4283-9DC1-668FD682DAB7}"/>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E38B-4283-9DC1-668FD682DAB7}"/>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E38B-4283-9DC1-668FD682DAB7}"/>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E38B-4283-9DC1-668FD682DAB7}"/>
              </c:ext>
            </c:extLst>
          </c:dPt>
          <c:dPt>
            <c:idx val="1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F-E38B-4283-9DC1-668FD682DAB7}"/>
              </c:ext>
            </c:extLst>
          </c:dPt>
          <c:dPt>
            <c:idx val="1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1-E38B-4283-9DC1-668FD682DAB7}"/>
              </c:ext>
            </c:extLst>
          </c:dPt>
          <c:dPt>
            <c:idx val="1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3-E38B-4283-9DC1-668FD682DAB7}"/>
              </c:ext>
            </c:extLst>
          </c:dPt>
          <c:dPt>
            <c:idx val="2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5-E38B-4283-9DC1-668FD682DAB7}"/>
              </c:ext>
            </c:extLst>
          </c:dPt>
          <c:dPt>
            <c:idx val="2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7-E38B-4283-9DC1-668FD682DAB7}"/>
              </c:ext>
            </c:extLst>
          </c:dPt>
          <c:dPt>
            <c:idx val="2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9-E38B-4283-9DC1-668FD682DAB7}"/>
              </c:ext>
            </c:extLst>
          </c:dPt>
          <c:dPt>
            <c:idx val="2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B-E38B-4283-9DC1-668FD682DAB7}"/>
              </c:ext>
            </c:extLst>
          </c:dPt>
          <c:dPt>
            <c:idx val="2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D-E38B-4283-9DC1-668FD682DAB7}"/>
              </c:ext>
            </c:extLst>
          </c:dPt>
          <c:dPt>
            <c:idx val="3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F-E38B-4283-9DC1-668FD682DAB7}"/>
              </c:ext>
            </c:extLst>
          </c:dPt>
          <c:dPt>
            <c:idx val="3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1-E38B-4283-9DC1-668FD682DAB7}"/>
              </c:ext>
            </c:extLst>
          </c:dPt>
          <c:dPt>
            <c:idx val="3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3-E38B-4283-9DC1-668FD682DAB7}"/>
              </c:ext>
            </c:extLst>
          </c:dPt>
          <c:cat>
            <c:multiLvlStrRef>
              <c:f>D_el!$A$41:$B$78</c:f>
            </c:multiLvlStrRef>
          </c:cat>
          <c:val>
            <c:numRef>
              <c:f>D_el!$C$41:$C$78</c:f>
            </c:numRef>
          </c:val>
          <c:extLst>
            <c:ext xmlns:c16="http://schemas.microsoft.com/office/drawing/2014/chart" uri="{C3380CC4-5D6E-409C-BE32-E72D297353CC}">
              <c16:uniqueId val="{00000024-E38B-4283-9DC1-668FD682DAB7}"/>
            </c:ext>
          </c:extLst>
        </c:ser>
        <c:ser>
          <c:idx val="2"/>
          <c:order val="1"/>
          <c:tx>
            <c:strRef>
              <c:f>D_el!$D$40</c:f>
              <c:strCache>
                <c:ptCount val="1"/>
                <c:pt idx="0">
                  <c:v>Comerce</c:v>
                </c:pt>
              </c:strCache>
            </c:strRef>
          </c:tx>
          <c:spPr>
            <a:solidFill>
              <a:schemeClr val="tx2">
                <a:lumMod val="75000"/>
              </a:schemeClr>
            </a:solidFill>
            <a:ln>
              <a:noFill/>
            </a:ln>
            <a:effectLst/>
          </c:spPr>
          <c:invertIfNegative val="0"/>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6-E38B-4283-9DC1-668FD682DAB7}"/>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8-E38B-4283-9DC1-668FD682DAB7}"/>
              </c:ext>
            </c:extLst>
          </c:dPt>
          <c:dPt>
            <c:idx val="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A-E38B-4283-9DC1-668FD682DAB7}"/>
              </c:ext>
            </c:extLst>
          </c:dPt>
          <c:dPt>
            <c:idx val="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C-E38B-4283-9DC1-668FD682DAB7}"/>
              </c:ext>
            </c:extLst>
          </c:dPt>
          <c:dPt>
            <c:idx val="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E-E38B-4283-9DC1-668FD682DAB7}"/>
              </c:ext>
            </c:extLst>
          </c:dPt>
          <c:dPt>
            <c:idx val="1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0-E38B-4283-9DC1-668FD682DAB7}"/>
              </c:ext>
            </c:extLst>
          </c:dPt>
          <c:dPt>
            <c:idx val="1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2-E38B-4283-9DC1-668FD682DAB7}"/>
              </c:ext>
            </c:extLst>
          </c:dPt>
          <c:dPt>
            <c:idx val="1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4-E38B-4283-9DC1-668FD682DAB7}"/>
              </c:ext>
            </c:extLst>
          </c:dPt>
          <c:dPt>
            <c:idx val="1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6-E38B-4283-9DC1-668FD682DAB7}"/>
              </c:ext>
            </c:extLst>
          </c:dPt>
          <c:dPt>
            <c:idx val="1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8-E38B-4283-9DC1-668FD682DAB7}"/>
              </c:ext>
            </c:extLst>
          </c:dPt>
          <c:dPt>
            <c:idx val="2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A-E38B-4283-9DC1-668FD682DAB7}"/>
              </c:ext>
            </c:extLst>
          </c:dPt>
          <c:dPt>
            <c:idx val="2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C-E38B-4283-9DC1-668FD682DAB7}"/>
              </c:ext>
            </c:extLst>
          </c:dPt>
          <c:dPt>
            <c:idx val="2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E-E38B-4283-9DC1-668FD682DAB7}"/>
              </c:ext>
            </c:extLst>
          </c:dPt>
          <c:dPt>
            <c:idx val="2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0-E38B-4283-9DC1-668FD682DAB7}"/>
              </c:ext>
            </c:extLst>
          </c:dPt>
          <c:dPt>
            <c:idx val="2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2-E38B-4283-9DC1-668FD682DAB7}"/>
              </c:ext>
            </c:extLst>
          </c:dPt>
          <c:dPt>
            <c:idx val="3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4-E38B-4283-9DC1-668FD682DAB7}"/>
              </c:ext>
            </c:extLst>
          </c:dPt>
          <c:dPt>
            <c:idx val="3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6-E38B-4283-9DC1-668FD682DAB7}"/>
              </c:ext>
            </c:extLst>
          </c:dPt>
          <c:dPt>
            <c:idx val="3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8-E38B-4283-9DC1-668FD682DAB7}"/>
              </c:ext>
            </c:extLst>
          </c:dPt>
          <c:dPt>
            <c:idx val="3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A-E38B-4283-9DC1-668FD682DAB7}"/>
              </c:ext>
            </c:extLst>
          </c:dPt>
          <c:cat>
            <c:multiLvlStrRef>
              <c:f>D_el!$A$41:$B$78</c:f>
            </c:multiLvlStrRef>
          </c:cat>
          <c:val>
            <c:numRef>
              <c:f>D_el!$D$41:$D$78</c:f>
            </c:numRef>
          </c:val>
          <c:extLst>
            <c:ext xmlns:c16="http://schemas.microsoft.com/office/drawing/2014/chart" uri="{C3380CC4-5D6E-409C-BE32-E72D297353CC}">
              <c16:uniqueId val="{0000004B-E38B-4283-9DC1-668FD682DAB7}"/>
            </c:ext>
          </c:extLst>
        </c:ser>
        <c:ser>
          <c:idx val="0"/>
          <c:order val="2"/>
          <c:tx>
            <c:strRef>
              <c:f>D_el!$E$40</c:f>
              <c:strCache>
                <c:ptCount val="1"/>
                <c:pt idx="0">
                  <c:v>Residence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D-E38B-4283-9DC1-668FD682DAB7}"/>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F-E38B-4283-9DC1-668FD682DAB7}"/>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1-E38B-4283-9DC1-668FD682DAB7}"/>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3-E38B-4283-9DC1-668FD682DAB7}"/>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5-E38B-4283-9DC1-668FD682DAB7}"/>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7-E38B-4283-9DC1-668FD682DAB7}"/>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9-E38B-4283-9DC1-668FD682DAB7}"/>
              </c:ext>
            </c:extLst>
          </c:dPt>
          <c:dPt>
            <c:idx val="1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B-E38B-4283-9DC1-668FD682DAB7}"/>
              </c:ext>
            </c:extLst>
          </c:dPt>
          <c:dPt>
            <c:idx val="1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D-E38B-4283-9DC1-668FD682DAB7}"/>
              </c:ext>
            </c:extLst>
          </c:dPt>
          <c:dPt>
            <c:idx val="1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F-E38B-4283-9DC1-668FD682DAB7}"/>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1-E38B-4283-9DC1-668FD682DAB7}"/>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3-E38B-4283-9DC1-668FD682DAB7}"/>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5-E38B-4283-9DC1-668FD682DAB7}"/>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7-E38B-4283-9DC1-668FD682DAB7}"/>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9-E38B-4283-9DC1-668FD682DAB7}"/>
              </c:ext>
            </c:extLst>
          </c:dPt>
          <c:dPt>
            <c:idx val="3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B-E38B-4283-9DC1-668FD682DAB7}"/>
              </c:ext>
            </c:extLst>
          </c:dPt>
          <c:dPt>
            <c:idx val="3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D-E38B-4283-9DC1-668FD682DAB7}"/>
              </c:ext>
            </c:extLst>
          </c:dPt>
          <c:dPt>
            <c:idx val="3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F-E38B-4283-9DC1-668FD682DAB7}"/>
              </c:ext>
            </c:extLst>
          </c:dPt>
          <c:dPt>
            <c:idx val="3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71-E38B-4283-9DC1-668FD682DAB7}"/>
              </c:ext>
            </c:extLst>
          </c:dPt>
          <c:cat>
            <c:multiLvlStrRef>
              <c:f>D_el!$A$41:$B$78</c:f>
            </c:multiLvlStrRef>
          </c:cat>
          <c:val>
            <c:numRef>
              <c:f>D_el!$E$41:$E$78</c:f>
            </c:numRef>
          </c:val>
          <c:extLst>
            <c:ext xmlns:c16="http://schemas.microsoft.com/office/drawing/2014/chart" uri="{C3380CC4-5D6E-409C-BE32-E72D297353CC}">
              <c16:uniqueId val="{00000072-E38B-4283-9DC1-668FD682DAB7}"/>
            </c:ext>
          </c:extLst>
        </c:ser>
        <c:dLbls>
          <c:showLegendKey val="0"/>
          <c:showVal val="0"/>
          <c:showCatName val="0"/>
          <c:showSerName val="0"/>
          <c:showPercent val="0"/>
          <c:showBubbleSize val="0"/>
        </c:dLbls>
        <c:gapWidth val="10"/>
        <c:overlap val="100"/>
        <c:axId val="412035952"/>
        <c:axId val="412035472"/>
      </c:barChart>
      <c:catAx>
        <c:axId val="4120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472"/>
        <c:crosses val="autoZero"/>
        <c:auto val="1"/>
        <c:lblAlgn val="ctr"/>
        <c:lblOffset val="100"/>
        <c:noMultiLvlLbl val="0"/>
      </c:catAx>
      <c:valAx>
        <c:axId val="412035472"/>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952"/>
        <c:crosses val="autoZero"/>
        <c:crossBetween val="between"/>
        <c:minorUnit val="1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D_el!$P$64</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85A6-4A06-A315-5EA22B8505A1}"/>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85A6-4A06-A315-5EA22B8505A1}"/>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85A6-4A06-A315-5EA22B8505A1}"/>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85A6-4A06-A315-5EA22B8505A1}"/>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85A6-4A06-A315-5EA22B8505A1}"/>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85A6-4A06-A315-5EA22B8505A1}"/>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85A6-4A06-A315-5EA22B8505A1}"/>
              </c:ext>
            </c:extLst>
          </c:dPt>
          <c:cat>
            <c:multiLvlStrRef>
              <c:f>D_el!$N$65:$O$78</c:f>
            </c:multiLvlStrRef>
          </c:cat>
          <c:val>
            <c:numRef>
              <c:f>D_el!$P$65:$P$78</c:f>
            </c:numRef>
          </c:val>
          <c:extLst>
            <c:ext xmlns:c16="http://schemas.microsoft.com/office/drawing/2014/chart" uri="{C3380CC4-5D6E-409C-BE32-E72D297353CC}">
              <c16:uniqueId val="{0000000E-85A6-4A06-A315-5EA22B8505A1}"/>
            </c:ext>
          </c:extLst>
        </c:ser>
        <c:ser>
          <c:idx val="2"/>
          <c:order val="1"/>
          <c:tx>
            <c:strRef>
              <c:f>D_el!$Q$64</c:f>
              <c:strCache>
                <c:ptCount val="1"/>
                <c:pt idx="0">
                  <c:v>Commerce</c:v>
                </c:pt>
              </c:strCache>
            </c:strRef>
          </c:tx>
          <c:spPr>
            <a:solidFill>
              <a:schemeClr val="tx2">
                <a:lumMod val="75000"/>
              </a:schemeClr>
            </a:solidFill>
            <a:ln>
              <a:noFill/>
            </a:ln>
            <a:effectLst/>
          </c:spPr>
          <c:invertIfNegative val="0"/>
          <c:dPt>
            <c:idx val="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0-85A6-4A06-A315-5EA22B8505A1}"/>
              </c:ext>
            </c:extLst>
          </c:dPt>
          <c:dPt>
            <c:idx val="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2-85A6-4A06-A315-5EA22B8505A1}"/>
              </c:ext>
            </c:extLst>
          </c:dPt>
          <c:dPt>
            <c:idx val="5"/>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4-85A6-4A06-A315-5EA22B8505A1}"/>
              </c:ext>
            </c:extLst>
          </c:dPt>
          <c:dPt>
            <c:idx val="7"/>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6-85A6-4A06-A315-5EA22B8505A1}"/>
              </c:ext>
            </c:extLst>
          </c:dPt>
          <c:dPt>
            <c:idx val="9"/>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8-85A6-4A06-A315-5EA22B8505A1}"/>
              </c:ext>
            </c:extLst>
          </c:dPt>
          <c:dPt>
            <c:idx val="1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A-85A6-4A06-A315-5EA22B8505A1}"/>
              </c:ext>
            </c:extLst>
          </c:dPt>
          <c:dPt>
            <c:idx val="1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C-85A6-4A06-A315-5EA22B8505A1}"/>
              </c:ext>
            </c:extLst>
          </c:dPt>
          <c:cat>
            <c:multiLvlStrRef>
              <c:f>D_el!$N$65:$O$78</c:f>
            </c:multiLvlStrRef>
          </c:cat>
          <c:val>
            <c:numRef>
              <c:f>D_el!$Q$65:$Q$78</c:f>
            </c:numRef>
          </c:val>
          <c:extLst>
            <c:ext xmlns:c16="http://schemas.microsoft.com/office/drawing/2014/chart" uri="{C3380CC4-5D6E-409C-BE32-E72D297353CC}">
              <c16:uniqueId val="{0000001D-85A6-4A06-A315-5EA22B8505A1}"/>
            </c:ext>
          </c:extLst>
        </c:ser>
        <c:ser>
          <c:idx val="0"/>
          <c:order val="2"/>
          <c:tx>
            <c:strRef>
              <c:f>D_el!$R$64</c:f>
              <c:strCache>
                <c:ptCount val="1"/>
                <c:pt idx="0">
                  <c:v>Ressidence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1F-85A6-4A06-A315-5EA22B8505A1}"/>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1-85A6-4A06-A315-5EA22B8505A1}"/>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3-85A6-4A06-A315-5EA22B8505A1}"/>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5-85A6-4A06-A315-5EA22B8505A1}"/>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7-85A6-4A06-A315-5EA22B8505A1}"/>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9-85A6-4A06-A315-5EA22B8505A1}"/>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85A6-4A06-A315-5EA22B8505A1}"/>
              </c:ext>
            </c:extLst>
          </c:dPt>
          <c:cat>
            <c:multiLvlStrRef>
              <c:f>D_el!$N$65:$O$78</c:f>
            </c:multiLvlStrRef>
          </c:cat>
          <c:val>
            <c:numRef>
              <c:f>D_el!$R$65:$R$78</c:f>
            </c:numRef>
          </c:val>
          <c:extLst>
            <c:ext xmlns:c16="http://schemas.microsoft.com/office/drawing/2014/chart" uri="{C3380CC4-5D6E-409C-BE32-E72D297353CC}">
              <c16:uniqueId val="{0000002C-85A6-4A06-A315-5EA22B8505A1}"/>
            </c:ext>
          </c:extLst>
        </c:ser>
        <c:dLbls>
          <c:showLegendKey val="0"/>
          <c:showVal val="0"/>
          <c:showCatName val="0"/>
          <c:showSerName val="0"/>
          <c:showPercent val="0"/>
          <c:showBubbleSize val="0"/>
        </c:dLbls>
        <c:gapWidth val="50"/>
        <c:overlap val="100"/>
        <c:axId val="261355920"/>
        <c:axId val="261357840"/>
      </c:barChart>
      <c:catAx>
        <c:axId val="26135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7840"/>
        <c:crosses val="autoZero"/>
        <c:auto val="1"/>
        <c:lblAlgn val="ctr"/>
        <c:lblOffset val="100"/>
        <c:noMultiLvlLbl val="0"/>
      </c:catAx>
      <c:valAx>
        <c:axId val="261357840"/>
        <c:scaling>
          <c:orientation val="minMax"/>
        </c:scaling>
        <c:delete val="0"/>
        <c:axPos val="b"/>
        <c:majorGridlines>
          <c:spPr>
            <a:ln w="9525" cap="flat" cmpd="sng" algn="ctr">
              <a:solidFill>
                <a:sysClr val="window" lastClr="FFFFFF">
                  <a:lumMod val="50000"/>
                </a:sysClr>
              </a:solidFill>
              <a:round/>
            </a:ln>
            <a:effectLst/>
          </c:spPr>
        </c:majorGridlines>
        <c:minorGridlines>
          <c:spPr>
            <a:ln w="9525" cap="flat" cmpd="sng" algn="ctr">
              <a:solidFill>
                <a:sysClr val="window" lastClr="FFFFFF">
                  <a:lumMod val="75000"/>
                </a:sys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59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3-8EFE-4D35-8BB9-B213A3AEC23B}"/>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0-8EFE-4D35-8BB9-B213A3AEC23B}"/>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1-8EFE-4D35-8BB9-B213A3AEC23B}"/>
            </c:ext>
          </c:extLst>
        </c:ser>
        <c:dLbls>
          <c:showLegendKey val="0"/>
          <c:showVal val="0"/>
          <c:showCatName val="0"/>
          <c:showSerName val="0"/>
          <c:showPercent val="0"/>
          <c:showBubbleSize val="0"/>
        </c:dLbls>
        <c:gapWidth val="150"/>
        <c:overlap val="100"/>
        <c:axId val="771264239"/>
        <c:axId val="771278639"/>
        <c:extLst/>
      </c:barChart>
      <c:catAx>
        <c:axId val="771264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64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83425925925926"/>
          <c:y val="6.4587962962962958E-2"/>
          <c:w val="0.86165740740740737"/>
          <c:h val="0.72141388888888891"/>
        </c:manualLayout>
      </c:layout>
      <c:barChart>
        <c:barDir val="col"/>
        <c:grouping val="stacked"/>
        <c:varyColors val="0"/>
        <c:ser>
          <c:idx val="0"/>
          <c:order val="0"/>
          <c:tx>
            <c:strRef>
              <c:f>D_el!$AA$2</c:f>
              <c:strCache>
                <c:ptCount val="1"/>
                <c:pt idx="0">
                  <c:v>Industry</c:v>
                </c:pt>
              </c:strCache>
            </c:strRef>
          </c:tx>
          <c:spPr>
            <a:solidFill>
              <a:schemeClr val="accent2">
                <a:lumMod val="50000"/>
              </a:schemeClr>
            </a:solidFill>
            <a:ln>
              <a:noFill/>
            </a:ln>
            <a:effectLst/>
          </c:spPr>
          <c:invertIfNegative val="0"/>
          <c:cat>
            <c:strRef>
              <c:f>D_el!$Z$3:$Z$5</c:f>
              <c:strCache>
                <c:ptCount val="3"/>
                <c:pt idx="0">
                  <c:v>2007</c:v>
                </c:pt>
                <c:pt idx="1">
                  <c:v>2023</c:v>
                </c:pt>
                <c:pt idx="2">
                  <c:v>2035*</c:v>
                </c:pt>
              </c:strCache>
            </c:strRef>
          </c:cat>
          <c:val>
            <c:numRef>
              <c:f>D_el!$AA$3:$AA$5</c:f>
              <c:numCache>
                <c:formatCode>#,##0</c:formatCode>
                <c:ptCount val="3"/>
                <c:pt idx="0">
                  <c:v>47677</c:v>
                </c:pt>
                <c:pt idx="1">
                  <c:v>34100</c:v>
                </c:pt>
                <c:pt idx="2">
                  <c:v>85806.024454732658</c:v>
                </c:pt>
              </c:numCache>
            </c:numRef>
          </c:val>
          <c:extLst>
            <c:ext xmlns:c16="http://schemas.microsoft.com/office/drawing/2014/chart" uri="{C3380CC4-5D6E-409C-BE32-E72D297353CC}">
              <c16:uniqueId val="{00000000-21E0-4C3E-BB4E-24475B74CC26}"/>
            </c:ext>
          </c:extLst>
        </c:ser>
        <c:ser>
          <c:idx val="1"/>
          <c:order val="1"/>
          <c:tx>
            <c:strRef>
              <c:f>D_el!$AB$2</c:f>
              <c:strCache>
                <c:ptCount val="1"/>
                <c:pt idx="0">
                  <c:v>Commerce</c:v>
                </c:pt>
              </c:strCache>
            </c:strRef>
          </c:tx>
          <c:spPr>
            <a:solidFill>
              <a:srgbClr val="002060"/>
            </a:solidFill>
            <a:ln>
              <a:noFill/>
            </a:ln>
            <a:effectLst/>
          </c:spPr>
          <c:invertIfNegative val="0"/>
          <c:cat>
            <c:strRef>
              <c:f>D_el!$Z$3:$Z$5</c:f>
              <c:strCache>
                <c:ptCount val="3"/>
                <c:pt idx="0">
                  <c:v>2007</c:v>
                </c:pt>
                <c:pt idx="1">
                  <c:v>2023</c:v>
                </c:pt>
                <c:pt idx="2">
                  <c:v>2035*</c:v>
                </c:pt>
              </c:strCache>
            </c:strRef>
          </c:cat>
          <c:val>
            <c:numRef>
              <c:f>D_el!$AB$3:$AB$5</c:f>
              <c:numCache>
                <c:formatCode>#,##0</c:formatCode>
                <c:ptCount val="3"/>
                <c:pt idx="0">
                  <c:v>17263</c:v>
                </c:pt>
                <c:pt idx="1">
                  <c:v>19428</c:v>
                </c:pt>
                <c:pt idx="2">
                  <c:v>16269.531415944622</c:v>
                </c:pt>
              </c:numCache>
            </c:numRef>
          </c:val>
          <c:extLst>
            <c:ext xmlns:c16="http://schemas.microsoft.com/office/drawing/2014/chart" uri="{C3380CC4-5D6E-409C-BE32-E72D297353CC}">
              <c16:uniqueId val="{00000001-21E0-4C3E-BB4E-24475B74CC26}"/>
            </c:ext>
          </c:extLst>
        </c:ser>
        <c:ser>
          <c:idx val="2"/>
          <c:order val="2"/>
          <c:tx>
            <c:strRef>
              <c:f>D_el!$AC$2</c:f>
              <c:strCache>
                <c:ptCount val="1"/>
                <c:pt idx="0">
                  <c:v>Residence</c:v>
                </c:pt>
              </c:strCache>
            </c:strRef>
          </c:tx>
          <c:spPr>
            <a:solidFill>
              <a:schemeClr val="accent6">
                <a:lumMod val="75000"/>
              </a:schemeClr>
            </a:solidFill>
            <a:ln>
              <a:noFill/>
            </a:ln>
            <a:effectLst/>
          </c:spPr>
          <c:invertIfNegative val="0"/>
          <c:cat>
            <c:strRef>
              <c:f>D_el!$Z$3:$Z$5</c:f>
              <c:strCache>
                <c:ptCount val="3"/>
                <c:pt idx="0">
                  <c:v>2007</c:v>
                </c:pt>
                <c:pt idx="1">
                  <c:v>2023</c:v>
                </c:pt>
                <c:pt idx="2">
                  <c:v>2035*</c:v>
                </c:pt>
              </c:strCache>
            </c:strRef>
          </c:cat>
          <c:val>
            <c:numRef>
              <c:f>D_el!$AC$3:$AC$5</c:f>
              <c:numCache>
                <c:formatCode>#,##0</c:formatCode>
                <c:ptCount val="3"/>
                <c:pt idx="0">
                  <c:v>22391</c:v>
                </c:pt>
                <c:pt idx="1">
                  <c:v>23575</c:v>
                </c:pt>
                <c:pt idx="2">
                  <c:v>29821.686839316582</c:v>
                </c:pt>
              </c:numCache>
            </c:numRef>
          </c:val>
          <c:extLst>
            <c:ext xmlns:c16="http://schemas.microsoft.com/office/drawing/2014/chart" uri="{C3380CC4-5D6E-409C-BE32-E72D297353CC}">
              <c16:uniqueId val="{00000002-21E0-4C3E-BB4E-24475B74CC26}"/>
            </c:ext>
          </c:extLst>
        </c:ser>
        <c:dLbls>
          <c:showLegendKey val="0"/>
          <c:showVal val="0"/>
          <c:showCatName val="0"/>
          <c:showSerName val="0"/>
          <c:showPercent val="0"/>
          <c:showBubbleSize val="0"/>
        </c:dLbls>
        <c:gapWidth val="150"/>
        <c:overlap val="100"/>
        <c:axId val="1113021776"/>
        <c:axId val="1113023216"/>
      </c:barChart>
      <c:catAx>
        <c:axId val="11130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3216"/>
        <c:crosses val="autoZero"/>
        <c:auto val="1"/>
        <c:lblAlgn val="ctr"/>
        <c:lblOffset val="100"/>
        <c:noMultiLvlLbl val="0"/>
      </c:catAx>
      <c:valAx>
        <c:axId val="1113023216"/>
        <c:scaling>
          <c:orientation val="minMax"/>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1776"/>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2023</a:t>
            </a:r>
          </a:p>
        </c:rich>
      </c:tx>
      <c:layout>
        <c:manualLayout>
          <c:xMode val="edge"/>
          <c:yMode val="edge"/>
          <c:x val="0.41110000000000002"/>
          <c:y val="9.1630591630591628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5077469135802469"/>
          <c:y val="8.4588744588744588E-2"/>
          <c:w val="0.56572222222222224"/>
          <c:h val="0.83163564213564212"/>
        </c:manualLayout>
      </c:layout>
      <c:barChart>
        <c:barDir val="bar"/>
        <c:grouping val="stacked"/>
        <c:varyColors val="0"/>
        <c:ser>
          <c:idx val="0"/>
          <c:order val="0"/>
          <c:tx>
            <c:strRef>
              <c:f>D_el!$AF$2</c:f>
              <c:strCache>
                <c:ptCount val="1"/>
                <c:pt idx="0">
                  <c:v>Industry</c:v>
                </c:pt>
              </c:strCache>
            </c:strRef>
          </c:tx>
          <c:spPr>
            <a:solidFill>
              <a:schemeClr val="accent2">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D_el!$AF$3:$AF$21</c:f>
              <c:numCache>
                <c:formatCode>#,##0</c:formatCode>
                <c:ptCount val="19"/>
                <c:pt idx="0">
                  <c:v>4073</c:v>
                </c:pt>
                <c:pt idx="1">
                  <c:v>1041</c:v>
                </c:pt>
                <c:pt idx="2">
                  <c:v>3334</c:v>
                </c:pt>
                <c:pt idx="3">
                  <c:v>753</c:v>
                </c:pt>
                <c:pt idx="4">
                  <c:v>1972</c:v>
                </c:pt>
                <c:pt idx="5">
                  <c:v>741</c:v>
                </c:pt>
                <c:pt idx="6">
                  <c:v>2023</c:v>
                </c:pt>
                <c:pt idx="7">
                  <c:v>3933</c:v>
                </c:pt>
                <c:pt idx="8">
                  <c:v>332</c:v>
                </c:pt>
                <c:pt idx="9">
                  <c:v>1569</c:v>
                </c:pt>
                <c:pt idx="10">
                  <c:v>1254</c:v>
                </c:pt>
                <c:pt idx="11">
                  <c:v>2365</c:v>
                </c:pt>
                <c:pt idx="12">
                  <c:v>545</c:v>
                </c:pt>
                <c:pt idx="13">
                  <c:v>1125</c:v>
                </c:pt>
                <c:pt idx="14">
                  <c:v>1525</c:v>
                </c:pt>
                <c:pt idx="15">
                  <c:v>2419</c:v>
                </c:pt>
                <c:pt idx="16">
                  <c:v>713</c:v>
                </c:pt>
                <c:pt idx="17">
                  <c:v>4357</c:v>
                </c:pt>
                <c:pt idx="18">
                  <c:v>26</c:v>
                </c:pt>
              </c:numCache>
            </c:numRef>
          </c:val>
          <c:extLst>
            <c:ext xmlns:c16="http://schemas.microsoft.com/office/drawing/2014/chart" uri="{C3380CC4-5D6E-409C-BE32-E72D297353CC}">
              <c16:uniqueId val="{00000000-15B7-4686-A9DC-9EAF5363D97B}"/>
            </c:ext>
          </c:extLst>
        </c:ser>
        <c:ser>
          <c:idx val="1"/>
          <c:order val="1"/>
          <c:tx>
            <c:strRef>
              <c:f>D_el!$AG$2</c:f>
              <c:strCache>
                <c:ptCount val="1"/>
                <c:pt idx="0">
                  <c:v>Commerce</c:v>
                </c:pt>
              </c:strCache>
            </c:strRef>
          </c:tx>
          <c:spPr>
            <a:solidFill>
              <a:schemeClr val="accent5">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D_el!$AG$3:$AG$21</c:f>
              <c:numCache>
                <c:formatCode>#,##0</c:formatCode>
                <c:ptCount val="19"/>
                <c:pt idx="0">
                  <c:v>6791</c:v>
                </c:pt>
                <c:pt idx="1">
                  <c:v>1661</c:v>
                </c:pt>
                <c:pt idx="2">
                  <c:v>707</c:v>
                </c:pt>
                <c:pt idx="3">
                  <c:v>578</c:v>
                </c:pt>
                <c:pt idx="4">
                  <c:v>1643</c:v>
                </c:pt>
                <c:pt idx="5">
                  <c:v>566</c:v>
                </c:pt>
                <c:pt idx="6">
                  <c:v>945</c:v>
                </c:pt>
                <c:pt idx="7">
                  <c:v>417</c:v>
                </c:pt>
                <c:pt idx="8">
                  <c:v>429</c:v>
                </c:pt>
                <c:pt idx="9">
                  <c:v>765</c:v>
                </c:pt>
                <c:pt idx="10">
                  <c:v>433</c:v>
                </c:pt>
                <c:pt idx="11">
                  <c:v>791</c:v>
                </c:pt>
                <c:pt idx="12">
                  <c:v>622</c:v>
                </c:pt>
                <c:pt idx="13">
                  <c:v>619</c:v>
                </c:pt>
                <c:pt idx="14">
                  <c:v>176</c:v>
                </c:pt>
                <c:pt idx="15">
                  <c:v>1254</c:v>
                </c:pt>
                <c:pt idx="16">
                  <c:v>249</c:v>
                </c:pt>
                <c:pt idx="17">
                  <c:v>677</c:v>
                </c:pt>
                <c:pt idx="18">
                  <c:v>106</c:v>
                </c:pt>
              </c:numCache>
            </c:numRef>
          </c:val>
          <c:extLst>
            <c:ext xmlns:c16="http://schemas.microsoft.com/office/drawing/2014/chart" uri="{C3380CC4-5D6E-409C-BE32-E72D297353CC}">
              <c16:uniqueId val="{00000001-15B7-4686-A9DC-9EAF5363D97B}"/>
            </c:ext>
          </c:extLst>
        </c:ser>
        <c:ser>
          <c:idx val="2"/>
          <c:order val="2"/>
          <c:tx>
            <c:strRef>
              <c:f>D_el!$AH$2</c:f>
              <c:strCache>
                <c:ptCount val="1"/>
                <c:pt idx="0">
                  <c:v>Residence</c:v>
                </c:pt>
              </c:strCache>
            </c:strRef>
          </c:tx>
          <c:spPr>
            <a:solidFill>
              <a:schemeClr val="accent6">
                <a:lumMod val="75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D_el!$AH$3:$AH$21</c:f>
              <c:numCache>
                <c:formatCode>#,##0</c:formatCode>
                <c:ptCount val="19"/>
                <c:pt idx="0">
                  <c:v>5840</c:v>
                </c:pt>
                <c:pt idx="1">
                  <c:v>2146</c:v>
                </c:pt>
                <c:pt idx="2">
                  <c:v>1040</c:v>
                </c:pt>
                <c:pt idx="3">
                  <c:v>800</c:v>
                </c:pt>
                <c:pt idx="4">
                  <c:v>2188</c:v>
                </c:pt>
                <c:pt idx="5">
                  <c:v>848</c:v>
                </c:pt>
                <c:pt idx="6">
                  <c:v>713</c:v>
                </c:pt>
                <c:pt idx="7">
                  <c:v>492</c:v>
                </c:pt>
                <c:pt idx="8">
                  <c:v>654</c:v>
                </c:pt>
                <c:pt idx="9">
                  <c:v>1015</c:v>
                </c:pt>
                <c:pt idx="10">
                  <c:v>701</c:v>
                </c:pt>
                <c:pt idx="11">
                  <c:v>1209</c:v>
                </c:pt>
                <c:pt idx="12">
                  <c:v>925</c:v>
                </c:pt>
                <c:pt idx="13">
                  <c:v>1250</c:v>
                </c:pt>
                <c:pt idx="14">
                  <c:v>341</c:v>
                </c:pt>
                <c:pt idx="15">
                  <c:v>1784</c:v>
                </c:pt>
                <c:pt idx="16">
                  <c:v>310</c:v>
                </c:pt>
                <c:pt idx="17">
                  <c:v>1190</c:v>
                </c:pt>
                <c:pt idx="18">
                  <c:v>132</c:v>
                </c:pt>
              </c:numCache>
            </c:numRef>
          </c:val>
          <c:extLst>
            <c:ext xmlns:c16="http://schemas.microsoft.com/office/drawing/2014/chart" uri="{C3380CC4-5D6E-409C-BE32-E72D297353CC}">
              <c16:uniqueId val="{00000002-15B7-4686-A9DC-9EAF5363D97B}"/>
            </c:ext>
          </c:extLst>
        </c:ser>
        <c:ser>
          <c:idx val="3"/>
          <c:order val="3"/>
          <c:tx>
            <c:strRef>
              <c:f>D_el!$AI$2</c:f>
              <c:strCache>
                <c:ptCount val="1"/>
              </c:strCache>
            </c:strRef>
          </c:tx>
          <c:spPr>
            <a:solidFill>
              <a:schemeClr val="accent2">
                <a:lumMod val="60000"/>
                <a:lumOff val="4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D_el!$AI$3:$AI$21</c:f>
              <c:numCache>
                <c:formatCode>#,##0</c:formatCode>
                <c:ptCount val="19"/>
                <c:pt idx="0">
                  <c:v>16161</c:v>
                </c:pt>
                <c:pt idx="1">
                  <c:v>1887</c:v>
                </c:pt>
                <c:pt idx="2">
                  <c:v>6114</c:v>
                </c:pt>
                <c:pt idx="3">
                  <c:v>1033</c:v>
                </c:pt>
                <c:pt idx="4">
                  <c:v>2663</c:v>
                </c:pt>
                <c:pt idx="5">
                  <c:v>1551</c:v>
                </c:pt>
                <c:pt idx="6">
                  <c:v>7929</c:v>
                </c:pt>
                <c:pt idx="7">
                  <c:v>14579</c:v>
                </c:pt>
                <c:pt idx="8">
                  <c:v>869</c:v>
                </c:pt>
                <c:pt idx="9">
                  <c:v>3102</c:v>
                </c:pt>
                <c:pt idx="10">
                  <c:v>3665</c:v>
                </c:pt>
                <c:pt idx="11">
                  <c:v>9119</c:v>
                </c:pt>
                <c:pt idx="12">
                  <c:v>751</c:v>
                </c:pt>
                <c:pt idx="13">
                  <c:v>5358</c:v>
                </c:pt>
                <c:pt idx="14">
                  <c:v>852</c:v>
                </c:pt>
                <c:pt idx="15">
                  <c:v>10151</c:v>
                </c:pt>
                <c:pt idx="16">
                  <c:v>323</c:v>
                </c:pt>
                <c:pt idx="17">
                  <c:v>6899</c:v>
                </c:pt>
                <c:pt idx="18">
                  <c:v>41</c:v>
                </c:pt>
              </c:numCache>
            </c:numRef>
          </c:val>
          <c:extLst>
            <c:ext xmlns:c16="http://schemas.microsoft.com/office/drawing/2014/chart" uri="{C3380CC4-5D6E-409C-BE32-E72D297353CC}">
              <c16:uniqueId val="{00000003-15B7-4686-A9DC-9EAF5363D97B}"/>
            </c:ext>
          </c:extLst>
        </c:ser>
        <c:dLbls>
          <c:showLegendKey val="0"/>
          <c:showVal val="0"/>
          <c:showCatName val="0"/>
          <c:showSerName val="0"/>
          <c:showPercent val="0"/>
          <c:showBubbleSize val="0"/>
        </c:dLbls>
        <c:gapWidth val="50"/>
        <c:overlap val="100"/>
        <c:axId val="1535267744"/>
        <c:axId val="1535268224"/>
      </c:barChart>
      <c:catAx>
        <c:axId val="1535267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8224"/>
        <c:crosses val="autoZero"/>
        <c:auto val="1"/>
        <c:lblAlgn val="ctr"/>
        <c:lblOffset val="100"/>
        <c:noMultiLvlLbl val="0"/>
      </c:catAx>
      <c:valAx>
        <c:axId val="1535268224"/>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7744"/>
        <c:crosses val="autoZero"/>
        <c:crossBetween val="between"/>
        <c:majorUnit val="1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2035*</a:t>
            </a:r>
          </a:p>
        </c:rich>
      </c:tx>
      <c:layout>
        <c:manualLayout>
          <c:xMode val="edge"/>
          <c:yMode val="edge"/>
          <c:x val="0.43691157407407399"/>
          <c:y val="0"/>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1899572649572649"/>
          <c:y val="0.17599097222222221"/>
          <c:w val="0.59628379629629624"/>
          <c:h val="0.62117361111111125"/>
        </c:manualLayout>
      </c:layout>
      <c:barChart>
        <c:barDir val="bar"/>
        <c:grouping val="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0-746D-4FFA-91DE-3350B0485161}"/>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1-746D-4FFA-91DE-3350B0485161}"/>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2-746D-4FFA-91DE-3350B0485161}"/>
            </c:ext>
          </c:extLst>
        </c:ser>
        <c:dLbls>
          <c:showLegendKey val="0"/>
          <c:showVal val="0"/>
          <c:showCatName val="0"/>
          <c:showSerName val="0"/>
          <c:showPercent val="0"/>
          <c:showBubbleSize val="0"/>
        </c:dLbls>
        <c:gapWidth val="50"/>
        <c:overlap val="100"/>
        <c:axId val="771264239"/>
        <c:axId val="771278639"/>
        <c:extLst/>
      </c:barChart>
      <c:catAx>
        <c:axId val="77126423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64239"/>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600077</xdr:colOff>
      <xdr:row>0</xdr:row>
      <xdr:rowOff>0</xdr:rowOff>
    </xdr:from>
    <xdr:to>
      <xdr:col>15</xdr:col>
      <xdr:colOff>414985</xdr:colOff>
      <xdr:row>32</xdr:row>
      <xdr:rowOff>152399</xdr:rowOff>
    </xdr:to>
    <xdr:pic>
      <xdr:nvPicPr>
        <xdr:cNvPr id="2" name="Picture 1">
          <a:extLst>
            <a:ext uri="{FF2B5EF4-FFF2-40B4-BE49-F238E27FC236}">
              <a16:creationId xmlns:a16="http://schemas.microsoft.com/office/drawing/2014/main" id="{98742808-7527-C059-8104-F72748C2DA23}"/>
            </a:ext>
          </a:extLst>
        </xdr:cNvPr>
        <xdr:cNvPicPr>
          <a:picLocks noChangeAspect="1"/>
        </xdr:cNvPicPr>
      </xdr:nvPicPr>
      <xdr:blipFill>
        <a:blip xmlns:r="http://schemas.openxmlformats.org/officeDocument/2006/relationships" r:embed="rId1"/>
        <a:stretch>
          <a:fillRect/>
        </a:stretch>
      </xdr:blipFill>
      <xdr:spPr>
        <a:xfrm>
          <a:off x="6972302" y="0"/>
          <a:ext cx="3472508" cy="62483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581025</xdr:colOff>
      <xdr:row>42</xdr:row>
      <xdr:rowOff>161925</xdr:rowOff>
    </xdr:from>
    <xdr:to>
      <xdr:col>22</xdr:col>
      <xdr:colOff>245025</xdr:colOff>
      <xdr:row>61</xdr:row>
      <xdr:rowOff>76200</xdr:rowOff>
    </xdr:to>
    <xdr:graphicFrame macro="">
      <xdr:nvGraphicFramePr>
        <xdr:cNvPr id="8" name="Chart 7">
          <a:extLst>
            <a:ext uri="{FF2B5EF4-FFF2-40B4-BE49-F238E27FC236}">
              <a16:creationId xmlns:a16="http://schemas.microsoft.com/office/drawing/2014/main" id="{1B286D1F-A219-4213-8599-7173389A9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133350</xdr:colOff>
      <xdr:row>63</xdr:row>
      <xdr:rowOff>47625</xdr:rowOff>
    </xdr:from>
    <xdr:to>
      <xdr:col>22</xdr:col>
      <xdr:colOff>574950</xdr:colOff>
      <xdr:row>78</xdr:row>
      <xdr:rowOff>0</xdr:rowOff>
    </xdr:to>
    <xdr:graphicFrame macro="">
      <xdr:nvGraphicFramePr>
        <xdr:cNvPr id="9" name="Chart 8">
          <a:extLst>
            <a:ext uri="{FF2B5EF4-FFF2-40B4-BE49-F238E27FC236}">
              <a16:creationId xmlns:a16="http://schemas.microsoft.com/office/drawing/2014/main" id="{04B86BD1-C779-4496-AFCE-ADDAFCB83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28575</xdr:colOff>
      <xdr:row>85</xdr:row>
      <xdr:rowOff>95250</xdr:rowOff>
    </xdr:from>
    <xdr:to>
      <xdr:col>20</xdr:col>
      <xdr:colOff>457199</xdr:colOff>
      <xdr:row>96</xdr:row>
      <xdr:rowOff>100013</xdr:rowOff>
    </xdr:to>
    <xdr:graphicFrame macro="">
      <xdr:nvGraphicFramePr>
        <xdr:cNvPr id="3" name="Chart 2">
          <a:extLst>
            <a:ext uri="{FF2B5EF4-FFF2-40B4-BE49-F238E27FC236}">
              <a16:creationId xmlns:a16="http://schemas.microsoft.com/office/drawing/2014/main" id="{077BA5F3-FE6C-44B0-87F0-468DDDC02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561975</xdr:colOff>
      <xdr:row>6</xdr:row>
      <xdr:rowOff>80962</xdr:rowOff>
    </xdr:from>
    <xdr:to>
      <xdr:col>28</xdr:col>
      <xdr:colOff>283575</xdr:colOff>
      <xdr:row>12</xdr:row>
      <xdr:rowOff>17962</xdr:rowOff>
    </xdr:to>
    <xdr:graphicFrame macro="">
      <xdr:nvGraphicFramePr>
        <xdr:cNvPr id="2" name="Chart 1">
          <a:extLst>
            <a:ext uri="{FF2B5EF4-FFF2-40B4-BE49-F238E27FC236}">
              <a16:creationId xmlns:a16="http://schemas.microsoft.com/office/drawing/2014/main" id="{0B814151-D66B-5713-EF14-EB144BF37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509587</xdr:colOff>
      <xdr:row>23</xdr:row>
      <xdr:rowOff>80962</xdr:rowOff>
    </xdr:from>
    <xdr:to>
      <xdr:col>28</xdr:col>
      <xdr:colOff>411187</xdr:colOff>
      <xdr:row>82</xdr:row>
      <xdr:rowOff>262462</xdr:rowOff>
    </xdr:to>
    <xdr:graphicFrame macro="">
      <xdr:nvGraphicFramePr>
        <xdr:cNvPr id="4" name="Chart 3">
          <a:extLst>
            <a:ext uri="{FF2B5EF4-FFF2-40B4-BE49-F238E27FC236}">
              <a16:creationId xmlns:a16="http://schemas.microsoft.com/office/drawing/2014/main" id="{2EB34438-16AA-B981-87D9-A0B52A9E2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581025</xdr:colOff>
      <xdr:row>84</xdr:row>
      <xdr:rowOff>142875</xdr:rowOff>
    </xdr:from>
    <xdr:to>
      <xdr:col>28</xdr:col>
      <xdr:colOff>482625</xdr:colOff>
      <xdr:row>93</xdr:row>
      <xdr:rowOff>104775</xdr:rowOff>
    </xdr:to>
    <xdr:graphicFrame macro="">
      <xdr:nvGraphicFramePr>
        <xdr:cNvPr id="5" name="Chart 4">
          <a:extLst>
            <a:ext uri="{FF2B5EF4-FFF2-40B4-BE49-F238E27FC236}">
              <a16:creationId xmlns:a16="http://schemas.microsoft.com/office/drawing/2014/main" id="{2216BA6C-450E-40B7-92F3-A711C62B2B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25</xdr:col>
      <xdr:colOff>19051</xdr:colOff>
      <xdr:row>33</xdr:row>
      <xdr:rowOff>188596</xdr:rowOff>
    </xdr:from>
    <xdr:to>
      <xdr:col>30</xdr:col>
      <xdr:colOff>167641</xdr:colOff>
      <xdr:row>64</xdr:row>
      <xdr:rowOff>7588</xdr:rowOff>
    </xdr:to>
    <xdr:pic>
      <xdr:nvPicPr>
        <xdr:cNvPr id="2" name="Picture 1">
          <a:extLst>
            <a:ext uri="{FF2B5EF4-FFF2-40B4-BE49-F238E27FC236}">
              <a16:creationId xmlns:a16="http://schemas.microsoft.com/office/drawing/2014/main" id="{DB1B0650-C05F-449A-B5D8-0D8583063DB6}"/>
            </a:ext>
          </a:extLst>
        </xdr:cNvPr>
        <xdr:cNvPicPr>
          <a:picLocks noChangeAspect="1"/>
        </xdr:cNvPicPr>
      </xdr:nvPicPr>
      <xdr:blipFill>
        <a:blip xmlns:r="http://schemas.openxmlformats.org/officeDocument/2006/relationships" r:embed="rId1"/>
        <a:stretch>
          <a:fillRect/>
        </a:stretch>
      </xdr:blipFill>
      <xdr:spPr>
        <a:xfrm>
          <a:off x="15259051" y="6475096"/>
          <a:ext cx="3196590" cy="5724492"/>
        </a:xfrm>
        <a:prstGeom prst="rect">
          <a:avLst/>
        </a:prstGeom>
      </xdr:spPr>
    </xdr:pic>
    <xdr:clientData/>
  </xdr:twoCellAnchor>
  <xdr:twoCellAnchor editAs="oneCell">
    <xdr:from>
      <xdr:col>25</xdr:col>
      <xdr:colOff>0</xdr:colOff>
      <xdr:row>0</xdr:row>
      <xdr:rowOff>0</xdr:rowOff>
    </xdr:from>
    <xdr:to>
      <xdr:col>32</xdr:col>
      <xdr:colOff>394685</xdr:colOff>
      <xdr:row>26</xdr:row>
      <xdr:rowOff>180975</xdr:rowOff>
    </xdr:to>
    <xdr:pic>
      <xdr:nvPicPr>
        <xdr:cNvPr id="3" name="Picture 2" descr="Synertics - Bidding Zones">
          <a:extLst>
            <a:ext uri="{FF2B5EF4-FFF2-40B4-BE49-F238E27FC236}">
              <a16:creationId xmlns:a16="http://schemas.microsoft.com/office/drawing/2014/main" id="{48A660FC-44AB-412F-A341-71C00AC1CADE}"/>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4229" r="1" b="49594"/>
        <a:stretch>
          <a:fillRect/>
        </a:stretch>
      </xdr:blipFill>
      <xdr:spPr bwMode="auto">
        <a:xfrm>
          <a:off x="15240000" y="0"/>
          <a:ext cx="4661885" cy="5133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23</xdr:col>
      <xdr:colOff>467386</xdr:colOff>
      <xdr:row>35</xdr:row>
      <xdr:rowOff>10457</xdr:rowOff>
    </xdr:to>
    <xdr:pic>
      <xdr:nvPicPr>
        <xdr:cNvPr id="2" name="Picture 1">
          <a:extLst>
            <a:ext uri="{FF2B5EF4-FFF2-40B4-BE49-F238E27FC236}">
              <a16:creationId xmlns:a16="http://schemas.microsoft.com/office/drawing/2014/main" id="{D5F15F46-2ADB-44D5-8227-70A39ABE5FDB}"/>
            </a:ext>
          </a:extLst>
        </xdr:cNvPr>
        <xdr:cNvPicPr>
          <a:picLocks noChangeAspect="1"/>
        </xdr:cNvPicPr>
      </xdr:nvPicPr>
      <xdr:blipFill>
        <a:blip xmlns:r="http://schemas.openxmlformats.org/officeDocument/2006/relationships" r:embed="rId1"/>
        <a:stretch>
          <a:fillRect/>
        </a:stretch>
      </xdr:blipFill>
      <xdr:spPr>
        <a:xfrm>
          <a:off x="9953625" y="0"/>
          <a:ext cx="4734586" cy="6677957"/>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E44862B-8318-4958-811D-AFFC4E655F3A}" name="Table2" displayName="Table2" ref="A2:C21" totalsRowShown="0" headerRowDxfId="86">
  <autoFilter ref="A2:C21" xr:uid="{BE44862B-8318-4958-811D-AFFC4E655F3A}"/>
  <tableColumns count="3">
    <tableColumn id="1" xr3:uid="{333332FF-EB04-4086-BEAC-FE41D59F7C47}" name="Model" dataDxfId="85"/>
    <tableColumn id="2" xr3:uid="{B004BBAD-DF49-474A-A2FA-AD2F68E87E9F}" name="Administrative (FI)" dataDxfId="84"/>
    <tableColumn id="3" xr3:uid="{C89F303A-9979-44F1-A6B0-11FCE1220AC4}" name="Administrative (EN)" dataDxfId="83"/>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635EDA-9ACE-4CDC-B834-FAB1443F379B}" name="Region" displayName="Region" ref="H2:I21" totalsRowShown="0" headerRowDxfId="82">
  <autoFilter ref="H2:I21" xr:uid="{3A635EDA-9ACE-4CDC-B834-FAB1443F379B}"/>
  <sortState xmlns:xlrd2="http://schemas.microsoft.com/office/spreadsheetml/2017/richdata2" ref="H3:I21">
    <sortCondition ref="I2:I21"/>
  </sortState>
  <tableColumns count="2">
    <tableColumn id="1" xr3:uid="{5317E170-8005-4A1A-8EF4-53A046E054AE}" name="Model" dataDxfId="81"/>
    <tableColumn id="2" xr3:uid="{F0C7BDCC-0C87-4B84-A492-9BC368CE8A69}" name="Administrative" dataDxfId="8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BA331CE-D3B1-4A2E-B66F-24E0A489111B}" name="P_hydro_2" displayName="P_hydro_2" ref="G10:H28" totalsRowShown="0" headerRowDxfId="79">
  <autoFilter ref="G10:H28" xr:uid="{BBA331CE-D3B1-4A2E-B66F-24E0A489111B}"/>
  <tableColumns count="2">
    <tableColumn id="1" xr3:uid="{EA2A02E7-9DBF-4B92-8A24-0B8350424C02}" name="Region" dataDxfId="78"/>
    <tableColumn id="4" xr3:uid="{0706E766-2FA5-4325-BC60-96F0DA5DBF9D}" name="Capacity" dataDxfId="77">
      <calculatedColumnFormula>SUMIF($D$11:$D$69, G11, $C$11:$C$69)</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CB86A57-B678-455A-A576-37503CD9F000}" name="P_hydro_3" displayName="P_hydro_3" ref="J10:K17" totalsRowShown="0" headerRowDxfId="76">
  <autoFilter ref="J10:K17" xr:uid="{CCB86A57-B678-455A-A576-37503CD9F000}"/>
  <tableColumns count="2">
    <tableColumn id="1" xr3:uid="{8F55695D-D634-41A4-8109-C55EC7255074}" name="Region" dataDxfId="75"/>
    <tableColumn id="4" xr3:uid="{27AA6BDB-9EEF-4B3B-AA9B-09AE67C8E5AA}" name="Capacity" dataDxfId="74">
      <calculatedColumnFormula array="1">SUM(_xlfn._xlws.FILTER(P_hydro_2[Capacity],ISNUMBER(MATCH(P_hydro_2[Region],_xlfn._xlws.FILTER(Region[Administrative],Region[Model]=P_hydro_3[[#This Row],[Region]]),0))))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5F194A-8631-41D9-9A95-FA4B24FAF420}" name="P_el" displayName="P_el" ref="A15:G270" totalsRowShown="0" headerRowDxfId="73" dataDxfId="72">
  <autoFilter ref="A15:G270" xr:uid="{5E5F194A-8631-41D9-9A95-FA4B24FAF420}"/>
  <tableColumns count="7">
    <tableColumn id="1" xr3:uid="{7F4076E1-57F5-4565-922B-77DD407BACB6}" name="Name" dataDxfId="71"/>
    <tableColumn id="2" xr3:uid="{0DFAF130-DCAA-49A7-8757-D10A0B11E46A}" name="Location" dataDxfId="70"/>
    <tableColumn id="3" xr3:uid="{69965991-26FC-491F-A908-4526445BA278}" name="Type" dataDxfId="69"/>
    <tableColumn id="4" xr3:uid="{A1ACF938-749A-470E-9F33-B2EB251300A6}" name="Capacity" dataDxfId="68"/>
    <tableColumn id="5" xr3:uid="{975B93F8-2A6B-455C-8331-8F196B4DD38C}" name="Region 1" dataDxfId="67"/>
    <tableColumn id="7" xr3:uid="{9A9DD3B4-6012-47E6-AE7F-A6CB84F8EF21}" name="Region 2" dataDxfId="66"/>
    <tableColumn id="6" xr3:uid="{F02D0F46-0227-4874-A791-BBF829B44A2B}" name="Basis" dataDxfId="65"/>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45B443-ACDF-482E-91E7-03279C74FAEB}" name="P_el_2" displayName="P_el_2" ref="I15:N33" totalsRowShown="0" headerRowDxfId="64" dataDxfId="63">
  <autoFilter ref="I15:N33" xr:uid="{B745B443-ACDF-482E-91E7-03279C74FAEB}"/>
  <tableColumns count="6">
    <tableColumn id="1" xr3:uid="{E86DE0FD-5F5A-41AA-A8B2-601F853297C8}" name="Region" dataDxfId="62"/>
    <tableColumn id="2" xr3:uid="{A7D7EC6D-79B8-4EC2-A302-298E502D3B52}" name="Nuclear" dataDxfId="61">
      <calculatedColumnFormula>SUMIFS(P_el[Capacity], P_el[Type], J$15, P_el[Region 1], P_el_2[[#This Row],[Region]])</calculatedColumnFormula>
    </tableColumn>
    <tableColumn id="3" xr3:uid="{0E2CFE00-E4AD-4B09-B357-7F0A698C400C}" name="Wind" dataDxfId="60">
      <calculatedColumnFormula>SUMIFS(P_el[Capacity], P_el[Type], K$15, P_el[Region 1], P_el_2[[#This Row],[Region]])</calculatedColumnFormula>
    </tableColumn>
    <tableColumn id="4" xr3:uid="{20925CB1-B560-4569-85AF-957549995520}" name="Thermal" dataDxfId="59">
      <calculatedColumnFormula>SUMIFS(P_el[Capacity], P_el[Type], L$15, P_el[Region 1], P_el_2[[#This Row],[Region]])</calculatedColumnFormula>
    </tableColumn>
    <tableColumn id="5" xr3:uid="{FB6B7A86-92D4-4D96-8159-F5C9D6693531}" name="Solar" dataDxfId="58">
      <calculatedColumnFormula>SUMIFS(P_el[Capacity], P_el[Type], M$15, P_el[Region 1], P_el_2[[#This Row],[Region]])</calculatedColumnFormula>
    </tableColumn>
    <tableColumn id="6" xr3:uid="{21CBDF51-9365-459C-8334-2093598D07F2}" name="#VALUE!" dataDxfId="57">
      <calculatedColumnFormula>SUM(P_el_2[[#This Row],[Nuclear]:[Thermal]])</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A3C5E4-C31E-486D-A545-C244525787DE}" name="P_el_3" displayName="P_el_3" ref="I37:M44" totalsRowShown="0" headerRowDxfId="56">
  <autoFilter ref="I37:M44" xr:uid="{65A3C5E4-C31E-486D-A545-C244525787DE}"/>
  <tableColumns count="5">
    <tableColumn id="1" xr3:uid="{2B6D336D-352B-4F8F-9880-25B0E8DE629F}" name="Region" dataDxfId="55"/>
    <tableColumn id="4" xr3:uid="{B780B3CD-0F54-4E1D-B297-722277946E6D}" name="Nuclear" dataDxfId="54">
      <calculatedColumnFormula array="1">SUM(_xlfn._xlws.FILTER(P_el_2[Nuclear],ISNUMBER(MATCH(P_el_2[Region],_xlfn._xlws.FILTER(Region[Administrative],Region[Model]=P_el_3[[#This Row],[Region]]),0))))</calculatedColumnFormula>
    </tableColumn>
    <tableColumn id="2" xr3:uid="{6FF34F2D-7E40-4216-870C-05EAF16A1EC7}" name="Wind" dataDxfId="53">
      <calculatedColumnFormula array="1">SUM(_xlfn._xlws.FILTER(P_el_2[Wind],ISNUMBER(MATCH(P_el_2[Region],_xlfn._xlws.FILTER(Region[Administrative],Region[Model]=P_el_3[[#This Row],[Region]]),0))))</calculatedColumnFormula>
    </tableColumn>
    <tableColumn id="3" xr3:uid="{37CDD96C-AA2A-468A-962B-F08804F9CD5B}" name="Thermal" dataDxfId="52">
      <calculatedColumnFormula array="1">SUM(_xlfn._xlws.FILTER(P_el_2[Thermal],ISNUMBER(MATCH(P_el_2[Region],_xlfn._xlws.FILTER(Region[Administrative],Region[Model]=P_el_3[[#This Row],[Region]]),0))))</calculatedColumnFormula>
    </tableColumn>
    <tableColumn id="5" xr3:uid="{A0F9C4A2-5448-4E28-B596-7193A323B8D7}" name="Solar" dataDxfId="51">
      <calculatedColumnFormula array="1">SUM(_xlfn._xlws.FILTER(P_el_2[Solar],ISNUMBER(MATCH(P_el_2[Region],_xlfn._xlws.FILTER(Region[Administrative],Region[Model]=P_el_3[[#This Row],[Region]]),0))))</calculatedColumnFormula>
    </tableColumn>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C1BADB-568F-4480-9F35-B31059B5D238}" name="P_el_S5_1" displayName="P_el_S5_1" ref="AA26:AD44" totalsRowShown="0" headerRowDxfId="50">
  <autoFilter ref="AA26:AD44" xr:uid="{5CC1BADB-568F-4480-9F35-B31059B5D238}"/>
  <tableColumns count="4">
    <tableColumn id="1" xr3:uid="{346D7B0D-8D3C-4A81-A65B-2064CC26F88F}" name="Region" dataDxfId="49"/>
    <tableColumn id="2" xr3:uid="{6C446B92-71FE-4489-93A9-00513680F618}" name="Regional" dataDxfId="48">
      <calculatedColumnFormula>AC27*$AD$29</calculatedColumnFormula>
    </tableColumn>
    <tableColumn id="3" xr3:uid="{219D84CB-0FE5-45CD-BFE7-0EBE0DE0061E}" name="Regional%" dataDxfId="47" dataCellStyle="Percent"/>
    <tableColumn id="4" xr3:uid="{6911B3E8-3D26-499D-A2FD-0FF786CE57AC}" name="National" dataDxfId="46"/>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02FA53-D0E8-44FF-AF71-ABC271D638A9}" name="P_el_S5_2" displayName="P_el_S5_2" ref="AA48:AB55" totalsRowShown="0" headerRowDxfId="45" dataDxfId="44">
  <autoFilter ref="AA48:AB55" xr:uid="{6602FA53-D0E8-44FF-AF71-ABC271D638A9}"/>
  <tableColumns count="2">
    <tableColumn id="1" xr3:uid="{443A2EF1-F5F9-4192-9DC9-315146875111}" name="Region" dataDxfId="43"/>
    <tableColumn id="2" xr3:uid="{8DD55727-A46C-4374-B04F-8FF1E52C88C1}" name="Capacity" dataDxfId="42">
      <calculatedColumnFormula array="1">SUM(_xlfn._xlws.FILTER(P_el_S5_1[Regional],ISNUMBER(MATCH(P_el_S5_1[Region],_xlfn._xlws.FILTER(Region[Administrative],Region[Model]=P_el_S5_2[[#This Row],[Region]]),0))))</calculatedColumnFormula>
    </tableColumn>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81C197B-7A0D-44A2-A3DD-281F97867B49}" name="P_ind" displayName="P_ind" ref="A5:H75" totalsRowShown="0" headerRowDxfId="41" dataDxfId="40">
  <autoFilter ref="A5:H75" xr:uid="{FDE08183-CC1B-49C9-963E-7509F41C6A34}"/>
  <sortState xmlns:xlrd2="http://schemas.microsoft.com/office/spreadsheetml/2017/richdata2" ref="A6:G77">
    <sortCondition descending="1" ref="D5:D77"/>
  </sortState>
  <tableColumns count="8">
    <tableColumn id="1" xr3:uid="{2EE78666-4A36-4ADE-B25C-039E063C204B}" name="Name" dataDxfId="39"/>
    <tableColumn id="2" xr3:uid="{E0265CBD-B729-4CD1-B0F4-903CA11D8BFA}" name="Location" dataDxfId="38"/>
    <tableColumn id="3" xr3:uid="{5927EAA1-05B3-4D7C-8D67-DDC2719E1E9E}" name="Region" dataDxfId="37"/>
    <tableColumn id="5" xr3:uid="{590D505A-EEDE-416F-89B7-AED428F510D6}" name="Capacity" dataDxfId="36"/>
    <tableColumn id="6" xr3:uid="{2B8B3B07-1347-4959-B88E-C6EA45E5E048}" name="Main fuel" dataDxfId="35"/>
    <tableColumn id="7" xr3:uid="{CFFBA61D-3878-4536-8DA2-17584484705E}" name="Standby fuel 1" dataDxfId="34"/>
    <tableColumn id="8" xr3:uid="{B6CC7EF7-58A6-4AD6-877C-6CC197B598FD}" name="Standby fuel 2" dataDxfId="33"/>
    <tableColumn id="9" xr3:uid="{B8D6E265-7B6C-4DCC-B718-64996C1B7DE5}" name="Unit type" dataDxfId="32">
      <calculatedColumnFormula>IF(ISNUMBER(MATCH(P_ind[[#This Row],[Main fuel]],$J$29:$J$42,0)),"RE","non-RE")</calculatedColumnFormula>
    </tableColum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35918A1-06E8-433A-8F9E-DE2C70A05575}" name="P_chp_ind14" displayName="P_chp_ind14" ref="J44:L62" totalsRowShown="0" headerRowDxfId="31">
  <autoFilter ref="J44:L62" xr:uid="{F4005DBF-8922-4CB8-AA26-82543805E8ED}"/>
  <tableColumns count="3">
    <tableColumn id="1" xr3:uid="{B4261F10-0AD1-4291-B0BE-3337E679BB20}" name="Region" dataDxfId="30"/>
    <tableColumn id="2" xr3:uid="{2378EE75-53F6-420E-96A9-B81A7C3D587B}" name="RE" dataDxfId="29">
      <calculatedColumnFormula>SUMIFS(P_ind[Capacity], P_ind[Unit type], K$44, P_ind[Region], P_chp_ind14[[#This Row],[Region]])</calculatedColumnFormula>
    </tableColumn>
    <tableColumn id="3" xr3:uid="{47369599-C323-4A9C-A40C-0ADB8E412EC5}" name="non-RE" dataDxfId="28">
      <calculatedColumnFormula>SUMIFS(P_ind[Capacity], P_ind[Unit type], L$44, P_ind[Region], P_chp_ind14[[#This Row],[Region]])</calculatedColumnFormula>
    </tableColumn>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7533CEA-5A9F-4306-AE2E-2E5C1DDB1FA6}" name="P_chp_ind216" displayName="P_chp_ind216" ref="J65:L72" totalsRowShown="0" headerRowDxfId="27">
  <autoFilter ref="J65:L72" xr:uid="{58AD5D3F-A4DD-4E2F-8236-E45D6FF1F78A}"/>
  <tableColumns count="3">
    <tableColumn id="1" xr3:uid="{1D5BA847-4C80-4008-8098-1CA252FBE6B9}" name="Region" dataDxfId="26"/>
    <tableColumn id="2" xr3:uid="{5F7F9272-65DE-4DC1-9E07-7A2EAD014CCE}" name="RE" dataDxfId="25">
      <calculatedColumnFormula array="1">SUM(_xlfn._xlws.FILTER(P_chp_ind14[RE],ISNUMBER(MATCH(P_chp_ind14[Region],_xlfn._xlws.FILTER(Region[Administrative],Region[Model]=P_chp_ind216[[#This Row],[Region]]),0))))</calculatedColumnFormula>
    </tableColumn>
    <tableColumn id="3" xr3:uid="{AA20D9E7-154A-425B-9916-BD263330748B}" name="non-RE" dataDxfId="24">
      <calculatedColumnFormula array="1">SUM(_xlfn._xlws.FILTER(P_chp_ind14[non-RE],ISNUMBER(MATCH(P_chp_ind14[Region],_xlfn._xlws.FILTER(Region[Administrative],Region[Model]=P_chp_ind216[[#This Row],[Region]]),0))))</calculatedColumnFormula>
    </tableColum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DE08183-CC1B-49C9-963E-7509F41C6A34}" name="P_dh" displayName="P_dh" ref="A7:H66" totalsRowShown="0" headerRowDxfId="23" dataDxfId="22">
  <sortState xmlns:xlrd2="http://schemas.microsoft.com/office/spreadsheetml/2017/richdata2" ref="A8:G79">
    <sortCondition descending="1" ref="D7:D79"/>
  </sortState>
  <tableColumns count="8">
    <tableColumn id="1" xr3:uid="{70940690-4623-4EBA-A3EE-CCB5CB8AE3EB}" name="Name" dataDxfId="21"/>
    <tableColumn id="2" xr3:uid="{50811435-D3E6-496F-BD51-92708297785C}" name="Location" dataDxfId="20"/>
    <tableColumn id="3" xr3:uid="{5C56A402-D70D-420F-BC07-51556FE30E5A}" name="Region" dataDxfId="19"/>
    <tableColumn id="5" xr3:uid="{3F3E9A43-2E7A-4780-9822-038CD54B173C}" name="Capacity" dataDxfId="18"/>
    <tableColumn id="6" xr3:uid="{F8D6C7FB-A0C9-41D4-BC59-777FE3BEEED7}" name="Main fuel" dataDxfId="17"/>
    <tableColumn id="7" xr3:uid="{F1B6A9FD-C6CF-4C21-8B71-4E1954DB7147}" name="Standby fuel 1" dataDxfId="16"/>
    <tableColumn id="8" xr3:uid="{09E03024-3E0C-4EB2-BBC7-5C23DF233EBD}" name="Standby fuel 2" dataDxfId="15"/>
    <tableColumn id="9" xr3:uid="{E129DD2E-7673-4EEB-97BC-3FE149824F29}" name="Unit type" dataDxfId="14">
      <calculatedColumnFormula>_xlfn.XLOOKUP(P_dh[[#This Row],[Main fuel]],$J$7:$J$21,$K$7:$K$21)</calculatedColumnFormula>
    </tableColum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4005DBF-8922-4CB8-AA26-82543805E8ED}" name="P_chp_ind" displayName="P_chp_ind" ref="J23:M41" totalsRowShown="0" headerRowDxfId="13">
  <autoFilter ref="J23:M41" xr:uid="{F4005DBF-8922-4CB8-AA26-82543805E8ED}"/>
  <tableColumns count="4">
    <tableColumn id="1" xr3:uid="{73395B54-C5A6-4939-8794-97500132BA0F}" name="Region" dataDxfId="12"/>
    <tableColumn id="2" xr3:uid="{0D18F70A-24EF-4411-B430-78F164923430}" name="Gas" dataDxfId="11">
      <calculatedColumnFormula>SUMIFS(P_dh[Capacity], P_dh[Unit type], K$23, P_dh[Region], P_chp_ind[[#This Row],[Region]])</calculatedColumnFormula>
    </tableColumn>
    <tableColumn id="3" xr3:uid="{C8641F63-29BB-46C4-B00B-874A22AAB7C6}" name="Bio" dataDxfId="10">
      <calculatedColumnFormula>SUMIFS(P_dh[Capacity], P_dh[Unit type], L$23, P_dh[Region], P_chp_ind[[#This Row],[Region]])</calculatedColumnFormula>
    </tableColumn>
    <tableColumn id="4" xr3:uid="{7E2A0847-4339-4284-8A79-144BEAB8C641}" name="Waste" dataDxfId="9">
      <calculatedColumnFormula>SUMIFS(P_dh[Capacity], P_dh[Unit type], M$23, P_dh[Region], P_chp_ind[[#This Row],[Region]])</calculatedColumnFormula>
    </tableColum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8AD5D3F-A4DD-4E2F-8236-E45D6FF1F78A}" name="P_chp_ind2" displayName="P_chp_ind2" ref="J45:M52" totalsRowShown="0" headerRowDxfId="8">
  <autoFilter ref="J45:M52" xr:uid="{58AD5D3F-A4DD-4E2F-8236-E45D6FF1F78A}"/>
  <tableColumns count="4">
    <tableColumn id="1" xr3:uid="{2B01F9EC-7C9A-4FF4-B1B5-1EE42272BC1C}" name="Region" dataDxfId="7"/>
    <tableColumn id="2" xr3:uid="{F7EE49B5-215E-4040-B5A2-8D4A5E1E0BA3}" name="Gas" dataDxfId="6">
      <calculatedColumnFormula array="1">SUM(_xlfn._xlws.FILTER(P_chp_ind[Gas],ISNUMBER(MATCH(P_chp_ind[Region],_xlfn._xlws.FILTER(Region[Administrative],Region[Model]=P_chp_ind2[[#This Row],[Region]]),0))))</calculatedColumnFormula>
    </tableColumn>
    <tableColumn id="3" xr3:uid="{2C38E9E3-2923-4096-ADEF-EDBF9503FACE}" name="Bio" dataDxfId="5">
      <calculatedColumnFormula array="1">SUM(_xlfn._xlws.FILTER(P_chp_ind[Bio],ISNUMBER(MATCH(P_chp_ind[Region],_xlfn._xlws.FILTER(Region[Administrative],Region[Model]=P_chp_ind2[[#This Row],[Region]]),0))))</calculatedColumnFormula>
    </tableColumn>
    <tableColumn id="4" xr3:uid="{8271E13A-A2A0-4AB5-8B9E-0FB6D08BC8A4}" name="Waste" dataDxfId="4">
      <calculatedColumnFormula array="1">SUM(_xlfn._xlws.FILTER(P_chp_ind[Waste],ISNUMBER(MATCH(P_chp_ind[Region],_xlfn._xlws.FILTER(Region[Administrative],Region[Model]=P_chp_ind2[[#This Row],[Region]]),0))))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https://pxdata.stat.fi/PxWeb/pxweb/en/StatFin/StatFin__tene/statfin_tene_pxt_12bu.px/" TargetMode="External"/><Relationship Id="rId2" Type="http://schemas.openxmlformats.org/officeDocument/2006/relationships/hyperlink" Target="https://pxdata.stat.fi/PxWeb/pxweb/en/StatFin/StatFin__tene/statfin_tene_pxt_12bw.px/table/tableViewLayout1/" TargetMode="External"/><Relationship Id="rId1" Type="http://schemas.openxmlformats.org/officeDocument/2006/relationships/hyperlink" Target="https://view.officeapps.live.com/op/view.aspx?src=https%3A%2F%2Fenergia.fi%2Fwp-content%2Fuploads%2F2024%2F12%2FSahkonkulutus-maakunnittain-2007-2023.xlsx&amp;wdOrigin=BROWSELINK"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view.officeapps.live.com/op/view.aspx?src=https%3A%2F%2Fenergia.fi%2Fwp-content%2Fuploads%2F2024%2F05%2FDH_Regional_2023.xlsx&amp;wdOrigin=BROWSELINK"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hyperlink" Target="https://energiavirasto.fi/toimitusvarmuus"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hyperlink" Target="https://suomenuusiutuvat.fi/en/solar-power/solar-power-projects-in-finland/" TargetMode="External"/><Relationship Id="rId7" Type="http://schemas.openxmlformats.org/officeDocument/2006/relationships/table" Target="../tables/table8.xml"/><Relationship Id="rId2" Type="http://schemas.openxmlformats.org/officeDocument/2006/relationships/hyperlink" Target="https://www.gem.wiki/Main_Page" TargetMode="External"/><Relationship Id="rId1" Type="http://schemas.openxmlformats.org/officeDocument/2006/relationships/hyperlink" Target="https://energiavirasto.fi/toimitusvarmuus" TargetMode="Externa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hyperlink" Target="https://energiavirasto.fi/toimitusvarmuus" TargetMode="External"/><Relationship Id="rId4"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hyperlink" Target="https://energiavirasto.fi/toimitusvarmuus" TargetMode="External"/><Relationship Id="rId4"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3" Type="http://schemas.openxmlformats.org/officeDocument/2006/relationships/hyperlink" Target="https://www.fingrid.fi/globalassets/dokumentit/fi/kantaverkko/kantaverkon-kehittaminen/fingrid_kehittamissuunnitelma_syksy23_en.pdf" TargetMode="External"/><Relationship Id="rId2" Type="http://schemas.openxmlformats.org/officeDocument/2006/relationships/hyperlink" Target="https://www.fingrid.fi/globalassets/dokumentit/fi/kantaverkko/kantaverkon-kehittaminen/fingrid_kehittamissuunnitelma_syksy23_en.pdf" TargetMode="External"/><Relationship Id="rId1" Type="http://schemas.openxmlformats.org/officeDocument/2006/relationships/hyperlink" Target="https://www.fingrid.fi/en/grid/development/part-of-the-nordic-power-system/" TargetMode="External"/><Relationship Id="rId6" Type="http://schemas.openxmlformats.org/officeDocument/2006/relationships/drawing" Target="../drawings/drawing3.xml"/><Relationship Id="rId5" Type="http://schemas.openxmlformats.org/officeDocument/2006/relationships/hyperlink" Target="https://karttapalaute.fingrid.fi/?link=hDzo" TargetMode="External"/><Relationship Id="rId4" Type="http://schemas.openxmlformats.org/officeDocument/2006/relationships/hyperlink" Target="https://www.e-cigre.org/publications/detail/207-thermal-behaviour-of-overhead-conductors.html"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DBF21-E88F-4C29-8117-31AE111BFC7A}">
  <sheetPr>
    <tabColor theme="1"/>
  </sheetPr>
  <dimension ref="A1:H25"/>
  <sheetViews>
    <sheetView topLeftCell="B6" zoomScaleNormal="100" workbookViewId="0">
      <selection activeCell="F29" sqref="F29"/>
    </sheetView>
  </sheetViews>
  <sheetFormatPr defaultColWidth="9.140625" defaultRowHeight="15"/>
  <cols>
    <col min="1" max="1" width="9.140625" style="1"/>
    <col min="2" max="2" width="12.5703125" style="1" bestFit="1" customWidth="1"/>
    <col min="3" max="3" width="11.5703125" style="1" bestFit="1" customWidth="1"/>
    <col min="4" max="4" width="15.7109375" style="1" bestFit="1" customWidth="1"/>
    <col min="5" max="5" width="11.5703125" style="1" customWidth="1"/>
    <col min="6" max="6" width="56.85546875" style="1" customWidth="1"/>
    <col min="7" max="7" width="59.140625" style="1" customWidth="1"/>
    <col min="8" max="8" width="93.85546875" style="1" bestFit="1" customWidth="1"/>
    <col min="9" max="16384" width="9.140625" style="1"/>
  </cols>
  <sheetData>
    <row r="1" spans="1:8">
      <c r="A1" s="36" t="s">
        <v>160</v>
      </c>
      <c r="B1" s="36" t="s">
        <v>149</v>
      </c>
      <c r="C1" s="36" t="s">
        <v>159</v>
      </c>
      <c r="D1" s="194" t="s">
        <v>1364</v>
      </c>
      <c r="E1" s="191" t="s">
        <v>1361</v>
      </c>
      <c r="F1" s="36" t="s">
        <v>1327</v>
      </c>
      <c r="G1" s="36" t="s">
        <v>144</v>
      </c>
      <c r="H1" s="36" t="s">
        <v>1328</v>
      </c>
    </row>
    <row r="2" spans="1:8" ht="30">
      <c r="A2" s="186" t="s">
        <v>150</v>
      </c>
      <c r="B2" s="186" t="s">
        <v>62</v>
      </c>
      <c r="C2" s="187" t="s">
        <v>155</v>
      </c>
      <c r="D2" s="192" t="s">
        <v>1362</v>
      </c>
      <c r="E2" s="192" t="s">
        <v>1362</v>
      </c>
      <c r="F2" s="187" t="s">
        <v>1329</v>
      </c>
      <c r="G2" s="106" t="s">
        <v>1330</v>
      </c>
      <c r="H2" s="188" t="s">
        <v>1331</v>
      </c>
    </row>
    <row r="3" spans="1:8">
      <c r="A3" s="113"/>
      <c r="B3" s="186"/>
      <c r="C3" s="187" t="s">
        <v>157</v>
      </c>
      <c r="D3" s="192" t="s">
        <v>1362</v>
      </c>
      <c r="E3" s="192" t="s">
        <v>1360</v>
      </c>
      <c r="F3" s="187" t="s">
        <v>1332</v>
      </c>
      <c r="G3" s="106" t="s">
        <v>1333</v>
      </c>
      <c r="H3" s="188"/>
    </row>
    <row r="4" spans="1:8">
      <c r="A4" s="113"/>
      <c r="B4" s="186"/>
      <c r="C4" s="187" t="s">
        <v>158</v>
      </c>
      <c r="D4" s="195" t="s">
        <v>1360</v>
      </c>
      <c r="E4" s="202" t="s">
        <v>1360</v>
      </c>
      <c r="F4" s="187" t="s">
        <v>1334</v>
      </c>
      <c r="G4" s="106" t="s">
        <v>1353</v>
      </c>
      <c r="H4" s="188"/>
    </row>
    <row r="5" spans="1:8">
      <c r="A5" s="113"/>
      <c r="B5" s="189"/>
      <c r="C5" s="189" t="s">
        <v>156</v>
      </c>
      <c r="D5" s="201" t="s">
        <v>1363</v>
      </c>
      <c r="E5" s="196" t="s">
        <v>1360</v>
      </c>
      <c r="F5" s="189" t="s">
        <v>1340</v>
      </c>
      <c r="G5" s="189" t="s">
        <v>1354</v>
      </c>
      <c r="H5" s="189" t="s">
        <v>1335</v>
      </c>
    </row>
    <row r="6" spans="1:8">
      <c r="A6" s="113"/>
      <c r="B6" s="1" t="s">
        <v>151</v>
      </c>
      <c r="C6" s="100" t="s">
        <v>155</v>
      </c>
      <c r="D6" s="192" t="s">
        <v>1362</v>
      </c>
      <c r="E6" s="198" t="s">
        <v>1362</v>
      </c>
      <c r="F6" s="100" t="s">
        <v>1336</v>
      </c>
      <c r="G6" s="100" t="s">
        <v>1339</v>
      </c>
      <c r="H6" s="100" t="s">
        <v>1368</v>
      </c>
    </row>
    <row r="7" spans="1:8">
      <c r="A7" s="113"/>
      <c r="C7" s="100" t="s">
        <v>1337</v>
      </c>
      <c r="D7" s="192" t="s">
        <v>1362</v>
      </c>
      <c r="E7" s="198" t="s">
        <v>1360</v>
      </c>
      <c r="F7" s="100" t="s">
        <v>1338</v>
      </c>
      <c r="G7" s="35"/>
      <c r="H7" s="35"/>
    </row>
    <row r="8" spans="1:8">
      <c r="A8" s="113"/>
      <c r="C8" s="100" t="s">
        <v>156</v>
      </c>
      <c r="D8" s="193" t="s">
        <v>1363</v>
      </c>
      <c r="E8" s="197" t="s">
        <v>1360</v>
      </c>
      <c r="F8" s="100" t="s">
        <v>1351</v>
      </c>
      <c r="G8" s="106" t="s">
        <v>1352</v>
      </c>
      <c r="H8" s="100" t="s">
        <v>1356</v>
      </c>
    </row>
    <row r="9" spans="1:8">
      <c r="A9" s="113"/>
      <c r="C9" s="100" t="s">
        <v>157</v>
      </c>
      <c r="D9" s="198" t="s">
        <v>1362</v>
      </c>
      <c r="E9" s="198" t="s">
        <v>1360</v>
      </c>
      <c r="F9" s="1" t="s">
        <v>1336</v>
      </c>
      <c r="H9" s="1" t="s">
        <v>1342</v>
      </c>
    </row>
    <row r="10" spans="1:8">
      <c r="A10" s="113"/>
      <c r="B10" s="21"/>
      <c r="C10" s="189" t="s">
        <v>158</v>
      </c>
      <c r="D10" s="199" t="s">
        <v>1362</v>
      </c>
      <c r="E10" s="199" t="s">
        <v>1360</v>
      </c>
      <c r="F10" s="21" t="s">
        <v>1336</v>
      </c>
      <c r="G10" s="21" t="s">
        <v>1341</v>
      </c>
      <c r="H10" s="21"/>
    </row>
    <row r="11" spans="1:8">
      <c r="A11" s="113"/>
      <c r="B11" s="1" t="s">
        <v>152</v>
      </c>
      <c r="C11" s="100" t="s">
        <v>1355</v>
      </c>
      <c r="D11" s="193" t="s">
        <v>1363</v>
      </c>
      <c r="E11" s="197" t="s">
        <v>1363</v>
      </c>
      <c r="F11" s="100" t="s">
        <v>1351</v>
      </c>
      <c r="G11" s="106" t="s">
        <v>1352</v>
      </c>
      <c r="H11" s="96"/>
    </row>
    <row r="12" spans="1:8">
      <c r="A12" s="113"/>
      <c r="B12" s="21"/>
      <c r="C12" s="189" t="s">
        <v>156</v>
      </c>
      <c r="D12" s="200" t="s">
        <v>1363</v>
      </c>
      <c r="E12" s="196" t="s">
        <v>1360</v>
      </c>
      <c r="F12" s="189" t="s">
        <v>1340</v>
      </c>
      <c r="G12" s="21" t="s">
        <v>1354</v>
      </c>
      <c r="H12" s="21" t="s">
        <v>1356</v>
      </c>
    </row>
    <row r="13" spans="1:8" ht="30">
      <c r="A13" s="113"/>
      <c r="B13" s="186" t="s">
        <v>153</v>
      </c>
      <c r="C13" s="187" t="s">
        <v>155</v>
      </c>
      <c r="D13" s="192" t="s">
        <v>1362</v>
      </c>
      <c r="E13" s="192" t="s">
        <v>1362</v>
      </c>
      <c r="F13" s="187" t="s">
        <v>1343</v>
      </c>
      <c r="G13" s="187" t="s">
        <v>1344</v>
      </c>
      <c r="H13" s="188" t="s">
        <v>1369</v>
      </c>
    </row>
    <row r="14" spans="1:8">
      <c r="A14" s="114"/>
      <c r="B14" s="21"/>
      <c r="C14" s="189" t="s">
        <v>156</v>
      </c>
      <c r="D14" s="199" t="s">
        <v>1362</v>
      </c>
      <c r="E14" s="199" t="s">
        <v>1362</v>
      </c>
      <c r="F14" s="189" t="s">
        <v>1346</v>
      </c>
      <c r="G14" s="189" t="s">
        <v>1345</v>
      </c>
      <c r="H14" s="21" t="s">
        <v>1348</v>
      </c>
    </row>
    <row r="15" spans="1:8">
      <c r="A15" s="211" t="s">
        <v>154</v>
      </c>
      <c r="B15" s="1" t="s">
        <v>62</v>
      </c>
      <c r="C15" s="100" t="s">
        <v>155</v>
      </c>
      <c r="D15" s="198" t="s">
        <v>1362</v>
      </c>
      <c r="E15" s="198" t="s">
        <v>1362</v>
      </c>
      <c r="F15" s="100" t="s">
        <v>1357</v>
      </c>
      <c r="G15" s="35"/>
      <c r="H15" s="35"/>
    </row>
    <row r="16" spans="1:8">
      <c r="A16" s="212"/>
      <c r="C16" s="100" t="s">
        <v>1358</v>
      </c>
      <c r="D16" s="198" t="s">
        <v>1362</v>
      </c>
      <c r="E16" s="198" t="s">
        <v>1360</v>
      </c>
      <c r="F16" s="100" t="s">
        <v>172</v>
      </c>
    </row>
    <row r="17" spans="1:8">
      <c r="A17" s="212"/>
      <c r="B17" s="21"/>
      <c r="C17" s="189" t="s">
        <v>157</v>
      </c>
      <c r="D17" s="196" t="s">
        <v>1360</v>
      </c>
      <c r="E17" s="196" t="s">
        <v>1360</v>
      </c>
      <c r="F17" s="189" t="s">
        <v>415</v>
      </c>
      <c r="G17" s="189"/>
      <c r="H17" s="189"/>
    </row>
    <row r="18" spans="1:8">
      <c r="A18" s="212"/>
      <c r="B18" s="1" t="s">
        <v>161</v>
      </c>
      <c r="C18" s="100" t="s">
        <v>162</v>
      </c>
      <c r="D18" s="197" t="s">
        <v>1360</v>
      </c>
      <c r="E18" s="197" t="s">
        <v>1360</v>
      </c>
      <c r="F18" s="100" t="s">
        <v>415</v>
      </c>
      <c r="G18" s="100"/>
      <c r="H18" s="100"/>
    </row>
    <row r="19" spans="1:8">
      <c r="A19" s="212"/>
      <c r="C19" s="100" t="s">
        <v>163</v>
      </c>
      <c r="D19" s="197" t="s">
        <v>1360</v>
      </c>
      <c r="E19" s="193" t="s">
        <v>1362</v>
      </c>
      <c r="F19" s="100" t="s">
        <v>173</v>
      </c>
      <c r="G19" s="100"/>
      <c r="H19" s="100" t="s">
        <v>1359</v>
      </c>
    </row>
    <row r="20" spans="1:8">
      <c r="A20" s="212"/>
      <c r="B20" s="21"/>
      <c r="C20" s="189" t="s">
        <v>164</v>
      </c>
      <c r="D20" s="196" t="s">
        <v>1360</v>
      </c>
      <c r="E20" s="200" t="s">
        <v>1362</v>
      </c>
      <c r="F20" s="189" t="s">
        <v>174</v>
      </c>
      <c r="G20" s="189"/>
      <c r="H20" s="189"/>
    </row>
    <row r="21" spans="1:8">
      <c r="A21" s="213"/>
      <c r="B21" s="21" t="s">
        <v>165</v>
      </c>
      <c r="C21" s="189" t="s">
        <v>162</v>
      </c>
      <c r="D21" s="196" t="s">
        <v>1360</v>
      </c>
      <c r="E21" s="196" t="s">
        <v>1360</v>
      </c>
      <c r="F21" s="189" t="s">
        <v>415</v>
      </c>
      <c r="G21" s="189"/>
      <c r="H21" s="190"/>
    </row>
    <row r="23" spans="1:8">
      <c r="D23" s="103" t="s">
        <v>1365</v>
      </c>
    </row>
    <row r="24" spans="1:8">
      <c r="D24" s="103" t="s">
        <v>1366</v>
      </c>
    </row>
    <row r="25" spans="1:8">
      <c r="D25" s="103" t="s">
        <v>1367</v>
      </c>
    </row>
  </sheetData>
  <mergeCells count="1">
    <mergeCell ref="A15:A2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5AA57-1E63-4771-8AC1-D1A3C82F9930}">
  <sheetPr>
    <tabColor theme="1"/>
  </sheetPr>
  <dimension ref="A1:AC23"/>
  <sheetViews>
    <sheetView workbookViewId="0">
      <selection activeCell="H24" sqref="H24"/>
    </sheetView>
  </sheetViews>
  <sheetFormatPr defaultColWidth="9.140625" defaultRowHeight="15"/>
  <cols>
    <col min="1" max="1" width="11.140625" style="1" bestFit="1" customWidth="1"/>
    <col min="2" max="2" width="18.42578125" style="1" bestFit="1" customWidth="1"/>
    <col min="3" max="3" width="21" style="1" bestFit="1" customWidth="1"/>
    <col min="4" max="4" width="2.42578125" style="1" customWidth="1"/>
    <col min="5" max="6" width="11.28515625" style="1" customWidth="1"/>
    <col min="7" max="7" width="9.140625" style="1" customWidth="1"/>
    <col min="8" max="8" width="16" style="1" bestFit="1" customWidth="1"/>
    <col min="9" max="9" width="19.85546875" style="1" bestFit="1" customWidth="1"/>
    <col min="10" max="16384" width="9.140625" style="1"/>
  </cols>
  <sheetData>
    <row r="1" spans="1:29">
      <c r="A1" s="45" t="s">
        <v>406</v>
      </c>
      <c r="B1" s="45"/>
      <c r="C1" s="45"/>
      <c r="H1" s="45" t="s">
        <v>407</v>
      </c>
      <c r="I1" s="45"/>
    </row>
    <row r="2" spans="1:29">
      <c r="A2" s="1" t="s">
        <v>404</v>
      </c>
      <c r="B2" s="1" t="s">
        <v>408</v>
      </c>
      <c r="C2" s="1" t="s">
        <v>409</v>
      </c>
      <c r="E2" s="35" t="s">
        <v>1394</v>
      </c>
      <c r="F2" s="35"/>
      <c r="H2" s="1" t="s">
        <v>404</v>
      </c>
      <c r="I2" s="1" t="s">
        <v>405</v>
      </c>
      <c r="AB2" s="35"/>
      <c r="AC2" s="35"/>
    </row>
    <row r="3" spans="1:29">
      <c r="A3" s="81" t="s">
        <v>28</v>
      </c>
      <c r="B3" s="100" t="s">
        <v>20</v>
      </c>
      <c r="C3" s="1" t="s">
        <v>126</v>
      </c>
      <c r="E3" s="7">
        <v>176494</v>
      </c>
      <c r="F3" s="7">
        <f>SUM(E3:E4)</f>
        <v>592097</v>
      </c>
      <c r="H3" s="81" t="s">
        <v>33</v>
      </c>
      <c r="I3" s="100" t="s">
        <v>127</v>
      </c>
      <c r="AB3" s="35"/>
      <c r="AC3" s="35"/>
    </row>
    <row r="4" spans="1:29">
      <c r="A4" s="101" t="s">
        <v>28</v>
      </c>
      <c r="B4" s="100" t="s">
        <v>18</v>
      </c>
      <c r="C4" s="1" t="s">
        <v>125</v>
      </c>
      <c r="E4" s="7">
        <v>415603</v>
      </c>
      <c r="F4" s="7"/>
      <c r="H4" s="81" t="s">
        <v>31</v>
      </c>
      <c r="I4" s="100" t="s">
        <v>120</v>
      </c>
      <c r="AB4" s="35"/>
      <c r="AC4" s="35"/>
    </row>
    <row r="5" spans="1:29">
      <c r="A5" s="81" t="s">
        <v>29</v>
      </c>
      <c r="B5" s="100" t="s">
        <v>17</v>
      </c>
      <c r="C5" s="1" t="s">
        <v>124</v>
      </c>
      <c r="E5" s="7">
        <v>67915</v>
      </c>
      <c r="F5" s="7">
        <f>SUM(E5:E8)</f>
        <v>649999</v>
      </c>
      <c r="H5" s="81" t="s">
        <v>29</v>
      </c>
      <c r="I5" s="100" t="s">
        <v>124</v>
      </c>
      <c r="AB5" s="35"/>
      <c r="AC5" s="35"/>
    </row>
    <row r="6" spans="1:29">
      <c r="A6" s="101" t="s">
        <v>29</v>
      </c>
      <c r="B6" s="100" t="s">
        <v>16</v>
      </c>
      <c r="C6" s="1" t="s">
        <v>122</v>
      </c>
      <c r="E6" s="7">
        <v>176041</v>
      </c>
      <c r="F6" s="7"/>
      <c r="H6" s="81" t="s">
        <v>32</v>
      </c>
      <c r="I6" s="100" t="s">
        <v>19</v>
      </c>
      <c r="AB6" s="35"/>
      <c r="AC6" s="35"/>
    </row>
    <row r="7" spans="1:29">
      <c r="A7" s="101" t="s">
        <v>29</v>
      </c>
      <c r="B7" s="100" t="s">
        <v>30</v>
      </c>
      <c r="C7" s="1" t="s">
        <v>121</v>
      </c>
      <c r="E7" s="7">
        <v>191762</v>
      </c>
      <c r="F7" s="7"/>
      <c r="H7" s="81" t="s">
        <v>33</v>
      </c>
      <c r="I7" s="100" t="s">
        <v>6</v>
      </c>
      <c r="AB7" s="35"/>
      <c r="AC7" s="35"/>
    </row>
    <row r="8" spans="1:29">
      <c r="A8" s="101" t="s">
        <v>29</v>
      </c>
      <c r="B8" s="100" t="s">
        <v>5</v>
      </c>
      <c r="C8" s="1" t="s">
        <v>5</v>
      </c>
      <c r="E8" s="7">
        <v>214281</v>
      </c>
      <c r="F8" s="7"/>
      <c r="H8" s="81" t="s">
        <v>34</v>
      </c>
      <c r="I8" s="100" t="s">
        <v>9</v>
      </c>
      <c r="AB8" s="35"/>
      <c r="AC8" s="35"/>
    </row>
    <row r="9" spans="1:29">
      <c r="A9" s="81" t="s">
        <v>31</v>
      </c>
      <c r="B9" s="100" t="s">
        <v>7</v>
      </c>
      <c r="C9" s="1" t="s">
        <v>7</v>
      </c>
      <c r="E9" s="7">
        <v>527478</v>
      </c>
      <c r="F9" s="7">
        <f>SUM(E9:E10)</f>
        <v>800161</v>
      </c>
      <c r="H9" s="81" t="s">
        <v>28</v>
      </c>
      <c r="I9" s="100" t="s">
        <v>126</v>
      </c>
    </row>
    <row r="10" spans="1:29">
      <c r="A10" s="101" t="s">
        <v>31</v>
      </c>
      <c r="B10" s="100" t="s">
        <v>14</v>
      </c>
      <c r="C10" s="1" t="s">
        <v>120</v>
      </c>
      <c r="E10" s="7">
        <v>272683</v>
      </c>
      <c r="F10" s="7"/>
      <c r="H10" s="81" t="s">
        <v>32</v>
      </c>
      <c r="I10" s="100" t="s">
        <v>123</v>
      </c>
    </row>
    <row r="11" spans="1:29">
      <c r="A11" s="81" t="s">
        <v>32</v>
      </c>
      <c r="B11" s="100" t="s">
        <v>19</v>
      </c>
      <c r="C11" s="1" t="s">
        <v>19</v>
      </c>
      <c r="E11" s="7">
        <v>71255</v>
      </c>
      <c r="F11" s="7">
        <f>SUM(E11:E14)</f>
        <v>614587</v>
      </c>
      <c r="H11" s="81" t="s">
        <v>28</v>
      </c>
      <c r="I11" s="100" t="s">
        <v>125</v>
      </c>
    </row>
    <row r="12" spans="1:29">
      <c r="A12" s="101" t="s">
        <v>32</v>
      </c>
      <c r="B12" s="100" t="s">
        <v>12</v>
      </c>
      <c r="C12" s="1" t="s">
        <v>166</v>
      </c>
      <c r="E12" s="7">
        <v>248363</v>
      </c>
      <c r="F12" s="7"/>
      <c r="H12" s="81" t="s">
        <v>32</v>
      </c>
      <c r="I12" s="100" t="s">
        <v>166</v>
      </c>
    </row>
    <row r="13" spans="1:29">
      <c r="A13" s="101" t="s">
        <v>32</v>
      </c>
      <c r="B13" s="100" t="s">
        <v>11</v>
      </c>
      <c r="C13" s="1" t="s">
        <v>167</v>
      </c>
      <c r="E13" s="7">
        <v>131688</v>
      </c>
      <c r="F13" s="7"/>
      <c r="H13" s="81" t="s">
        <v>29</v>
      </c>
      <c r="I13" s="100" t="s">
        <v>122</v>
      </c>
    </row>
    <row r="14" spans="1:29">
      <c r="A14" s="101" t="s">
        <v>32</v>
      </c>
      <c r="B14" s="100" t="s">
        <v>13</v>
      </c>
      <c r="C14" s="1" t="s">
        <v>123</v>
      </c>
      <c r="E14" s="7">
        <v>163281</v>
      </c>
      <c r="F14" s="7"/>
      <c r="H14" s="81" t="s">
        <v>34</v>
      </c>
      <c r="I14" s="100" t="s">
        <v>8</v>
      </c>
    </row>
    <row r="15" spans="1:29">
      <c r="A15" s="81" t="s">
        <v>33</v>
      </c>
      <c r="B15" s="100" t="s">
        <v>22</v>
      </c>
      <c r="C15" s="1" t="s">
        <v>127</v>
      </c>
      <c r="E15" s="7">
        <v>30344</v>
      </c>
      <c r="F15" s="7">
        <f>SUM(E15:E17)</f>
        <v>684034</v>
      </c>
      <c r="H15" s="81" t="s">
        <v>31</v>
      </c>
      <c r="I15" s="100" t="s">
        <v>7</v>
      </c>
    </row>
    <row r="16" spans="1:29">
      <c r="A16" s="101" t="s">
        <v>33</v>
      </c>
      <c r="B16" s="100" t="s">
        <v>4</v>
      </c>
      <c r="C16" s="1" t="s">
        <v>168</v>
      </c>
      <c r="E16" s="7">
        <v>483477</v>
      </c>
      <c r="F16" s="7"/>
      <c r="H16" s="81" t="s">
        <v>29</v>
      </c>
      <c r="I16" s="100" t="s">
        <v>5</v>
      </c>
    </row>
    <row r="17" spans="1:24">
      <c r="A17" s="101" t="s">
        <v>33</v>
      </c>
      <c r="B17" s="100" t="s">
        <v>6</v>
      </c>
      <c r="C17" s="1" t="s">
        <v>6</v>
      </c>
      <c r="E17" s="7">
        <v>170213</v>
      </c>
      <c r="F17" s="7"/>
      <c r="H17" s="81" t="s">
        <v>34</v>
      </c>
      <c r="I17" s="100" t="s">
        <v>119</v>
      </c>
    </row>
    <row r="18" spans="1:24">
      <c r="A18" s="81" t="s">
        <v>34</v>
      </c>
      <c r="B18" s="100" t="s">
        <v>8</v>
      </c>
      <c r="C18" s="1" t="s">
        <v>8</v>
      </c>
      <c r="E18" s="7">
        <v>205124</v>
      </c>
      <c r="F18" s="7">
        <f>SUM(E18:E20)</f>
        <v>492622</v>
      </c>
      <c r="H18" s="81" t="s">
        <v>29</v>
      </c>
      <c r="I18" s="100" t="s">
        <v>121</v>
      </c>
      <c r="W18" s="35"/>
      <c r="X18" s="35"/>
    </row>
    <row r="19" spans="1:24">
      <c r="A19" s="101" t="s">
        <v>34</v>
      </c>
      <c r="B19" s="100" t="s">
        <v>9</v>
      </c>
      <c r="C19" s="1" t="s">
        <v>9</v>
      </c>
      <c r="E19" s="7">
        <v>161391</v>
      </c>
      <c r="F19" s="7"/>
      <c r="H19" s="81" t="s">
        <v>32</v>
      </c>
      <c r="I19" s="100" t="s">
        <v>167</v>
      </c>
      <c r="W19" s="35"/>
      <c r="X19" s="35"/>
    </row>
    <row r="20" spans="1:24">
      <c r="A20" s="101" t="s">
        <v>34</v>
      </c>
      <c r="B20" s="100" t="s">
        <v>10</v>
      </c>
      <c r="C20" s="1" t="s">
        <v>119</v>
      </c>
      <c r="E20" s="7">
        <v>126107</v>
      </c>
      <c r="F20" s="7"/>
      <c r="H20" s="81" t="s">
        <v>33</v>
      </c>
      <c r="I20" s="100" t="s">
        <v>168</v>
      </c>
      <c r="W20" s="35"/>
      <c r="X20" s="35"/>
    </row>
    <row r="21" spans="1:24">
      <c r="A21" s="81" t="s">
        <v>3</v>
      </c>
      <c r="B21" s="100" t="s">
        <v>3</v>
      </c>
      <c r="C21" s="1" t="s">
        <v>3</v>
      </c>
      <c r="E21" s="7">
        <v>1714741</v>
      </c>
      <c r="F21" s="7">
        <f>E21</f>
        <v>1714741</v>
      </c>
      <c r="H21" s="81" t="s">
        <v>3</v>
      </c>
      <c r="I21" s="100" t="s">
        <v>3</v>
      </c>
      <c r="W21" s="35"/>
      <c r="X21" s="35"/>
    </row>
    <row r="23" spans="1:24">
      <c r="W23" s="35"/>
      <c r="X23" s="35"/>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sheetPr>
  <dimension ref="A1:AI104"/>
  <sheetViews>
    <sheetView topLeftCell="E34" workbookViewId="0">
      <selection activeCell="Y101" sqref="Y101"/>
    </sheetView>
  </sheetViews>
  <sheetFormatPr defaultColWidth="9.140625" defaultRowHeight="15"/>
  <cols>
    <col min="1" max="11" width="9.140625" style="2"/>
    <col min="12" max="12" width="9.85546875" style="2" bestFit="1" customWidth="1"/>
    <col min="13" max="16384" width="9.140625" style="2"/>
  </cols>
  <sheetData>
    <row r="1" spans="1:35">
      <c r="A1" s="3" t="s">
        <v>36</v>
      </c>
      <c r="B1" s="4"/>
      <c r="C1" s="4"/>
      <c r="D1" s="4"/>
      <c r="E1" s="4"/>
      <c r="F1" s="4"/>
      <c r="G1" s="4"/>
      <c r="H1" s="4"/>
      <c r="I1" s="4"/>
      <c r="J1" s="4"/>
      <c r="K1" s="4"/>
      <c r="L1" s="4"/>
      <c r="M1" s="4"/>
      <c r="N1" s="4"/>
      <c r="O1" s="4"/>
      <c r="P1" s="4"/>
      <c r="Q1" s="4"/>
      <c r="R1" s="4"/>
      <c r="S1" s="4"/>
      <c r="T1" s="4"/>
      <c r="U1" s="4"/>
      <c r="V1" s="4"/>
      <c r="W1" s="4"/>
    </row>
    <row r="2" spans="1:35">
      <c r="A2" s="12" t="s">
        <v>1182</v>
      </c>
      <c r="B2" s="13" t="s">
        <v>0</v>
      </c>
      <c r="C2" s="13"/>
      <c r="D2" s="12"/>
      <c r="E2" s="12"/>
      <c r="F2" s="12"/>
      <c r="G2" s="12" t="s">
        <v>25</v>
      </c>
      <c r="H2" s="12"/>
      <c r="I2" s="12"/>
      <c r="J2" s="12"/>
      <c r="L2" s="12" t="s">
        <v>1183</v>
      </c>
      <c r="M2" s="12" t="s">
        <v>38</v>
      </c>
      <c r="N2" s="12"/>
      <c r="O2" s="12"/>
      <c r="P2" s="12"/>
      <c r="Q2" s="12"/>
      <c r="R2" s="12"/>
      <c r="T2" s="12"/>
      <c r="U2" s="12" t="s">
        <v>129</v>
      </c>
      <c r="V2" s="12"/>
      <c r="W2" s="12"/>
      <c r="AA2" s="5" t="s">
        <v>1</v>
      </c>
      <c r="AB2" s="5" t="s">
        <v>27</v>
      </c>
      <c r="AC2" s="5" t="s">
        <v>26</v>
      </c>
      <c r="AE2" s="5"/>
      <c r="AF2" s="15" t="s">
        <v>1</v>
      </c>
      <c r="AG2" s="5" t="s">
        <v>27</v>
      </c>
      <c r="AH2" s="5" t="s">
        <v>26</v>
      </c>
    </row>
    <row r="3" spans="1:35">
      <c r="A3" s="25" t="s">
        <v>37</v>
      </c>
      <c r="B3" s="13"/>
      <c r="C3" s="13"/>
      <c r="D3" s="12"/>
      <c r="E3" s="12"/>
      <c r="F3" s="12"/>
      <c r="G3" s="12"/>
      <c r="H3" s="12"/>
      <c r="I3" s="12"/>
      <c r="J3" s="12"/>
      <c r="L3" s="25" t="s">
        <v>47</v>
      </c>
      <c r="M3" s="12"/>
      <c r="N3" s="12"/>
      <c r="O3" s="12"/>
      <c r="P3" s="12"/>
      <c r="Q3" s="12"/>
      <c r="R3" s="12"/>
      <c r="T3" s="12" t="s">
        <v>1186</v>
      </c>
      <c r="U3" s="69" t="s">
        <v>117</v>
      </c>
      <c r="V3" s="12"/>
      <c r="W3" s="12"/>
      <c r="X3" s="203" t="s">
        <v>1142</v>
      </c>
      <c r="Z3" s="1">
        <v>2007</v>
      </c>
      <c r="AA3" s="2">
        <f>C26</f>
        <v>47677</v>
      </c>
      <c r="AB3" s="2">
        <f t="shared" ref="AB3:AC3" si="0">D26</f>
        <v>17263</v>
      </c>
      <c r="AC3" s="2">
        <f t="shared" si="0"/>
        <v>22391</v>
      </c>
      <c r="AE3" s="2" t="s">
        <v>3</v>
      </c>
      <c r="AF3" s="16">
        <v>4073</v>
      </c>
      <c r="AG3" s="10">
        <v>6791</v>
      </c>
      <c r="AH3" s="10">
        <v>5840</v>
      </c>
      <c r="AI3" s="2">
        <f t="shared" ref="AI3:AI21" si="1">W6-V6</f>
        <v>16161</v>
      </c>
    </row>
    <row r="4" spans="1:35">
      <c r="A4" s="14" t="s">
        <v>48</v>
      </c>
      <c r="B4" s="14"/>
      <c r="C4" s="217">
        <v>2007</v>
      </c>
      <c r="D4" s="218"/>
      <c r="E4" s="218"/>
      <c r="F4" s="218"/>
      <c r="G4" s="217">
        <v>2023</v>
      </c>
      <c r="H4" s="218"/>
      <c r="I4" s="218"/>
      <c r="J4" s="218"/>
      <c r="K4" s="17"/>
      <c r="L4" s="27" t="s">
        <v>48</v>
      </c>
      <c r="M4" s="28" t="s">
        <v>45</v>
      </c>
      <c r="N4" s="28" t="s">
        <v>46</v>
      </c>
      <c r="O4" s="1"/>
      <c r="T4" s="12" t="s">
        <v>1187</v>
      </c>
      <c r="U4" s="69" t="s">
        <v>118</v>
      </c>
      <c r="V4" s="12"/>
      <c r="W4" s="12"/>
      <c r="X4" s="203" t="s">
        <v>1142</v>
      </c>
      <c r="Z4" s="1">
        <v>2023</v>
      </c>
      <c r="AA4" s="2">
        <f>G26</f>
        <v>34100</v>
      </c>
      <c r="AB4" s="2">
        <f t="shared" ref="AB4:AC4" si="2">H26</f>
        <v>19428</v>
      </c>
      <c r="AC4" s="2">
        <f t="shared" si="2"/>
        <v>23575</v>
      </c>
      <c r="AE4" s="2" t="s">
        <v>168</v>
      </c>
      <c r="AF4" s="16">
        <v>1041</v>
      </c>
      <c r="AG4" s="10">
        <v>1661</v>
      </c>
      <c r="AH4" s="10">
        <v>2146</v>
      </c>
      <c r="AI4" s="2">
        <f t="shared" si="1"/>
        <v>1887</v>
      </c>
    </row>
    <row r="5" spans="1:35">
      <c r="A5" s="5"/>
      <c r="B5" s="5"/>
      <c r="C5" s="15" t="s">
        <v>1</v>
      </c>
      <c r="D5" s="5" t="s">
        <v>27</v>
      </c>
      <c r="E5" s="5" t="s">
        <v>26</v>
      </c>
      <c r="F5" s="8" t="s">
        <v>2</v>
      </c>
      <c r="G5" s="15" t="s">
        <v>1</v>
      </c>
      <c r="H5" s="5" t="s">
        <v>27</v>
      </c>
      <c r="I5" s="5" t="s">
        <v>26</v>
      </c>
      <c r="J5" s="8" t="s">
        <v>2</v>
      </c>
      <c r="K5" s="17"/>
      <c r="L5" s="26" t="s">
        <v>39</v>
      </c>
      <c r="M5" s="82">
        <v>24142.483306732149</v>
      </c>
      <c r="N5" s="83">
        <v>29821.686839316582</v>
      </c>
      <c r="O5" s="11">
        <f>N5/$N$13</f>
        <v>0.22609787912614943</v>
      </c>
      <c r="P5" s="7"/>
      <c r="T5" s="5"/>
      <c r="U5" s="5"/>
      <c r="V5" s="5" t="s">
        <v>128</v>
      </c>
      <c r="W5" s="5" t="s">
        <v>44</v>
      </c>
      <c r="X5" s="7" t="s">
        <v>142</v>
      </c>
      <c r="Z5" s="1" t="s">
        <v>1370</v>
      </c>
      <c r="AA5" s="2">
        <f>N7</f>
        <v>85806.024454732658</v>
      </c>
      <c r="AB5" s="2">
        <f>N6</f>
        <v>16269.531415944622</v>
      </c>
      <c r="AC5" s="2">
        <f>N5</f>
        <v>29821.686839316582</v>
      </c>
      <c r="AD5" s="39"/>
      <c r="AE5" s="2" t="s">
        <v>5</v>
      </c>
      <c r="AF5" s="16">
        <v>3334</v>
      </c>
      <c r="AG5" s="10">
        <v>707</v>
      </c>
      <c r="AH5" s="10">
        <v>1040</v>
      </c>
      <c r="AI5" s="2">
        <f t="shared" si="1"/>
        <v>6114</v>
      </c>
    </row>
    <row r="6" spans="1:35">
      <c r="A6" s="2" t="s">
        <v>3</v>
      </c>
      <c r="C6" s="16">
        <v>2912</v>
      </c>
      <c r="D6" s="10">
        <v>5497</v>
      </c>
      <c r="E6" s="10">
        <v>4658</v>
      </c>
      <c r="F6" s="6">
        <v>13066</v>
      </c>
      <c r="G6" s="16">
        <v>4073</v>
      </c>
      <c r="H6" s="10">
        <v>6791</v>
      </c>
      <c r="I6" s="10">
        <v>5840</v>
      </c>
      <c r="J6" s="6">
        <v>16704</v>
      </c>
      <c r="K6" s="17"/>
      <c r="L6" s="26" t="s">
        <v>40</v>
      </c>
      <c r="M6" s="82">
        <v>18496.723118567548</v>
      </c>
      <c r="N6" s="83">
        <v>16269.531415944622</v>
      </c>
      <c r="O6" s="11">
        <f t="shared" ref="O6:O7" si="3">N6/$N$13</f>
        <v>0.12335004949054845</v>
      </c>
      <c r="P6" s="7"/>
      <c r="T6" s="2" t="s">
        <v>3</v>
      </c>
      <c r="V6" s="9">
        <v>4650</v>
      </c>
      <c r="W6" s="9">
        <v>20811</v>
      </c>
      <c r="X6" s="11">
        <f>V6/W6</f>
        <v>0.22343952717312959</v>
      </c>
      <c r="Z6" s="7"/>
      <c r="AA6" s="158">
        <f>AA5/AA4</f>
        <v>2.5163057024848285</v>
      </c>
      <c r="AB6" s="35"/>
      <c r="AE6" s="2" t="s">
        <v>6</v>
      </c>
      <c r="AF6" s="16">
        <v>753</v>
      </c>
      <c r="AG6" s="10">
        <v>578</v>
      </c>
      <c r="AH6" s="10">
        <v>800</v>
      </c>
      <c r="AI6" s="2">
        <f t="shared" si="1"/>
        <v>1033</v>
      </c>
    </row>
    <row r="7" spans="1:35">
      <c r="A7" s="2" t="s">
        <v>4</v>
      </c>
      <c r="C7" s="16">
        <v>1477</v>
      </c>
      <c r="D7" s="10">
        <v>1356</v>
      </c>
      <c r="E7" s="10">
        <v>2018</v>
      </c>
      <c r="F7" s="6">
        <v>4852</v>
      </c>
      <c r="G7" s="16">
        <v>1041</v>
      </c>
      <c r="H7" s="10">
        <v>1661</v>
      </c>
      <c r="I7" s="10">
        <v>2146</v>
      </c>
      <c r="J7" s="6">
        <v>4847</v>
      </c>
      <c r="K7" s="17"/>
      <c r="L7" s="26" t="s">
        <v>1</v>
      </c>
      <c r="M7" s="82">
        <v>41166.333333363888</v>
      </c>
      <c r="N7" s="83">
        <v>85806.024454732658</v>
      </c>
      <c r="O7" s="11">
        <f t="shared" si="3"/>
        <v>0.65055207138330218</v>
      </c>
      <c r="P7" s="7"/>
      <c r="T7" s="2" t="s">
        <v>4</v>
      </c>
      <c r="V7" s="9">
        <v>955</v>
      </c>
      <c r="W7" s="9">
        <v>2842</v>
      </c>
      <c r="X7" s="11">
        <f t="shared" ref="X7:X25" si="4">V7/W7</f>
        <v>0.33603096410978184</v>
      </c>
      <c r="Z7" s="7"/>
      <c r="AA7" s="7"/>
      <c r="AB7" s="35"/>
      <c r="AE7" s="2" t="s">
        <v>7</v>
      </c>
      <c r="AF7" s="16">
        <v>1972</v>
      </c>
      <c r="AG7" s="10">
        <v>1643</v>
      </c>
      <c r="AH7" s="10">
        <v>2188</v>
      </c>
      <c r="AI7" s="2">
        <f t="shared" si="1"/>
        <v>2663</v>
      </c>
    </row>
    <row r="8" spans="1:35">
      <c r="A8" s="2" t="s">
        <v>5</v>
      </c>
      <c r="C8" s="16">
        <v>4946</v>
      </c>
      <c r="D8" s="10">
        <v>574</v>
      </c>
      <c r="E8" s="10">
        <v>995</v>
      </c>
      <c r="F8" s="6">
        <v>6514</v>
      </c>
      <c r="G8" s="16">
        <v>3334</v>
      </c>
      <c r="H8" s="10">
        <v>707</v>
      </c>
      <c r="I8" s="10">
        <v>1040</v>
      </c>
      <c r="J8" s="6">
        <v>5080</v>
      </c>
      <c r="K8" s="17"/>
      <c r="L8" s="31" t="s">
        <v>41</v>
      </c>
      <c r="M8" s="82">
        <v>859.00000001979413</v>
      </c>
      <c r="N8" s="82">
        <v>9937.3888423200478</v>
      </c>
      <c r="O8" s="7"/>
      <c r="P8" s="7"/>
      <c r="T8" s="2" t="s">
        <v>5</v>
      </c>
      <c r="V8" s="9">
        <v>3123</v>
      </c>
      <c r="W8" s="9">
        <v>9237</v>
      </c>
      <c r="X8" s="11">
        <f t="shared" si="4"/>
        <v>0.33809678467034754</v>
      </c>
      <c r="Z8" s="7"/>
      <c r="AA8" s="7"/>
      <c r="AB8" s="35"/>
      <c r="AE8" s="2" t="s">
        <v>8</v>
      </c>
      <c r="AF8" s="16">
        <v>741</v>
      </c>
      <c r="AG8" s="10">
        <v>566</v>
      </c>
      <c r="AH8" s="10">
        <v>848</v>
      </c>
      <c r="AI8" s="2">
        <f t="shared" si="1"/>
        <v>1551</v>
      </c>
    </row>
    <row r="9" spans="1:35">
      <c r="A9" s="2" t="s">
        <v>6</v>
      </c>
      <c r="C9" s="16">
        <v>803</v>
      </c>
      <c r="D9" s="10">
        <v>566</v>
      </c>
      <c r="E9" s="10">
        <v>766</v>
      </c>
      <c r="F9" s="6">
        <v>2136</v>
      </c>
      <c r="G9" s="16">
        <v>753</v>
      </c>
      <c r="H9" s="10">
        <v>578</v>
      </c>
      <c r="I9" s="10">
        <v>800</v>
      </c>
      <c r="J9" s="6">
        <v>2130</v>
      </c>
      <c r="K9" s="17"/>
      <c r="L9" s="31" t="s">
        <v>42</v>
      </c>
      <c r="M9" s="82">
        <v>1474.9999999999998</v>
      </c>
      <c r="N9" s="82">
        <v>1980.3153581245233</v>
      </c>
      <c r="O9" s="7"/>
      <c r="P9" s="7"/>
      <c r="T9" s="2" t="s">
        <v>6</v>
      </c>
      <c r="V9" s="9">
        <v>668</v>
      </c>
      <c r="W9" s="9">
        <v>1701</v>
      </c>
      <c r="X9" s="11">
        <f t="shared" si="4"/>
        <v>0.39271017048794826</v>
      </c>
      <c r="Z9" s="7"/>
      <c r="AA9" s="7"/>
      <c r="AB9" s="35"/>
      <c r="AE9" s="2" t="s">
        <v>9</v>
      </c>
      <c r="AF9" s="16">
        <v>2023</v>
      </c>
      <c r="AG9" s="10">
        <v>945</v>
      </c>
      <c r="AH9" s="10">
        <v>713</v>
      </c>
      <c r="AI9" s="2">
        <f t="shared" si="1"/>
        <v>7929</v>
      </c>
    </row>
    <row r="10" spans="1:35">
      <c r="A10" s="2" t="s">
        <v>7</v>
      </c>
      <c r="C10" s="16">
        <v>3170</v>
      </c>
      <c r="D10" s="10">
        <v>1336</v>
      </c>
      <c r="E10" s="10">
        <v>1854</v>
      </c>
      <c r="F10" s="6">
        <v>6360</v>
      </c>
      <c r="G10" s="16">
        <v>1972</v>
      </c>
      <c r="H10" s="10">
        <v>1643</v>
      </c>
      <c r="I10" s="10">
        <v>2188</v>
      </c>
      <c r="J10" s="6">
        <v>5804</v>
      </c>
      <c r="K10" s="17"/>
      <c r="L10" s="31" t="s">
        <v>43</v>
      </c>
      <c r="M10" s="82">
        <v>0</v>
      </c>
      <c r="N10" s="82">
        <v>0</v>
      </c>
      <c r="O10" s="7"/>
      <c r="P10" s="7"/>
      <c r="T10" s="2" t="s">
        <v>7</v>
      </c>
      <c r="V10" s="9">
        <v>2012</v>
      </c>
      <c r="W10" s="9">
        <v>4675</v>
      </c>
      <c r="X10" s="11">
        <f t="shared" si="4"/>
        <v>0.43037433155080212</v>
      </c>
      <c r="Z10" s="7"/>
      <c r="AA10" s="7"/>
      <c r="AB10" s="35"/>
      <c r="AE10" s="2" t="s">
        <v>119</v>
      </c>
      <c r="AF10" s="16">
        <v>3933</v>
      </c>
      <c r="AG10" s="10">
        <v>417</v>
      </c>
      <c r="AH10" s="10">
        <v>492</v>
      </c>
      <c r="AI10" s="2">
        <f t="shared" si="1"/>
        <v>14579</v>
      </c>
    </row>
    <row r="11" spans="1:35">
      <c r="A11" s="2" t="s">
        <v>8</v>
      </c>
      <c r="C11" s="16">
        <v>873</v>
      </c>
      <c r="D11" s="10">
        <v>607</v>
      </c>
      <c r="E11" s="10">
        <v>851</v>
      </c>
      <c r="F11" s="6">
        <v>2331</v>
      </c>
      <c r="G11" s="16">
        <v>741</v>
      </c>
      <c r="H11" s="10">
        <v>566</v>
      </c>
      <c r="I11" s="10">
        <v>848</v>
      </c>
      <c r="J11" s="6">
        <v>2154</v>
      </c>
      <c r="K11" s="17"/>
      <c r="L11" s="31" t="s">
        <v>44</v>
      </c>
      <c r="M11" s="82">
        <v>2597</v>
      </c>
      <c r="N11" s="82">
        <v>2597</v>
      </c>
      <c r="O11" s="7"/>
      <c r="P11" s="7"/>
      <c r="T11" s="2" t="s">
        <v>8</v>
      </c>
      <c r="V11" s="9">
        <v>706</v>
      </c>
      <c r="W11" s="9">
        <v>2257</v>
      </c>
      <c r="X11" s="11">
        <f t="shared" si="4"/>
        <v>0.3128046078865751</v>
      </c>
      <c r="Z11" s="7"/>
      <c r="AA11" s="7"/>
      <c r="AB11" s="35"/>
      <c r="AE11" s="2" t="s">
        <v>167</v>
      </c>
      <c r="AF11" s="16">
        <v>332</v>
      </c>
      <c r="AG11" s="10">
        <v>429</v>
      </c>
      <c r="AH11" s="10">
        <v>654</v>
      </c>
      <c r="AI11" s="2">
        <f t="shared" si="1"/>
        <v>869</v>
      </c>
    </row>
    <row r="12" spans="1:35">
      <c r="A12" s="2" t="s">
        <v>9</v>
      </c>
      <c r="C12" s="16">
        <v>5234</v>
      </c>
      <c r="D12" s="10">
        <v>671</v>
      </c>
      <c r="E12" s="10">
        <v>790</v>
      </c>
      <c r="F12" s="6">
        <v>6694</v>
      </c>
      <c r="G12" s="16">
        <v>2023</v>
      </c>
      <c r="H12" s="10">
        <v>945</v>
      </c>
      <c r="I12" s="10">
        <v>713</v>
      </c>
      <c r="J12" s="6">
        <v>3681</v>
      </c>
      <c r="K12" s="17"/>
      <c r="L12" s="26" t="s">
        <v>2</v>
      </c>
      <c r="M12" s="6">
        <f>SUM(M5:M11)</f>
        <v>88736.539758683371</v>
      </c>
      <c r="N12" s="6">
        <f>SUM(N5:N11)</f>
        <v>146411.94691043842</v>
      </c>
      <c r="O12" s="9"/>
      <c r="T12" s="2" t="s">
        <v>9</v>
      </c>
      <c r="V12" s="9">
        <v>2214</v>
      </c>
      <c r="W12" s="9">
        <v>10143</v>
      </c>
      <c r="X12" s="11">
        <f t="shared" si="4"/>
        <v>0.21827861579414373</v>
      </c>
      <c r="Z12" s="7"/>
      <c r="AA12" s="7"/>
      <c r="AB12" s="35"/>
      <c r="AE12" s="2" t="s">
        <v>166</v>
      </c>
      <c r="AF12" s="16">
        <v>1569</v>
      </c>
      <c r="AG12" s="10">
        <v>765</v>
      </c>
      <c r="AH12" s="10">
        <v>1015</v>
      </c>
      <c r="AI12" s="2">
        <f t="shared" si="1"/>
        <v>3102</v>
      </c>
    </row>
    <row r="13" spans="1:35">
      <c r="A13" s="2" t="s">
        <v>10</v>
      </c>
      <c r="C13" s="16">
        <v>4967</v>
      </c>
      <c r="D13" s="10">
        <v>435</v>
      </c>
      <c r="E13" s="10">
        <v>551</v>
      </c>
      <c r="F13" s="6">
        <v>5953</v>
      </c>
      <c r="G13" s="16">
        <v>3933</v>
      </c>
      <c r="H13" s="10">
        <v>417</v>
      </c>
      <c r="I13" s="10">
        <v>492</v>
      </c>
      <c r="J13" s="6">
        <v>4842</v>
      </c>
      <c r="K13" s="17"/>
      <c r="L13" s="2" t="s">
        <v>56</v>
      </c>
      <c r="M13" s="6">
        <f>SUM(M5:M7)</f>
        <v>83805.539758663581</v>
      </c>
      <c r="N13" s="6">
        <f>SUM(N5:N7)</f>
        <v>131897.24270999385</v>
      </c>
      <c r="O13" s="78"/>
      <c r="T13" s="2" t="s">
        <v>119</v>
      </c>
      <c r="V13" s="9">
        <v>3580</v>
      </c>
      <c r="W13" s="9">
        <v>18159</v>
      </c>
      <c r="X13" s="11">
        <f t="shared" si="4"/>
        <v>0.19714742001211522</v>
      </c>
      <c r="Z13" s="7"/>
      <c r="AA13" s="7"/>
      <c r="AB13" s="35"/>
      <c r="AE13" s="2" t="s">
        <v>123</v>
      </c>
      <c r="AF13" s="16">
        <v>1254</v>
      </c>
      <c r="AG13" s="10">
        <v>433</v>
      </c>
      <c r="AH13" s="10">
        <v>701</v>
      </c>
      <c r="AI13" s="2">
        <f t="shared" si="1"/>
        <v>3665</v>
      </c>
    </row>
    <row r="14" spans="1:35">
      <c r="A14" s="2" t="s">
        <v>11</v>
      </c>
      <c r="C14" s="16">
        <v>411</v>
      </c>
      <c r="D14" s="10">
        <v>468</v>
      </c>
      <c r="E14" s="10">
        <v>769</v>
      </c>
      <c r="F14" s="6">
        <v>1649</v>
      </c>
      <c r="G14" s="16">
        <v>332</v>
      </c>
      <c r="H14" s="10">
        <v>429</v>
      </c>
      <c r="I14" s="10">
        <v>654</v>
      </c>
      <c r="J14" s="6">
        <v>1415</v>
      </c>
      <c r="K14" s="17"/>
      <c r="T14" s="2" t="s">
        <v>11</v>
      </c>
      <c r="V14" s="9">
        <v>341</v>
      </c>
      <c r="W14" s="9">
        <v>1210</v>
      </c>
      <c r="X14" s="11">
        <f t="shared" si="4"/>
        <v>0.2818181818181818</v>
      </c>
      <c r="Z14" s="7"/>
      <c r="AA14" s="7"/>
      <c r="AB14" s="35"/>
      <c r="AE14" s="2" t="s">
        <v>120</v>
      </c>
      <c r="AF14" s="16">
        <v>2365</v>
      </c>
      <c r="AG14" s="10">
        <v>791</v>
      </c>
      <c r="AH14" s="10">
        <v>1209</v>
      </c>
      <c r="AI14" s="2">
        <f t="shared" si="1"/>
        <v>9119</v>
      </c>
    </row>
    <row r="15" spans="1:35">
      <c r="A15" s="2" t="s">
        <v>12</v>
      </c>
      <c r="C15" s="16">
        <v>2194</v>
      </c>
      <c r="D15" s="10">
        <v>709</v>
      </c>
      <c r="E15" s="10">
        <v>1078</v>
      </c>
      <c r="F15" s="6">
        <v>3981</v>
      </c>
      <c r="G15" s="16">
        <v>1569</v>
      </c>
      <c r="H15" s="10">
        <v>765</v>
      </c>
      <c r="I15" s="10">
        <v>1015</v>
      </c>
      <c r="J15" s="6">
        <v>3349</v>
      </c>
      <c r="K15" s="17"/>
      <c r="L15" s="12" t="s">
        <v>1189</v>
      </c>
      <c r="M15" s="12"/>
      <c r="N15" s="12"/>
      <c r="O15" s="32"/>
      <c r="P15" s="12"/>
      <c r="Q15" s="12"/>
      <c r="R15" s="12"/>
      <c r="T15" s="2" t="s">
        <v>12</v>
      </c>
      <c r="V15" s="9">
        <v>1357</v>
      </c>
      <c r="W15" s="9">
        <v>4459</v>
      </c>
      <c r="X15" s="11">
        <f t="shared" si="4"/>
        <v>0.30432832473648802</v>
      </c>
      <c r="Z15" s="7"/>
      <c r="AA15" s="7"/>
      <c r="AB15" s="35"/>
      <c r="AE15" s="2" t="s">
        <v>121</v>
      </c>
      <c r="AF15" s="16">
        <v>545</v>
      </c>
      <c r="AG15" s="10">
        <v>622</v>
      </c>
      <c r="AH15" s="10">
        <v>925</v>
      </c>
      <c r="AI15" s="2">
        <f t="shared" si="1"/>
        <v>751</v>
      </c>
    </row>
    <row r="16" spans="1:35">
      <c r="A16" s="2" t="s">
        <v>13</v>
      </c>
      <c r="C16" s="16">
        <v>1053</v>
      </c>
      <c r="D16" s="10">
        <v>464</v>
      </c>
      <c r="E16" s="10">
        <v>734</v>
      </c>
      <c r="F16" s="6">
        <v>2251</v>
      </c>
      <c r="G16" s="16">
        <v>1254</v>
      </c>
      <c r="H16" s="10">
        <v>433</v>
      </c>
      <c r="I16" s="10">
        <v>701</v>
      </c>
      <c r="J16" s="6">
        <v>2388</v>
      </c>
      <c r="K16" s="17"/>
      <c r="L16" s="2" t="s">
        <v>51</v>
      </c>
      <c r="M16" s="9">
        <v>132860</v>
      </c>
      <c r="O16" s="9"/>
      <c r="T16" s="2" t="s">
        <v>123</v>
      </c>
      <c r="V16" s="9">
        <v>788</v>
      </c>
      <c r="W16" s="9">
        <v>4453</v>
      </c>
      <c r="X16" s="11">
        <f t="shared" si="4"/>
        <v>0.17695935324500336</v>
      </c>
      <c r="Z16" s="7"/>
      <c r="AA16" s="7"/>
      <c r="AB16" s="35"/>
      <c r="AE16" s="2" t="s">
        <v>122</v>
      </c>
      <c r="AF16" s="16">
        <v>1125</v>
      </c>
      <c r="AG16" s="10">
        <v>619</v>
      </c>
      <c r="AH16" s="10">
        <v>1250</v>
      </c>
      <c r="AI16" s="2">
        <f t="shared" si="1"/>
        <v>5358</v>
      </c>
    </row>
    <row r="17" spans="1:35">
      <c r="A17" s="2" t="s">
        <v>14</v>
      </c>
      <c r="C17" s="16">
        <v>4749</v>
      </c>
      <c r="D17" s="10">
        <v>778</v>
      </c>
      <c r="E17" s="10">
        <v>1252</v>
      </c>
      <c r="F17" s="6">
        <v>6779</v>
      </c>
      <c r="G17" s="16">
        <v>2365</v>
      </c>
      <c r="H17" s="10">
        <v>791</v>
      </c>
      <c r="I17" s="10">
        <v>1209</v>
      </c>
      <c r="J17" s="6">
        <v>4365</v>
      </c>
      <c r="K17" s="17"/>
      <c r="L17" s="2" t="s">
        <v>52</v>
      </c>
      <c r="M17" s="9">
        <v>72580</v>
      </c>
      <c r="O17" s="9"/>
      <c r="T17" s="2" t="s">
        <v>120</v>
      </c>
      <c r="V17" s="9">
        <v>2226</v>
      </c>
      <c r="W17" s="9">
        <v>11345</v>
      </c>
      <c r="X17" s="11">
        <f t="shared" si="4"/>
        <v>0.19620978404583517</v>
      </c>
      <c r="Z17" s="7"/>
      <c r="AA17" s="7"/>
      <c r="AB17" s="35"/>
      <c r="AE17" s="2" t="s">
        <v>124</v>
      </c>
      <c r="AF17" s="16">
        <v>1525</v>
      </c>
      <c r="AG17" s="10">
        <v>176</v>
      </c>
      <c r="AH17" s="10">
        <v>341</v>
      </c>
      <c r="AI17" s="2">
        <f t="shared" si="1"/>
        <v>852</v>
      </c>
    </row>
    <row r="18" spans="1:35">
      <c r="A18" s="2" t="s">
        <v>15</v>
      </c>
      <c r="C18" s="16">
        <v>538</v>
      </c>
      <c r="D18" s="10">
        <v>542</v>
      </c>
      <c r="E18" s="10">
        <v>878</v>
      </c>
      <c r="F18" s="6">
        <v>1957</v>
      </c>
      <c r="G18" s="16">
        <v>545</v>
      </c>
      <c r="H18" s="10">
        <v>622</v>
      </c>
      <c r="I18" s="10">
        <v>925</v>
      </c>
      <c r="J18" s="6">
        <v>2092</v>
      </c>
      <c r="K18" s="17"/>
      <c r="L18" s="7" t="s">
        <v>53</v>
      </c>
      <c r="M18" s="9">
        <v>4920</v>
      </c>
      <c r="O18" s="9"/>
      <c r="T18" s="2" t="s">
        <v>121</v>
      </c>
      <c r="V18" s="9">
        <v>625</v>
      </c>
      <c r="W18" s="9">
        <v>1376</v>
      </c>
      <c r="X18" s="11">
        <f>V18/W18</f>
        <v>0.45421511627906974</v>
      </c>
      <c r="Z18" s="7"/>
      <c r="AA18" s="7"/>
      <c r="AB18" s="35"/>
      <c r="AE18" s="2" t="s">
        <v>125</v>
      </c>
      <c r="AF18" s="16">
        <v>2419</v>
      </c>
      <c r="AG18" s="10">
        <v>1254</v>
      </c>
      <c r="AH18" s="10">
        <v>1784</v>
      </c>
      <c r="AI18" s="2">
        <f t="shared" si="1"/>
        <v>10151</v>
      </c>
    </row>
    <row r="19" spans="1:35">
      <c r="A19" s="2" t="s">
        <v>16</v>
      </c>
      <c r="C19" s="16">
        <v>2043</v>
      </c>
      <c r="D19" s="10">
        <v>462</v>
      </c>
      <c r="E19" s="10">
        <v>968</v>
      </c>
      <c r="F19" s="6">
        <v>3474</v>
      </c>
      <c r="G19" s="16">
        <v>1125</v>
      </c>
      <c r="H19" s="10">
        <v>619</v>
      </c>
      <c r="I19" s="10">
        <v>1250</v>
      </c>
      <c r="J19" s="6">
        <v>2994</v>
      </c>
      <c r="K19" s="17"/>
      <c r="L19" s="7" t="s">
        <v>54</v>
      </c>
      <c r="M19" s="9">
        <v>1050</v>
      </c>
      <c r="O19" s="9"/>
      <c r="T19" s="2" t="s">
        <v>122</v>
      </c>
      <c r="V19" s="9">
        <v>1477</v>
      </c>
      <c r="W19" s="9">
        <v>6835</v>
      </c>
      <c r="X19" s="11">
        <f t="shared" si="4"/>
        <v>0.21609363569861009</v>
      </c>
      <c r="Z19" s="7"/>
      <c r="AA19" s="7"/>
      <c r="AB19" s="35"/>
      <c r="AE19" s="2" t="s">
        <v>19</v>
      </c>
      <c r="AF19" s="16">
        <v>713</v>
      </c>
      <c r="AG19" s="10">
        <v>249</v>
      </c>
      <c r="AH19" s="10">
        <v>310</v>
      </c>
      <c r="AI19" s="2">
        <f t="shared" si="1"/>
        <v>323</v>
      </c>
    </row>
    <row r="20" spans="1:35">
      <c r="A20" s="2" t="s">
        <v>17</v>
      </c>
      <c r="C20" s="16">
        <v>1507</v>
      </c>
      <c r="D20" s="10">
        <v>214</v>
      </c>
      <c r="E20" s="10">
        <v>335</v>
      </c>
      <c r="F20" s="6">
        <v>2057</v>
      </c>
      <c r="G20" s="16">
        <v>1525</v>
      </c>
      <c r="H20" s="10">
        <v>176</v>
      </c>
      <c r="I20" s="10">
        <v>341</v>
      </c>
      <c r="J20" s="6">
        <v>2042</v>
      </c>
      <c r="K20" s="17"/>
      <c r="L20" s="2" t="s">
        <v>2</v>
      </c>
      <c r="M20" s="6">
        <f>SUM(M16:M19)</f>
        <v>211410</v>
      </c>
      <c r="O20" s="9"/>
      <c r="T20" s="2" t="s">
        <v>124</v>
      </c>
      <c r="V20" s="9">
        <v>1497</v>
      </c>
      <c r="W20" s="9">
        <v>2349</v>
      </c>
      <c r="X20" s="11">
        <f>V20/W20</f>
        <v>0.63729246487867175</v>
      </c>
      <c r="Z20" s="7"/>
      <c r="AA20" s="7"/>
      <c r="AB20" s="35"/>
      <c r="AE20" s="2" t="s">
        <v>126</v>
      </c>
      <c r="AF20" s="16">
        <v>4357</v>
      </c>
      <c r="AG20" s="10">
        <v>677</v>
      </c>
      <c r="AH20" s="10">
        <v>1190</v>
      </c>
      <c r="AI20" s="2">
        <f t="shared" si="1"/>
        <v>6899</v>
      </c>
    </row>
    <row r="21" spans="1:35">
      <c r="A21" s="2" t="s">
        <v>18</v>
      </c>
      <c r="C21" s="16">
        <v>3129</v>
      </c>
      <c r="D21" s="10">
        <v>1231</v>
      </c>
      <c r="E21" s="10">
        <v>1774</v>
      </c>
      <c r="F21" s="6">
        <v>6135</v>
      </c>
      <c r="G21" s="16">
        <v>2419</v>
      </c>
      <c r="H21" s="10">
        <v>1254</v>
      </c>
      <c r="I21" s="10">
        <v>1784</v>
      </c>
      <c r="J21" s="6">
        <v>5456</v>
      </c>
      <c r="K21" s="17"/>
      <c r="O21" s="9"/>
      <c r="T21" s="2" t="s">
        <v>125</v>
      </c>
      <c r="V21" s="9">
        <v>1852</v>
      </c>
      <c r="W21" s="9">
        <v>12003</v>
      </c>
      <c r="X21" s="11">
        <f t="shared" si="4"/>
        <v>0.15429475964342249</v>
      </c>
      <c r="Z21" s="7"/>
      <c r="AA21" s="7"/>
      <c r="AB21" s="35"/>
      <c r="AE21" s="2" t="s">
        <v>127</v>
      </c>
      <c r="AF21" s="16">
        <v>26</v>
      </c>
      <c r="AG21" s="10">
        <v>106</v>
      </c>
      <c r="AH21" s="10">
        <v>132</v>
      </c>
      <c r="AI21" s="2">
        <f t="shared" si="1"/>
        <v>41</v>
      </c>
    </row>
    <row r="22" spans="1:35">
      <c r="A22" s="2" t="s">
        <v>19</v>
      </c>
      <c r="C22" s="16">
        <v>1772</v>
      </c>
      <c r="D22" s="10">
        <v>291</v>
      </c>
      <c r="E22" s="10">
        <v>371</v>
      </c>
      <c r="F22" s="6">
        <v>2433</v>
      </c>
      <c r="G22" s="16">
        <v>713</v>
      </c>
      <c r="H22" s="10">
        <v>249</v>
      </c>
      <c r="I22" s="10">
        <v>310</v>
      </c>
      <c r="J22" s="6">
        <v>1272</v>
      </c>
      <c r="K22" s="17"/>
      <c r="O22" s="9"/>
      <c r="T22" s="2" t="s">
        <v>19</v>
      </c>
      <c r="V22" s="9">
        <v>694</v>
      </c>
      <c r="W22" s="9">
        <v>1017</v>
      </c>
      <c r="X22" s="11">
        <f t="shared" si="4"/>
        <v>0.68239921337266474</v>
      </c>
      <c r="Z22" s="7"/>
      <c r="AA22" s="7"/>
      <c r="AB22" s="35"/>
    </row>
    <row r="23" spans="1:35">
      <c r="A23" s="2" t="s">
        <v>20</v>
      </c>
      <c r="C23" s="16">
        <v>4035</v>
      </c>
      <c r="D23" s="10">
        <v>726</v>
      </c>
      <c r="E23" s="10">
        <v>1121</v>
      </c>
      <c r="F23" s="6">
        <v>5882</v>
      </c>
      <c r="G23" s="16">
        <v>4357</v>
      </c>
      <c r="H23" s="10">
        <v>677</v>
      </c>
      <c r="I23" s="10">
        <v>1190</v>
      </c>
      <c r="J23" s="6">
        <v>6223</v>
      </c>
      <c r="K23" s="17"/>
      <c r="O23" s="9"/>
      <c r="T23" s="2" t="s">
        <v>126</v>
      </c>
      <c r="V23" s="9">
        <v>4163</v>
      </c>
      <c r="W23" s="9">
        <v>11062</v>
      </c>
      <c r="X23" s="11">
        <f t="shared" si="4"/>
        <v>0.37633339359971074</v>
      </c>
      <c r="Z23" s="7"/>
      <c r="AA23" s="7"/>
      <c r="AB23" s="35"/>
    </row>
    <row r="24" spans="1:35">
      <c r="A24" s="2" t="s">
        <v>21</v>
      </c>
      <c r="C24" s="16">
        <v>1831</v>
      </c>
      <c r="D24" s="10">
        <v>237</v>
      </c>
      <c r="E24" s="10">
        <v>508</v>
      </c>
      <c r="F24" s="6">
        <v>2576</v>
      </c>
      <c r="G24" s="16"/>
      <c r="H24" s="10"/>
      <c r="I24" s="10"/>
      <c r="J24" s="6"/>
      <c r="K24" s="17"/>
      <c r="O24" s="9"/>
      <c r="T24" s="2" t="s">
        <v>127</v>
      </c>
      <c r="V24" s="9">
        <v>31</v>
      </c>
      <c r="W24" s="9">
        <v>72</v>
      </c>
      <c r="X24" s="11">
        <f t="shared" si="4"/>
        <v>0.43055555555555558</v>
      </c>
      <c r="Z24" s="7"/>
      <c r="AA24" s="7"/>
      <c r="AB24" s="35"/>
    </row>
    <row r="25" spans="1:35">
      <c r="A25" s="2" t="s">
        <v>22</v>
      </c>
      <c r="C25" s="16">
        <v>30</v>
      </c>
      <c r="D25" s="10">
        <v>99</v>
      </c>
      <c r="E25" s="10">
        <v>120</v>
      </c>
      <c r="F25" s="6">
        <v>249</v>
      </c>
      <c r="G25" s="16">
        <v>26</v>
      </c>
      <c r="H25" s="10">
        <v>106</v>
      </c>
      <c r="I25" s="10">
        <v>132</v>
      </c>
      <c r="J25" s="6">
        <v>264</v>
      </c>
      <c r="K25" s="17"/>
      <c r="O25" s="9"/>
      <c r="T25" s="2" t="s">
        <v>2</v>
      </c>
      <c r="V25" s="6">
        <v>32959</v>
      </c>
      <c r="W25" s="6">
        <v>126006</v>
      </c>
      <c r="X25" s="11">
        <f t="shared" si="4"/>
        <v>0.26156690951224543</v>
      </c>
    </row>
    <row r="26" spans="1:35">
      <c r="A26" s="7" t="s">
        <v>2</v>
      </c>
      <c r="C26" s="33">
        <v>47677</v>
      </c>
      <c r="D26" s="6">
        <v>17263</v>
      </c>
      <c r="E26" s="6">
        <v>22391</v>
      </c>
      <c r="F26" s="6">
        <v>87330</v>
      </c>
      <c r="G26" s="33">
        <v>34100</v>
      </c>
      <c r="H26" s="6">
        <v>19428</v>
      </c>
      <c r="I26" s="6">
        <v>23575</v>
      </c>
      <c r="J26" s="6">
        <v>77103</v>
      </c>
      <c r="K26" s="93">
        <f>N7/G26</f>
        <v>2.5163057024848285</v>
      </c>
      <c r="O26" s="6"/>
    </row>
    <row r="27" spans="1:35">
      <c r="C27" s="11">
        <f t="shared" ref="C27:D27" si="5">C26/$F$26</f>
        <v>0.54594068475896029</v>
      </c>
      <c r="D27" s="11">
        <f t="shared" si="5"/>
        <v>0.19767548379709149</v>
      </c>
      <c r="E27" s="11">
        <f>E26/$F$26</f>
        <v>0.25639528226268177</v>
      </c>
      <c r="G27" s="11">
        <f t="shared" ref="G27:H27" si="6">G26/$J$26</f>
        <v>0.44226554089983527</v>
      </c>
      <c r="H27" s="11">
        <f t="shared" si="6"/>
        <v>0.25197463133730202</v>
      </c>
      <c r="I27" s="11">
        <f>I26/$J$26</f>
        <v>0.30575982776286265</v>
      </c>
      <c r="K27" s="76"/>
    </row>
    <row r="28" spans="1:35">
      <c r="C28" s="11"/>
      <c r="D28" s="11"/>
      <c r="E28" s="11"/>
      <c r="G28" s="11"/>
      <c r="H28" s="11"/>
      <c r="I28" s="11"/>
    </row>
    <row r="29" spans="1:35">
      <c r="A29" s="3" t="s">
        <v>135</v>
      </c>
      <c r="B29" s="4"/>
      <c r="C29" s="80"/>
      <c r="D29" s="80"/>
      <c r="E29" s="80"/>
      <c r="F29" s="4"/>
      <c r="G29" s="80"/>
      <c r="H29" s="80"/>
      <c r="I29" s="80"/>
      <c r="J29" s="4"/>
      <c r="K29" s="4"/>
      <c r="L29" s="4"/>
      <c r="M29" s="4"/>
      <c r="N29" s="4"/>
      <c r="O29" s="4"/>
      <c r="P29" s="4"/>
      <c r="Q29" s="4"/>
      <c r="R29" s="4"/>
      <c r="S29" s="4"/>
      <c r="T29" s="4"/>
      <c r="U29" s="4"/>
      <c r="V29" s="4"/>
      <c r="W29" s="4"/>
    </row>
    <row r="30" spans="1:35">
      <c r="A30" s="89"/>
      <c r="C30" s="11"/>
      <c r="D30" s="11"/>
      <c r="E30" s="11"/>
      <c r="G30" s="11"/>
      <c r="H30" s="11"/>
      <c r="I30" s="11"/>
    </row>
    <row r="31" spans="1:35">
      <c r="A31" s="12" t="s">
        <v>136</v>
      </c>
      <c r="B31" s="12"/>
      <c r="C31" s="79"/>
      <c r="D31" s="79"/>
      <c r="E31" s="79"/>
      <c r="F31" s="12"/>
      <c r="G31" s="79"/>
      <c r="H31" s="79"/>
      <c r="I31" s="11"/>
      <c r="J31" s="7" t="s">
        <v>169</v>
      </c>
    </row>
    <row r="32" spans="1:35" ht="15" customHeight="1">
      <c r="A32" s="214" t="s">
        <v>130</v>
      </c>
      <c r="B32" s="214"/>
      <c r="C32" s="220" t="s">
        <v>134</v>
      </c>
      <c r="D32" s="220"/>
      <c r="E32" s="219" t="s">
        <v>114</v>
      </c>
      <c r="F32" s="219"/>
      <c r="G32" s="219" t="s">
        <v>115</v>
      </c>
      <c r="H32" s="219"/>
    </row>
    <row r="33" spans="1:18">
      <c r="A33" s="214"/>
      <c r="B33" s="214"/>
      <c r="C33" s="220"/>
      <c r="D33" s="220"/>
      <c r="E33" s="87" t="s">
        <v>112</v>
      </c>
      <c r="F33" s="88" t="s">
        <v>113</v>
      </c>
      <c r="G33" s="88" t="s">
        <v>112</v>
      </c>
      <c r="H33" s="88" t="s">
        <v>113</v>
      </c>
      <c r="K33" s="81"/>
      <c r="L33" s="81"/>
    </row>
    <row r="34" spans="1:18">
      <c r="A34" s="2" t="s">
        <v>131</v>
      </c>
      <c r="C34" s="81" t="s">
        <v>2</v>
      </c>
      <c r="E34" s="6">
        <f>J26-F26</f>
        <v>-10227</v>
      </c>
      <c r="F34" s="6">
        <f>N13-M13</f>
        <v>48091.70295133027</v>
      </c>
      <c r="G34" s="11">
        <f>E34/F26</f>
        <v>-0.11710752318790793</v>
      </c>
      <c r="H34" s="11">
        <f>F34/M13</f>
        <v>0.57384873469964959</v>
      </c>
      <c r="K34" s="81"/>
      <c r="L34" s="81"/>
    </row>
    <row r="35" spans="1:18">
      <c r="A35" s="2" t="s">
        <v>132</v>
      </c>
      <c r="C35" s="81" t="s">
        <v>116</v>
      </c>
      <c r="E35" s="6">
        <f>G26-C26</f>
        <v>-13577</v>
      </c>
      <c r="F35" s="6">
        <f>N7-M7</f>
        <v>44639.691121368771</v>
      </c>
      <c r="G35" s="11">
        <f>(G26/J26)-(C26/F26)</f>
        <v>-0.10367514385912502</v>
      </c>
      <c r="H35" s="11">
        <f>(N7/N13)-(M7/M13)</f>
        <v>0.15933951608073665</v>
      </c>
      <c r="K35" s="81"/>
      <c r="L35" s="81"/>
    </row>
    <row r="36" spans="1:18">
      <c r="A36" s="2" t="s">
        <v>133</v>
      </c>
      <c r="B36" s="81"/>
      <c r="C36" s="81" t="s">
        <v>3</v>
      </c>
      <c r="E36" s="84">
        <f>F6+F24-J6</f>
        <v>-1062</v>
      </c>
      <c r="F36" s="85">
        <f>G84-J6</f>
        <v>9857.4787206036126</v>
      </c>
      <c r="G36" s="11">
        <f>(J6/J26)-((F6+F24)/F26)</f>
        <v>3.7531560091115218E-2</v>
      </c>
      <c r="H36" s="86">
        <f>(G84/G103)-(J6/J26)</f>
        <v>-1.5232546535186298E-2</v>
      </c>
      <c r="J36" s="7" t="s">
        <v>137</v>
      </c>
      <c r="K36" s="81"/>
      <c r="L36" s="81"/>
    </row>
    <row r="37" spans="1:18">
      <c r="B37" s="81"/>
      <c r="C37" s="81"/>
      <c r="E37" s="84"/>
      <c r="G37" s="11"/>
      <c r="K37" s="81"/>
      <c r="L37" s="81"/>
    </row>
    <row r="38" spans="1:18" hidden="1">
      <c r="A38" s="90" t="s">
        <v>138</v>
      </c>
      <c r="B38" s="90"/>
      <c r="C38" s="91"/>
      <c r="D38" s="91"/>
      <c r="E38" s="91"/>
      <c r="F38" s="90"/>
      <c r="G38" s="91"/>
      <c r="H38" s="91"/>
      <c r="I38" s="91"/>
      <c r="J38" s="90"/>
      <c r="K38" s="90"/>
      <c r="L38" s="90"/>
      <c r="M38" s="81"/>
      <c r="N38" s="2" t="s">
        <v>141</v>
      </c>
      <c r="O38" s="81"/>
      <c r="P38" s="81"/>
      <c r="Q38" s="81"/>
      <c r="R38" s="81"/>
    </row>
    <row r="39" spans="1:18" ht="15" hidden="1" customHeight="1">
      <c r="A39" s="215" t="s">
        <v>139</v>
      </c>
      <c r="B39" s="215"/>
      <c r="C39" s="215"/>
      <c r="D39" s="215"/>
      <c r="E39" s="215"/>
      <c r="F39" s="216" t="s">
        <v>140</v>
      </c>
      <c r="G39" s="216"/>
      <c r="H39" s="216"/>
      <c r="I39" s="216"/>
      <c r="J39" s="216"/>
      <c r="K39" s="216"/>
      <c r="L39" s="216"/>
    </row>
    <row r="40" spans="1:18" hidden="1">
      <c r="A40" s="5"/>
      <c r="B40" s="5"/>
      <c r="C40" s="5" t="s">
        <v>1</v>
      </c>
      <c r="D40" s="5" t="s">
        <v>35</v>
      </c>
      <c r="E40" s="5" t="s">
        <v>26</v>
      </c>
      <c r="F40" s="29" t="s">
        <v>50</v>
      </c>
      <c r="G40" s="29"/>
      <c r="H40" s="18" t="s">
        <v>24</v>
      </c>
      <c r="I40" s="29"/>
      <c r="J40" s="20" t="s">
        <v>1</v>
      </c>
      <c r="K40" s="19" t="s">
        <v>27</v>
      </c>
      <c r="L40" s="19" t="s">
        <v>26</v>
      </c>
    </row>
    <row r="41" spans="1:18" hidden="1">
      <c r="A41" s="2" t="s">
        <v>3</v>
      </c>
      <c r="C41" s="10">
        <v>4073</v>
      </c>
      <c r="D41" s="10">
        <v>6791</v>
      </c>
      <c r="E41" s="10">
        <v>5840</v>
      </c>
      <c r="F41" s="2" t="s">
        <v>28</v>
      </c>
      <c r="H41" s="1" t="s">
        <v>20</v>
      </c>
      <c r="J41" s="10">
        <v>4357</v>
      </c>
      <c r="K41" s="10">
        <v>677</v>
      </c>
      <c r="L41" s="10">
        <v>1190</v>
      </c>
    </row>
    <row r="42" spans="1:18" hidden="1">
      <c r="C42" s="10">
        <v>4743</v>
      </c>
      <c r="D42" s="10">
        <v>5734</v>
      </c>
      <c r="E42" s="10">
        <v>5166</v>
      </c>
      <c r="H42" s="1"/>
      <c r="J42" s="22">
        <v>4035</v>
      </c>
      <c r="K42" s="22">
        <v>726</v>
      </c>
      <c r="L42" s="22">
        <v>1121</v>
      </c>
    </row>
    <row r="43" spans="1:18" hidden="1">
      <c r="A43" s="2" t="s">
        <v>20</v>
      </c>
      <c r="C43" s="10">
        <v>4357</v>
      </c>
      <c r="D43" s="10">
        <v>677</v>
      </c>
      <c r="E43" s="10">
        <v>1190</v>
      </c>
      <c r="H43" s="1" t="s">
        <v>18</v>
      </c>
      <c r="J43" s="10">
        <v>2419</v>
      </c>
      <c r="K43" s="10">
        <v>1254</v>
      </c>
      <c r="L43" s="10">
        <v>1784</v>
      </c>
    </row>
    <row r="44" spans="1:18" hidden="1">
      <c r="C44" s="10">
        <v>4035</v>
      </c>
      <c r="D44" s="10">
        <v>726</v>
      </c>
      <c r="E44" s="10">
        <v>1121</v>
      </c>
      <c r="F44" s="30"/>
      <c r="G44" s="30"/>
      <c r="H44" s="21"/>
      <c r="I44" s="30"/>
      <c r="J44" s="23">
        <v>3129</v>
      </c>
      <c r="K44" s="23">
        <v>1231</v>
      </c>
      <c r="L44" s="23">
        <v>1774</v>
      </c>
    </row>
    <row r="45" spans="1:18" hidden="1">
      <c r="A45" s="2" t="s">
        <v>7</v>
      </c>
      <c r="C45" s="10">
        <v>1972</v>
      </c>
      <c r="D45" s="10">
        <v>1643</v>
      </c>
      <c r="E45" s="10">
        <v>2188</v>
      </c>
      <c r="F45" s="2" t="s">
        <v>29</v>
      </c>
      <c r="H45" s="1" t="s">
        <v>17</v>
      </c>
      <c r="J45" s="10">
        <v>1525</v>
      </c>
      <c r="K45" s="10">
        <v>176</v>
      </c>
      <c r="L45" s="10">
        <v>341</v>
      </c>
    </row>
    <row r="46" spans="1:18" hidden="1">
      <c r="C46" s="10">
        <v>3170</v>
      </c>
      <c r="D46" s="10">
        <v>1336</v>
      </c>
      <c r="E46" s="10">
        <v>1854</v>
      </c>
      <c r="H46" s="1"/>
      <c r="J46" s="22">
        <v>1507</v>
      </c>
      <c r="K46" s="22">
        <v>214</v>
      </c>
      <c r="L46" s="22">
        <v>335</v>
      </c>
    </row>
    <row r="47" spans="1:18" hidden="1">
      <c r="A47" s="2" t="s">
        <v>18</v>
      </c>
      <c r="C47" s="10">
        <v>2419</v>
      </c>
      <c r="D47" s="10">
        <v>1254</v>
      </c>
      <c r="E47" s="10">
        <v>1784</v>
      </c>
      <c r="H47" s="1" t="s">
        <v>16</v>
      </c>
      <c r="J47" s="10">
        <v>1125</v>
      </c>
      <c r="K47" s="10">
        <v>619</v>
      </c>
      <c r="L47" s="10">
        <v>1250</v>
      </c>
    </row>
    <row r="48" spans="1:18" hidden="1">
      <c r="C48" s="10">
        <v>3129</v>
      </c>
      <c r="D48" s="10">
        <v>1231</v>
      </c>
      <c r="E48" s="10">
        <v>1774</v>
      </c>
      <c r="H48" s="1"/>
      <c r="J48" s="22">
        <v>2043</v>
      </c>
      <c r="K48" s="22">
        <v>462</v>
      </c>
      <c r="L48" s="22">
        <v>968</v>
      </c>
    </row>
    <row r="49" spans="1:18" hidden="1">
      <c r="A49" s="2" t="s">
        <v>5</v>
      </c>
      <c r="C49" s="10">
        <v>3334</v>
      </c>
      <c r="D49" s="10">
        <v>707</v>
      </c>
      <c r="E49" s="10">
        <v>1040</v>
      </c>
      <c r="H49" s="1" t="s">
        <v>30</v>
      </c>
      <c r="J49" s="10">
        <v>545</v>
      </c>
      <c r="K49" s="10">
        <v>622</v>
      </c>
      <c r="L49" s="10">
        <v>925</v>
      </c>
    </row>
    <row r="50" spans="1:18" hidden="1">
      <c r="C50" s="10">
        <v>4946</v>
      </c>
      <c r="D50" s="10">
        <v>574</v>
      </c>
      <c r="E50" s="10">
        <v>995</v>
      </c>
      <c r="H50" s="1"/>
      <c r="J50" s="22">
        <v>538</v>
      </c>
      <c r="K50" s="22">
        <v>542</v>
      </c>
      <c r="L50" s="22">
        <v>878</v>
      </c>
    </row>
    <row r="51" spans="1:18" hidden="1">
      <c r="A51" s="2" t="s">
        <v>4</v>
      </c>
      <c r="C51" s="10">
        <v>1041</v>
      </c>
      <c r="D51" s="10">
        <v>1661</v>
      </c>
      <c r="E51" s="10">
        <v>2146</v>
      </c>
      <c r="H51" s="1" t="s">
        <v>5</v>
      </c>
      <c r="J51" s="10">
        <v>3334</v>
      </c>
      <c r="K51" s="10">
        <v>707</v>
      </c>
      <c r="L51" s="10">
        <v>1040</v>
      </c>
    </row>
    <row r="52" spans="1:18" hidden="1">
      <c r="C52" s="10">
        <v>1477</v>
      </c>
      <c r="D52" s="10">
        <v>1356</v>
      </c>
      <c r="E52" s="10">
        <v>2018</v>
      </c>
      <c r="F52" s="30"/>
      <c r="G52" s="30"/>
      <c r="H52" s="21"/>
      <c r="I52" s="30"/>
      <c r="J52" s="23">
        <v>4946</v>
      </c>
      <c r="K52" s="23">
        <v>574</v>
      </c>
      <c r="L52" s="23">
        <v>995</v>
      </c>
    </row>
    <row r="53" spans="1:18" hidden="1">
      <c r="A53" s="2" t="s">
        <v>10</v>
      </c>
      <c r="C53" s="10">
        <v>3933</v>
      </c>
      <c r="D53" s="10">
        <v>417</v>
      </c>
      <c r="E53" s="10">
        <v>492</v>
      </c>
      <c r="F53" s="2" t="s">
        <v>31</v>
      </c>
      <c r="H53" s="1" t="s">
        <v>7</v>
      </c>
      <c r="J53" s="10">
        <v>1972</v>
      </c>
      <c r="K53" s="10">
        <v>1643</v>
      </c>
      <c r="L53" s="10">
        <v>2188</v>
      </c>
    </row>
    <row r="54" spans="1:18" hidden="1">
      <c r="C54" s="10">
        <v>4967</v>
      </c>
      <c r="D54" s="10">
        <v>435</v>
      </c>
      <c r="E54" s="10">
        <v>551</v>
      </c>
      <c r="H54" s="1"/>
      <c r="J54" s="22">
        <v>3170</v>
      </c>
      <c r="K54" s="22">
        <v>1336</v>
      </c>
      <c r="L54" s="22">
        <v>1854</v>
      </c>
    </row>
    <row r="55" spans="1:18" hidden="1">
      <c r="A55" s="2" t="s">
        <v>14</v>
      </c>
      <c r="C55" s="10">
        <v>2365</v>
      </c>
      <c r="D55" s="10">
        <v>791</v>
      </c>
      <c r="E55" s="10">
        <v>1209</v>
      </c>
      <c r="H55" s="1" t="s">
        <v>14</v>
      </c>
      <c r="J55" s="10">
        <v>2365</v>
      </c>
      <c r="K55" s="10">
        <v>791</v>
      </c>
      <c r="L55" s="10">
        <v>1209</v>
      </c>
    </row>
    <row r="56" spans="1:18" hidden="1">
      <c r="C56" s="10">
        <v>4749</v>
      </c>
      <c r="D56" s="10">
        <v>778</v>
      </c>
      <c r="E56" s="10">
        <v>1252</v>
      </c>
      <c r="F56" s="30"/>
      <c r="G56" s="30"/>
      <c r="H56" s="21"/>
      <c r="I56" s="30"/>
      <c r="J56" s="23">
        <v>4749</v>
      </c>
      <c r="K56" s="23">
        <v>778</v>
      </c>
      <c r="L56" s="23">
        <v>1252</v>
      </c>
    </row>
    <row r="57" spans="1:18" hidden="1">
      <c r="A57" s="2" t="s">
        <v>9</v>
      </c>
      <c r="C57" s="10">
        <v>2023</v>
      </c>
      <c r="D57" s="10">
        <v>945</v>
      </c>
      <c r="E57" s="10">
        <v>713</v>
      </c>
      <c r="F57" s="2" t="s">
        <v>32</v>
      </c>
      <c r="H57" s="1" t="s">
        <v>19</v>
      </c>
      <c r="J57" s="10">
        <v>713</v>
      </c>
      <c r="K57" s="10">
        <v>249</v>
      </c>
      <c r="L57" s="10">
        <v>310</v>
      </c>
    </row>
    <row r="58" spans="1:18" hidden="1">
      <c r="C58" s="10">
        <v>5234</v>
      </c>
      <c r="D58" s="10">
        <v>671</v>
      </c>
      <c r="E58" s="10">
        <v>790</v>
      </c>
      <c r="H58" s="1"/>
      <c r="J58" s="22">
        <v>1772</v>
      </c>
      <c r="K58" s="22">
        <v>291</v>
      </c>
      <c r="L58" s="22">
        <v>371</v>
      </c>
    </row>
    <row r="59" spans="1:18" hidden="1">
      <c r="A59" s="2" t="s">
        <v>12</v>
      </c>
      <c r="C59" s="10">
        <v>1569</v>
      </c>
      <c r="D59" s="10">
        <v>765</v>
      </c>
      <c r="E59" s="10">
        <v>1015</v>
      </c>
      <c r="H59" s="1" t="s">
        <v>12</v>
      </c>
      <c r="J59" s="10">
        <v>1569</v>
      </c>
      <c r="K59" s="10">
        <v>765</v>
      </c>
      <c r="L59" s="10">
        <v>1015</v>
      </c>
    </row>
    <row r="60" spans="1:18" hidden="1">
      <c r="C60" s="10">
        <v>2194</v>
      </c>
      <c r="D60" s="10">
        <v>709</v>
      </c>
      <c r="E60" s="10">
        <v>1078</v>
      </c>
      <c r="H60" s="1"/>
      <c r="J60" s="22">
        <v>2194</v>
      </c>
      <c r="K60" s="22">
        <v>709</v>
      </c>
      <c r="L60" s="22">
        <v>1078</v>
      </c>
    </row>
    <row r="61" spans="1:18" hidden="1">
      <c r="A61" s="2" t="s">
        <v>16</v>
      </c>
      <c r="C61" s="10">
        <v>1125</v>
      </c>
      <c r="D61" s="10">
        <v>619</v>
      </c>
      <c r="E61" s="10">
        <v>1250</v>
      </c>
      <c r="H61" s="1" t="s">
        <v>11</v>
      </c>
      <c r="J61" s="10">
        <v>332</v>
      </c>
      <c r="K61" s="10">
        <v>429</v>
      </c>
      <c r="L61" s="10">
        <v>654</v>
      </c>
    </row>
    <row r="62" spans="1:18" hidden="1">
      <c r="C62" s="10">
        <v>2043</v>
      </c>
      <c r="D62" s="10">
        <v>462</v>
      </c>
      <c r="E62" s="10">
        <v>968</v>
      </c>
      <c r="H62" s="1"/>
      <c r="J62" s="22">
        <v>411</v>
      </c>
      <c r="K62" s="22">
        <v>468</v>
      </c>
      <c r="L62" s="22">
        <v>769</v>
      </c>
    </row>
    <row r="63" spans="1:18" hidden="1">
      <c r="A63" s="2" t="s">
        <v>13</v>
      </c>
      <c r="C63" s="10">
        <v>1254</v>
      </c>
      <c r="D63" s="10">
        <v>433</v>
      </c>
      <c r="E63" s="10">
        <v>701</v>
      </c>
      <c r="H63" s="1" t="s">
        <v>13</v>
      </c>
      <c r="J63" s="10">
        <v>1254</v>
      </c>
      <c r="K63" s="10">
        <v>433</v>
      </c>
      <c r="L63" s="10">
        <v>701</v>
      </c>
    </row>
    <row r="64" spans="1:18" hidden="1">
      <c r="C64" s="10">
        <v>1053</v>
      </c>
      <c r="D64" s="10">
        <v>464</v>
      </c>
      <c r="E64" s="10">
        <v>734</v>
      </c>
      <c r="F64" s="30"/>
      <c r="G64" s="30"/>
      <c r="H64" s="21"/>
      <c r="I64" s="30"/>
      <c r="J64" s="23">
        <v>1053</v>
      </c>
      <c r="K64" s="23">
        <v>464</v>
      </c>
      <c r="L64" s="23">
        <v>734</v>
      </c>
      <c r="N64" s="14"/>
      <c r="O64" s="5"/>
      <c r="P64" s="77" t="s">
        <v>1</v>
      </c>
      <c r="Q64" s="77" t="s">
        <v>27</v>
      </c>
      <c r="R64" s="77" t="s">
        <v>111</v>
      </c>
    </row>
    <row r="65" spans="1:23" hidden="1">
      <c r="A65" s="2" t="s">
        <v>8</v>
      </c>
      <c r="C65" s="10">
        <v>741</v>
      </c>
      <c r="D65" s="10">
        <v>566</v>
      </c>
      <c r="E65" s="10">
        <v>848</v>
      </c>
      <c r="F65" s="2" t="s">
        <v>33</v>
      </c>
      <c r="H65" s="1" t="s">
        <v>22</v>
      </c>
      <c r="J65" s="10">
        <v>26</v>
      </c>
      <c r="K65" s="10">
        <v>106</v>
      </c>
      <c r="L65" s="10">
        <v>132</v>
      </c>
      <c r="P65" s="24">
        <f t="shared" ref="P65:R66" si="7">J77</f>
        <v>4073</v>
      </c>
      <c r="Q65" s="24">
        <f t="shared" si="7"/>
        <v>6791</v>
      </c>
      <c r="R65" s="24">
        <f t="shared" si="7"/>
        <v>5840</v>
      </c>
    </row>
    <row r="66" spans="1:23" hidden="1">
      <c r="C66" s="10">
        <v>873</v>
      </c>
      <c r="D66" s="10">
        <v>607</v>
      </c>
      <c r="E66" s="10">
        <v>851</v>
      </c>
      <c r="H66" s="1"/>
      <c r="J66" s="22">
        <v>30</v>
      </c>
      <c r="K66" s="22">
        <v>99</v>
      </c>
      <c r="L66" s="22">
        <v>120</v>
      </c>
      <c r="N66" s="1" t="s">
        <v>3</v>
      </c>
      <c r="P66" s="24">
        <f t="shared" si="7"/>
        <v>4743</v>
      </c>
      <c r="Q66" s="24">
        <f t="shared" si="7"/>
        <v>5734</v>
      </c>
      <c r="R66" s="24">
        <f t="shared" si="7"/>
        <v>5166</v>
      </c>
    </row>
    <row r="67" spans="1:23" hidden="1">
      <c r="A67" s="2" t="s">
        <v>6</v>
      </c>
      <c r="C67" s="10">
        <v>753</v>
      </c>
      <c r="D67" s="10">
        <v>578</v>
      </c>
      <c r="E67" s="10">
        <v>800</v>
      </c>
      <c r="H67" s="1" t="s">
        <v>4</v>
      </c>
      <c r="J67" s="10">
        <v>1041</v>
      </c>
      <c r="K67" s="10">
        <v>1661</v>
      </c>
      <c r="L67" s="10">
        <v>2146</v>
      </c>
      <c r="N67" s="1"/>
      <c r="P67" s="24">
        <f t="shared" ref="P67:R68" si="8">J71+J73+J75</f>
        <v>6697</v>
      </c>
      <c r="Q67" s="24">
        <f t="shared" si="8"/>
        <v>1928</v>
      </c>
      <c r="R67" s="24">
        <f t="shared" si="8"/>
        <v>2053</v>
      </c>
    </row>
    <row r="68" spans="1:23" hidden="1">
      <c r="C68" s="10">
        <v>803</v>
      </c>
      <c r="D68" s="10">
        <v>566</v>
      </c>
      <c r="E68" s="10">
        <v>766</v>
      </c>
      <c r="H68" s="1"/>
      <c r="J68" s="22">
        <v>1477</v>
      </c>
      <c r="K68" s="22">
        <v>1356</v>
      </c>
      <c r="L68" s="22">
        <v>2018</v>
      </c>
      <c r="N68" s="1" t="s">
        <v>34</v>
      </c>
      <c r="P68" s="24">
        <f t="shared" si="8"/>
        <v>11074</v>
      </c>
      <c r="Q68" s="24">
        <f t="shared" si="8"/>
        <v>1713</v>
      </c>
      <c r="R68" s="24">
        <f t="shared" si="8"/>
        <v>2192</v>
      </c>
    </row>
    <row r="69" spans="1:23" hidden="1">
      <c r="A69" s="2" t="s">
        <v>23</v>
      </c>
      <c r="C69" s="10">
        <v>545</v>
      </c>
      <c r="D69" s="10">
        <v>622</v>
      </c>
      <c r="E69" s="10">
        <v>925</v>
      </c>
      <c r="H69" s="1" t="s">
        <v>6</v>
      </c>
      <c r="J69" s="10">
        <v>753</v>
      </c>
      <c r="K69" s="10">
        <v>578</v>
      </c>
      <c r="L69" s="10">
        <v>800</v>
      </c>
      <c r="N69" s="1"/>
      <c r="P69" s="24">
        <f t="shared" ref="P69:R70" si="9">J65+J67+J69</f>
        <v>1820</v>
      </c>
      <c r="Q69" s="24">
        <f t="shared" si="9"/>
        <v>2345</v>
      </c>
      <c r="R69" s="24">
        <f t="shared" si="9"/>
        <v>3078</v>
      </c>
    </row>
    <row r="70" spans="1:23" hidden="1">
      <c r="C70" s="10">
        <v>538</v>
      </c>
      <c r="D70" s="10">
        <v>542</v>
      </c>
      <c r="E70" s="10">
        <v>878</v>
      </c>
      <c r="F70" s="30"/>
      <c r="G70" s="30"/>
      <c r="H70" s="21"/>
      <c r="I70" s="30"/>
      <c r="J70" s="23">
        <v>803</v>
      </c>
      <c r="K70" s="23">
        <v>566</v>
      </c>
      <c r="L70" s="23">
        <v>766</v>
      </c>
      <c r="N70" s="1" t="s">
        <v>33</v>
      </c>
      <c r="P70" s="24">
        <f t="shared" si="9"/>
        <v>2310</v>
      </c>
      <c r="Q70" s="24">
        <f t="shared" si="9"/>
        <v>2021</v>
      </c>
      <c r="R70" s="24">
        <f t="shared" si="9"/>
        <v>2904</v>
      </c>
    </row>
    <row r="71" spans="1:23" hidden="1">
      <c r="A71" s="2" t="s">
        <v>17</v>
      </c>
      <c r="C71" s="10">
        <v>1525</v>
      </c>
      <c r="D71" s="10">
        <v>176</v>
      </c>
      <c r="E71" s="10">
        <v>341</v>
      </c>
      <c r="F71" s="2" t="s">
        <v>34</v>
      </c>
      <c r="H71" s="1" t="s">
        <v>8</v>
      </c>
      <c r="J71" s="10">
        <v>741</v>
      </c>
      <c r="K71" s="10">
        <v>566</v>
      </c>
      <c r="L71" s="10">
        <v>848</v>
      </c>
      <c r="N71" s="1"/>
      <c r="P71" s="24">
        <f t="shared" ref="P71:R72" si="10">J57+J59+J61+J63</f>
        <v>3868</v>
      </c>
      <c r="Q71" s="24">
        <f t="shared" si="10"/>
        <v>1876</v>
      </c>
      <c r="R71" s="24">
        <f t="shared" si="10"/>
        <v>2680</v>
      </c>
    </row>
    <row r="72" spans="1:23" hidden="1">
      <c r="C72" s="10">
        <v>1507</v>
      </c>
      <c r="D72" s="10">
        <v>214</v>
      </c>
      <c r="E72" s="10">
        <v>335</v>
      </c>
      <c r="H72" s="1"/>
      <c r="J72" s="22">
        <v>873</v>
      </c>
      <c r="K72" s="22">
        <v>607</v>
      </c>
      <c r="L72" s="22">
        <v>851</v>
      </c>
      <c r="N72" s="1" t="s">
        <v>32</v>
      </c>
      <c r="P72" s="24">
        <f t="shared" si="10"/>
        <v>5430</v>
      </c>
      <c r="Q72" s="24">
        <f t="shared" si="10"/>
        <v>1932</v>
      </c>
      <c r="R72" s="24">
        <f t="shared" si="10"/>
        <v>2952</v>
      </c>
    </row>
    <row r="73" spans="1:23" hidden="1">
      <c r="A73" s="2" t="s">
        <v>11</v>
      </c>
      <c r="C73" s="10">
        <v>332</v>
      </c>
      <c r="D73" s="10">
        <v>429</v>
      </c>
      <c r="E73" s="10">
        <v>654</v>
      </c>
      <c r="H73" s="1" t="s">
        <v>9</v>
      </c>
      <c r="J73" s="10">
        <v>2023</v>
      </c>
      <c r="K73" s="10">
        <v>945</v>
      </c>
      <c r="L73" s="10">
        <v>713</v>
      </c>
      <c r="N73" s="1"/>
      <c r="P73" s="24">
        <f t="shared" ref="P73:R74" si="11">J53+J55</f>
        <v>4337</v>
      </c>
      <c r="Q73" s="24">
        <f t="shared" si="11"/>
        <v>2434</v>
      </c>
      <c r="R73" s="24">
        <f t="shared" si="11"/>
        <v>3397</v>
      </c>
    </row>
    <row r="74" spans="1:23" hidden="1">
      <c r="C74" s="10">
        <v>411</v>
      </c>
      <c r="D74" s="10">
        <v>468</v>
      </c>
      <c r="E74" s="10">
        <v>769</v>
      </c>
      <c r="H74" s="1"/>
      <c r="J74" s="22">
        <v>5234</v>
      </c>
      <c r="K74" s="22">
        <v>671</v>
      </c>
      <c r="L74" s="22">
        <v>790</v>
      </c>
      <c r="N74" s="1" t="s">
        <v>31</v>
      </c>
      <c r="P74" s="24">
        <f t="shared" si="11"/>
        <v>7919</v>
      </c>
      <c r="Q74" s="24">
        <f t="shared" si="11"/>
        <v>2114</v>
      </c>
      <c r="R74" s="24">
        <f t="shared" si="11"/>
        <v>3106</v>
      </c>
    </row>
    <row r="75" spans="1:23" hidden="1">
      <c r="A75" s="2" t="s">
        <v>19</v>
      </c>
      <c r="C75" s="10">
        <v>713</v>
      </c>
      <c r="D75" s="10">
        <v>249</v>
      </c>
      <c r="E75" s="10">
        <v>310</v>
      </c>
      <c r="H75" s="1" t="s">
        <v>10</v>
      </c>
      <c r="J75" s="10">
        <v>3933</v>
      </c>
      <c r="K75" s="10">
        <v>417</v>
      </c>
      <c r="L75" s="10">
        <v>492</v>
      </c>
      <c r="N75" s="1"/>
      <c r="P75" s="24">
        <f t="shared" ref="P75:R76" si="12">J45+J47+J49+J51</f>
        <v>6529</v>
      </c>
      <c r="Q75" s="24">
        <f t="shared" si="12"/>
        <v>2124</v>
      </c>
      <c r="R75" s="24">
        <f t="shared" si="12"/>
        <v>3556</v>
      </c>
    </row>
    <row r="76" spans="1:23" hidden="1">
      <c r="C76" s="10">
        <v>1772</v>
      </c>
      <c r="D76" s="10">
        <v>291</v>
      </c>
      <c r="E76" s="10">
        <v>371</v>
      </c>
      <c r="F76" s="30"/>
      <c r="G76" s="30"/>
      <c r="H76" s="21"/>
      <c r="I76" s="30"/>
      <c r="J76" s="23">
        <v>4967</v>
      </c>
      <c r="K76" s="23">
        <v>435</v>
      </c>
      <c r="L76" s="23">
        <v>551</v>
      </c>
      <c r="N76" s="1" t="s">
        <v>29</v>
      </c>
      <c r="P76" s="24">
        <f t="shared" si="12"/>
        <v>9034</v>
      </c>
      <c r="Q76" s="24">
        <f t="shared" si="12"/>
        <v>1792</v>
      </c>
      <c r="R76" s="24">
        <f t="shared" si="12"/>
        <v>3176</v>
      </c>
    </row>
    <row r="77" spans="1:23" hidden="1">
      <c r="A77" s="2" t="s">
        <v>22</v>
      </c>
      <c r="C77" s="10">
        <v>26</v>
      </c>
      <c r="D77" s="10">
        <v>106</v>
      </c>
      <c r="E77" s="10">
        <v>132</v>
      </c>
      <c r="F77" s="2" t="s">
        <v>3</v>
      </c>
      <c r="H77" s="1" t="s">
        <v>3</v>
      </c>
      <c r="J77" s="10">
        <v>4073</v>
      </c>
      <c r="K77" s="10">
        <v>6791</v>
      </c>
      <c r="L77" s="10">
        <v>5840</v>
      </c>
      <c r="N77" s="1"/>
      <c r="P77" s="24">
        <f t="shared" ref="P77:R78" si="13">J41+J43</f>
        <v>6776</v>
      </c>
      <c r="Q77" s="24">
        <f t="shared" si="13"/>
        <v>1931</v>
      </c>
      <c r="R77" s="24">
        <f t="shared" si="13"/>
        <v>2974</v>
      </c>
    </row>
    <row r="78" spans="1:23" hidden="1">
      <c r="C78" s="10">
        <v>30</v>
      </c>
      <c r="D78" s="10">
        <v>99</v>
      </c>
      <c r="E78" s="10">
        <v>120</v>
      </c>
      <c r="H78" s="1"/>
      <c r="J78" s="22">
        <v>4743</v>
      </c>
      <c r="K78" s="22">
        <v>5734</v>
      </c>
      <c r="L78" s="22">
        <v>5166</v>
      </c>
      <c r="N78" s="1" t="s">
        <v>28</v>
      </c>
      <c r="P78" s="24">
        <f t="shared" si="13"/>
        <v>7164</v>
      </c>
      <c r="Q78" s="24">
        <f t="shared" si="13"/>
        <v>1957</v>
      </c>
      <c r="R78" s="24">
        <f t="shared" si="13"/>
        <v>2895</v>
      </c>
    </row>
    <row r="79" spans="1:23" hidden="1">
      <c r="A79" s="1"/>
      <c r="B79" s="1"/>
      <c r="C79" s="1"/>
      <c r="D79" s="1"/>
      <c r="E79" s="1"/>
    </row>
    <row r="80" spans="1:23">
      <c r="A80" s="3" t="s">
        <v>170</v>
      </c>
      <c r="B80" s="4"/>
      <c r="C80" s="4"/>
      <c r="D80" s="4"/>
      <c r="E80" s="4"/>
      <c r="F80" s="4"/>
      <c r="G80" s="4"/>
      <c r="H80" s="4"/>
      <c r="I80" s="4"/>
      <c r="J80" s="4"/>
      <c r="K80" s="4"/>
      <c r="L80" s="4"/>
      <c r="M80" s="4"/>
      <c r="N80" s="4"/>
      <c r="O80" s="4"/>
      <c r="P80" s="4"/>
      <c r="Q80" s="4"/>
      <c r="R80" s="4"/>
      <c r="S80" s="4"/>
      <c r="T80" s="4"/>
      <c r="U80" s="4"/>
      <c r="V80" s="4"/>
      <c r="W80" s="4"/>
    </row>
    <row r="81" spans="1:23">
      <c r="A81" s="12" t="s">
        <v>144</v>
      </c>
      <c r="B81" s="12"/>
      <c r="C81" s="12" t="s">
        <v>143</v>
      </c>
      <c r="D81" s="12"/>
      <c r="E81" s="12"/>
      <c r="F81" s="12"/>
      <c r="G81" s="12"/>
      <c r="H81" s="12"/>
      <c r="I81" s="12"/>
      <c r="J81" s="12"/>
      <c r="K81" s="12"/>
      <c r="L81" s="12"/>
      <c r="M81" s="12"/>
      <c r="N81" s="12"/>
      <c r="O81" s="12"/>
      <c r="P81" s="12"/>
      <c r="Q81" s="12"/>
      <c r="R81" s="12"/>
      <c r="S81" s="12"/>
      <c r="T81" s="12"/>
      <c r="U81" s="12"/>
      <c r="V81" s="12"/>
      <c r="W81" s="12"/>
    </row>
    <row r="82" spans="1:23">
      <c r="A82" s="12"/>
      <c r="B82" s="12"/>
      <c r="C82" s="12" t="s">
        <v>145</v>
      </c>
      <c r="D82" s="12"/>
      <c r="E82" s="12"/>
      <c r="F82" s="12"/>
      <c r="G82" s="12"/>
      <c r="H82" s="12"/>
      <c r="I82" s="12"/>
      <c r="J82" s="12"/>
      <c r="K82" s="12"/>
      <c r="L82" s="12"/>
      <c r="M82" s="12"/>
      <c r="N82" s="12"/>
      <c r="O82" s="12"/>
      <c r="P82" s="12"/>
      <c r="Q82" s="12"/>
      <c r="R82" s="12"/>
      <c r="S82" s="12"/>
      <c r="T82" s="12"/>
      <c r="U82" s="12"/>
      <c r="V82" s="12"/>
      <c r="W82" s="12"/>
    </row>
    <row r="83" spans="1:23" ht="45">
      <c r="A83" s="5" t="s">
        <v>55</v>
      </c>
      <c r="B83" s="5"/>
      <c r="C83" s="92" t="s">
        <v>146</v>
      </c>
      <c r="D83" s="5" t="s">
        <v>1</v>
      </c>
      <c r="E83" s="5" t="s">
        <v>27</v>
      </c>
      <c r="F83" s="5" t="s">
        <v>26</v>
      </c>
      <c r="G83" s="8" t="s">
        <v>2</v>
      </c>
      <c r="H83" s="94" t="s">
        <v>148</v>
      </c>
    </row>
    <row r="84" spans="1:23">
      <c r="A84" s="2" t="s">
        <v>3</v>
      </c>
      <c r="C84" s="24">
        <f t="shared" ref="C84:C102" si="14">W6-G6</f>
        <v>16738</v>
      </c>
      <c r="D84" s="24">
        <f t="shared" ref="D84:D102" si="15">G6+$M$84*C84</f>
        <v>13487.082553662654</v>
      </c>
      <c r="E84" s="24">
        <f t="shared" ref="E84:E101" si="16">H6*$N$6/$H$26</f>
        <v>5686.9666381346478</v>
      </c>
      <c r="F84" s="24">
        <f t="shared" ref="F84:F101" si="17">I6*$N$5/$I$26</f>
        <v>7387.4295288063131</v>
      </c>
      <c r="G84" s="6">
        <f>SUM(D84:F84)</f>
        <v>26561.478720603613</v>
      </c>
      <c r="H84" s="11">
        <f t="shared" ref="H84:H103" si="18">D84/W6</f>
        <v>0.64807469865276313</v>
      </c>
      <c r="J84" s="5" t="s">
        <v>147</v>
      </c>
      <c r="K84" s="5"/>
      <c r="L84" s="5"/>
      <c r="M84" s="95">
        <f>(N7-G26)/C103</f>
        <v>0.56243771977910473</v>
      </c>
    </row>
    <row r="85" spans="1:23">
      <c r="A85" s="2" t="s">
        <v>4</v>
      </c>
      <c r="C85" s="24">
        <f t="shared" si="14"/>
        <v>1801</v>
      </c>
      <c r="D85" s="24">
        <f t="shared" si="15"/>
        <v>2053.9503333221674</v>
      </c>
      <c r="E85" s="24">
        <f t="shared" si="16"/>
        <v>1390.9662179269105</v>
      </c>
      <c r="F85" s="24">
        <f t="shared" si="17"/>
        <v>2714.6273576743747</v>
      </c>
      <c r="G85" s="6">
        <f t="shared" ref="G85:G102" si="19">SUM(D85:F85)</f>
        <v>6159.5439089234533</v>
      </c>
      <c r="H85" s="11">
        <f t="shared" si="18"/>
        <v>0.72271299553911583</v>
      </c>
    </row>
    <row r="86" spans="1:23">
      <c r="A86" s="2" t="s">
        <v>5</v>
      </c>
      <c r="C86" s="24">
        <f t="shared" si="14"/>
        <v>5903</v>
      </c>
      <c r="D86" s="24">
        <f t="shared" si="15"/>
        <v>6654.0698598560557</v>
      </c>
      <c r="E86" s="24">
        <f t="shared" si="16"/>
        <v>592.06087662512084</v>
      </c>
      <c r="F86" s="24">
        <f t="shared" si="17"/>
        <v>1315.5696421161927</v>
      </c>
      <c r="G86" s="6">
        <f t="shared" si="19"/>
        <v>8561.7003785973684</v>
      </c>
      <c r="H86" s="11">
        <f t="shared" si="18"/>
        <v>0.72037131751175232</v>
      </c>
    </row>
    <row r="87" spans="1:23">
      <c r="A87" s="2" t="s">
        <v>6</v>
      </c>
      <c r="C87" s="24">
        <f t="shared" si="14"/>
        <v>948</v>
      </c>
      <c r="D87" s="24">
        <f t="shared" si="15"/>
        <v>1286.1909583505912</v>
      </c>
      <c r="E87" s="24">
        <f t="shared" si="16"/>
        <v>484.03279588305497</v>
      </c>
      <c r="F87" s="24">
        <f t="shared" si="17"/>
        <v>1011.9766477816867</v>
      </c>
      <c r="G87" s="6">
        <f t="shared" si="19"/>
        <v>2782.2004020153327</v>
      </c>
      <c r="H87" s="11">
        <f t="shared" si="18"/>
        <v>0.75613812954179382</v>
      </c>
      <c r="J87" s="14"/>
      <c r="K87" s="5" t="s">
        <v>146</v>
      </c>
      <c r="L87" s="5" t="s">
        <v>1</v>
      </c>
      <c r="M87" s="5" t="s">
        <v>27</v>
      </c>
      <c r="N87" s="5" t="s">
        <v>26</v>
      </c>
      <c r="O87" s="5" t="s">
        <v>1378</v>
      </c>
    </row>
    <row r="88" spans="1:23">
      <c r="A88" s="2" t="s">
        <v>7</v>
      </c>
      <c r="C88" s="24">
        <f t="shared" si="14"/>
        <v>2703</v>
      </c>
      <c r="D88" s="24">
        <f t="shared" si="15"/>
        <v>3492.2691565629202</v>
      </c>
      <c r="E88" s="24">
        <f t="shared" si="16"/>
        <v>1375.8925322419711</v>
      </c>
      <c r="F88" s="24">
        <f t="shared" si="17"/>
        <v>2767.7561316829133</v>
      </c>
      <c r="G88" s="6">
        <f t="shared" si="19"/>
        <v>7635.9178204878044</v>
      </c>
      <c r="H88" s="11">
        <f t="shared" si="18"/>
        <v>0.74700944525410062</v>
      </c>
      <c r="J88" s="1" t="s">
        <v>28</v>
      </c>
      <c r="K88" s="24">
        <f>(C101+C99)*(1-M84)</f>
        <v>7127.4519825181633</v>
      </c>
      <c r="L88" s="24">
        <f>D101+D99</f>
        <v>15937.548017481837</v>
      </c>
      <c r="M88" s="24">
        <f>E101+E99</f>
        <v>1617.0715032010019</v>
      </c>
      <c r="N88" s="24">
        <f>F101+F99</f>
        <v>3762.0231881284208</v>
      </c>
      <c r="O88" s="209">
        <f t="shared" ref="O88:O95" si="20">SUM(L88:N88)</f>
        <v>21316.642708811258</v>
      </c>
    </row>
    <row r="89" spans="1:23">
      <c r="A89" s="2" t="s">
        <v>8</v>
      </c>
      <c r="C89" s="24">
        <f t="shared" si="14"/>
        <v>1516</v>
      </c>
      <c r="D89" s="24">
        <f t="shared" si="15"/>
        <v>1593.6555831851229</v>
      </c>
      <c r="E89" s="24">
        <f t="shared" si="16"/>
        <v>473.98367209309538</v>
      </c>
      <c r="F89" s="24">
        <f t="shared" si="17"/>
        <v>1072.695246648588</v>
      </c>
      <c r="G89" s="6">
        <f t="shared" si="19"/>
        <v>3140.3345019268063</v>
      </c>
      <c r="H89" s="11">
        <f t="shared" si="18"/>
        <v>0.70609463145109563</v>
      </c>
      <c r="J89" s="1" t="s">
        <v>29</v>
      </c>
      <c r="K89" s="24">
        <f>(C98+C97+C96+C86)*(1-M84)</f>
        <v>5805.5763339708383</v>
      </c>
      <c r="L89" s="24">
        <f>D98+D97+D96+D86</f>
        <v>13991.423666029163</v>
      </c>
      <c r="M89" s="24">
        <f>E98+E97+E96+E86</f>
        <v>1778.6949108228523</v>
      </c>
      <c r="N89" s="24">
        <f>F98+F97+F96+F86</f>
        <v>4498.2361993895975</v>
      </c>
      <c r="O89" s="209">
        <f t="shared" si="20"/>
        <v>20268.354776241613</v>
      </c>
    </row>
    <row r="90" spans="1:23">
      <c r="A90" s="2" t="s">
        <v>9</v>
      </c>
      <c r="C90" s="24">
        <f t="shared" si="14"/>
        <v>8120</v>
      </c>
      <c r="D90" s="24">
        <f t="shared" si="15"/>
        <v>6589.9942846063304</v>
      </c>
      <c r="E90" s="24">
        <f t="shared" si="16"/>
        <v>791.36849845931999</v>
      </c>
      <c r="F90" s="24">
        <f t="shared" si="17"/>
        <v>901.92418733542843</v>
      </c>
      <c r="G90" s="6">
        <f t="shared" si="19"/>
        <v>8283.2869704010791</v>
      </c>
      <c r="H90" s="11">
        <f t="shared" si="18"/>
        <v>0.6497085955443489</v>
      </c>
      <c r="J90" s="1" t="s">
        <v>31</v>
      </c>
      <c r="K90" s="24">
        <f>(C88+C95)*(1-M84)</f>
        <v>5112.0401198207192</v>
      </c>
      <c r="L90" s="24">
        <f>D88+D95</f>
        <v>10907.959880179282</v>
      </c>
      <c r="M90" s="24">
        <f>E88+E95</f>
        <v>2038.2972753968093</v>
      </c>
      <c r="N90" s="24">
        <f>F88+F95</f>
        <v>4297.1058406429875</v>
      </c>
      <c r="O90" s="209">
        <f t="shared" si="20"/>
        <v>17243.362996219079</v>
      </c>
    </row>
    <row r="91" spans="1:23">
      <c r="A91" s="2" t="s">
        <v>10</v>
      </c>
      <c r="C91" s="24">
        <f t="shared" si="14"/>
        <v>14226</v>
      </c>
      <c r="D91" s="24">
        <f t="shared" si="15"/>
        <v>11934.239001577544</v>
      </c>
      <c r="E91" s="24">
        <f t="shared" si="16"/>
        <v>349.20705170109676</v>
      </c>
      <c r="F91" s="24">
        <f t="shared" si="17"/>
        <v>622.36563838573738</v>
      </c>
      <c r="G91" s="6">
        <f t="shared" si="19"/>
        <v>12905.811691664378</v>
      </c>
      <c r="H91" s="11">
        <f t="shared" si="18"/>
        <v>0.65720794105278613</v>
      </c>
      <c r="J91" s="1" t="s">
        <v>32</v>
      </c>
      <c r="K91" s="24">
        <f>(C100+C93+C92+C94)*(1-M84)</f>
        <v>3181.5153394861295</v>
      </c>
      <c r="L91" s="24">
        <f>D100+D93+D92+D94</f>
        <v>7957.4846605138709</v>
      </c>
      <c r="M91" s="24">
        <f>E100+E93+E92+E94</f>
        <v>1571.0130191636867</v>
      </c>
      <c r="N91" s="24">
        <f>F100+F93+F92+F94</f>
        <v>3390.1217700686507</v>
      </c>
      <c r="O91" s="209">
        <f t="shared" si="20"/>
        <v>12918.619449746207</v>
      </c>
    </row>
    <row r="92" spans="1:23">
      <c r="A92" s="2" t="s">
        <v>11</v>
      </c>
      <c r="C92" s="24">
        <f t="shared" si="14"/>
        <v>878</v>
      </c>
      <c r="D92" s="24">
        <f t="shared" si="15"/>
        <v>825.82031796605395</v>
      </c>
      <c r="E92" s="24">
        <f t="shared" si="16"/>
        <v>359.25617549105635</v>
      </c>
      <c r="F92" s="24">
        <f t="shared" si="17"/>
        <v>827.29090956152891</v>
      </c>
      <c r="G92" s="6">
        <f t="shared" si="19"/>
        <v>2012.3674030186392</v>
      </c>
      <c r="H92" s="11">
        <f t="shared" si="18"/>
        <v>0.68249613055045777</v>
      </c>
      <c r="J92" s="1" t="s">
        <v>33</v>
      </c>
      <c r="K92" s="24">
        <f>(C102+C85+C87)*(1-M84)</f>
        <v>1234.3631925031455</v>
      </c>
      <c r="L92" s="24">
        <f>D102+D85+D87</f>
        <v>3380.6368074968541</v>
      </c>
      <c r="M92" s="24">
        <f>E102+E85+E87</f>
        <v>1963.766273954609</v>
      </c>
      <c r="N92" s="24">
        <f>F102+F85+F87</f>
        <v>3893.5801523400396</v>
      </c>
      <c r="O92" s="209">
        <f t="shared" si="20"/>
        <v>9237.9832337915032</v>
      </c>
    </row>
    <row r="93" spans="1:23">
      <c r="A93" s="2" t="s">
        <v>12</v>
      </c>
      <c r="C93" s="24">
        <f t="shared" si="14"/>
        <v>2890</v>
      </c>
      <c r="D93" s="24">
        <f t="shared" si="15"/>
        <v>3194.4450101616126</v>
      </c>
      <c r="E93" s="24">
        <f t="shared" si="16"/>
        <v>640.63164160992562</v>
      </c>
      <c r="F93" s="24">
        <f t="shared" si="17"/>
        <v>1283.9453718730151</v>
      </c>
      <c r="G93" s="6">
        <f t="shared" si="19"/>
        <v>5119.022023644553</v>
      </c>
      <c r="H93" s="11">
        <f t="shared" si="18"/>
        <v>0.71640390449912816</v>
      </c>
      <c r="J93" s="1" t="s">
        <v>34</v>
      </c>
      <c r="K93" s="24">
        <f>(C89+C90+C91)*(1-M84)</f>
        <v>10441.111130631003</v>
      </c>
      <c r="L93" s="24">
        <f>D89+D90+D91</f>
        <v>20117.888869368995</v>
      </c>
      <c r="M93" s="24">
        <f>E89+E90+E91</f>
        <v>1614.5592222535122</v>
      </c>
      <c r="N93" s="24">
        <f>F89+F90+F91</f>
        <v>2596.9850723697537</v>
      </c>
      <c r="O93" s="209">
        <f t="shared" si="20"/>
        <v>24329.43316399226</v>
      </c>
    </row>
    <row r="94" spans="1:23">
      <c r="A94" s="2" t="s">
        <v>13</v>
      </c>
      <c r="C94" s="24">
        <f t="shared" si="14"/>
        <v>3199</v>
      </c>
      <c r="D94" s="24">
        <f t="shared" si="15"/>
        <v>3053.2382655733563</v>
      </c>
      <c r="E94" s="24">
        <f t="shared" si="16"/>
        <v>362.6058834210429</v>
      </c>
      <c r="F94" s="24">
        <f t="shared" si="17"/>
        <v>886.74453761870302</v>
      </c>
      <c r="G94" s="6">
        <f t="shared" si="19"/>
        <v>4302.5886866131023</v>
      </c>
      <c r="H94" s="11">
        <f t="shared" si="18"/>
        <v>0.68565871672431089</v>
      </c>
      <c r="J94" s="1" t="s">
        <v>3</v>
      </c>
      <c r="K94" s="24">
        <f>C84*(1-M84)</f>
        <v>7323.9174463373447</v>
      </c>
      <c r="L94" s="24">
        <f>D84</f>
        <v>13487.082553662654</v>
      </c>
      <c r="M94" s="24">
        <f>E84</f>
        <v>5686.9666381346478</v>
      </c>
      <c r="N94" s="24">
        <f>F84</f>
        <v>7387.4295288063131</v>
      </c>
      <c r="O94" s="209">
        <f t="shared" si="20"/>
        <v>26561.478720603613</v>
      </c>
    </row>
    <row r="95" spans="1:23">
      <c r="A95" s="2" t="s">
        <v>14</v>
      </c>
      <c r="C95" s="24">
        <f t="shared" si="14"/>
        <v>8980</v>
      </c>
      <c r="D95" s="24">
        <f t="shared" si="15"/>
        <v>7415.6907236163606</v>
      </c>
      <c r="E95" s="24">
        <f t="shared" si="16"/>
        <v>662.40474315483823</v>
      </c>
      <c r="F95" s="24">
        <f t="shared" si="17"/>
        <v>1529.3497089600739</v>
      </c>
      <c r="G95" s="6">
        <f t="shared" si="19"/>
        <v>9607.4451757312727</v>
      </c>
      <c r="H95" s="11">
        <f t="shared" si="18"/>
        <v>0.65365277422797363</v>
      </c>
      <c r="K95" s="6">
        <f>SUM(K88:K93)</f>
        <v>32902.05809893</v>
      </c>
      <c r="L95" s="6">
        <f>SUM(L88:L93)</f>
        <v>72292.941901070008</v>
      </c>
      <c r="M95" s="6">
        <f>SUM(M88:M93)</f>
        <v>10583.402204792472</v>
      </c>
      <c r="N95" s="6">
        <f>SUM(N88:N93)</f>
        <v>22438.052222939448</v>
      </c>
      <c r="O95" s="6">
        <f t="shared" si="20"/>
        <v>105314.39632880193</v>
      </c>
    </row>
    <row r="96" spans="1:23">
      <c r="A96" s="2" t="s">
        <v>23</v>
      </c>
      <c r="C96" s="24">
        <f t="shared" si="14"/>
        <v>831</v>
      </c>
      <c r="D96" s="24">
        <f t="shared" si="15"/>
        <v>1012.3857451364361</v>
      </c>
      <c r="E96" s="24">
        <f t="shared" si="16"/>
        <v>520.87958311290686</v>
      </c>
      <c r="F96" s="24">
        <f t="shared" si="17"/>
        <v>1170.0979989975754</v>
      </c>
      <c r="G96" s="6">
        <f t="shared" si="19"/>
        <v>2703.3633272469183</v>
      </c>
      <c r="H96" s="11">
        <f t="shared" si="18"/>
        <v>0.73574545431427041</v>
      </c>
    </row>
    <row r="97" spans="1:8">
      <c r="A97" s="2" t="s">
        <v>16</v>
      </c>
      <c r="C97" s="24">
        <f t="shared" si="14"/>
        <v>5710</v>
      </c>
      <c r="D97" s="24">
        <f t="shared" si="15"/>
        <v>4336.519379938688</v>
      </c>
      <c r="E97" s="24">
        <f t="shared" si="16"/>
        <v>518.36730216541696</v>
      </c>
      <c r="F97" s="24">
        <f t="shared" si="17"/>
        <v>1581.2135121588856</v>
      </c>
      <c r="G97" s="6">
        <f t="shared" si="19"/>
        <v>6436.10019426299</v>
      </c>
      <c r="H97" s="11">
        <f t="shared" si="18"/>
        <v>0.63445784636996161</v>
      </c>
    </row>
    <row r="98" spans="1:8">
      <c r="A98" s="2" t="s">
        <v>17</v>
      </c>
      <c r="C98" s="24">
        <f t="shared" si="14"/>
        <v>824</v>
      </c>
      <c r="D98" s="24">
        <f t="shared" si="15"/>
        <v>1988.4486810979822</v>
      </c>
      <c r="E98" s="24">
        <f t="shared" si="16"/>
        <v>147.38714891940774</v>
      </c>
      <c r="F98" s="24">
        <f t="shared" si="17"/>
        <v>431.35504611694398</v>
      </c>
      <c r="G98" s="6">
        <f t="shared" si="19"/>
        <v>2567.1908761343338</v>
      </c>
      <c r="H98" s="11">
        <f t="shared" si="18"/>
        <v>0.84650859135716572</v>
      </c>
    </row>
    <row r="99" spans="1:8">
      <c r="A99" s="2" t="s">
        <v>18</v>
      </c>
      <c r="C99" s="24">
        <f t="shared" si="14"/>
        <v>9584</v>
      </c>
      <c r="D99" s="24">
        <f t="shared" si="15"/>
        <v>7809.40310636294</v>
      </c>
      <c r="E99" s="24">
        <f t="shared" si="16"/>
        <v>1050.1334360507801</v>
      </c>
      <c r="F99" s="24">
        <f t="shared" si="17"/>
        <v>2256.7079245531618</v>
      </c>
      <c r="G99" s="6">
        <f t="shared" si="19"/>
        <v>11116.244466966882</v>
      </c>
      <c r="H99" s="11">
        <f t="shared" si="18"/>
        <v>0.65062093696267098</v>
      </c>
    </row>
    <row r="100" spans="1:8">
      <c r="A100" s="2" t="s">
        <v>19</v>
      </c>
      <c r="C100" s="24">
        <f t="shared" si="14"/>
        <v>304</v>
      </c>
      <c r="D100" s="24">
        <f t="shared" si="15"/>
        <v>883.98106681284787</v>
      </c>
      <c r="E100" s="24">
        <f t="shared" si="16"/>
        <v>208.51931864166207</v>
      </c>
      <c r="F100" s="24">
        <f t="shared" si="17"/>
        <v>392.14095101540363</v>
      </c>
      <c r="G100" s="6">
        <f t="shared" si="19"/>
        <v>1484.6413364699138</v>
      </c>
      <c r="H100" s="11">
        <f t="shared" si="18"/>
        <v>0.86920458880319362</v>
      </c>
    </row>
    <row r="101" spans="1:8">
      <c r="A101" s="2" t="s">
        <v>20</v>
      </c>
      <c r="C101" s="24">
        <f t="shared" si="14"/>
        <v>6705</v>
      </c>
      <c r="D101" s="24">
        <f t="shared" si="15"/>
        <v>8128.1449111188977</v>
      </c>
      <c r="E101" s="24">
        <f t="shared" si="16"/>
        <v>566.93806715022174</v>
      </c>
      <c r="F101" s="24">
        <f t="shared" si="17"/>
        <v>1505.3152635752592</v>
      </c>
      <c r="G101" s="6">
        <f t="shared" si="19"/>
        <v>10200.398241844379</v>
      </c>
      <c r="H101" s="11">
        <f t="shared" si="18"/>
        <v>0.73478077301743783</v>
      </c>
    </row>
    <row r="102" spans="1:8">
      <c r="A102" s="2" t="s">
        <v>22</v>
      </c>
      <c r="C102" s="24">
        <f t="shared" si="14"/>
        <v>72</v>
      </c>
      <c r="D102" s="24">
        <f t="shared" si="15"/>
        <v>40.495515824095541</v>
      </c>
      <c r="E102" s="24">
        <f>H25*$N$6/$H$26</f>
        <v>88.767260144643302</v>
      </c>
      <c r="F102" s="24">
        <f>I25*$N$5/$I$26</f>
        <v>166.97614688397832</v>
      </c>
      <c r="G102" s="6">
        <f t="shared" si="19"/>
        <v>296.23892285271717</v>
      </c>
      <c r="H102" s="11">
        <f t="shared" si="18"/>
        <v>0.56243771977910473</v>
      </c>
    </row>
    <row r="103" spans="1:8">
      <c r="A103" s="7" t="s">
        <v>2</v>
      </c>
      <c r="C103" s="6">
        <f>SUM(C84:C102)</f>
        <v>91932</v>
      </c>
      <c r="D103" s="6">
        <f>SUM(D84:D102)</f>
        <v>85780.024454732658</v>
      </c>
      <c r="E103" s="6">
        <f t="shared" ref="E103:G103" si="21">SUM(E84:E102)</f>
        <v>16270.368842927122</v>
      </c>
      <c r="F103" s="6">
        <f t="shared" si="21"/>
        <v>29825.481751745763</v>
      </c>
      <c r="G103" s="6">
        <f t="shared" si="21"/>
        <v>131875.87504940553</v>
      </c>
      <c r="H103" s="11">
        <f t="shared" si="18"/>
        <v>0.68076142766798931</v>
      </c>
    </row>
    <row r="104" spans="1:8">
      <c r="C104" s="2">
        <f>C103*(1-M84)</f>
        <v>40225.975545267342</v>
      </c>
    </row>
  </sheetData>
  <mergeCells count="8">
    <mergeCell ref="A32:B33"/>
    <mergeCell ref="A39:E39"/>
    <mergeCell ref="F39:L39"/>
    <mergeCell ref="G4:J4"/>
    <mergeCell ref="C4:F4"/>
    <mergeCell ref="E32:F32"/>
    <mergeCell ref="G32:H32"/>
    <mergeCell ref="C32:D33"/>
  </mergeCells>
  <hyperlinks>
    <hyperlink ref="B2" r:id="rId1" display="https://view.officeapps.live.com/op/view.aspx?src=https%3A%2F%2Fenergia.fi%2Fwp-content%2Fuploads%2F2024%2F12%2FSahkonkulutus-maakunnittain-2007-2023.xlsx&amp;wdOrigin=BROWSELINK" xr:uid="{F486580F-AD54-4E74-B065-6067696B7B52}"/>
    <hyperlink ref="U3" r:id="rId2" display="https://pxdata.stat.fi/PxWeb/pxweb/en/StatFin/StatFin__tene/statfin_tene_pxt_12bw.px/table/tableViewLayout1/" xr:uid="{0BF2BADF-AED2-40D7-B5E4-CF296D62E11C}"/>
    <hyperlink ref="U4" r:id="rId3" display="https://pxdata.stat.fi/PxWeb/pxweb/en/StatFin/StatFin__tene/statfin_tene_pxt_12bu.px/" xr:uid="{70C4025F-0D36-425D-A4BE-68E6EC117225}"/>
  </hyperlinks>
  <pageMargins left="0.7" right="0.7" top="0.75" bottom="0.75" header="0.3" footer="0.3"/>
  <pageSetup paperSize="9" orientation="portrait"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84D6-B410-4C67-9AFC-3B5BFB58A4CF}">
  <sheetPr>
    <tabColor theme="9" tint="-0.499984740745262"/>
  </sheetPr>
  <dimension ref="A1:AI52"/>
  <sheetViews>
    <sheetView topLeftCell="A10" workbookViewId="0">
      <selection activeCell="F21" sqref="F21"/>
    </sheetView>
  </sheetViews>
  <sheetFormatPr defaultColWidth="9.140625" defaultRowHeight="15"/>
  <cols>
    <col min="1" max="16384" width="9.140625" style="2"/>
  </cols>
  <sheetData>
    <row r="1" spans="1:35">
      <c r="A1" s="3" t="s">
        <v>1222</v>
      </c>
      <c r="B1" s="4"/>
      <c r="C1" s="4"/>
      <c r="D1" s="4"/>
      <c r="E1" s="4"/>
      <c r="F1" s="4"/>
      <c r="G1" s="4"/>
      <c r="H1" s="4"/>
      <c r="I1" s="4"/>
      <c r="J1" s="4"/>
      <c r="K1" s="4"/>
      <c r="L1" s="4"/>
      <c r="M1" s="4"/>
      <c r="N1" s="4"/>
      <c r="O1" s="4"/>
      <c r="U1" s="3" t="s">
        <v>1224</v>
      </c>
      <c r="V1" s="4"/>
      <c r="W1" s="4"/>
      <c r="X1" s="4"/>
      <c r="Y1" s="4"/>
      <c r="Z1" s="4"/>
      <c r="AA1" s="4"/>
      <c r="AB1" s="4"/>
      <c r="AC1" s="4"/>
      <c r="AD1" s="4"/>
      <c r="AE1" s="4"/>
      <c r="AF1" s="4"/>
      <c r="AG1" s="4"/>
      <c r="AH1" s="4"/>
      <c r="AI1" s="4"/>
    </row>
    <row r="2" spans="1:35">
      <c r="A2" s="12" t="s">
        <v>98</v>
      </c>
      <c r="B2" s="67"/>
      <c r="C2" s="67"/>
      <c r="D2" s="12"/>
      <c r="E2" s="12"/>
      <c r="G2" s="12" t="s">
        <v>101</v>
      </c>
      <c r="H2" s="12"/>
      <c r="I2" s="12"/>
      <c r="J2" s="12"/>
      <c r="K2" s="12"/>
      <c r="L2" s="69" t="s">
        <v>89</v>
      </c>
      <c r="M2" s="12"/>
      <c r="N2" s="12"/>
      <c r="O2" s="12"/>
      <c r="U2" s="5"/>
      <c r="V2" s="5" t="s">
        <v>61</v>
      </c>
      <c r="X2" s="7" t="s">
        <v>71</v>
      </c>
      <c r="Y2" s="7" t="s">
        <v>107</v>
      </c>
    </row>
    <row r="3" spans="1:35">
      <c r="A3" s="12" t="s">
        <v>71</v>
      </c>
      <c r="B3" s="72" t="s">
        <v>100</v>
      </c>
      <c r="C3" s="67"/>
      <c r="D3" s="12"/>
      <c r="E3" s="12"/>
      <c r="G3" s="5" t="s">
        <v>48</v>
      </c>
      <c r="H3" s="5"/>
      <c r="I3" s="222" t="s">
        <v>90</v>
      </c>
      <c r="J3" s="216"/>
      <c r="K3" s="223"/>
      <c r="L3" s="222" t="s">
        <v>91</v>
      </c>
      <c r="M3" s="216"/>
      <c r="N3" s="216"/>
      <c r="O3" s="216"/>
      <c r="P3" s="7" t="s">
        <v>106</v>
      </c>
      <c r="U3" s="2" t="s">
        <v>74</v>
      </c>
      <c r="V3" s="42">
        <v>20.740078131868135</v>
      </c>
      <c r="X3" s="2" t="s">
        <v>108</v>
      </c>
      <c r="Y3" s="2" t="s">
        <v>171</v>
      </c>
    </row>
    <row r="4" spans="1:35">
      <c r="A4" s="12"/>
      <c r="B4" s="25" t="s">
        <v>99</v>
      </c>
      <c r="C4" s="67"/>
      <c r="D4" s="12"/>
      <c r="E4" s="12"/>
      <c r="G4" s="5"/>
      <c r="H4" s="5"/>
      <c r="I4" s="224" t="s">
        <v>92</v>
      </c>
      <c r="J4" s="221" t="s">
        <v>93</v>
      </c>
      <c r="K4" s="221" t="s">
        <v>94</v>
      </c>
      <c r="L4" s="224" t="s">
        <v>95</v>
      </c>
      <c r="M4" s="221" t="s">
        <v>96</v>
      </c>
      <c r="N4" s="221" t="s">
        <v>97</v>
      </c>
      <c r="O4" s="221" t="s">
        <v>102</v>
      </c>
      <c r="U4" s="1" t="s">
        <v>28</v>
      </c>
      <c r="V4" s="43">
        <f>$V$3*D_el!K88/D_el!$K$95</f>
        <v>4.4928469384525371</v>
      </c>
      <c r="Y4" s="2" t="s">
        <v>109</v>
      </c>
    </row>
    <row r="5" spans="1:35">
      <c r="A5" s="5" t="s">
        <v>49</v>
      </c>
      <c r="B5" s="14">
        <v>2025</v>
      </c>
      <c r="C5" s="14">
        <v>2035</v>
      </c>
      <c r="G5" s="5"/>
      <c r="H5" s="5"/>
      <c r="I5" s="224"/>
      <c r="J5" s="221"/>
      <c r="K5" s="221"/>
      <c r="L5" s="224"/>
      <c r="M5" s="221"/>
      <c r="N5" s="221"/>
      <c r="O5" s="221"/>
      <c r="U5" s="1" t="s">
        <v>29</v>
      </c>
      <c r="V5" s="43">
        <f>$V$3*D_el!K89/D_el!$K$95</f>
        <v>3.6595919442193048</v>
      </c>
    </row>
    <row r="6" spans="1:35" ht="15" customHeight="1">
      <c r="A6" s="2" t="s">
        <v>81</v>
      </c>
      <c r="B6" s="42">
        <v>6.5466201846226735</v>
      </c>
      <c r="C6" s="42">
        <v>6.8940564264295006</v>
      </c>
      <c r="G6" s="5"/>
      <c r="H6" s="5"/>
      <c r="I6" s="224"/>
      <c r="J6" s="221"/>
      <c r="K6" s="221"/>
      <c r="L6" s="224"/>
      <c r="M6" s="221"/>
      <c r="N6" s="221"/>
      <c r="O6" s="221"/>
      <c r="U6" s="1" t="s">
        <v>31</v>
      </c>
      <c r="V6" s="43">
        <f>$V$3*D_el!K90/D_el!$K$95</f>
        <v>3.2224157886881319</v>
      </c>
    </row>
    <row r="7" spans="1:35">
      <c r="A7" s="2" t="s">
        <v>82</v>
      </c>
      <c r="B7" s="42">
        <v>2.2342092575747032</v>
      </c>
      <c r="C7" s="42">
        <v>2.3116653064160797</v>
      </c>
      <c r="G7" s="5"/>
      <c r="H7" s="5"/>
      <c r="I7" s="224"/>
      <c r="J7" s="221"/>
      <c r="K7" s="221"/>
      <c r="L7" s="224"/>
      <c r="M7" s="221"/>
      <c r="N7" s="221"/>
      <c r="O7" s="221"/>
      <c r="U7" s="1" t="s">
        <v>32</v>
      </c>
      <c r="V7" s="43">
        <f>$V$3*D_el!K91/D_el!$K$95</f>
        <v>2.0054938970770699</v>
      </c>
    </row>
    <row r="8" spans="1:35">
      <c r="A8" s="2" t="s">
        <v>83</v>
      </c>
      <c r="B8" s="42">
        <v>1.8913769365150044</v>
      </c>
      <c r="C8" s="42">
        <v>1.9534342636259119</v>
      </c>
      <c r="G8" s="5"/>
      <c r="H8" s="5"/>
      <c r="I8" s="224"/>
      <c r="J8" s="221"/>
      <c r="K8" s="221"/>
      <c r="L8" s="224"/>
      <c r="M8" s="221"/>
      <c r="N8" s="221"/>
      <c r="O8" s="221"/>
      <c r="U8" s="1" t="s">
        <v>33</v>
      </c>
      <c r="V8" s="43">
        <f>$V$3*D_el!K92/D_el!$K$95</f>
        <v>0.7780908105699923</v>
      </c>
    </row>
    <row r="9" spans="1:35">
      <c r="A9" s="2" t="s">
        <v>84</v>
      </c>
      <c r="B9" s="42">
        <v>2.0784622759415696</v>
      </c>
      <c r="C9" s="42">
        <v>2.0619270698705732</v>
      </c>
      <c r="G9" s="5"/>
      <c r="H9" s="5"/>
      <c r="I9" s="224"/>
      <c r="J9" s="221"/>
      <c r="K9" s="221"/>
      <c r="L9" s="224"/>
      <c r="M9" s="221"/>
      <c r="N9" s="221"/>
      <c r="O9" s="221"/>
      <c r="U9" s="1" t="s">
        <v>34</v>
      </c>
      <c r="V9" s="43">
        <f>$V$3*D_el!K93/D_el!$K$95</f>
        <v>6.5816387528610987</v>
      </c>
    </row>
    <row r="10" spans="1:35">
      <c r="A10" s="2" t="s">
        <v>85</v>
      </c>
      <c r="B10" s="42">
        <v>2.1785868062160931</v>
      </c>
      <c r="C10" s="42">
        <v>2.2303641536293948</v>
      </c>
      <c r="G10" s="2" t="s">
        <v>3</v>
      </c>
      <c r="I10" s="73">
        <v>10143.999999999998</v>
      </c>
      <c r="J10" s="9">
        <v>2449.7999999999997</v>
      </c>
      <c r="K10" s="74">
        <v>929.30000000000007</v>
      </c>
      <c r="L10" s="75">
        <v>11908.699999999997</v>
      </c>
      <c r="M10" s="9">
        <v>616.9</v>
      </c>
      <c r="N10" s="10">
        <v>997.49999999999977</v>
      </c>
      <c r="O10" s="24">
        <f>L10+N10</f>
        <v>12906.199999999997</v>
      </c>
      <c r="U10" s="1" t="s">
        <v>3</v>
      </c>
      <c r="V10" s="43">
        <f>$V$3*D_el!K94/D_el!$K$95</f>
        <v>4.6166905307765091</v>
      </c>
    </row>
    <row r="11" spans="1:35">
      <c r="A11" s="2" t="s">
        <v>86</v>
      </c>
      <c r="B11" s="42">
        <v>1.9651785616096522</v>
      </c>
      <c r="C11" s="42">
        <v>1.9174791297331568</v>
      </c>
      <c r="G11" s="2" t="s">
        <v>4</v>
      </c>
      <c r="I11" s="73">
        <v>2073.8000000000002</v>
      </c>
      <c r="J11" s="9">
        <v>757.30000000000018</v>
      </c>
      <c r="K11" s="74">
        <v>2257.1</v>
      </c>
      <c r="L11" s="75">
        <v>2596.3999999999996</v>
      </c>
      <c r="M11" s="9">
        <v>2257.1</v>
      </c>
      <c r="N11" s="10">
        <v>234.70000000000005</v>
      </c>
      <c r="O11" s="24">
        <f t="shared" ref="O11:O29" si="0">L11+N11</f>
        <v>2831.0999999999995</v>
      </c>
    </row>
    <row r="12" spans="1:35">
      <c r="A12" s="2" t="s">
        <v>87</v>
      </c>
      <c r="B12" s="42">
        <v>1.2152905512460432</v>
      </c>
      <c r="C12" s="68">
        <v>1.2125035647713862</v>
      </c>
      <c r="G12" s="2" t="s">
        <v>5</v>
      </c>
      <c r="I12" s="73">
        <v>1229.5999999999999</v>
      </c>
      <c r="J12" s="9">
        <v>96.6</v>
      </c>
      <c r="K12" s="74">
        <v>431.90000000000003</v>
      </c>
      <c r="L12" s="75">
        <v>1165.8</v>
      </c>
      <c r="M12" s="9">
        <v>431.90000000000003</v>
      </c>
      <c r="N12" s="10">
        <v>160.39999999999998</v>
      </c>
      <c r="O12" s="24">
        <f t="shared" si="0"/>
        <v>1326.1999999999998</v>
      </c>
    </row>
    <row r="13" spans="1:35">
      <c r="A13" s="2" t="s">
        <v>88</v>
      </c>
      <c r="B13" s="42">
        <v>20.381214206217507</v>
      </c>
      <c r="C13" s="42">
        <v>20.045262703680852</v>
      </c>
      <c r="G13" s="2" t="s">
        <v>6</v>
      </c>
      <c r="I13" s="73">
        <v>1088.3</v>
      </c>
      <c r="J13" s="9">
        <v>214.29999999999998</v>
      </c>
      <c r="K13" s="74">
        <v>237.89999999999998</v>
      </c>
      <c r="L13" s="75">
        <v>855.90000000000009</v>
      </c>
      <c r="M13" s="9">
        <v>549.80000000000007</v>
      </c>
      <c r="N13" s="10">
        <v>134.80000000000001</v>
      </c>
      <c r="O13" s="24">
        <f t="shared" si="0"/>
        <v>990.7</v>
      </c>
    </row>
    <row r="14" spans="1:35">
      <c r="A14" s="2" t="s">
        <v>74</v>
      </c>
      <c r="B14" s="34">
        <f>SUM(B6:B13)</f>
        <v>38.490938779943249</v>
      </c>
      <c r="C14" s="34">
        <f>SUM(C6:C13)</f>
        <v>38.626692618156852</v>
      </c>
      <c r="G14" s="2" t="s">
        <v>7</v>
      </c>
      <c r="I14" s="73">
        <v>2583.2999999999988</v>
      </c>
      <c r="J14" s="9">
        <v>468.09999999999997</v>
      </c>
      <c r="K14" s="74">
        <v>513.1</v>
      </c>
      <c r="L14" s="75">
        <v>2816.7000000000003</v>
      </c>
      <c r="M14" s="9">
        <v>513.1</v>
      </c>
      <c r="N14" s="10">
        <v>234.69999999999996</v>
      </c>
      <c r="O14" s="24">
        <f t="shared" si="0"/>
        <v>3051.4</v>
      </c>
    </row>
    <row r="15" spans="1:35">
      <c r="G15" s="2" t="s">
        <v>8</v>
      </c>
      <c r="I15" s="73">
        <v>1277.8</v>
      </c>
      <c r="J15" s="9">
        <v>231.1</v>
      </c>
      <c r="K15" s="74">
        <v>134.10000000000002</v>
      </c>
      <c r="L15" s="75">
        <v>1328.9</v>
      </c>
      <c r="M15" s="9">
        <v>128.19999999999999</v>
      </c>
      <c r="N15" s="10">
        <v>185.9</v>
      </c>
      <c r="O15" s="24">
        <f t="shared" si="0"/>
        <v>1514.8000000000002</v>
      </c>
    </row>
    <row r="16" spans="1:35">
      <c r="G16" s="2" t="s">
        <v>9</v>
      </c>
      <c r="I16" s="73">
        <v>820.39999999999986</v>
      </c>
      <c r="J16" s="9">
        <v>112.2</v>
      </c>
      <c r="K16" s="74">
        <v>794.3</v>
      </c>
      <c r="L16" s="75">
        <v>815.6</v>
      </c>
      <c r="M16" s="9">
        <v>794.3</v>
      </c>
      <c r="N16" s="10">
        <v>117.00000000000001</v>
      </c>
      <c r="O16" s="24">
        <f t="shared" si="0"/>
        <v>932.6</v>
      </c>
    </row>
    <row r="17" spans="1:15">
      <c r="G17" s="2" t="s">
        <v>10</v>
      </c>
      <c r="I17" s="73">
        <v>775.5</v>
      </c>
      <c r="J17" s="9">
        <v>34.799999999999997</v>
      </c>
      <c r="K17" s="74">
        <v>610.1</v>
      </c>
      <c r="L17" s="75">
        <v>698.3</v>
      </c>
      <c r="M17" s="9">
        <v>610.09999999999991</v>
      </c>
      <c r="N17" s="10">
        <v>111.99999999999999</v>
      </c>
      <c r="O17" s="24">
        <f t="shared" si="0"/>
        <v>810.3</v>
      </c>
    </row>
    <row r="18" spans="1:15">
      <c r="G18" s="2" t="s">
        <v>11</v>
      </c>
      <c r="I18" s="73">
        <v>840.6</v>
      </c>
      <c r="J18" s="9">
        <v>25.899999999999995</v>
      </c>
      <c r="K18" s="74">
        <v>184</v>
      </c>
      <c r="L18" s="75">
        <v>751.59999999999991</v>
      </c>
      <c r="M18" s="9">
        <v>191.3</v>
      </c>
      <c r="N18" s="10">
        <v>107.59999999999998</v>
      </c>
      <c r="O18" s="24">
        <f t="shared" si="0"/>
        <v>859.19999999999993</v>
      </c>
    </row>
    <row r="19" spans="1:15">
      <c r="G19" s="2" t="s">
        <v>12</v>
      </c>
      <c r="I19" s="73">
        <v>1476.9</v>
      </c>
      <c r="J19" s="9">
        <v>305.20000000000005</v>
      </c>
      <c r="K19" s="74">
        <v>264.70000000000005</v>
      </c>
      <c r="L19" s="75">
        <v>1616.8</v>
      </c>
      <c r="M19" s="9">
        <v>246.8</v>
      </c>
      <c r="N19" s="10">
        <v>183.20000000000002</v>
      </c>
      <c r="O19" s="24">
        <f t="shared" si="0"/>
        <v>1800</v>
      </c>
    </row>
    <row r="20" spans="1:15">
      <c r="G20" s="2" t="s">
        <v>13</v>
      </c>
      <c r="I20" s="73">
        <v>802.1</v>
      </c>
      <c r="J20" s="9">
        <v>185.5</v>
      </c>
      <c r="K20" s="74">
        <v>28.3</v>
      </c>
      <c r="L20" s="75">
        <v>874.69999999999993</v>
      </c>
      <c r="M20" s="9">
        <v>28.3</v>
      </c>
      <c r="N20" s="10">
        <v>112.89999999999999</v>
      </c>
      <c r="O20" s="24">
        <f t="shared" si="0"/>
        <v>987.59999999999991</v>
      </c>
    </row>
    <row r="21" spans="1:15">
      <c r="G21" s="2" t="s">
        <v>14</v>
      </c>
      <c r="I21" s="73">
        <v>1533.5</v>
      </c>
      <c r="J21" s="9">
        <v>113.1</v>
      </c>
      <c r="K21" s="74">
        <v>1578.8</v>
      </c>
      <c r="L21" s="75">
        <v>1530.6000000000004</v>
      </c>
      <c r="M21" s="9">
        <v>1482.5</v>
      </c>
      <c r="N21" s="10">
        <v>212.3</v>
      </c>
      <c r="O21" s="24">
        <f t="shared" si="0"/>
        <v>1742.9000000000003</v>
      </c>
    </row>
    <row r="22" spans="1:15">
      <c r="G22" s="2" t="s">
        <v>23</v>
      </c>
      <c r="I22" s="73">
        <v>961.5</v>
      </c>
      <c r="J22" s="9">
        <v>85.3</v>
      </c>
      <c r="K22" s="74">
        <v>588.1</v>
      </c>
      <c r="L22" s="75">
        <v>912.1</v>
      </c>
      <c r="M22" s="9">
        <v>579.5</v>
      </c>
      <c r="N22" s="10">
        <v>143.29999999999998</v>
      </c>
      <c r="O22" s="24">
        <f t="shared" si="0"/>
        <v>1055.4000000000001</v>
      </c>
    </row>
    <row r="23" spans="1:15">
      <c r="G23" s="2" t="s">
        <v>16</v>
      </c>
      <c r="I23" s="73">
        <v>999.5</v>
      </c>
      <c r="J23" s="9">
        <v>68.600000000000009</v>
      </c>
      <c r="K23" s="74">
        <v>1004.5999999999999</v>
      </c>
      <c r="L23" s="75">
        <v>940.10000000000014</v>
      </c>
      <c r="M23" s="9">
        <v>1004.6</v>
      </c>
      <c r="N23" s="10">
        <v>127.99999999999999</v>
      </c>
      <c r="O23" s="24">
        <f t="shared" si="0"/>
        <v>1068.1000000000001</v>
      </c>
    </row>
    <row r="24" spans="1:15">
      <c r="G24" s="2" t="s">
        <v>17</v>
      </c>
      <c r="I24" s="73">
        <v>321.10000000000002</v>
      </c>
      <c r="J24" s="9">
        <v>113.7</v>
      </c>
      <c r="K24" s="74">
        <v>9</v>
      </c>
      <c r="L24" s="75">
        <v>379.9</v>
      </c>
      <c r="M24" s="9"/>
      <c r="N24" s="10">
        <v>63.9</v>
      </c>
      <c r="O24" s="24">
        <f t="shared" si="0"/>
        <v>443.79999999999995</v>
      </c>
    </row>
    <row r="25" spans="1:15">
      <c r="G25" s="2" t="s">
        <v>18</v>
      </c>
      <c r="I25" s="73">
        <v>2004.1999999999996</v>
      </c>
      <c r="J25" s="9">
        <v>793.69999999999993</v>
      </c>
      <c r="K25" s="74">
        <v>498.8</v>
      </c>
      <c r="L25" s="75">
        <v>2496.2000000000003</v>
      </c>
      <c r="M25" s="9">
        <v>496.29999999999995</v>
      </c>
      <c r="N25" s="10">
        <v>304.19999999999987</v>
      </c>
      <c r="O25" s="24">
        <f t="shared" si="0"/>
        <v>2800.4</v>
      </c>
    </row>
    <row r="26" spans="1:15">
      <c r="G26" s="2" t="s">
        <v>19</v>
      </c>
      <c r="I26" s="73">
        <v>404</v>
      </c>
      <c r="J26" s="9">
        <v>58</v>
      </c>
      <c r="K26" s="74">
        <v>304.79999999999995</v>
      </c>
      <c r="L26" s="75">
        <v>396.4</v>
      </c>
      <c r="M26" s="9">
        <v>304.79999999999995</v>
      </c>
      <c r="N26" s="10">
        <v>65.599999999999994</v>
      </c>
      <c r="O26" s="24">
        <f t="shared" si="0"/>
        <v>462</v>
      </c>
    </row>
    <row r="27" spans="1:15">
      <c r="G27" s="2" t="s">
        <v>20</v>
      </c>
      <c r="I27" s="73">
        <v>1045.8000000000002</v>
      </c>
      <c r="J27" s="9">
        <v>121.80000000000001</v>
      </c>
      <c r="K27" s="74">
        <v>140</v>
      </c>
      <c r="L27" s="75">
        <v>1035.1000000000001</v>
      </c>
      <c r="M27" s="9">
        <v>144.4</v>
      </c>
      <c r="N27" s="10">
        <v>128.1</v>
      </c>
      <c r="O27" s="24">
        <f t="shared" si="0"/>
        <v>1163.2</v>
      </c>
    </row>
    <row r="28" spans="1:15">
      <c r="G28" s="2" t="s">
        <v>22</v>
      </c>
      <c r="I28" s="73">
        <v>108.4</v>
      </c>
      <c r="J28" s="9">
        <v>13.9</v>
      </c>
      <c r="K28" s="74">
        <v>108.1</v>
      </c>
      <c r="L28" s="75">
        <v>107.6</v>
      </c>
      <c r="M28" s="9">
        <v>108.1</v>
      </c>
      <c r="N28" s="10">
        <v>14.7</v>
      </c>
      <c r="O28" s="24">
        <f t="shared" si="0"/>
        <v>122.3</v>
      </c>
    </row>
    <row r="29" spans="1:15">
      <c r="G29" s="2" t="s">
        <v>2</v>
      </c>
      <c r="I29" s="70">
        <v>30490.299999999996</v>
      </c>
      <c r="J29" s="6">
        <v>6248.9</v>
      </c>
      <c r="K29" s="71">
        <v>10617</v>
      </c>
      <c r="L29" s="70">
        <v>33227.399999999994</v>
      </c>
      <c r="M29" s="6">
        <v>10488</v>
      </c>
      <c r="N29" s="6">
        <v>3640.7999999999993</v>
      </c>
      <c r="O29" s="6">
        <f t="shared" si="0"/>
        <v>36868.199999999997</v>
      </c>
    </row>
    <row r="31" spans="1:15">
      <c r="A31" s="3" t="s">
        <v>1223</v>
      </c>
      <c r="B31" s="4"/>
      <c r="C31" s="4"/>
      <c r="D31" s="4"/>
      <c r="E31" s="4"/>
      <c r="F31" s="4"/>
      <c r="G31" s="4"/>
      <c r="H31" s="4"/>
      <c r="I31" s="4"/>
      <c r="J31" s="4"/>
      <c r="K31" s="4"/>
      <c r="L31" s="4"/>
      <c r="M31" s="4"/>
      <c r="N31" s="4"/>
      <c r="O31" s="4"/>
    </row>
    <row r="32" spans="1:15">
      <c r="A32" s="12" t="s">
        <v>103</v>
      </c>
      <c r="B32" s="12"/>
      <c r="C32" s="12"/>
      <c r="E32" s="12" t="s">
        <v>104</v>
      </c>
      <c r="F32" s="12"/>
      <c r="G32" s="12"/>
      <c r="I32" s="12" t="s">
        <v>105</v>
      </c>
      <c r="J32" s="12"/>
      <c r="K32" s="12"/>
      <c r="M32" s="7" t="s">
        <v>28</v>
      </c>
      <c r="N32" s="7"/>
      <c r="O32" s="35" t="s">
        <v>20</v>
      </c>
    </row>
    <row r="33" spans="1:15">
      <c r="A33" s="2" t="s">
        <v>3</v>
      </c>
      <c r="C33" s="43">
        <f>O10*$C$14/$O$29</f>
        <v>13.521783549738146</v>
      </c>
      <c r="E33" s="1" t="s">
        <v>28</v>
      </c>
      <c r="G33" s="43">
        <f>C50+C48</f>
        <v>4.1526507630241376</v>
      </c>
      <c r="I33" s="2" t="s">
        <v>81</v>
      </c>
      <c r="K33" s="42">
        <f t="shared" ref="K33:K39" si="1">C6</f>
        <v>6.8940564264295006</v>
      </c>
      <c r="M33" s="7"/>
      <c r="N33" s="7"/>
      <c r="O33" s="35" t="s">
        <v>18</v>
      </c>
    </row>
    <row r="34" spans="1:15">
      <c r="A34" s="2" t="s">
        <v>4</v>
      </c>
      <c r="C34" s="43">
        <f t="shared" ref="C34:C52" si="2">O11*$C$14/$O$29</f>
        <v>2.9661342151573402</v>
      </c>
      <c r="E34" s="1" t="s">
        <v>29</v>
      </c>
      <c r="G34" s="43">
        <f>C47+C46+C45+C35</f>
        <v>4.0792072221804618</v>
      </c>
      <c r="I34" s="2" t="s">
        <v>82</v>
      </c>
      <c r="K34" s="42">
        <f t="shared" si="1"/>
        <v>2.3116653064160797</v>
      </c>
      <c r="M34" s="7" t="s">
        <v>29</v>
      </c>
      <c r="N34" s="7"/>
      <c r="O34" s="35" t="s">
        <v>17</v>
      </c>
    </row>
    <row r="35" spans="1:15">
      <c r="A35" s="2" t="s">
        <v>5</v>
      </c>
      <c r="C35" s="43">
        <f t="shared" si="2"/>
        <v>1.3894554046630867</v>
      </c>
      <c r="E35" s="1" t="s">
        <v>31</v>
      </c>
      <c r="G35" s="43">
        <f>C37+C44</f>
        <v>5.0229724374726574</v>
      </c>
      <c r="I35" s="2" t="s">
        <v>83</v>
      </c>
      <c r="K35" s="42">
        <f t="shared" si="1"/>
        <v>1.9534342636259119</v>
      </c>
      <c r="M35" s="7"/>
      <c r="N35" s="7"/>
      <c r="O35" s="35" t="s">
        <v>16</v>
      </c>
    </row>
    <row r="36" spans="1:15">
      <c r="A36" s="2" t="s">
        <v>6</v>
      </c>
      <c r="C36" s="43">
        <f t="shared" si="2"/>
        <v>1.037953151409833</v>
      </c>
      <c r="E36" s="1" t="s">
        <v>32</v>
      </c>
      <c r="G36" s="43">
        <f>C49+C42+C41+C43</f>
        <v>4.304776328366529</v>
      </c>
      <c r="I36" s="2" t="s">
        <v>84</v>
      </c>
      <c r="K36" s="42">
        <f t="shared" si="1"/>
        <v>2.0619270698705732</v>
      </c>
      <c r="M36" s="7"/>
      <c r="N36" s="7"/>
      <c r="O36" s="35" t="s">
        <v>30</v>
      </c>
    </row>
    <row r="37" spans="1:15">
      <c r="A37" s="2" t="s">
        <v>7</v>
      </c>
      <c r="C37" s="43">
        <f t="shared" si="2"/>
        <v>3.1969418049984495</v>
      </c>
      <c r="E37" s="1" t="s">
        <v>33</v>
      </c>
      <c r="G37" s="43">
        <f>C51+C34+C36</f>
        <v>4.1322206767694771</v>
      </c>
      <c r="I37" s="2" t="s">
        <v>85</v>
      </c>
      <c r="K37" s="42">
        <f t="shared" si="1"/>
        <v>2.2303641536293948</v>
      </c>
      <c r="M37" s="7"/>
      <c r="N37" s="7"/>
      <c r="O37" s="35" t="s">
        <v>5</v>
      </c>
    </row>
    <row r="38" spans="1:15">
      <c r="A38" s="2" t="s">
        <v>8</v>
      </c>
      <c r="C38" s="43">
        <f t="shared" si="2"/>
        <v>1.5870510081312355</v>
      </c>
      <c r="E38" s="1" t="s">
        <v>34</v>
      </c>
      <c r="G38" s="43">
        <f>C38+C39+C40</f>
        <v>3.4130816406054429</v>
      </c>
      <c r="I38" s="2" t="s">
        <v>86</v>
      </c>
      <c r="K38" s="42">
        <f t="shared" si="1"/>
        <v>1.9174791297331568</v>
      </c>
      <c r="M38" s="7" t="s">
        <v>31</v>
      </c>
      <c r="N38" s="7"/>
      <c r="O38" s="35" t="s">
        <v>7</v>
      </c>
    </row>
    <row r="39" spans="1:15">
      <c r="A39" s="2" t="s">
        <v>9</v>
      </c>
      <c r="C39" s="43">
        <f t="shared" si="2"/>
        <v>0.97708197133825592</v>
      </c>
      <c r="E39" s="1" t="s">
        <v>3</v>
      </c>
      <c r="G39" s="43">
        <f>C33</f>
        <v>13.521783549738146</v>
      </c>
      <c r="I39" s="2" t="s">
        <v>87</v>
      </c>
      <c r="K39" s="42">
        <f t="shared" si="1"/>
        <v>1.2125035647713862</v>
      </c>
      <c r="M39" s="7"/>
      <c r="N39" s="7"/>
      <c r="O39" s="35" t="s">
        <v>14</v>
      </c>
    </row>
    <row r="40" spans="1:15">
      <c r="A40" s="2" t="s">
        <v>10</v>
      </c>
      <c r="C40" s="43">
        <f t="shared" si="2"/>
        <v>0.8489486611359518</v>
      </c>
      <c r="E40" s="7" t="s">
        <v>2</v>
      </c>
      <c r="G40" s="34">
        <f>SUM(G33:G39)</f>
        <v>38.626692618156852</v>
      </c>
      <c r="I40" s="1" t="s">
        <v>28</v>
      </c>
      <c r="K40" s="43">
        <f>G33-K38</f>
        <v>2.2351716332909808</v>
      </c>
      <c r="M40" s="7" t="s">
        <v>32</v>
      </c>
      <c r="N40" s="7"/>
      <c r="O40" s="35" t="s">
        <v>19</v>
      </c>
    </row>
    <row r="41" spans="1:15">
      <c r="A41" s="2" t="s">
        <v>11</v>
      </c>
      <c r="C41" s="43">
        <f t="shared" si="2"/>
        <v>0.90018103128225324</v>
      </c>
      <c r="I41" s="1" t="s">
        <v>29</v>
      </c>
      <c r="K41" s="43">
        <f>G34</f>
        <v>4.0792072221804618</v>
      </c>
      <c r="M41" s="7"/>
      <c r="N41" s="7"/>
      <c r="O41" s="35" t="s">
        <v>12</v>
      </c>
    </row>
    <row r="42" spans="1:15">
      <c r="A42" s="2" t="s">
        <v>12</v>
      </c>
      <c r="C42" s="43">
        <f t="shared" si="2"/>
        <v>1.8858541158147764</v>
      </c>
      <c r="I42" s="1" t="s">
        <v>31</v>
      </c>
      <c r="K42" s="43">
        <f>G35-K39-K37</f>
        <v>1.5801047190718767</v>
      </c>
      <c r="M42" s="7"/>
      <c r="N42" s="7"/>
      <c r="O42" s="35" t="s">
        <v>11</v>
      </c>
    </row>
    <row r="43" spans="1:15">
      <c r="A43" s="2" t="s">
        <v>13</v>
      </c>
      <c r="C43" s="43">
        <f t="shared" si="2"/>
        <v>1.0347052915437072</v>
      </c>
      <c r="I43" s="1" t="s">
        <v>32</v>
      </c>
      <c r="K43" s="43">
        <f>G36</f>
        <v>4.304776328366529</v>
      </c>
      <c r="M43" s="7"/>
      <c r="N43" s="7"/>
      <c r="O43" s="35" t="s">
        <v>13</v>
      </c>
    </row>
    <row r="44" spans="1:15">
      <c r="A44" s="2" t="s">
        <v>14</v>
      </c>
      <c r="C44" s="43">
        <f t="shared" si="2"/>
        <v>1.8260306324742082</v>
      </c>
      <c r="I44" s="1" t="s">
        <v>33</v>
      </c>
      <c r="K44" s="43">
        <f>G37-K36</f>
        <v>2.070293606898904</v>
      </c>
      <c r="M44" s="7" t="s">
        <v>33</v>
      </c>
      <c r="N44" s="7"/>
      <c r="O44" s="35" t="s">
        <v>22</v>
      </c>
    </row>
    <row r="45" spans="1:15">
      <c r="A45" s="2" t="s">
        <v>23</v>
      </c>
      <c r="C45" s="43">
        <f t="shared" si="2"/>
        <v>1.1057391299060639</v>
      </c>
      <c r="I45" s="1" t="s">
        <v>34</v>
      </c>
      <c r="K45" s="43">
        <f>G38</f>
        <v>3.4130816406054429</v>
      </c>
      <c r="M45" s="7"/>
      <c r="N45" s="7"/>
      <c r="O45" s="35" t="s">
        <v>4</v>
      </c>
    </row>
    <row r="46" spans="1:15">
      <c r="A46" s="2" t="s">
        <v>16</v>
      </c>
      <c r="C46" s="43">
        <f t="shared" si="2"/>
        <v>1.1190448783898683</v>
      </c>
      <c r="I46" s="1" t="s">
        <v>3</v>
      </c>
      <c r="K46" s="43">
        <f>G39-SUM(K33:K35)</f>
        <v>2.3626275532666536</v>
      </c>
      <c r="M46" s="7"/>
      <c r="N46" s="7"/>
      <c r="O46" s="35" t="s">
        <v>6</v>
      </c>
    </row>
    <row r="47" spans="1:15">
      <c r="A47" s="2" t="s">
        <v>17</v>
      </c>
      <c r="C47" s="43">
        <f t="shared" si="2"/>
        <v>0.46496780922144321</v>
      </c>
      <c r="I47" s="7" t="s">
        <v>2</v>
      </c>
      <c r="K47" s="34">
        <f>SUM(K33:K46)</f>
        <v>38.626692618156845</v>
      </c>
      <c r="M47" s="7" t="s">
        <v>34</v>
      </c>
      <c r="N47" s="7"/>
      <c r="O47" s="35" t="s">
        <v>8</v>
      </c>
    </row>
    <row r="48" spans="1:15">
      <c r="A48" s="2" t="s">
        <v>18</v>
      </c>
      <c r="C48" s="43">
        <f t="shared" si="2"/>
        <v>2.933969925515389</v>
      </c>
      <c r="M48" s="7"/>
      <c r="N48" s="7"/>
      <c r="O48" s="35" t="s">
        <v>9</v>
      </c>
    </row>
    <row r="49" spans="1:15">
      <c r="A49" s="2" t="s">
        <v>19</v>
      </c>
      <c r="C49" s="43">
        <f t="shared" si="2"/>
        <v>0.48403588972579259</v>
      </c>
      <c r="M49" s="7"/>
      <c r="N49" s="7"/>
      <c r="O49" s="35" t="s">
        <v>10</v>
      </c>
    </row>
    <row r="50" spans="1:15">
      <c r="A50" s="2" t="s">
        <v>20</v>
      </c>
      <c r="C50" s="43">
        <f t="shared" si="2"/>
        <v>1.218680837508749</v>
      </c>
      <c r="M50" s="7" t="s">
        <v>3</v>
      </c>
      <c r="N50" s="7"/>
      <c r="O50" s="35" t="s">
        <v>3</v>
      </c>
    </row>
    <row r="51" spans="1:15">
      <c r="A51" s="2" t="s">
        <v>22</v>
      </c>
      <c r="C51" s="43">
        <f t="shared" si="2"/>
        <v>0.12813331020230398</v>
      </c>
    </row>
    <row r="52" spans="1:15">
      <c r="A52" s="7" t="s">
        <v>2</v>
      </c>
      <c r="B52" s="7"/>
      <c r="C52" s="34">
        <f t="shared" si="2"/>
        <v>38.626692618156852</v>
      </c>
    </row>
  </sheetData>
  <mergeCells count="9">
    <mergeCell ref="J4:J9"/>
    <mergeCell ref="M4:M9"/>
    <mergeCell ref="O4:O9"/>
    <mergeCell ref="L3:O3"/>
    <mergeCell ref="I3:K3"/>
    <mergeCell ref="K4:K9"/>
    <mergeCell ref="I4:I9"/>
    <mergeCell ref="N4:N9"/>
    <mergeCell ref="L4:L9"/>
  </mergeCells>
  <conditionalFormatting sqref="X2:Y2">
    <cfRule type="duplicateValues" dxfId="3" priority="1"/>
  </conditionalFormatting>
  <hyperlinks>
    <hyperlink ref="L2" r:id="rId1" display="https://view.officeapps.live.com/op/view.aspx?src=https%3A%2F%2Fenergia.fi%2Fwp-content%2Fuploads%2F2024%2F05%2FDH_Regional_2023.xlsx&amp;wdOrigin=BROWSELINK" xr:uid="{D4564A1C-330D-463A-A440-67096DC4D3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824A2-270A-41FB-A39C-974F5EE4A6C1}">
  <sheetPr>
    <tabColor theme="9" tint="-0.249977111117893"/>
  </sheetPr>
  <dimension ref="A1:R153"/>
  <sheetViews>
    <sheetView workbookViewId="0">
      <pane ySplit="10" topLeftCell="A11" activePane="bottomLeft" state="frozen"/>
      <selection pane="bottomLeft" activeCell="J10" sqref="J10:K17"/>
    </sheetView>
  </sheetViews>
  <sheetFormatPr defaultColWidth="8.7109375" defaultRowHeight="15"/>
  <cols>
    <col min="1" max="1" width="14.85546875" style="1" customWidth="1"/>
    <col min="2" max="2" width="21.5703125" style="1" customWidth="1"/>
    <col min="3" max="3" width="8.42578125" style="1" bestFit="1" customWidth="1"/>
    <col min="4" max="4" width="17.28515625" style="1" bestFit="1" customWidth="1"/>
    <col min="5" max="5" width="10.28515625" style="1" bestFit="1" customWidth="1"/>
    <col min="6" max="6" width="8.7109375" style="1"/>
    <col min="7" max="7" width="18.42578125" style="1" bestFit="1" customWidth="1"/>
    <col min="8" max="8" width="10.7109375" style="1" bestFit="1" customWidth="1"/>
    <col min="9" max="9" width="8.7109375" style="1"/>
    <col min="10" max="10" width="11.140625" style="1" bestFit="1" customWidth="1"/>
    <col min="11" max="11" width="10.7109375" style="1" bestFit="1" customWidth="1"/>
    <col min="12" max="12" width="8.7109375" style="1"/>
    <col min="13" max="13" width="8.7109375" style="1" customWidth="1"/>
    <col min="14" max="16384" width="8.7109375" style="1"/>
  </cols>
  <sheetData>
    <row r="1" spans="1:18">
      <c r="A1" s="36" t="s">
        <v>175</v>
      </c>
      <c r="B1" s="36" t="s">
        <v>177</v>
      </c>
      <c r="C1" s="36"/>
      <c r="D1" s="36"/>
      <c r="E1" s="36"/>
      <c r="F1" s="36"/>
      <c r="G1" s="36"/>
      <c r="H1" s="36"/>
      <c r="I1" s="36"/>
      <c r="J1" s="36"/>
      <c r="K1" s="36"/>
      <c r="L1" s="36"/>
      <c r="M1" s="36"/>
      <c r="N1" s="36"/>
      <c r="O1" s="36"/>
      <c r="P1" s="36"/>
      <c r="Q1" s="36"/>
      <c r="R1" s="36"/>
    </row>
    <row r="2" spans="1:18">
      <c r="A2" s="36" t="s">
        <v>71</v>
      </c>
      <c r="B2" s="97" t="s">
        <v>176</v>
      </c>
      <c r="C2" s="36"/>
      <c r="D2" s="36"/>
      <c r="E2" s="36"/>
      <c r="F2" s="36"/>
      <c r="G2" s="36"/>
      <c r="H2" s="36"/>
      <c r="I2" s="36"/>
      <c r="J2" s="36"/>
      <c r="K2" s="36"/>
      <c r="L2" s="36"/>
      <c r="M2" s="36"/>
      <c r="N2" s="36"/>
      <c r="O2" s="36"/>
      <c r="P2" s="36"/>
      <c r="Q2" s="36"/>
      <c r="R2" s="36"/>
    </row>
    <row r="3" spans="1:18">
      <c r="A3" s="98" t="s">
        <v>397</v>
      </c>
      <c r="B3" s="98" t="s">
        <v>1137</v>
      </c>
      <c r="C3" s="45"/>
      <c r="D3" s="45"/>
      <c r="E3" s="45"/>
      <c r="F3" s="45"/>
      <c r="G3" s="45"/>
      <c r="H3" s="45"/>
      <c r="I3" s="45"/>
      <c r="J3" s="45"/>
      <c r="K3" s="45"/>
      <c r="L3" s="45"/>
      <c r="M3" s="45"/>
      <c r="N3" s="45"/>
      <c r="O3" s="45"/>
      <c r="P3" s="45"/>
      <c r="Q3" s="45"/>
      <c r="R3" s="45"/>
    </row>
    <row r="4" spans="1:18">
      <c r="A4" s="46" t="s">
        <v>398</v>
      </c>
      <c r="B4" s="46" t="s">
        <v>399</v>
      </c>
      <c r="C4" s="45"/>
      <c r="D4" s="45"/>
      <c r="E4" s="45"/>
      <c r="F4" s="45"/>
      <c r="G4" s="45"/>
      <c r="H4" s="45"/>
      <c r="I4" s="45"/>
      <c r="J4" s="45"/>
      <c r="K4" s="45"/>
      <c r="L4" s="45"/>
      <c r="M4" s="45"/>
      <c r="N4" s="45"/>
      <c r="O4" s="45"/>
      <c r="P4" s="45"/>
      <c r="Q4" s="45"/>
      <c r="R4" s="45"/>
    </row>
    <row r="5" spans="1:18">
      <c r="A5" s="46"/>
      <c r="B5" s="46" t="s">
        <v>401</v>
      </c>
      <c r="C5" s="45"/>
      <c r="D5" s="45"/>
      <c r="E5" s="45"/>
      <c r="F5" s="45"/>
      <c r="G5" s="45"/>
      <c r="H5" s="45"/>
      <c r="I5" s="45"/>
      <c r="J5" s="45"/>
      <c r="K5" s="45"/>
      <c r="L5" s="45"/>
      <c r="M5" s="45"/>
      <c r="N5" s="45"/>
      <c r="O5" s="45"/>
      <c r="P5" s="45"/>
      <c r="Q5" s="45"/>
      <c r="R5" s="45"/>
    </row>
    <row r="6" spans="1:18">
      <c r="A6" s="98"/>
      <c r="B6" s="98" t="s">
        <v>400</v>
      </c>
      <c r="C6" s="45"/>
      <c r="D6" s="45"/>
      <c r="E6" s="45"/>
      <c r="F6" s="45"/>
      <c r="G6" s="45"/>
      <c r="H6" s="45"/>
      <c r="I6" s="45"/>
      <c r="J6" s="45"/>
      <c r="K6" s="45"/>
      <c r="L6" s="45"/>
      <c r="M6" s="45"/>
      <c r="N6" s="45"/>
      <c r="O6" s="45"/>
      <c r="P6" s="45"/>
      <c r="Q6" s="45"/>
      <c r="R6" s="45"/>
    </row>
    <row r="7" spans="1:18">
      <c r="A7" s="98"/>
      <c r="B7" s="98" t="s">
        <v>413</v>
      </c>
      <c r="C7" s="45"/>
      <c r="D7" s="45"/>
      <c r="E7" s="45"/>
      <c r="F7" s="45"/>
      <c r="G7" s="45"/>
      <c r="H7" s="45"/>
      <c r="I7" s="45"/>
      <c r="J7" s="45"/>
      <c r="K7" s="45"/>
      <c r="L7" s="45"/>
      <c r="M7" s="45"/>
      <c r="N7" s="45"/>
      <c r="O7" s="45"/>
      <c r="P7" s="45"/>
      <c r="Q7" s="45"/>
      <c r="R7" s="45"/>
    </row>
    <row r="9" spans="1:18">
      <c r="A9" s="225" t="s">
        <v>412</v>
      </c>
      <c r="B9" s="225"/>
      <c r="C9" s="225"/>
      <c r="D9" s="225" t="s">
        <v>398</v>
      </c>
      <c r="E9" s="225"/>
    </row>
    <row r="10" spans="1:18">
      <c r="A10" s="102" t="s">
        <v>178</v>
      </c>
      <c r="B10" s="14" t="s">
        <v>179</v>
      </c>
      <c r="C10" s="14" t="s">
        <v>58</v>
      </c>
      <c r="D10" s="14" t="s">
        <v>24</v>
      </c>
      <c r="E10" s="104" t="s">
        <v>414</v>
      </c>
      <c r="G10" s="14" t="s">
        <v>24</v>
      </c>
      <c r="H10" s="14" t="s">
        <v>58</v>
      </c>
      <c r="J10" s="14" t="s">
        <v>24</v>
      </c>
      <c r="K10" s="14" t="s">
        <v>58</v>
      </c>
    </row>
    <row r="11" spans="1:18">
      <c r="A11" s="35" t="s">
        <v>214</v>
      </c>
      <c r="B11" s="1" t="s">
        <v>214</v>
      </c>
      <c r="C11" s="22">
        <v>192</v>
      </c>
      <c r="D11" s="108" t="s">
        <v>119</v>
      </c>
      <c r="E11" s="103" t="s">
        <v>394</v>
      </c>
      <c r="G11" s="2" t="s">
        <v>3</v>
      </c>
      <c r="H11" s="105">
        <f t="shared" ref="H11:H28" si="0">SUMIF($D$11:$D$69, G11, $C$11:$C$69)</f>
        <v>0</v>
      </c>
      <c r="J11" s="1" t="s">
        <v>28</v>
      </c>
      <c r="K11" s="24" cm="1">
        <f t="array" ref="K11">SUM(_xlfn._xlws.FILTER(P_hydro_2[Capacity],ISNUMBER(MATCH(P_hydro_2[Region],_xlfn._xlws.FILTER(Region[Administrative],Region[Model]=P_hydro_3[[#This Row],[Region]]),0))))</f>
        <v>1767</v>
      </c>
      <c r="L11" s="7"/>
    </row>
    <row r="12" spans="1:18">
      <c r="A12" s="35" t="s">
        <v>323</v>
      </c>
      <c r="B12" s="1" t="s">
        <v>323</v>
      </c>
      <c r="C12" s="22">
        <v>169</v>
      </c>
      <c r="D12" s="108" t="s">
        <v>125</v>
      </c>
      <c r="E12" s="103" t="s">
        <v>395</v>
      </c>
      <c r="G12" s="1" t="s">
        <v>168</v>
      </c>
      <c r="H12" s="105">
        <f t="shared" si="0"/>
        <v>14</v>
      </c>
      <c r="J12" s="1" t="s">
        <v>29</v>
      </c>
      <c r="K12" s="24" cm="1">
        <f t="array" ref="K12">SUM(_xlfn._xlws.FILTER(P_hydro_2[Capacity],ISNUMBER(MATCH(P_hydro_2[Region],_xlfn._xlws.FILTER(Region[Administrative],Region[Model]=P_hydro_3[[#This Row],[Region]]),0))))</f>
        <v>150</v>
      </c>
      <c r="L12" s="7"/>
    </row>
    <row r="13" spans="1:18">
      <c r="A13" s="35" t="s">
        <v>331</v>
      </c>
      <c r="B13" s="1" t="s">
        <v>331</v>
      </c>
      <c r="C13" s="22">
        <v>146</v>
      </c>
      <c r="D13" s="108" t="s">
        <v>167</v>
      </c>
      <c r="E13" s="103" t="s">
        <v>395</v>
      </c>
      <c r="G13" s="2" t="s">
        <v>5</v>
      </c>
      <c r="H13" s="105">
        <f t="shared" si="0"/>
        <v>150</v>
      </c>
      <c r="J13" s="1" t="s">
        <v>31</v>
      </c>
      <c r="K13" s="24" cm="1">
        <f t="array" ref="K13">SUM(_xlfn._xlws.FILTER(P_hydro_2[Capacity],ISNUMBER(MATCH(P_hydro_2[Region],_xlfn._xlws.FILTER(Region[Administrative],Region[Model]=P_hydro_3[[#This Row],[Region]]),0))))</f>
        <v>116.10000000000001</v>
      </c>
      <c r="L13" s="7"/>
    </row>
    <row r="14" spans="1:18">
      <c r="A14" s="35" t="s">
        <v>343</v>
      </c>
      <c r="B14" s="1" t="s">
        <v>343</v>
      </c>
      <c r="C14" s="22">
        <v>142.5</v>
      </c>
      <c r="D14" s="108" t="s">
        <v>126</v>
      </c>
      <c r="E14" s="103" t="s">
        <v>394</v>
      </c>
      <c r="G14" s="2" t="s">
        <v>6</v>
      </c>
      <c r="H14" s="105">
        <f t="shared" si="0"/>
        <v>0</v>
      </c>
      <c r="J14" s="1" t="s">
        <v>32</v>
      </c>
      <c r="K14" s="24" cm="1">
        <f t="array" ref="K14">SUM(_xlfn._xlws.FILTER(P_hydro_2[Capacity],ISNUMBER(MATCH(P_hydro_2[Region],_xlfn._xlws.FILTER(Region[Administrative],Region[Model]=P_hydro_3[[#This Row],[Region]]),0))))</f>
        <v>457.9</v>
      </c>
      <c r="L14" s="7"/>
    </row>
    <row r="15" spans="1:18">
      <c r="A15" s="35" t="s">
        <v>324</v>
      </c>
      <c r="B15" s="1" t="s">
        <v>324</v>
      </c>
      <c r="C15" s="22">
        <v>141</v>
      </c>
      <c r="D15" s="108" t="s">
        <v>126</v>
      </c>
      <c r="E15" s="103" t="s">
        <v>394</v>
      </c>
      <c r="G15" s="2" t="s">
        <v>7</v>
      </c>
      <c r="H15" s="105">
        <f t="shared" si="0"/>
        <v>116.10000000000001</v>
      </c>
      <c r="J15" s="1" t="s">
        <v>33</v>
      </c>
      <c r="K15" s="6" cm="1">
        <f t="array" ref="K15">SUM(_xlfn._xlws.FILTER(P_hydro_2[Capacity],ISNUMBER(MATCH(P_hydro_2[Region],_xlfn._xlws.FILTER(Region[Administrative],Region[Model]=P_hydro_3[[#This Row],[Region]]),0))))</f>
        <v>14</v>
      </c>
      <c r="L15" s="7"/>
    </row>
    <row r="16" spans="1:18">
      <c r="A16" s="35" t="s">
        <v>356</v>
      </c>
      <c r="B16" s="1" t="s">
        <v>356</v>
      </c>
      <c r="C16" s="22">
        <v>133.19999999999999</v>
      </c>
      <c r="D16" s="108" t="s">
        <v>125</v>
      </c>
      <c r="E16" s="103" t="s">
        <v>395</v>
      </c>
      <c r="G16" s="2" t="s">
        <v>8</v>
      </c>
      <c r="H16" s="105">
        <f t="shared" si="0"/>
        <v>30</v>
      </c>
      <c r="J16" s="1" t="s">
        <v>34</v>
      </c>
      <c r="K16" s="24" cm="1">
        <f t="array" ref="K16">SUM(_xlfn._xlws.FILTER(P_hydro_2[Capacity],ISNUMBER(MATCH(P_hydro_2[Region],_xlfn._xlws.FILTER(Region[Administrative],Region[Model]=P_hydro_3[[#This Row],[Region]]),0))))</f>
        <v>452.70000000000005</v>
      </c>
      <c r="L16" s="7"/>
    </row>
    <row r="17" spans="1:12">
      <c r="A17" s="35" t="s">
        <v>306</v>
      </c>
      <c r="B17" s="1" t="s">
        <v>306</v>
      </c>
      <c r="C17" s="22">
        <v>120</v>
      </c>
      <c r="D17" s="108" t="s">
        <v>126</v>
      </c>
      <c r="E17" s="103" t="s">
        <v>394</v>
      </c>
      <c r="G17" s="2" t="s">
        <v>9</v>
      </c>
      <c r="H17" s="105">
        <f t="shared" si="0"/>
        <v>165.20000000000002</v>
      </c>
      <c r="J17" s="1" t="s">
        <v>3</v>
      </c>
      <c r="K17" s="6" cm="1">
        <f t="array" ref="K17">SUM(_xlfn._xlws.FILTER(P_hydro_2[Capacity],ISNUMBER(MATCH(P_hydro_2[Region],_xlfn._xlws.FILTER(Region[Administrative],Region[Model]=P_hydro_3[[#This Row],[Region]]),0))))</f>
        <v>0</v>
      </c>
      <c r="L17" s="7"/>
    </row>
    <row r="18" spans="1:12">
      <c r="A18" s="35" t="s">
        <v>217</v>
      </c>
      <c r="B18" s="1" t="s">
        <v>218</v>
      </c>
      <c r="C18" s="22">
        <v>106</v>
      </c>
      <c r="D18" s="108" t="s">
        <v>126</v>
      </c>
      <c r="E18" s="103" t="s">
        <v>395</v>
      </c>
      <c r="G18" s="1" t="s">
        <v>119</v>
      </c>
      <c r="H18" s="105">
        <f t="shared" si="0"/>
        <v>257.5</v>
      </c>
      <c r="K18" s="6">
        <f>SUM(P_hydro_3[Capacity])</f>
        <v>2957.7</v>
      </c>
      <c r="L18" s="7"/>
    </row>
    <row r="19" spans="1:12">
      <c r="A19" s="35" t="s">
        <v>200</v>
      </c>
      <c r="B19" s="1" t="s">
        <v>201</v>
      </c>
      <c r="C19" s="22">
        <v>105</v>
      </c>
      <c r="D19" s="108" t="s">
        <v>5</v>
      </c>
      <c r="E19" s="103" t="s">
        <v>394</v>
      </c>
      <c r="G19" s="1" t="s">
        <v>167</v>
      </c>
      <c r="H19" s="105">
        <f t="shared" si="0"/>
        <v>146</v>
      </c>
      <c r="L19" s="7"/>
    </row>
    <row r="20" spans="1:12">
      <c r="A20" s="35" t="s">
        <v>368</v>
      </c>
      <c r="B20" s="1" t="s">
        <v>368</v>
      </c>
      <c r="C20" s="22">
        <v>94.4</v>
      </c>
      <c r="D20" s="108" t="s">
        <v>126</v>
      </c>
      <c r="E20" s="103" t="s">
        <v>394</v>
      </c>
      <c r="G20" s="1" t="s">
        <v>166</v>
      </c>
      <c r="H20" s="105">
        <f t="shared" si="0"/>
        <v>68.8</v>
      </c>
      <c r="L20" s="7"/>
    </row>
    <row r="21" spans="1:12">
      <c r="A21" s="35" t="s">
        <v>367</v>
      </c>
      <c r="B21" s="1" t="s">
        <v>367</v>
      </c>
      <c r="C21" s="22">
        <v>92</v>
      </c>
      <c r="D21" s="108" t="s">
        <v>126</v>
      </c>
      <c r="E21" s="103" t="s">
        <v>394</v>
      </c>
      <c r="G21" s="1" t="s">
        <v>123</v>
      </c>
      <c r="H21" s="105">
        <f t="shared" si="0"/>
        <v>169.39999999999998</v>
      </c>
      <c r="L21" s="7"/>
    </row>
    <row r="22" spans="1:12">
      <c r="A22" s="35" t="s">
        <v>303</v>
      </c>
      <c r="B22" s="1" t="s">
        <v>303</v>
      </c>
      <c r="C22" s="22">
        <v>85.2</v>
      </c>
      <c r="D22" s="108" t="s">
        <v>125</v>
      </c>
      <c r="E22" s="103" t="s">
        <v>394</v>
      </c>
      <c r="G22" s="1" t="s">
        <v>120</v>
      </c>
      <c r="H22" s="105">
        <f t="shared" si="0"/>
        <v>0</v>
      </c>
      <c r="L22" s="7"/>
    </row>
    <row r="23" spans="1:12">
      <c r="A23" s="35" t="s">
        <v>313</v>
      </c>
      <c r="B23" s="1" t="s">
        <v>314</v>
      </c>
      <c r="C23" s="22">
        <v>85</v>
      </c>
      <c r="D23" s="108" t="s">
        <v>123</v>
      </c>
      <c r="E23" s="103" t="s">
        <v>394</v>
      </c>
      <c r="G23" s="1" t="s">
        <v>121</v>
      </c>
      <c r="H23" s="105">
        <f t="shared" si="0"/>
        <v>0</v>
      </c>
      <c r="L23" s="7"/>
    </row>
    <row r="24" spans="1:12">
      <c r="A24" s="35" t="s">
        <v>292</v>
      </c>
      <c r="B24" s="1" t="s">
        <v>293</v>
      </c>
      <c r="C24" s="22">
        <v>70</v>
      </c>
      <c r="D24" s="108" t="s">
        <v>7</v>
      </c>
      <c r="E24" s="103" t="s">
        <v>394</v>
      </c>
      <c r="G24" s="1" t="s">
        <v>122</v>
      </c>
      <c r="H24" s="105">
        <f t="shared" si="0"/>
        <v>0</v>
      </c>
      <c r="L24" s="7"/>
    </row>
    <row r="25" spans="1:12">
      <c r="A25" s="35" t="s">
        <v>355</v>
      </c>
      <c r="B25" s="1" t="s">
        <v>355</v>
      </c>
      <c r="C25" s="22">
        <v>65.5</v>
      </c>
      <c r="D25" s="108" t="s">
        <v>119</v>
      </c>
      <c r="E25" s="103" t="s">
        <v>394</v>
      </c>
      <c r="G25" s="1" t="s">
        <v>124</v>
      </c>
      <c r="H25" s="105">
        <f t="shared" si="0"/>
        <v>0</v>
      </c>
      <c r="L25" s="7"/>
    </row>
    <row r="26" spans="1:12">
      <c r="A26" s="35" t="s">
        <v>363</v>
      </c>
      <c r="B26" s="1" t="s">
        <v>363</v>
      </c>
      <c r="C26" s="22">
        <v>64.8</v>
      </c>
      <c r="D26" s="108" t="s">
        <v>125</v>
      </c>
      <c r="E26" s="103" t="s">
        <v>394</v>
      </c>
      <c r="G26" s="1" t="s">
        <v>125</v>
      </c>
      <c r="H26" s="105">
        <f t="shared" si="0"/>
        <v>869.30000000000007</v>
      </c>
      <c r="L26" s="7"/>
    </row>
    <row r="27" spans="1:12">
      <c r="A27" s="35" t="s">
        <v>335</v>
      </c>
      <c r="B27" s="1" t="s">
        <v>336</v>
      </c>
      <c r="C27" s="22">
        <v>60</v>
      </c>
      <c r="D27" s="108" t="s">
        <v>125</v>
      </c>
      <c r="E27" s="103" t="s">
        <v>394</v>
      </c>
      <c r="G27" s="2" t="s">
        <v>19</v>
      </c>
      <c r="H27" s="105">
        <f t="shared" si="0"/>
        <v>73.7</v>
      </c>
      <c r="L27" s="7"/>
    </row>
    <row r="28" spans="1:12">
      <c r="A28" s="35" t="s">
        <v>334</v>
      </c>
      <c r="B28" s="1" t="s">
        <v>334</v>
      </c>
      <c r="C28" s="22">
        <v>58</v>
      </c>
      <c r="D28" s="108" t="s">
        <v>125</v>
      </c>
      <c r="E28" s="103" t="s">
        <v>394</v>
      </c>
      <c r="G28" s="1" t="s">
        <v>126</v>
      </c>
      <c r="H28" s="105">
        <f t="shared" si="0"/>
        <v>897.7</v>
      </c>
      <c r="L28" s="7"/>
    </row>
    <row r="29" spans="1:12">
      <c r="A29" s="35" t="s">
        <v>230</v>
      </c>
      <c r="B29" s="1" t="s">
        <v>230</v>
      </c>
      <c r="C29" s="22">
        <v>55</v>
      </c>
      <c r="D29" s="108" t="s">
        <v>125</v>
      </c>
      <c r="E29" s="103" t="s">
        <v>394</v>
      </c>
      <c r="H29" s="99">
        <f>SUM(H11:H28)</f>
        <v>2957.7</v>
      </c>
      <c r="L29" s="7"/>
    </row>
    <row r="30" spans="1:12">
      <c r="A30" s="35" t="s">
        <v>296</v>
      </c>
      <c r="B30" s="1" t="s">
        <v>296</v>
      </c>
      <c r="C30" s="22">
        <v>51</v>
      </c>
      <c r="D30" s="108" t="s">
        <v>125</v>
      </c>
      <c r="E30" s="103" t="s">
        <v>394</v>
      </c>
    </row>
    <row r="31" spans="1:12">
      <c r="A31" s="35" t="s">
        <v>261</v>
      </c>
      <c r="B31" s="1" t="s">
        <v>262</v>
      </c>
      <c r="C31" s="22">
        <v>45</v>
      </c>
      <c r="D31" s="108" t="s">
        <v>5</v>
      </c>
      <c r="E31" s="103" t="s">
        <v>394</v>
      </c>
    </row>
    <row r="32" spans="1:12">
      <c r="A32" s="35" t="s">
        <v>181</v>
      </c>
      <c r="B32" s="1" t="s">
        <v>181</v>
      </c>
      <c r="C32" s="22">
        <v>44.8</v>
      </c>
      <c r="D32" s="108" t="s">
        <v>166</v>
      </c>
      <c r="E32" s="103" t="s">
        <v>395</v>
      </c>
    </row>
    <row r="33" spans="1:5">
      <c r="A33" s="35" t="s">
        <v>309</v>
      </c>
      <c r="B33" s="1" t="s">
        <v>310</v>
      </c>
      <c r="C33" s="22">
        <v>42.1</v>
      </c>
      <c r="D33" s="108" t="s">
        <v>125</v>
      </c>
      <c r="E33" s="103" t="s">
        <v>394</v>
      </c>
    </row>
    <row r="34" spans="1:5">
      <c r="A34" s="35" t="s">
        <v>294</v>
      </c>
      <c r="B34" s="1" t="s">
        <v>295</v>
      </c>
      <c r="C34" s="22">
        <v>42</v>
      </c>
      <c r="D34" s="108" t="s">
        <v>125</v>
      </c>
      <c r="E34" s="103" t="s">
        <v>394</v>
      </c>
    </row>
    <row r="35" spans="1:5">
      <c r="A35" s="35" t="s">
        <v>328</v>
      </c>
      <c r="B35" s="1" t="s">
        <v>328</v>
      </c>
      <c r="C35" s="22">
        <v>40</v>
      </c>
      <c r="D35" s="108" t="s">
        <v>126</v>
      </c>
      <c r="E35" s="103" t="s">
        <v>394</v>
      </c>
    </row>
    <row r="36" spans="1:5">
      <c r="A36" s="35" t="s">
        <v>286</v>
      </c>
      <c r="B36" s="1" t="s">
        <v>287</v>
      </c>
      <c r="C36" s="22">
        <v>38.5</v>
      </c>
      <c r="D36" s="108" t="s">
        <v>125</v>
      </c>
      <c r="E36" s="103" t="s">
        <v>394</v>
      </c>
    </row>
    <row r="37" spans="1:5">
      <c r="A37" s="35" t="s">
        <v>247</v>
      </c>
      <c r="B37" s="1" t="s">
        <v>248</v>
      </c>
      <c r="C37" s="22">
        <v>38</v>
      </c>
      <c r="D37" s="108" t="s">
        <v>125</v>
      </c>
      <c r="E37" s="103" t="s">
        <v>394</v>
      </c>
    </row>
    <row r="38" spans="1:5">
      <c r="A38" s="35" t="s">
        <v>344</v>
      </c>
      <c r="B38" s="1" t="s">
        <v>344</v>
      </c>
      <c r="C38" s="22">
        <v>37.9</v>
      </c>
      <c r="D38" s="108" t="s">
        <v>19</v>
      </c>
      <c r="E38" s="103" t="s">
        <v>394</v>
      </c>
    </row>
    <row r="39" spans="1:5">
      <c r="A39" s="35" t="s">
        <v>194</v>
      </c>
      <c r="B39" s="1" t="s">
        <v>195</v>
      </c>
      <c r="C39" s="22">
        <v>32.5</v>
      </c>
      <c r="D39" s="108" t="s">
        <v>125</v>
      </c>
      <c r="E39" s="103" t="s">
        <v>394</v>
      </c>
    </row>
    <row r="40" spans="1:5">
      <c r="A40" s="35" t="s">
        <v>240</v>
      </c>
      <c r="B40" s="1" t="s">
        <v>240</v>
      </c>
      <c r="C40" s="22">
        <v>32</v>
      </c>
      <c r="D40" s="108" t="s">
        <v>123</v>
      </c>
      <c r="E40" s="103" t="s">
        <v>394</v>
      </c>
    </row>
    <row r="41" spans="1:5">
      <c r="A41" s="35" t="s">
        <v>275</v>
      </c>
      <c r="B41" s="1" t="s">
        <v>239</v>
      </c>
      <c r="C41" s="22">
        <v>30</v>
      </c>
      <c r="D41" s="108" t="s">
        <v>9</v>
      </c>
      <c r="E41" s="103" t="s">
        <v>394</v>
      </c>
    </row>
    <row r="42" spans="1:5">
      <c r="A42" s="35" t="s">
        <v>290</v>
      </c>
      <c r="B42" s="1" t="s">
        <v>290</v>
      </c>
      <c r="C42" s="22">
        <v>30</v>
      </c>
      <c r="D42" s="108" t="s">
        <v>8</v>
      </c>
      <c r="E42" s="103" t="s">
        <v>394</v>
      </c>
    </row>
    <row r="43" spans="1:5">
      <c r="A43" s="35" t="s">
        <v>272</v>
      </c>
      <c r="B43" s="1" t="s">
        <v>272</v>
      </c>
      <c r="C43" s="22">
        <v>26.6</v>
      </c>
      <c r="D43" s="108" t="s">
        <v>126</v>
      </c>
      <c r="E43" s="103" t="s">
        <v>394</v>
      </c>
    </row>
    <row r="44" spans="1:5">
      <c r="A44" s="35" t="s">
        <v>223</v>
      </c>
      <c r="B44" s="1" t="s">
        <v>224</v>
      </c>
      <c r="C44" s="22">
        <v>26</v>
      </c>
      <c r="D44" s="108" t="s">
        <v>126</v>
      </c>
      <c r="E44" s="103" t="s">
        <v>395</v>
      </c>
    </row>
    <row r="45" spans="1:5">
      <c r="A45" s="35" t="s">
        <v>260</v>
      </c>
      <c r="B45" s="1" t="s">
        <v>260</v>
      </c>
      <c r="C45" s="22">
        <v>26</v>
      </c>
      <c r="D45" s="108" t="s">
        <v>126</v>
      </c>
      <c r="E45" s="103" t="s">
        <v>394</v>
      </c>
    </row>
    <row r="46" spans="1:5">
      <c r="A46" s="35" t="s">
        <v>259</v>
      </c>
      <c r="B46" s="1" t="s">
        <v>259</v>
      </c>
      <c r="C46" s="22">
        <v>24.3</v>
      </c>
      <c r="D46" s="108" t="s">
        <v>19</v>
      </c>
      <c r="E46" s="103" t="s">
        <v>394</v>
      </c>
    </row>
    <row r="47" spans="1:5">
      <c r="A47" s="35" t="s">
        <v>180</v>
      </c>
      <c r="B47" s="1" t="s">
        <v>180</v>
      </c>
      <c r="C47" s="22">
        <v>24</v>
      </c>
      <c r="D47" s="108" t="s">
        <v>9</v>
      </c>
      <c r="E47" s="103" t="s">
        <v>394</v>
      </c>
    </row>
    <row r="48" spans="1:5">
      <c r="A48" s="35" t="s">
        <v>279</v>
      </c>
      <c r="B48" s="1" t="s">
        <v>279</v>
      </c>
      <c r="C48" s="22">
        <v>24</v>
      </c>
      <c r="D48" s="108" t="s">
        <v>166</v>
      </c>
      <c r="E48" s="103" t="s">
        <v>395</v>
      </c>
    </row>
    <row r="49" spans="1:5">
      <c r="A49" s="35" t="s">
        <v>378</v>
      </c>
      <c r="B49" s="1" t="s">
        <v>379</v>
      </c>
      <c r="C49" s="22">
        <v>24</v>
      </c>
      <c r="D49" s="108" t="s">
        <v>9</v>
      </c>
      <c r="E49" s="103" t="s">
        <v>394</v>
      </c>
    </row>
    <row r="50" spans="1:5">
      <c r="A50" s="35" t="s">
        <v>300</v>
      </c>
      <c r="B50" s="1" t="s">
        <v>300</v>
      </c>
      <c r="C50" s="22">
        <v>23.8</v>
      </c>
      <c r="D50" s="108" t="s">
        <v>9</v>
      </c>
      <c r="E50" s="103" t="s">
        <v>394</v>
      </c>
    </row>
    <row r="51" spans="1:5">
      <c r="A51" s="35" t="s">
        <v>366</v>
      </c>
      <c r="B51" s="1" t="s">
        <v>366</v>
      </c>
      <c r="C51" s="22">
        <v>22.4</v>
      </c>
      <c r="D51" s="108" t="s">
        <v>126</v>
      </c>
      <c r="E51" s="103" t="s">
        <v>394</v>
      </c>
    </row>
    <row r="52" spans="1:5">
      <c r="A52" s="35" t="s">
        <v>273</v>
      </c>
      <c r="B52" s="35" t="s">
        <v>274</v>
      </c>
      <c r="C52" s="22">
        <v>21.2</v>
      </c>
      <c r="D52" s="108" t="s">
        <v>123</v>
      </c>
      <c r="E52" s="103" t="s">
        <v>394</v>
      </c>
    </row>
    <row r="53" spans="1:5">
      <c r="A53" s="35" t="s">
        <v>387</v>
      </c>
      <c r="B53" s="1" t="s">
        <v>387</v>
      </c>
      <c r="C53" s="22">
        <v>19.7</v>
      </c>
      <c r="D53" s="108" t="s">
        <v>7</v>
      </c>
      <c r="E53" s="103" t="s">
        <v>394</v>
      </c>
    </row>
    <row r="54" spans="1:5">
      <c r="A54" s="35" t="s">
        <v>245</v>
      </c>
      <c r="B54" s="1" t="s">
        <v>245</v>
      </c>
      <c r="C54" s="22">
        <v>19.100000000000001</v>
      </c>
      <c r="D54" s="108" t="s">
        <v>9</v>
      </c>
      <c r="E54" s="103" t="s">
        <v>394</v>
      </c>
    </row>
    <row r="55" spans="1:5">
      <c r="A55" s="35" t="s">
        <v>184</v>
      </c>
      <c r="B55" s="1" t="s">
        <v>185</v>
      </c>
      <c r="C55" s="22">
        <v>18</v>
      </c>
      <c r="D55" s="108" t="s">
        <v>9</v>
      </c>
      <c r="E55" s="103" t="s">
        <v>394</v>
      </c>
    </row>
    <row r="56" spans="1:5">
      <c r="A56" s="35" t="s">
        <v>215</v>
      </c>
      <c r="B56" s="1" t="s">
        <v>216</v>
      </c>
      <c r="C56" s="22">
        <v>16.3</v>
      </c>
      <c r="D56" s="108" t="s">
        <v>9</v>
      </c>
      <c r="E56" s="103" t="s">
        <v>395</v>
      </c>
    </row>
    <row r="57" spans="1:5">
      <c r="A57" s="35" t="s">
        <v>282</v>
      </c>
      <c r="B57" s="1" t="s">
        <v>282</v>
      </c>
      <c r="C57" s="22">
        <v>16</v>
      </c>
      <c r="D57" s="108" t="s">
        <v>123</v>
      </c>
      <c r="E57" s="103" t="s">
        <v>394</v>
      </c>
    </row>
    <row r="58" spans="1:5">
      <c r="A58" s="35" t="s">
        <v>315</v>
      </c>
      <c r="B58" s="1" t="s">
        <v>315</v>
      </c>
      <c r="C58" s="22">
        <v>15.2</v>
      </c>
      <c r="D58" s="108" t="s">
        <v>123</v>
      </c>
      <c r="E58" s="103" t="s">
        <v>394</v>
      </c>
    </row>
    <row r="59" spans="1:5">
      <c r="A59" s="35" t="s">
        <v>271</v>
      </c>
      <c r="B59" s="1" t="s">
        <v>271</v>
      </c>
      <c r="C59" s="22">
        <v>15</v>
      </c>
      <c r="D59" s="108" t="s">
        <v>126</v>
      </c>
      <c r="E59" s="103" t="s">
        <v>394</v>
      </c>
    </row>
    <row r="60" spans="1:5">
      <c r="A60" s="35" t="s">
        <v>322</v>
      </c>
      <c r="B60" s="1" t="s">
        <v>322</v>
      </c>
      <c r="C60" s="22">
        <v>14.1</v>
      </c>
      <c r="D60" s="108" t="s">
        <v>126</v>
      </c>
      <c r="E60" s="103" t="s">
        <v>394</v>
      </c>
    </row>
    <row r="61" spans="1:5">
      <c r="A61" s="35" t="s">
        <v>388</v>
      </c>
      <c r="B61" s="1" t="s">
        <v>388</v>
      </c>
      <c r="C61" s="22">
        <v>14</v>
      </c>
      <c r="D61" s="108" t="s">
        <v>168</v>
      </c>
      <c r="E61" s="103" t="s">
        <v>395</v>
      </c>
    </row>
    <row r="62" spans="1:5">
      <c r="A62" s="35" t="s">
        <v>360</v>
      </c>
      <c r="B62" s="1" t="s">
        <v>360</v>
      </c>
      <c r="C62" s="22">
        <v>13.5</v>
      </c>
      <c r="D62" s="108" t="s">
        <v>7</v>
      </c>
      <c r="E62" s="103" t="s">
        <v>394</v>
      </c>
    </row>
    <row r="63" spans="1:5">
      <c r="A63" s="35" t="s">
        <v>212</v>
      </c>
      <c r="B63" s="1" t="s">
        <v>213</v>
      </c>
      <c r="C63" s="22">
        <v>12.9</v>
      </c>
      <c r="D63" s="108" t="s">
        <v>7</v>
      </c>
      <c r="E63" s="103" t="s">
        <v>394</v>
      </c>
    </row>
    <row r="64" spans="1:5">
      <c r="A64" s="35" t="s">
        <v>238</v>
      </c>
      <c r="B64" s="1" t="s">
        <v>238</v>
      </c>
      <c r="C64" s="54">
        <v>12</v>
      </c>
      <c r="D64" s="108"/>
      <c r="E64" s="103"/>
    </row>
    <row r="65" spans="1:5">
      <c r="A65" s="35" t="s">
        <v>243</v>
      </c>
      <c r="B65" s="1" t="s">
        <v>243</v>
      </c>
      <c r="C65" s="22">
        <v>11.5</v>
      </c>
      <c r="D65" s="108" t="s">
        <v>19</v>
      </c>
      <c r="E65" s="103" t="s">
        <v>394</v>
      </c>
    </row>
    <row r="66" spans="1:5">
      <c r="A66" s="35" t="s">
        <v>327</v>
      </c>
      <c r="B66" s="100" t="s">
        <v>327</v>
      </c>
      <c r="C66" s="22">
        <v>11</v>
      </c>
      <c r="D66" s="108" t="s">
        <v>126</v>
      </c>
      <c r="E66" s="103" t="s">
        <v>394</v>
      </c>
    </row>
    <row r="67" spans="1:5">
      <c r="A67" s="35" t="s">
        <v>246</v>
      </c>
      <c r="B67" s="100" t="s">
        <v>246</v>
      </c>
      <c r="C67" s="22">
        <v>10.6</v>
      </c>
      <c r="D67" s="108" t="s">
        <v>126</v>
      </c>
      <c r="E67" s="103" t="s">
        <v>394</v>
      </c>
    </row>
    <row r="68" spans="1:5">
      <c r="A68" s="35" t="s">
        <v>291</v>
      </c>
      <c r="B68" s="100" t="s">
        <v>291</v>
      </c>
      <c r="C68" s="22">
        <v>10.1</v>
      </c>
      <c r="D68" s="108" t="s">
        <v>126</v>
      </c>
      <c r="E68" s="103" t="s">
        <v>394</v>
      </c>
    </row>
    <row r="69" spans="1:5">
      <c r="A69" s="35" t="s">
        <v>263</v>
      </c>
      <c r="B69" s="100" t="s">
        <v>264</v>
      </c>
      <c r="C69" s="22">
        <v>10</v>
      </c>
      <c r="D69" s="108" t="s">
        <v>9</v>
      </c>
      <c r="E69" s="103" t="s">
        <v>394</v>
      </c>
    </row>
    <row r="70" spans="1:5">
      <c r="A70" s="35" t="s">
        <v>380</v>
      </c>
      <c r="B70" s="35" t="s">
        <v>380</v>
      </c>
      <c r="C70" s="54">
        <v>9.5</v>
      </c>
    </row>
    <row r="71" spans="1:5">
      <c r="A71" s="35" t="s">
        <v>376</v>
      </c>
      <c r="B71" s="35" t="s">
        <v>377</v>
      </c>
      <c r="C71" s="54">
        <v>8.9</v>
      </c>
    </row>
    <row r="72" spans="1:5">
      <c r="A72" s="35" t="s">
        <v>357</v>
      </c>
      <c r="B72" s="35" t="s">
        <v>357</v>
      </c>
      <c r="C72" s="54">
        <v>8.6</v>
      </c>
    </row>
    <row r="73" spans="1:5">
      <c r="A73" s="35" t="s">
        <v>210</v>
      </c>
      <c r="B73" s="35" t="s">
        <v>211</v>
      </c>
      <c r="C73" s="54">
        <v>8.5</v>
      </c>
    </row>
    <row r="74" spans="1:5">
      <c r="A74" s="35" t="s">
        <v>267</v>
      </c>
      <c r="B74" s="35" t="s">
        <v>268</v>
      </c>
      <c r="C74" s="54">
        <v>8</v>
      </c>
    </row>
    <row r="75" spans="1:5">
      <c r="A75" s="35" t="s">
        <v>276</v>
      </c>
      <c r="B75" s="35" t="s">
        <v>277</v>
      </c>
      <c r="C75" s="54">
        <v>7.8</v>
      </c>
    </row>
    <row r="76" spans="1:5">
      <c r="A76" s="35" t="s">
        <v>235</v>
      </c>
      <c r="B76" s="35" t="s">
        <v>235</v>
      </c>
      <c r="C76" s="54">
        <v>7.6</v>
      </c>
    </row>
    <row r="77" spans="1:5">
      <c r="A77" s="35" t="s">
        <v>299</v>
      </c>
      <c r="B77" s="35" t="s">
        <v>299</v>
      </c>
      <c r="C77" s="54">
        <v>6.9</v>
      </c>
    </row>
    <row r="78" spans="1:5">
      <c r="A78" s="35" t="s">
        <v>329</v>
      </c>
      <c r="B78" s="35" t="s">
        <v>330</v>
      </c>
      <c r="C78" s="54">
        <v>6.9</v>
      </c>
    </row>
    <row r="79" spans="1:5">
      <c r="A79" s="35" t="s">
        <v>206</v>
      </c>
      <c r="B79" s="35" t="s">
        <v>207</v>
      </c>
      <c r="C79" s="54">
        <v>6.8</v>
      </c>
    </row>
    <row r="80" spans="1:5">
      <c r="A80" s="35" t="s">
        <v>311</v>
      </c>
      <c r="B80" s="35" t="s">
        <v>312</v>
      </c>
      <c r="C80" s="54">
        <v>6.8</v>
      </c>
    </row>
    <row r="81" spans="1:3">
      <c r="A81" s="35" t="s">
        <v>204</v>
      </c>
      <c r="B81" s="35" t="s">
        <v>205</v>
      </c>
      <c r="C81" s="54">
        <v>6.7</v>
      </c>
    </row>
    <row r="82" spans="1:3">
      <c r="A82" s="35" t="s">
        <v>188</v>
      </c>
      <c r="B82" s="35" t="s">
        <v>189</v>
      </c>
      <c r="C82" s="54">
        <v>6.5</v>
      </c>
    </row>
    <row r="83" spans="1:3">
      <c r="A83" s="35" t="s">
        <v>208</v>
      </c>
      <c r="B83" s="35" t="s">
        <v>209</v>
      </c>
      <c r="C83" s="54">
        <v>6.3</v>
      </c>
    </row>
    <row r="84" spans="1:3">
      <c r="A84" s="35" t="s">
        <v>325</v>
      </c>
      <c r="B84" s="35" t="s">
        <v>326</v>
      </c>
      <c r="C84" s="54">
        <v>6.3</v>
      </c>
    </row>
    <row r="85" spans="1:3">
      <c r="A85" s="35" t="s">
        <v>390</v>
      </c>
      <c r="B85" s="35" t="s">
        <v>391</v>
      </c>
      <c r="C85" s="54">
        <v>6</v>
      </c>
    </row>
    <row r="86" spans="1:3">
      <c r="A86" s="35" t="s">
        <v>250</v>
      </c>
      <c r="B86" s="35" t="s">
        <v>251</v>
      </c>
      <c r="C86" s="54">
        <v>5.6</v>
      </c>
    </row>
    <row r="87" spans="1:3">
      <c r="A87" s="35" t="s">
        <v>221</v>
      </c>
      <c r="B87" s="35" t="s">
        <v>222</v>
      </c>
      <c r="C87" s="54">
        <v>5.5</v>
      </c>
    </row>
    <row r="88" spans="1:3">
      <c r="A88" s="35" t="s">
        <v>233</v>
      </c>
      <c r="B88" s="35" t="s">
        <v>234</v>
      </c>
      <c r="C88" s="54">
        <v>5.4</v>
      </c>
    </row>
    <row r="89" spans="1:3">
      <c r="A89" s="35" t="s">
        <v>182</v>
      </c>
      <c r="B89" s="35" t="s">
        <v>183</v>
      </c>
      <c r="C89" s="54">
        <v>4.5999999999999996</v>
      </c>
    </row>
    <row r="90" spans="1:3">
      <c r="A90" s="35" t="s">
        <v>352</v>
      </c>
      <c r="B90" s="35" t="s">
        <v>352</v>
      </c>
      <c r="C90" s="54">
        <v>4.5999999999999996</v>
      </c>
    </row>
    <row r="91" spans="1:3">
      <c r="A91" s="35" t="s">
        <v>241</v>
      </c>
      <c r="B91" s="35" t="s">
        <v>242</v>
      </c>
      <c r="C91" s="54">
        <v>4.5</v>
      </c>
    </row>
    <row r="92" spans="1:3">
      <c r="A92" s="35" t="s">
        <v>249</v>
      </c>
      <c r="B92" s="35" t="s">
        <v>249</v>
      </c>
      <c r="C92" s="54">
        <v>4.5</v>
      </c>
    </row>
    <row r="93" spans="1:3">
      <c r="A93" s="35" t="s">
        <v>255</v>
      </c>
      <c r="B93" s="35" t="s">
        <v>255</v>
      </c>
      <c r="C93" s="54">
        <v>4.5</v>
      </c>
    </row>
    <row r="94" spans="1:3">
      <c r="A94" s="35" t="s">
        <v>193</v>
      </c>
      <c r="B94" s="35" t="s">
        <v>193</v>
      </c>
      <c r="C94" s="54">
        <v>4.1900000000000004</v>
      </c>
    </row>
    <row r="95" spans="1:3">
      <c r="A95" s="35" t="s">
        <v>227</v>
      </c>
      <c r="B95" s="35" t="s">
        <v>227</v>
      </c>
      <c r="C95" s="54">
        <v>3.7</v>
      </c>
    </row>
    <row r="96" spans="1:3">
      <c r="A96" s="35" t="s">
        <v>361</v>
      </c>
      <c r="B96" s="35" t="s">
        <v>362</v>
      </c>
      <c r="C96" s="54">
        <v>3.7</v>
      </c>
    </row>
    <row r="97" spans="1:3">
      <c r="A97" s="35" t="s">
        <v>364</v>
      </c>
      <c r="B97" s="35" t="s">
        <v>365</v>
      </c>
      <c r="C97" s="54">
        <v>3.6</v>
      </c>
    </row>
    <row r="98" spans="1:3">
      <c r="A98" s="35" t="s">
        <v>337</v>
      </c>
      <c r="B98" s="35" t="s">
        <v>338</v>
      </c>
      <c r="C98" s="54">
        <v>3.3</v>
      </c>
    </row>
    <row r="99" spans="1:3">
      <c r="A99" s="35" t="s">
        <v>280</v>
      </c>
      <c r="B99" s="35" t="s">
        <v>281</v>
      </c>
      <c r="C99" s="54">
        <v>3.2</v>
      </c>
    </row>
    <row r="100" spans="1:3">
      <c r="A100" s="35" t="s">
        <v>358</v>
      </c>
      <c r="B100" s="35" t="s">
        <v>358</v>
      </c>
      <c r="C100" s="54">
        <v>3.01</v>
      </c>
    </row>
    <row r="101" spans="1:3">
      <c r="A101" s="35" t="s">
        <v>304</v>
      </c>
      <c r="B101" s="35" t="s">
        <v>305</v>
      </c>
      <c r="C101" s="54">
        <v>3</v>
      </c>
    </row>
    <row r="102" spans="1:3">
      <c r="A102" s="35" t="s">
        <v>353</v>
      </c>
      <c r="B102" s="35" t="s">
        <v>354</v>
      </c>
      <c r="C102" s="54">
        <v>3</v>
      </c>
    </row>
    <row r="103" spans="1:3">
      <c r="A103" s="35" t="s">
        <v>359</v>
      </c>
      <c r="B103" s="35" t="s">
        <v>359</v>
      </c>
      <c r="C103" s="54">
        <v>3</v>
      </c>
    </row>
    <row r="104" spans="1:3">
      <c r="A104" s="35" t="s">
        <v>372</v>
      </c>
      <c r="B104" s="35" t="s">
        <v>373</v>
      </c>
      <c r="C104" s="54">
        <v>3</v>
      </c>
    </row>
    <row r="105" spans="1:3">
      <c r="A105" s="35" t="s">
        <v>332</v>
      </c>
      <c r="B105" s="35" t="s">
        <v>333</v>
      </c>
      <c r="C105" s="54">
        <v>2.9</v>
      </c>
    </row>
    <row r="106" spans="1:3">
      <c r="A106" s="35" t="s">
        <v>231</v>
      </c>
      <c r="B106" s="35" t="s">
        <v>231</v>
      </c>
      <c r="C106" s="54">
        <v>2.8</v>
      </c>
    </row>
    <row r="107" spans="1:3">
      <c r="A107" s="35" t="s">
        <v>258</v>
      </c>
      <c r="B107" s="35" t="s">
        <v>258</v>
      </c>
      <c r="C107" s="54">
        <v>2.63</v>
      </c>
    </row>
    <row r="108" spans="1:3">
      <c r="A108" s="35" t="s">
        <v>196</v>
      </c>
      <c r="B108" s="35" t="s">
        <v>197</v>
      </c>
      <c r="C108" s="54">
        <v>2.5</v>
      </c>
    </row>
    <row r="109" spans="1:3">
      <c r="A109" s="35" t="s">
        <v>318</v>
      </c>
      <c r="B109" s="35" t="s">
        <v>319</v>
      </c>
      <c r="C109" s="54">
        <v>2.4</v>
      </c>
    </row>
    <row r="110" spans="1:3">
      <c r="A110" s="35" t="s">
        <v>320</v>
      </c>
      <c r="B110" s="35" t="s">
        <v>321</v>
      </c>
      <c r="C110" s="54">
        <v>2.2999999999999998</v>
      </c>
    </row>
    <row r="111" spans="1:3">
      <c r="A111" s="35" t="s">
        <v>244</v>
      </c>
      <c r="B111" s="35" t="s">
        <v>244</v>
      </c>
      <c r="C111" s="54">
        <v>2.1</v>
      </c>
    </row>
    <row r="112" spans="1:3">
      <c r="A112" s="35" t="s">
        <v>278</v>
      </c>
      <c r="B112" s="35" t="s">
        <v>278</v>
      </c>
      <c r="C112" s="54">
        <v>2</v>
      </c>
    </row>
    <row r="113" spans="1:3">
      <c r="A113" s="35" t="s">
        <v>269</v>
      </c>
      <c r="B113" s="35" t="s">
        <v>270</v>
      </c>
      <c r="C113" s="54">
        <v>2</v>
      </c>
    </row>
    <row r="114" spans="1:3">
      <c r="A114" s="35" t="s">
        <v>288</v>
      </c>
      <c r="B114" s="35" t="s">
        <v>289</v>
      </c>
      <c r="C114" s="54">
        <v>2</v>
      </c>
    </row>
    <row r="115" spans="1:3">
      <c r="A115" s="35" t="s">
        <v>389</v>
      </c>
      <c r="B115" s="35" t="s">
        <v>389</v>
      </c>
      <c r="C115" s="54">
        <v>1.8</v>
      </c>
    </row>
    <row r="116" spans="1:3">
      <c r="A116" s="35" t="s">
        <v>190</v>
      </c>
      <c r="B116" s="35" t="s">
        <v>191</v>
      </c>
      <c r="C116" s="54">
        <v>1.8</v>
      </c>
    </row>
    <row r="117" spans="1:3">
      <c r="A117" s="35" t="s">
        <v>225</v>
      </c>
      <c r="B117" s="35" t="s">
        <v>226</v>
      </c>
      <c r="C117" s="54">
        <v>1.8</v>
      </c>
    </row>
    <row r="118" spans="1:3">
      <c r="A118" s="35" t="s">
        <v>236</v>
      </c>
      <c r="B118" s="35" t="s">
        <v>237</v>
      </c>
      <c r="C118" s="54">
        <v>1.8</v>
      </c>
    </row>
    <row r="119" spans="1:3">
      <c r="A119" s="35" t="s">
        <v>256</v>
      </c>
      <c r="B119" s="35" t="s">
        <v>257</v>
      </c>
      <c r="C119" s="54">
        <v>1.8</v>
      </c>
    </row>
    <row r="120" spans="1:3">
      <c r="A120" s="35" t="s">
        <v>297</v>
      </c>
      <c r="B120" s="35" t="s">
        <v>298</v>
      </c>
      <c r="C120" s="54">
        <v>1.8</v>
      </c>
    </row>
    <row r="121" spans="1:3">
      <c r="A121" s="35" t="s">
        <v>345</v>
      </c>
      <c r="B121" s="35" t="s">
        <v>346</v>
      </c>
      <c r="C121" s="54">
        <v>1.8</v>
      </c>
    </row>
    <row r="122" spans="1:3">
      <c r="A122" s="35" t="s">
        <v>349</v>
      </c>
      <c r="B122" s="35" t="s">
        <v>350</v>
      </c>
      <c r="C122" s="54">
        <v>1.8</v>
      </c>
    </row>
    <row r="123" spans="1:3">
      <c r="A123" s="35" t="s">
        <v>383</v>
      </c>
      <c r="B123" s="35" t="s">
        <v>384</v>
      </c>
      <c r="C123" s="54">
        <v>1.8</v>
      </c>
    </row>
    <row r="124" spans="1:3">
      <c r="A124" s="35" t="s">
        <v>370</v>
      </c>
      <c r="B124" s="35" t="s">
        <v>371</v>
      </c>
      <c r="C124" s="54">
        <v>1.8</v>
      </c>
    </row>
    <row r="125" spans="1:3">
      <c r="A125" s="35" t="s">
        <v>253</v>
      </c>
      <c r="B125" s="35" t="s">
        <v>254</v>
      </c>
      <c r="C125" s="54">
        <v>1.6</v>
      </c>
    </row>
    <row r="126" spans="1:3">
      <c r="A126" s="35" t="s">
        <v>339</v>
      </c>
      <c r="B126" s="35" t="s">
        <v>340</v>
      </c>
      <c r="C126" s="54">
        <v>1.6</v>
      </c>
    </row>
    <row r="127" spans="1:3">
      <c r="A127" s="35" t="s">
        <v>198</v>
      </c>
      <c r="B127" s="35" t="s">
        <v>199</v>
      </c>
      <c r="C127" s="54">
        <v>1.5</v>
      </c>
    </row>
    <row r="128" spans="1:3">
      <c r="A128" s="35" t="s">
        <v>301</v>
      </c>
      <c r="B128" s="35" t="s">
        <v>302</v>
      </c>
      <c r="C128" s="54">
        <v>1.5</v>
      </c>
    </row>
    <row r="129" spans="1:3">
      <c r="A129" s="35" t="s">
        <v>374</v>
      </c>
      <c r="B129" s="35" t="s">
        <v>375</v>
      </c>
      <c r="C129" s="54">
        <v>1.5</v>
      </c>
    </row>
    <row r="130" spans="1:3">
      <c r="A130" s="35" t="s">
        <v>351</v>
      </c>
      <c r="B130" s="35" t="s">
        <v>351</v>
      </c>
      <c r="C130" s="54">
        <v>1.42</v>
      </c>
    </row>
    <row r="131" spans="1:3">
      <c r="A131" s="35" t="s">
        <v>228</v>
      </c>
      <c r="B131" s="35" t="s">
        <v>229</v>
      </c>
      <c r="C131" s="54">
        <v>1.4</v>
      </c>
    </row>
    <row r="132" spans="1:3">
      <c r="A132" s="35" t="s">
        <v>186</v>
      </c>
      <c r="B132" s="35" t="s">
        <v>187</v>
      </c>
      <c r="C132" s="54">
        <v>1.3</v>
      </c>
    </row>
    <row r="133" spans="1:3">
      <c r="A133" s="35" t="s">
        <v>192</v>
      </c>
      <c r="B133" s="35" t="s">
        <v>192</v>
      </c>
      <c r="C133" s="54">
        <v>1.2</v>
      </c>
    </row>
    <row r="134" spans="1:3">
      <c r="A134" s="35" t="s">
        <v>232</v>
      </c>
      <c r="B134" s="35" t="s">
        <v>232</v>
      </c>
      <c r="C134" s="54">
        <v>1.2</v>
      </c>
    </row>
    <row r="135" spans="1:3">
      <c r="A135" s="35" t="s">
        <v>285</v>
      </c>
      <c r="B135" s="35" t="s">
        <v>285</v>
      </c>
      <c r="C135" s="54">
        <v>1.2</v>
      </c>
    </row>
    <row r="136" spans="1:3">
      <c r="A136" s="35" t="s">
        <v>283</v>
      </c>
      <c r="B136" s="35" t="s">
        <v>284</v>
      </c>
      <c r="C136" s="54">
        <v>1.2</v>
      </c>
    </row>
    <row r="137" spans="1:3">
      <c r="A137" s="35" t="s">
        <v>341</v>
      </c>
      <c r="B137" s="35" t="s">
        <v>342</v>
      </c>
      <c r="C137" s="54">
        <v>1.2</v>
      </c>
    </row>
    <row r="138" spans="1:3">
      <c r="A138" s="35" t="s">
        <v>381</v>
      </c>
      <c r="B138" s="35" t="s">
        <v>382</v>
      </c>
      <c r="C138" s="54">
        <v>1.2</v>
      </c>
    </row>
    <row r="139" spans="1:3">
      <c r="A139" s="35" t="s">
        <v>202</v>
      </c>
      <c r="B139" s="35" t="s">
        <v>203</v>
      </c>
      <c r="C139" s="54">
        <v>1.1000000000000001</v>
      </c>
    </row>
    <row r="140" spans="1:3">
      <c r="A140" s="35" t="s">
        <v>385</v>
      </c>
      <c r="B140" s="35" t="s">
        <v>386</v>
      </c>
      <c r="C140" s="54">
        <v>1</v>
      </c>
    </row>
    <row r="141" spans="1:3">
      <c r="A141" s="35" t="s">
        <v>219</v>
      </c>
      <c r="B141" s="35" t="s">
        <v>220</v>
      </c>
      <c r="C141" s="54">
        <v>1</v>
      </c>
    </row>
    <row r="142" spans="1:3">
      <c r="A142" s="35" t="s">
        <v>252</v>
      </c>
      <c r="B142" s="35" t="s">
        <v>252</v>
      </c>
      <c r="C142" s="54">
        <v>1</v>
      </c>
    </row>
    <row r="143" spans="1:3">
      <c r="A143" s="35" t="s">
        <v>307</v>
      </c>
      <c r="B143" s="35" t="s">
        <v>308</v>
      </c>
      <c r="C143" s="54">
        <v>1</v>
      </c>
    </row>
    <row r="144" spans="1:3">
      <c r="A144" s="35" t="s">
        <v>265</v>
      </c>
      <c r="B144" s="35" t="s">
        <v>266</v>
      </c>
      <c r="C144" s="54">
        <v>0.9</v>
      </c>
    </row>
    <row r="145" spans="1:4">
      <c r="A145" s="35" t="s">
        <v>316</v>
      </c>
      <c r="B145" s="35" t="s">
        <v>317</v>
      </c>
      <c r="C145" s="54">
        <v>0.9</v>
      </c>
    </row>
    <row r="146" spans="1:4">
      <c r="A146" s="35" t="s">
        <v>369</v>
      </c>
      <c r="B146" s="35" t="s">
        <v>369</v>
      </c>
      <c r="C146" s="54">
        <v>0.75</v>
      </c>
    </row>
    <row r="147" spans="1:4">
      <c r="A147" s="35" t="s">
        <v>347</v>
      </c>
      <c r="B147" s="35" t="s">
        <v>348</v>
      </c>
      <c r="C147" s="54">
        <v>0.7</v>
      </c>
    </row>
    <row r="149" spans="1:4">
      <c r="A149" s="35" t="s">
        <v>402</v>
      </c>
      <c r="C149" s="6">
        <f t="shared" ref="C149" si="1">SUM(C11:C147)</f>
        <v>3232.7000000000021</v>
      </c>
    </row>
    <row r="150" spans="1:4">
      <c r="A150" s="35" t="s">
        <v>392</v>
      </c>
      <c r="C150" s="6">
        <f>SUM(C11:C19)</f>
        <v>1254.7</v>
      </c>
      <c r="D150" s="11">
        <f>C150/$C$149</f>
        <v>0.38812757137996079</v>
      </c>
    </row>
    <row r="151" spans="1:4">
      <c r="A151" s="35" t="s">
        <v>396</v>
      </c>
      <c r="C151" s="6">
        <f>SUM(C11:C52)</f>
        <v>2730.7000000000007</v>
      </c>
      <c r="D151" s="11">
        <f>C151/$C$149</f>
        <v>0.84471185077489375</v>
      </c>
    </row>
    <row r="152" spans="1:4">
      <c r="A152" s="35" t="s">
        <v>393</v>
      </c>
      <c r="C152" s="6">
        <f>SUM(C11:C69)</f>
        <v>2969.7000000000003</v>
      </c>
      <c r="D152" s="11">
        <f>C152/$C$149</f>
        <v>0.91864385807529259</v>
      </c>
    </row>
    <row r="153" spans="1:4">
      <c r="A153" s="35" t="s">
        <v>403</v>
      </c>
      <c r="C153" s="6">
        <f>C152-C64</f>
        <v>2957.7000000000003</v>
      </c>
      <c r="D153" s="11">
        <f>C153/$C$149</f>
        <v>0.91493179076313869</v>
      </c>
    </row>
  </sheetData>
  <autoFilter ref="A10:E147" xr:uid="{E5B824A2-270A-41FB-A39C-974F5EE4A6C1}">
    <sortState xmlns:xlrd2="http://schemas.microsoft.com/office/spreadsheetml/2017/richdata2" ref="A11:E147">
      <sortCondition descending="1" ref="C10:C147"/>
    </sortState>
  </autoFilter>
  <sortState xmlns:xlrd2="http://schemas.microsoft.com/office/spreadsheetml/2017/richdata2" ref="M11:O147">
    <sortCondition ref="M11:M147"/>
  </sortState>
  <mergeCells count="2">
    <mergeCell ref="A9:C9"/>
    <mergeCell ref="D9:E9"/>
  </mergeCells>
  <hyperlinks>
    <hyperlink ref="B2" r:id="rId1" display="https://energiavirasto.fi/toimitusvarmuus" xr:uid="{57BA0B50-E2D3-4E17-8CF2-2A245B4FD1BD}"/>
  </hyperlinks>
  <pageMargins left="0.7" right="0.7" top="0.75" bottom="0.75" header="0.3" footer="0.3"/>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74B6-B8CC-4D5D-B42F-A378484D420E}">
  <sheetPr>
    <tabColor theme="9" tint="-0.249977111117893"/>
  </sheetPr>
  <dimension ref="A1:AZ278"/>
  <sheetViews>
    <sheetView topLeftCell="AA1" workbookViewId="0">
      <selection activeCell="AU10" sqref="AU10"/>
    </sheetView>
  </sheetViews>
  <sheetFormatPr defaultColWidth="8.85546875" defaultRowHeight="15"/>
  <cols>
    <col min="1" max="2" width="32.140625" style="1" customWidth="1"/>
    <col min="3" max="3" width="12.28515625" style="1" customWidth="1"/>
    <col min="4" max="4" width="10" style="1" customWidth="1"/>
    <col min="5" max="5" width="18.28515625" style="1" bestFit="1" customWidth="1"/>
    <col min="6" max="6" width="19" style="1" customWidth="1"/>
    <col min="7" max="7" width="8.28515625" style="1" customWidth="1"/>
    <col min="8" max="8" width="8.85546875" style="1" customWidth="1"/>
    <col min="9" max="9" width="18.28515625" style="1" bestFit="1" customWidth="1"/>
    <col min="10" max="10" width="9.28515625" style="1" customWidth="1"/>
    <col min="11" max="11" width="8.85546875" style="1"/>
    <col min="12" max="12" width="9.5703125" style="1" customWidth="1"/>
    <col min="13" max="14" width="8.85546875" style="1"/>
    <col min="15" max="15" width="3.7109375" style="1" customWidth="1"/>
    <col min="16" max="20" width="8.85546875" style="1"/>
    <col min="21" max="21" width="4" style="1" customWidth="1"/>
    <col min="22" max="22" width="17" style="1" customWidth="1"/>
    <col min="23" max="23" width="8.85546875" style="1"/>
    <col min="24" max="24" width="11.85546875" style="1" bestFit="1" customWidth="1"/>
    <col min="25" max="25" width="22.7109375" style="1" bestFit="1" customWidth="1"/>
    <col min="26" max="26" width="3.7109375" style="1" customWidth="1"/>
    <col min="27" max="27" width="19.85546875" style="1" bestFit="1" customWidth="1"/>
    <col min="28" max="28" width="10.85546875" style="1" customWidth="1"/>
    <col min="29" max="29" width="11.85546875" style="1" customWidth="1"/>
    <col min="30" max="30" width="10.7109375" style="1" customWidth="1"/>
    <col min="31" max="31" width="3.7109375" style="1" customWidth="1"/>
    <col min="32" max="33" width="8.85546875" style="1"/>
    <col min="34" max="34" width="13.85546875" style="1" bestFit="1" customWidth="1"/>
    <col min="35" max="35" width="14.140625" style="1" bestFit="1" customWidth="1"/>
    <col min="36" max="36" width="16.85546875" style="1" bestFit="1" customWidth="1"/>
    <col min="37" max="37" width="14.85546875" style="1" bestFit="1" customWidth="1"/>
    <col min="38" max="16384" width="8.85546875" style="1"/>
  </cols>
  <sheetData>
    <row r="1" spans="1:52">
      <c r="A1" s="65" t="s">
        <v>1182</v>
      </c>
      <c r="B1" s="36" t="s">
        <v>864</v>
      </c>
      <c r="C1" s="36"/>
      <c r="D1" s="97" t="s">
        <v>176</v>
      </c>
      <c r="E1" s="36"/>
      <c r="F1" s="97"/>
      <c r="G1" s="36"/>
      <c r="H1" s="36"/>
      <c r="I1" s="36"/>
      <c r="J1" s="36"/>
      <c r="K1" s="36"/>
      <c r="L1" s="36"/>
      <c r="M1" s="36"/>
      <c r="N1" s="36"/>
      <c r="P1" s="117" t="s">
        <v>858</v>
      </c>
      <c r="Q1" s="117" t="s">
        <v>853</v>
      </c>
      <c r="R1" s="65"/>
      <c r="S1" s="36"/>
      <c r="T1" s="36"/>
      <c r="V1" s="65" t="s">
        <v>1186</v>
      </c>
      <c r="W1" s="97" t="s">
        <v>879</v>
      </c>
      <c r="X1" s="36"/>
      <c r="Y1" s="36"/>
      <c r="AA1" s="65" t="s">
        <v>1187</v>
      </c>
      <c r="AB1" s="97" t="s">
        <v>890</v>
      </c>
      <c r="AC1" s="36"/>
      <c r="AD1" s="36"/>
      <c r="AF1" s="65" t="s">
        <v>1188</v>
      </c>
      <c r="AG1" s="36"/>
      <c r="AH1" s="36"/>
      <c r="AI1" s="36"/>
      <c r="AJ1" s="36"/>
      <c r="AK1" s="36"/>
      <c r="AL1" s="36"/>
      <c r="AM1" s="36"/>
      <c r="AN1" s="36"/>
      <c r="AO1" s="36"/>
      <c r="AP1" s="36"/>
      <c r="AQ1" s="36"/>
      <c r="AR1" s="36"/>
      <c r="AT1" s="65" t="s">
        <v>1225</v>
      </c>
      <c r="AU1" s="36"/>
      <c r="AV1" s="36"/>
      <c r="AW1" s="36"/>
      <c r="AX1" s="36"/>
      <c r="AY1" s="36"/>
      <c r="AZ1" s="36"/>
    </row>
    <row r="2" spans="1:52" ht="14.45" customHeight="1">
      <c r="A2" s="98" t="s">
        <v>835</v>
      </c>
      <c r="B2" s="98" t="s">
        <v>1137</v>
      </c>
      <c r="C2" s="98"/>
      <c r="D2" s="45"/>
      <c r="E2" s="45"/>
      <c r="F2" s="45"/>
      <c r="G2" s="45"/>
      <c r="H2" s="45"/>
      <c r="I2" s="45"/>
      <c r="J2" s="45"/>
      <c r="K2" s="45"/>
      <c r="L2" s="45"/>
      <c r="M2" s="45"/>
      <c r="N2" s="45"/>
      <c r="P2" s="45"/>
      <c r="Q2" s="98" t="s">
        <v>857</v>
      </c>
      <c r="R2" s="45"/>
      <c r="S2" s="45"/>
      <c r="T2" s="45"/>
      <c r="V2" s="226" t="s">
        <v>881</v>
      </c>
      <c r="W2" s="226"/>
      <c r="X2" s="226"/>
      <c r="Y2" s="226"/>
      <c r="AA2" s="98" t="s">
        <v>397</v>
      </c>
      <c r="AB2" s="98"/>
      <c r="AC2" s="98"/>
      <c r="AD2" s="98"/>
      <c r="AF2" s="98" t="s">
        <v>865</v>
      </c>
      <c r="AG2" s="45"/>
      <c r="AH2" s="45"/>
      <c r="AI2" s="45"/>
      <c r="AJ2" s="45"/>
      <c r="AK2" s="45"/>
      <c r="AL2" s="45"/>
      <c r="AM2" s="45"/>
      <c r="AN2" s="45"/>
      <c r="AO2" s="45"/>
      <c r="AP2" s="45"/>
      <c r="AQ2" s="45"/>
      <c r="AR2" s="45"/>
      <c r="AT2" s="45" t="s">
        <v>1227</v>
      </c>
      <c r="AU2" s="45"/>
      <c r="AV2" s="45"/>
      <c r="AW2" s="45"/>
      <c r="AX2" s="45"/>
      <c r="AY2" s="45"/>
      <c r="AZ2" s="45"/>
    </row>
    <row r="3" spans="1:52" ht="15" customHeight="1">
      <c r="A3" s="98"/>
      <c r="B3" s="98" t="s">
        <v>819</v>
      </c>
      <c r="C3" s="98"/>
      <c r="D3" s="45"/>
      <c r="E3" s="45"/>
      <c r="F3" s="45"/>
      <c r="G3" s="45"/>
      <c r="H3" s="45"/>
      <c r="I3" s="45"/>
      <c r="J3" s="45"/>
      <c r="K3" s="45"/>
      <c r="L3" s="45"/>
      <c r="M3" s="45"/>
      <c r="N3" s="45"/>
      <c r="P3" s="14" t="s">
        <v>859</v>
      </c>
      <c r="Q3" s="14"/>
      <c r="R3" s="14" t="s">
        <v>58</v>
      </c>
      <c r="V3" s="226"/>
      <c r="W3" s="226"/>
      <c r="X3" s="226"/>
      <c r="Y3" s="226"/>
      <c r="AA3" s="226" t="s">
        <v>891</v>
      </c>
      <c r="AB3" s="226"/>
      <c r="AC3" s="226"/>
      <c r="AD3" s="226"/>
      <c r="AF3" s="98" t="s">
        <v>839</v>
      </c>
      <c r="AG3" s="98" t="s">
        <v>866</v>
      </c>
      <c r="AH3" s="98"/>
      <c r="AI3" s="45"/>
      <c r="AJ3" s="45"/>
      <c r="AK3" s="45"/>
      <c r="AL3" s="45"/>
      <c r="AM3" s="45"/>
      <c r="AN3" s="45"/>
      <c r="AO3" s="45"/>
      <c r="AP3" s="45"/>
      <c r="AQ3" s="45"/>
      <c r="AR3" s="45"/>
    </row>
    <row r="4" spans="1:52">
      <c r="A4" s="46" t="s">
        <v>398</v>
      </c>
      <c r="B4" s="46" t="s">
        <v>837</v>
      </c>
      <c r="C4" s="46"/>
      <c r="D4" s="45"/>
      <c r="E4" s="45"/>
      <c r="F4" s="45"/>
      <c r="G4" s="45"/>
      <c r="H4" s="45"/>
      <c r="I4" s="45"/>
      <c r="J4" s="45"/>
      <c r="K4" s="45"/>
      <c r="L4" s="45"/>
      <c r="M4" s="45"/>
      <c r="N4" s="45"/>
      <c r="P4" s="115" t="s">
        <v>164</v>
      </c>
      <c r="R4" s="10">
        <v>21270</v>
      </c>
      <c r="V4" s="226"/>
      <c r="W4" s="226"/>
      <c r="X4" s="226"/>
      <c r="Y4" s="226"/>
      <c r="AA4" s="226"/>
      <c r="AB4" s="226"/>
      <c r="AC4" s="226"/>
      <c r="AD4" s="226"/>
      <c r="AF4" s="98" t="s">
        <v>163</v>
      </c>
      <c r="AG4" s="98" t="s">
        <v>867</v>
      </c>
      <c r="AH4" s="98"/>
      <c r="AI4" s="45"/>
      <c r="AJ4" s="45"/>
      <c r="AK4" s="45"/>
      <c r="AL4" s="45"/>
      <c r="AM4" s="45"/>
      <c r="AN4" s="45"/>
      <c r="AO4" s="45"/>
      <c r="AP4" s="45"/>
      <c r="AQ4" s="45"/>
      <c r="AR4" s="45"/>
    </row>
    <row r="5" spans="1:52">
      <c r="A5" s="46"/>
      <c r="B5" s="98" t="s">
        <v>829</v>
      </c>
      <c r="C5" s="46"/>
      <c r="D5" s="46"/>
      <c r="E5" s="45"/>
      <c r="F5" s="98" t="s">
        <v>854</v>
      </c>
      <c r="G5" s="45"/>
      <c r="H5" s="45"/>
      <c r="I5" s="45"/>
      <c r="J5" s="45"/>
      <c r="K5" s="45"/>
      <c r="L5" s="45"/>
      <c r="M5" s="45"/>
      <c r="N5" s="45"/>
      <c r="P5" s="115" t="s">
        <v>845</v>
      </c>
      <c r="R5" s="10">
        <v>46000</v>
      </c>
      <c r="V5" s="14" t="s">
        <v>178</v>
      </c>
      <c r="W5" s="14" t="s">
        <v>58</v>
      </c>
      <c r="X5" s="14" t="s">
        <v>872</v>
      </c>
      <c r="Y5" s="14" t="s">
        <v>869</v>
      </c>
      <c r="AA5" s="226"/>
      <c r="AB5" s="226"/>
      <c r="AC5" s="226"/>
      <c r="AD5" s="226"/>
      <c r="AF5" s="98"/>
      <c r="AG5" s="123" t="s">
        <v>885</v>
      </c>
      <c r="AH5" s="98"/>
      <c r="AI5" s="45"/>
      <c r="AJ5" s="45"/>
      <c r="AK5" s="45"/>
      <c r="AL5" s="45"/>
      <c r="AM5" s="45"/>
      <c r="AN5" s="45"/>
      <c r="AO5" s="45"/>
      <c r="AP5" s="45"/>
      <c r="AQ5" s="45"/>
      <c r="AR5" s="45"/>
      <c r="AT5" s="14" t="s">
        <v>1226</v>
      </c>
      <c r="AU5" s="14"/>
      <c r="AV5" s="14"/>
      <c r="AW5" s="1">
        <v>1270</v>
      </c>
    </row>
    <row r="6" spans="1:52">
      <c r="A6" s="98"/>
      <c r="B6" s="98" t="s">
        <v>830</v>
      </c>
      <c r="C6" s="46"/>
      <c r="D6" s="46"/>
      <c r="E6" s="45"/>
      <c r="F6" s="98" t="s">
        <v>832</v>
      </c>
      <c r="G6" s="45"/>
      <c r="H6" s="45"/>
      <c r="I6" s="45"/>
      <c r="J6" s="45"/>
      <c r="K6" s="45"/>
      <c r="L6" s="45"/>
      <c r="M6" s="45"/>
      <c r="N6" s="45"/>
      <c r="P6" s="115" t="s">
        <v>846</v>
      </c>
      <c r="R6" s="10">
        <v>3600</v>
      </c>
      <c r="V6" s="1" t="s">
        <v>528</v>
      </c>
      <c r="W6" s="42">
        <v>565</v>
      </c>
      <c r="X6" s="35" t="s">
        <v>871</v>
      </c>
      <c r="Y6" s="35" t="s">
        <v>870</v>
      </c>
      <c r="AA6" s="226"/>
      <c r="AB6" s="226"/>
      <c r="AC6" s="226"/>
      <c r="AD6" s="226"/>
      <c r="AE6" s="6"/>
      <c r="AF6" s="98"/>
      <c r="AG6" s="123" t="s">
        <v>886</v>
      </c>
      <c r="AH6" s="98"/>
      <c r="AI6" s="45"/>
      <c r="AJ6" s="45"/>
      <c r="AK6" s="45"/>
      <c r="AL6" s="45"/>
      <c r="AM6" s="45"/>
      <c r="AN6" s="45"/>
      <c r="AO6" s="45"/>
      <c r="AP6" s="45"/>
      <c r="AQ6" s="45"/>
      <c r="AR6" s="45"/>
    </row>
    <row r="7" spans="1:52">
      <c r="A7" s="98"/>
      <c r="B7" s="98" t="s">
        <v>831</v>
      </c>
      <c r="C7" s="46"/>
      <c r="D7" s="46"/>
      <c r="E7" s="45"/>
      <c r="F7" s="98" t="s">
        <v>833</v>
      </c>
      <c r="G7" s="45"/>
      <c r="H7" s="45"/>
      <c r="I7" s="45"/>
      <c r="J7" s="45"/>
      <c r="K7" s="45"/>
      <c r="L7" s="45"/>
      <c r="M7" s="45"/>
      <c r="N7" s="45"/>
      <c r="P7" s="14" t="s">
        <v>860</v>
      </c>
      <c r="Q7" s="14"/>
      <c r="R7" s="14" t="s">
        <v>58</v>
      </c>
      <c r="V7" s="1" t="s">
        <v>422</v>
      </c>
      <c r="W7" s="42">
        <v>352</v>
      </c>
      <c r="X7" s="35" t="s">
        <v>873</v>
      </c>
      <c r="Y7" s="35" t="s">
        <v>874</v>
      </c>
      <c r="AA7" s="226"/>
      <c r="AB7" s="226"/>
      <c r="AC7" s="226"/>
      <c r="AD7" s="226"/>
      <c r="AE7" s="6"/>
      <c r="AF7" s="98" t="s">
        <v>868</v>
      </c>
      <c r="AG7" s="98" t="s">
        <v>883</v>
      </c>
      <c r="AH7" s="98"/>
      <c r="AI7" s="45"/>
      <c r="AJ7" s="45"/>
      <c r="AK7" s="45"/>
      <c r="AL7" s="45"/>
      <c r="AM7" s="45"/>
      <c r="AN7" s="45"/>
      <c r="AO7" s="45"/>
      <c r="AP7" s="45"/>
      <c r="AQ7" s="45"/>
      <c r="AR7" s="45"/>
      <c r="AT7" s="14" t="s">
        <v>24</v>
      </c>
      <c r="AU7" s="14" t="s">
        <v>1228</v>
      </c>
      <c r="AV7" s="14" t="s">
        <v>1225</v>
      </c>
    </row>
    <row r="8" spans="1:52">
      <c r="A8" s="98"/>
      <c r="B8" s="98" t="s">
        <v>834</v>
      </c>
      <c r="C8" s="46"/>
      <c r="D8" s="46"/>
      <c r="E8" s="45"/>
      <c r="F8" s="98"/>
      <c r="G8" s="45"/>
      <c r="H8" s="45"/>
      <c r="I8" s="45"/>
      <c r="J8" s="45"/>
      <c r="K8" s="45"/>
      <c r="L8" s="45"/>
      <c r="M8" s="45"/>
      <c r="N8" s="45"/>
      <c r="P8" s="115" t="s">
        <v>839</v>
      </c>
      <c r="R8" s="10">
        <v>3250</v>
      </c>
      <c r="V8" s="1" t="s">
        <v>443</v>
      </c>
      <c r="W8" s="42">
        <v>180</v>
      </c>
      <c r="X8" s="35" t="s">
        <v>873</v>
      </c>
      <c r="Y8" s="35" t="s">
        <v>874</v>
      </c>
      <c r="AA8" s="226"/>
      <c r="AB8" s="226"/>
      <c r="AC8" s="226"/>
      <c r="AD8" s="226"/>
      <c r="AE8" s="24"/>
      <c r="AF8" s="98"/>
      <c r="AG8" s="123" t="s">
        <v>887</v>
      </c>
      <c r="AH8" s="98"/>
      <c r="AI8" s="45"/>
      <c r="AJ8" s="45"/>
      <c r="AK8" s="45"/>
      <c r="AL8" s="45"/>
      <c r="AM8" s="45"/>
      <c r="AN8" s="45"/>
      <c r="AO8" s="45"/>
      <c r="AP8" s="45"/>
      <c r="AQ8" s="45"/>
      <c r="AR8" s="45"/>
      <c r="AT8" s="1" t="s">
        <v>28</v>
      </c>
      <c r="AU8" s="2">
        <f>AM15+P_hydro!K11</f>
        <v>28516.7675475287</v>
      </c>
      <c r="AV8" s="155">
        <f>$AW$5*AU8/$AU$15</f>
        <v>458.3816004035163</v>
      </c>
    </row>
    <row r="9" spans="1:52">
      <c r="A9" s="98"/>
      <c r="B9" s="98" t="s">
        <v>838</v>
      </c>
      <c r="C9" s="46"/>
      <c r="D9" s="46"/>
      <c r="E9" s="45"/>
      <c r="F9" s="98"/>
      <c r="G9" s="45"/>
      <c r="H9" s="45"/>
      <c r="I9" s="45"/>
      <c r="J9" s="45"/>
      <c r="K9" s="45"/>
      <c r="L9" s="45"/>
      <c r="M9" s="45"/>
      <c r="N9" s="45"/>
      <c r="P9" s="116" t="s">
        <v>847</v>
      </c>
      <c r="R9" s="10">
        <v>928</v>
      </c>
      <c r="V9" s="1" t="s">
        <v>479</v>
      </c>
      <c r="W9" s="42">
        <v>118</v>
      </c>
      <c r="X9" s="35" t="s">
        <v>873</v>
      </c>
      <c r="Y9" s="35" t="s">
        <v>875</v>
      </c>
      <c r="AA9" s="226"/>
      <c r="AB9" s="226"/>
      <c r="AC9" s="226"/>
      <c r="AD9" s="226"/>
      <c r="AE9" s="6"/>
      <c r="AF9" s="98"/>
      <c r="AG9" s="98" t="s">
        <v>884</v>
      </c>
      <c r="AH9" s="98"/>
      <c r="AI9" s="45"/>
      <c r="AJ9" s="45"/>
      <c r="AK9" s="45"/>
      <c r="AL9" s="45"/>
      <c r="AM9" s="45"/>
      <c r="AN9" s="45"/>
      <c r="AO9" s="45"/>
      <c r="AP9" s="45"/>
      <c r="AQ9" s="45"/>
      <c r="AR9" s="45"/>
      <c r="AT9" s="1" t="s">
        <v>29</v>
      </c>
      <c r="AU9" s="2">
        <f>AM16+P_hydro!K12</f>
        <v>32761.59340076943</v>
      </c>
      <c r="AV9" s="155">
        <f t="shared" ref="AV9:AV14" si="0">$AW$5*AU9/$AU$15</f>
        <v>526.61338946585442</v>
      </c>
    </row>
    <row r="10" spans="1:52">
      <c r="A10" s="98" t="s">
        <v>843</v>
      </c>
      <c r="B10" s="98" t="s">
        <v>844</v>
      </c>
      <c r="C10" s="46"/>
      <c r="D10" s="46"/>
      <c r="E10" s="45"/>
      <c r="F10" s="98"/>
      <c r="G10" s="45"/>
      <c r="H10" s="45"/>
      <c r="I10" s="45"/>
      <c r="J10" s="45"/>
      <c r="K10" s="45"/>
      <c r="L10" s="45"/>
      <c r="M10" s="45"/>
      <c r="N10" s="45"/>
      <c r="P10" s="39" t="s">
        <v>848</v>
      </c>
      <c r="R10" s="10">
        <v>38</v>
      </c>
      <c r="V10" s="1" t="s">
        <v>530</v>
      </c>
      <c r="W10" s="42">
        <v>102</v>
      </c>
      <c r="X10" s="35" t="s">
        <v>873</v>
      </c>
      <c r="Y10" s="35" t="s">
        <v>876</v>
      </c>
      <c r="AA10" s="226"/>
      <c r="AB10" s="226"/>
      <c r="AC10" s="226"/>
      <c r="AD10" s="226"/>
      <c r="AE10" s="2"/>
      <c r="AF10" s="98"/>
      <c r="AG10" s="123" t="s">
        <v>888</v>
      </c>
      <c r="AH10" s="98"/>
      <c r="AI10" s="45"/>
      <c r="AJ10" s="45"/>
      <c r="AK10" s="45"/>
      <c r="AL10" s="45"/>
      <c r="AM10" s="45"/>
      <c r="AN10" s="45"/>
      <c r="AO10" s="45"/>
      <c r="AP10" s="45"/>
      <c r="AQ10" s="45"/>
      <c r="AR10" s="45"/>
      <c r="AT10" s="1" t="s">
        <v>31</v>
      </c>
      <c r="AU10" s="2">
        <f>AM17+P_hydro!K13</f>
        <v>2773.3630473498802</v>
      </c>
      <c r="AV10" s="155">
        <f t="shared" si="0"/>
        <v>44.579337052329407</v>
      </c>
    </row>
    <row r="11" spans="1:52">
      <c r="A11" s="98" t="s">
        <v>841</v>
      </c>
      <c r="B11" s="98" t="s">
        <v>842</v>
      </c>
      <c r="C11" s="46"/>
      <c r="D11" s="46"/>
      <c r="E11" s="45"/>
      <c r="F11" s="98"/>
      <c r="G11" s="45"/>
      <c r="H11" s="45"/>
      <c r="I11" s="45"/>
      <c r="J11" s="45"/>
      <c r="K11" s="45"/>
      <c r="L11" s="45"/>
      <c r="M11" s="45"/>
      <c r="N11" s="45"/>
      <c r="P11" s="39" t="s">
        <v>849</v>
      </c>
      <c r="R11" s="10">
        <v>640</v>
      </c>
      <c r="V11" s="1" t="s">
        <v>559</v>
      </c>
      <c r="W11" s="42">
        <v>100.5</v>
      </c>
      <c r="X11" s="35" t="s">
        <v>873</v>
      </c>
      <c r="Y11" s="35" t="s">
        <v>874</v>
      </c>
      <c r="AA11" s="226"/>
      <c r="AB11" s="226"/>
      <c r="AC11" s="226"/>
      <c r="AD11" s="226"/>
      <c r="AE11" s="6"/>
      <c r="AF11" s="98"/>
      <c r="AG11" s="123" t="s">
        <v>889</v>
      </c>
      <c r="AH11" s="98"/>
      <c r="AI11" s="45"/>
      <c r="AJ11" s="45"/>
      <c r="AK11" s="45"/>
      <c r="AL11" s="45"/>
      <c r="AM11" s="45"/>
      <c r="AN11" s="45"/>
      <c r="AO11" s="45"/>
      <c r="AP11" s="45"/>
      <c r="AQ11" s="45"/>
      <c r="AR11" s="45"/>
      <c r="AT11" s="1" t="s">
        <v>32</v>
      </c>
      <c r="AU11" s="2">
        <f>AM18+P_hydro!K14</f>
        <v>4788.6249719246043</v>
      </c>
      <c r="AV11" s="155">
        <f t="shared" si="0"/>
        <v>76.972874807939675</v>
      </c>
    </row>
    <row r="12" spans="1:52">
      <c r="A12" s="46" t="s">
        <v>410</v>
      </c>
      <c r="B12" s="46" t="s">
        <v>411</v>
      </c>
      <c r="C12" s="46"/>
      <c r="D12" s="45"/>
      <c r="E12" s="45"/>
      <c r="F12" s="45"/>
      <c r="G12" s="45"/>
      <c r="H12" s="45"/>
      <c r="I12" s="45"/>
      <c r="J12" s="45"/>
      <c r="K12" s="45"/>
      <c r="L12" s="45"/>
      <c r="M12" s="45"/>
      <c r="N12" s="45"/>
      <c r="P12" s="39" t="s">
        <v>850</v>
      </c>
      <c r="R12" s="10">
        <v>234</v>
      </c>
      <c r="V12" s="1" t="s">
        <v>588</v>
      </c>
      <c r="W12" s="42">
        <v>80</v>
      </c>
      <c r="X12" s="35" t="s">
        <v>873</v>
      </c>
      <c r="Y12" s="35" t="s">
        <v>874</v>
      </c>
      <c r="AA12" s="226"/>
      <c r="AB12" s="226"/>
      <c r="AC12" s="226"/>
      <c r="AD12" s="226"/>
      <c r="AE12" s="6"/>
      <c r="AF12" s="98" t="s">
        <v>164</v>
      </c>
      <c r="AG12" s="98" t="s">
        <v>898</v>
      </c>
      <c r="AH12" s="45"/>
      <c r="AI12" s="45"/>
      <c r="AJ12" s="45"/>
      <c r="AK12" s="45"/>
      <c r="AL12" s="45"/>
      <c r="AM12" s="45"/>
      <c r="AN12" s="45"/>
      <c r="AO12" s="45"/>
      <c r="AP12" s="45"/>
      <c r="AQ12" s="45"/>
      <c r="AR12" s="45"/>
      <c r="AT12" s="1" t="s">
        <v>33</v>
      </c>
      <c r="AU12" s="2">
        <f>AM19+P_hydro!K15</f>
        <v>4034.3665207924291</v>
      </c>
      <c r="AV12" s="155">
        <f t="shared" si="0"/>
        <v>64.848843030088119</v>
      </c>
    </row>
    <row r="13" spans="1:52">
      <c r="A13" s="100"/>
      <c r="B13" s="100"/>
      <c r="C13" s="100"/>
      <c r="P13" s="39" t="s">
        <v>851</v>
      </c>
      <c r="R13" s="10">
        <v>87</v>
      </c>
      <c r="V13" s="1" t="s">
        <v>495</v>
      </c>
      <c r="W13" s="42">
        <v>60</v>
      </c>
      <c r="X13" s="35" t="s">
        <v>877</v>
      </c>
      <c r="Y13" s="35" t="s">
        <v>870</v>
      </c>
      <c r="AA13" s="226"/>
      <c r="AB13" s="226"/>
      <c r="AC13" s="226"/>
      <c r="AD13" s="226"/>
      <c r="AE13" s="6"/>
      <c r="AT13" s="1" t="s">
        <v>34</v>
      </c>
      <c r="AU13" s="2">
        <f>AM20+P_hydro!K16</f>
        <v>4016.7228003958717</v>
      </c>
      <c r="AV13" s="155">
        <f t="shared" si="0"/>
        <v>64.565235963509949</v>
      </c>
    </row>
    <row r="14" spans="1:52">
      <c r="A14" s="225" t="s">
        <v>412</v>
      </c>
      <c r="B14" s="225"/>
      <c r="C14" s="225"/>
      <c r="D14" s="225"/>
      <c r="E14" s="225" t="s">
        <v>398</v>
      </c>
      <c r="F14" s="225"/>
      <c r="G14" s="225"/>
      <c r="I14" s="225" t="s">
        <v>855</v>
      </c>
      <c r="J14" s="225"/>
      <c r="K14" s="225"/>
      <c r="L14" s="225"/>
      <c r="M14" s="225"/>
      <c r="N14" s="225"/>
      <c r="O14" s="121"/>
      <c r="V14" s="1" t="s">
        <v>631</v>
      </c>
      <c r="W14" s="42">
        <v>52</v>
      </c>
      <c r="X14" s="35" t="s">
        <v>873</v>
      </c>
      <c r="Y14" s="35" t="s">
        <v>874</v>
      </c>
      <c r="AA14" s="98" t="s">
        <v>892</v>
      </c>
      <c r="AB14" s="126"/>
      <c r="AC14" s="126"/>
      <c r="AD14" s="126"/>
      <c r="AE14" s="2"/>
      <c r="AF14" s="14" t="s">
        <v>24</v>
      </c>
      <c r="AG14" s="14" t="s">
        <v>839</v>
      </c>
      <c r="AH14" s="14" t="s">
        <v>845</v>
      </c>
      <c r="AI14" s="14" t="s">
        <v>846</v>
      </c>
      <c r="AJ14" s="14" t="s">
        <v>878</v>
      </c>
      <c r="AK14" s="14" t="s">
        <v>882</v>
      </c>
      <c r="AL14" s="14" t="s">
        <v>164</v>
      </c>
      <c r="AM14" s="14" t="s">
        <v>2</v>
      </c>
      <c r="AT14" s="1" t="s">
        <v>3</v>
      </c>
      <c r="AU14" s="2">
        <f>AM21+P_hydro!K17</f>
        <v>2117.6117112390866</v>
      </c>
      <c r="AV14" s="155">
        <f t="shared" si="0"/>
        <v>34.038719276761832</v>
      </c>
    </row>
    <row r="15" spans="1:52" ht="15" customHeight="1">
      <c r="A15" s="14" t="s">
        <v>178</v>
      </c>
      <c r="B15" s="14" t="s">
        <v>179</v>
      </c>
      <c r="C15" s="14" t="s">
        <v>160</v>
      </c>
      <c r="D15" s="14" t="s">
        <v>58</v>
      </c>
      <c r="E15" s="14" t="s">
        <v>824</v>
      </c>
      <c r="F15" s="102" t="s">
        <v>823</v>
      </c>
      <c r="G15" s="109" t="s">
        <v>825</v>
      </c>
      <c r="I15" s="14" t="s">
        <v>24</v>
      </c>
      <c r="J15" s="14" t="s">
        <v>839</v>
      </c>
      <c r="K15" s="14" t="s">
        <v>163</v>
      </c>
      <c r="L15" s="14" t="s">
        <v>840</v>
      </c>
      <c r="M15" s="14" t="s">
        <v>164</v>
      </c>
      <c r="N15" s="110" t="s">
        <v>852</v>
      </c>
      <c r="O15" s="6"/>
      <c r="P15" s="39"/>
      <c r="R15" s="10"/>
      <c r="V15" s="1" t="s">
        <v>652</v>
      </c>
      <c r="W15" s="42">
        <v>50</v>
      </c>
      <c r="X15" s="35" t="s">
        <v>873</v>
      </c>
      <c r="Y15" s="35" t="s">
        <v>874</v>
      </c>
      <c r="AA15" s="226" t="s">
        <v>893</v>
      </c>
      <c r="AB15" s="226"/>
      <c r="AC15" s="226"/>
      <c r="AD15" s="226"/>
      <c r="AE15" s="6"/>
      <c r="AF15" s="1" t="s">
        <v>28</v>
      </c>
      <c r="AG15" s="2">
        <v>0</v>
      </c>
      <c r="AH15" s="2">
        <f t="shared" ref="AH15:AH21" si="1">K38/$K$45*$R$5</f>
        <v>22638.197509624475</v>
      </c>
      <c r="AI15" s="2">
        <f>K38/SUM($K$38,$K$39,$K$42)*R$6</f>
        <v>1925.0770285679264</v>
      </c>
      <c r="AK15" s="2">
        <f t="shared" ref="AK15:AK21" si="2">L38-AJ15</f>
        <v>120.1</v>
      </c>
      <c r="AL15" s="2">
        <f t="shared" ref="AL15:AL21" si="3">AB49/$AB$56*$R$4</f>
        <v>2066.3930093362978</v>
      </c>
      <c r="AM15" s="2">
        <f t="shared" ref="AM15:AM21" si="4">SUM(AG15:AL15)</f>
        <v>26749.7675475287</v>
      </c>
      <c r="AT15" s="1" t="s">
        <v>2</v>
      </c>
      <c r="AU15" s="2">
        <f>SUM(AU8:AU14)</f>
        <v>79009.050000000017</v>
      </c>
      <c r="AV15" s="2">
        <f>SUM(AV8:AV14)</f>
        <v>1269.9999999999998</v>
      </c>
    </row>
    <row r="16" spans="1:52" ht="15" customHeight="1">
      <c r="A16" s="1" t="s">
        <v>558</v>
      </c>
      <c r="B16" s="1" t="s">
        <v>558</v>
      </c>
      <c r="C16" s="1" t="s">
        <v>839</v>
      </c>
      <c r="D16" s="42">
        <v>1575</v>
      </c>
      <c r="E16" s="108" t="s">
        <v>5</v>
      </c>
      <c r="F16" s="35"/>
      <c r="G16" s="35" t="s">
        <v>827</v>
      </c>
      <c r="I16" s="2" t="s">
        <v>3</v>
      </c>
      <c r="J16" s="24">
        <f>SUMIFS(P_el[Capacity], P_el[Type], J$15, P_el[Region 1], P_el_2[[#This Row],[Region]])</f>
        <v>1014</v>
      </c>
      <c r="K16" s="108">
        <f>SUMIFS(P_el[Capacity], P_el[Type], K$15, P_el[Region 1], P_el_2[[#This Row],[Region]])</f>
        <v>26.65</v>
      </c>
      <c r="L16" s="108">
        <f>SUMIFS(P_el[Capacity], P_el[Type], L$15, P_el[Region 1], P_el_2[[#This Row],[Region]])</f>
        <v>226.25</v>
      </c>
      <c r="M16" s="24">
        <f>SUMIFS(P_el[Capacity], P_el[Type], M$15, P_el[Region 1], P_el_2[[#This Row],[Region]])</f>
        <v>10.33</v>
      </c>
      <c r="N16" s="6">
        <f>SUM(P_el_2[[#This Row],[Nuclear]:[Thermal]])</f>
        <v>1266.9000000000001</v>
      </c>
      <c r="O16" s="6"/>
      <c r="V16" s="1" t="s">
        <v>548</v>
      </c>
      <c r="W16" s="42">
        <v>40</v>
      </c>
      <c r="AA16" s="226"/>
      <c r="AB16" s="226"/>
      <c r="AC16" s="226"/>
      <c r="AD16" s="226"/>
      <c r="AE16" s="2"/>
      <c r="AF16" s="1" t="s">
        <v>29</v>
      </c>
      <c r="AG16" s="2">
        <f>J39</f>
        <v>3355</v>
      </c>
      <c r="AH16" s="2">
        <f t="shared" si="1"/>
        <v>18945.898495339359</v>
      </c>
      <c r="AI16" s="2">
        <f>K39/SUM($K$38,$K$39,$K$42)*R$6</f>
        <v>1611.0961998388561</v>
      </c>
      <c r="AJ16" s="2">
        <f>W6+W13</f>
        <v>625</v>
      </c>
      <c r="AK16" s="2">
        <f t="shared" si="2"/>
        <v>205.09999999999991</v>
      </c>
      <c r="AL16" s="2">
        <f t="shared" si="3"/>
        <v>7869.4987055912188</v>
      </c>
      <c r="AM16" s="2">
        <f t="shared" si="4"/>
        <v>32611.59340076943</v>
      </c>
    </row>
    <row r="17" spans="1:39">
      <c r="A17" s="1" t="s">
        <v>556</v>
      </c>
      <c r="B17" s="1" t="s">
        <v>556</v>
      </c>
      <c r="C17" s="1" t="s">
        <v>839</v>
      </c>
      <c r="D17" s="42">
        <v>890</v>
      </c>
      <c r="E17" s="108" t="s">
        <v>5</v>
      </c>
      <c r="F17" s="35"/>
      <c r="G17" s="35" t="s">
        <v>827</v>
      </c>
      <c r="I17" s="1" t="s">
        <v>168</v>
      </c>
      <c r="J17" s="24">
        <f>SUMIFS(P_el[Capacity], P_el[Type], J$15, P_el[Region 1], P_el_2[[#This Row],[Region]])</f>
        <v>0</v>
      </c>
      <c r="K17" s="24">
        <f>SUMIFS(P_el[Capacity], P_el[Type], K$15, P_el[Region 1], P_el_2[[#This Row],[Region]])</f>
        <v>83.55</v>
      </c>
      <c r="L17" s="24">
        <f>SUMIFS(P_el[Capacity], P_el[Type], L$15, P_el[Region 1], P_el_2[[#This Row],[Region]])</f>
        <v>41.1</v>
      </c>
      <c r="M17" s="24">
        <f>SUMIFS(P_el[Capacity], P_el[Type], M$15, P_el[Region 1], P_el_2[[#This Row],[Region]])</f>
        <v>0</v>
      </c>
      <c r="N17" s="6">
        <f>SUM(P_el_2[[#This Row],[Nuclear]:[Thermal]])</f>
        <v>124.65</v>
      </c>
      <c r="O17" s="6"/>
      <c r="V17" s="1" t="s">
        <v>587</v>
      </c>
      <c r="W17" s="42">
        <v>27</v>
      </c>
      <c r="AA17" s="226"/>
      <c r="AB17" s="226"/>
      <c r="AC17" s="226"/>
      <c r="AD17" s="226"/>
      <c r="AE17" s="2"/>
      <c r="AF17" s="1" t="s">
        <v>31</v>
      </c>
      <c r="AG17" s="2">
        <v>0</v>
      </c>
      <c r="AH17" s="2">
        <f t="shared" si="1"/>
        <v>2004.4279610226617</v>
      </c>
      <c r="AI17" s="2">
        <v>0</v>
      </c>
      <c r="AK17" s="2">
        <f t="shared" si="2"/>
        <v>7</v>
      </c>
      <c r="AL17" s="2">
        <f t="shared" si="3"/>
        <v>645.83508632721851</v>
      </c>
      <c r="AM17" s="2">
        <f t="shared" si="4"/>
        <v>2657.2630473498803</v>
      </c>
    </row>
    <row r="18" spans="1:39">
      <c r="A18" s="1" t="s">
        <v>557</v>
      </c>
      <c r="B18" s="1" t="s">
        <v>557</v>
      </c>
      <c r="C18" s="1" t="s">
        <v>839</v>
      </c>
      <c r="D18" s="42">
        <v>890</v>
      </c>
      <c r="E18" s="108" t="s">
        <v>5</v>
      </c>
      <c r="F18" s="35"/>
      <c r="G18" s="35" t="s">
        <v>827</v>
      </c>
      <c r="I18" s="2" t="s">
        <v>5</v>
      </c>
      <c r="J18" s="24">
        <f>SUMIFS(P_el[Capacity], P_el[Type], J$15, P_el[Region 1], P_el_2[[#This Row],[Region]])</f>
        <v>3355</v>
      </c>
      <c r="K18" s="24">
        <f>SUMIFS(P_el[Capacity], P_el[Type], K$15, P_el[Region 1], P_el_2[[#This Row],[Region]])</f>
        <v>452.10000000000008</v>
      </c>
      <c r="L18" s="24">
        <f>SUMIFS(P_el[Capacity], P_el[Type], L$15, P_el[Region 1], P_el_2[[#This Row],[Region]])</f>
        <v>725.9</v>
      </c>
      <c r="M18" s="24">
        <f>SUMIFS(P_el[Capacity], P_el[Type], M$15, P_el[Region 1], P_el_2[[#This Row],[Region]])</f>
        <v>27.7</v>
      </c>
      <c r="N18" s="6">
        <f>SUM(P_el_2[[#This Row],[Nuclear]:[Thermal]])</f>
        <v>4533</v>
      </c>
      <c r="O18" s="6"/>
      <c r="P18" s="45" t="s">
        <v>861</v>
      </c>
      <c r="Q18" s="45"/>
      <c r="R18" s="45"/>
      <c r="V18" s="1" t="s">
        <v>655</v>
      </c>
      <c r="W18" s="42">
        <v>26</v>
      </c>
      <c r="AA18" s="226"/>
      <c r="AB18" s="226"/>
      <c r="AC18" s="226"/>
      <c r="AD18" s="226"/>
      <c r="AE18" s="6"/>
      <c r="AF18" s="1" t="s">
        <v>32</v>
      </c>
      <c r="AG18" s="2">
        <v>0</v>
      </c>
      <c r="AH18" s="2">
        <f t="shared" si="1"/>
        <v>1253.0377598841774</v>
      </c>
      <c r="AI18" s="2">
        <v>0</v>
      </c>
      <c r="AK18" s="2">
        <f t="shared" si="2"/>
        <v>182.6</v>
      </c>
      <c r="AL18" s="2">
        <f t="shared" si="3"/>
        <v>2895.0872120404274</v>
      </c>
      <c r="AM18" s="2">
        <f t="shared" si="4"/>
        <v>4330.7249719246047</v>
      </c>
    </row>
    <row r="19" spans="1:39">
      <c r="A19" s="1" t="s">
        <v>528</v>
      </c>
      <c r="B19" s="1" t="s">
        <v>528</v>
      </c>
      <c r="C19" s="1" t="s">
        <v>840</v>
      </c>
      <c r="D19" s="42">
        <v>565</v>
      </c>
      <c r="E19" s="108" t="s">
        <v>5</v>
      </c>
      <c r="F19" s="35"/>
      <c r="G19" s="35" t="s">
        <v>826</v>
      </c>
      <c r="I19" s="2" t="s">
        <v>6</v>
      </c>
      <c r="J19" s="24">
        <f>SUMIFS(P_el[Capacity], P_el[Type], J$15, P_el[Region 1], P_el_2[[#This Row],[Region]])</f>
        <v>0</v>
      </c>
      <c r="K19" s="24">
        <f>SUMIFS(P_el[Capacity], P_el[Type], K$15, P_el[Region 1], P_el_2[[#This Row],[Region]])</f>
        <v>55.3</v>
      </c>
      <c r="L19" s="24">
        <f>SUMIFS(P_el[Capacity], P_el[Type], L$15, P_el[Region 1], P_el_2[[#This Row],[Region]])</f>
        <v>402</v>
      </c>
      <c r="M19" s="24">
        <f>SUMIFS(P_el[Capacity], P_el[Type], M$15, P_el[Region 1], P_el_2[[#This Row],[Region]])</f>
        <v>0</v>
      </c>
      <c r="N19" s="6">
        <f>SUM(P_el_2[[#This Row],[Nuclear]:[Thermal]])</f>
        <v>457.3</v>
      </c>
      <c r="O19" s="6"/>
      <c r="P19" s="102"/>
      <c r="Q19" s="14" t="s">
        <v>863</v>
      </c>
      <c r="R19" s="87" t="s">
        <v>862</v>
      </c>
      <c r="V19" s="1" t="s">
        <v>606</v>
      </c>
      <c r="W19" s="42">
        <v>16</v>
      </c>
      <c r="AA19" s="226"/>
      <c r="AB19" s="226"/>
      <c r="AC19" s="226"/>
      <c r="AD19" s="226"/>
      <c r="AE19" s="2"/>
      <c r="AF19" s="1" t="s">
        <v>33</v>
      </c>
      <c r="AG19" s="2">
        <v>0</v>
      </c>
      <c r="AH19" s="2">
        <f t="shared" si="1"/>
        <v>750.57934840344262</v>
      </c>
      <c r="AI19" s="2">
        <f>K42/SUM($K$38,$K$39,$K$42)*R$6</f>
        <v>63.82677159321765</v>
      </c>
      <c r="AK19" s="2">
        <f t="shared" si="2"/>
        <v>443.1</v>
      </c>
      <c r="AL19" s="2">
        <f t="shared" si="3"/>
        <v>2762.8604007957688</v>
      </c>
      <c r="AM19" s="2">
        <f t="shared" si="4"/>
        <v>4020.3665207924291</v>
      </c>
    </row>
    <row r="20" spans="1:39">
      <c r="A20" s="1" t="s">
        <v>515</v>
      </c>
      <c r="B20" s="1" t="s">
        <v>720</v>
      </c>
      <c r="C20" s="1" t="s">
        <v>839</v>
      </c>
      <c r="D20" s="42">
        <v>507</v>
      </c>
      <c r="E20" s="108" t="s">
        <v>3</v>
      </c>
      <c r="F20" s="35"/>
      <c r="G20" s="35" t="s">
        <v>826</v>
      </c>
      <c r="I20" s="2" t="s">
        <v>7</v>
      </c>
      <c r="J20" s="24">
        <f>SUMIFS(P_el[Capacity], P_el[Type], J$15, P_el[Region 1], P_el_2[[#This Row],[Region]])</f>
        <v>0</v>
      </c>
      <c r="K20" s="24">
        <f>SUMIFS(P_el[Capacity], P_el[Type], K$15, P_el[Region 1], P_el_2[[#This Row],[Region]])</f>
        <v>20.100000000000001</v>
      </c>
      <c r="L20" s="24">
        <f>SUMIFS(P_el[Capacity], P_el[Type], L$15, P_el[Region 1], P_el_2[[#This Row],[Region]])</f>
        <v>7</v>
      </c>
      <c r="M20" s="24">
        <f>SUMIFS(P_el[Capacity], P_el[Type], M$15, P_el[Region 1], P_el_2[[#This Row],[Region]])</f>
        <v>4.5999999999999996</v>
      </c>
      <c r="N20" s="6">
        <f>SUM(P_el_2[[#This Row],[Nuclear]:[Thermal]])</f>
        <v>27.1</v>
      </c>
      <c r="O20" s="6"/>
      <c r="P20" s="1" t="s">
        <v>839</v>
      </c>
      <c r="Q20" s="6">
        <f>J45</f>
        <v>4369</v>
      </c>
      <c r="R20" s="6">
        <f>R8</f>
        <v>3250</v>
      </c>
      <c r="V20" s="1" t="s">
        <v>622</v>
      </c>
      <c r="W20" s="42">
        <v>14.5</v>
      </c>
      <c r="AA20" s="226"/>
      <c r="AB20" s="226"/>
      <c r="AC20" s="226"/>
      <c r="AD20" s="226"/>
      <c r="AE20" s="2"/>
      <c r="AF20" s="1" t="s">
        <v>34</v>
      </c>
      <c r="AG20" s="2">
        <v>0</v>
      </c>
      <c r="AH20" s="2">
        <f t="shared" si="1"/>
        <v>263.79742313351102</v>
      </c>
      <c r="AI20" s="2">
        <v>0</v>
      </c>
      <c r="AK20" s="2">
        <f t="shared" si="2"/>
        <v>17.2</v>
      </c>
      <c r="AL20" s="2">
        <f t="shared" si="3"/>
        <v>3283.025377262361</v>
      </c>
      <c r="AM20" s="2">
        <f t="shared" si="4"/>
        <v>3564.0228003958719</v>
      </c>
    </row>
    <row r="21" spans="1:39">
      <c r="A21" s="1" t="s">
        <v>516</v>
      </c>
      <c r="B21" s="1" t="s">
        <v>721</v>
      </c>
      <c r="C21" s="1" t="s">
        <v>839</v>
      </c>
      <c r="D21" s="42">
        <v>507</v>
      </c>
      <c r="E21" s="108" t="s">
        <v>3</v>
      </c>
      <c r="F21" s="35"/>
      <c r="G21" s="35" t="s">
        <v>826</v>
      </c>
      <c r="I21" s="2" t="s">
        <v>8</v>
      </c>
      <c r="J21" s="24">
        <f>SUMIFS(P_el[Capacity], P_el[Type], J$15, P_el[Region 1], P_el_2[[#This Row],[Region]])</f>
        <v>0</v>
      </c>
      <c r="K21" s="24">
        <f>SUMIFS(P_el[Capacity], P_el[Type], K$15, P_el[Region 1], P_el_2[[#This Row],[Region]])</f>
        <v>19.8</v>
      </c>
      <c r="L21" s="24">
        <f>SUMIFS(P_el[Capacity], P_el[Type], L$15, P_el[Region 1], P_el_2[[#This Row],[Region]])</f>
        <v>14.5</v>
      </c>
      <c r="M21" s="24">
        <f>SUMIFS(P_el[Capacity], P_el[Type], M$15, P_el[Region 1], P_el_2[[#This Row],[Region]])</f>
        <v>2.31</v>
      </c>
      <c r="N21" s="6">
        <f>SUM(P_el_2[[#This Row],[Nuclear]:[Thermal]])</f>
        <v>34.299999999999997</v>
      </c>
      <c r="O21" s="6"/>
      <c r="P21" s="1" t="s">
        <v>163</v>
      </c>
      <c r="Q21" s="6">
        <f>K45</f>
        <v>8509.56</v>
      </c>
      <c r="R21" s="6">
        <f>R5+R6</f>
        <v>49600</v>
      </c>
      <c r="S21" s="119"/>
      <c r="V21" s="1" t="s">
        <v>667</v>
      </c>
      <c r="W21" s="42">
        <v>10.4</v>
      </c>
      <c r="AA21" s="226"/>
      <c r="AB21" s="226"/>
      <c r="AC21" s="226"/>
      <c r="AD21" s="226"/>
      <c r="AE21" s="6"/>
      <c r="AF21" s="1" t="s">
        <v>3</v>
      </c>
      <c r="AG21" s="2">
        <v>0</v>
      </c>
      <c r="AH21" s="2">
        <f t="shared" si="1"/>
        <v>144.06150259237845</v>
      </c>
      <c r="AI21" s="2">
        <v>0</v>
      </c>
      <c r="AK21" s="2">
        <f t="shared" si="2"/>
        <v>226.25</v>
      </c>
      <c r="AL21" s="2">
        <f t="shared" si="3"/>
        <v>1747.3002086467079</v>
      </c>
      <c r="AM21" s="2">
        <f t="shared" si="4"/>
        <v>2117.6117112390866</v>
      </c>
    </row>
    <row r="22" spans="1:39">
      <c r="A22" s="1" t="s">
        <v>580</v>
      </c>
      <c r="B22" s="1" t="s">
        <v>756</v>
      </c>
      <c r="C22" s="1" t="s">
        <v>163</v>
      </c>
      <c r="D22" s="42">
        <v>380</v>
      </c>
      <c r="E22" s="108" t="s">
        <v>122</v>
      </c>
      <c r="F22" s="35"/>
      <c r="G22" s="35" t="s">
        <v>828</v>
      </c>
      <c r="I22" s="2" t="s">
        <v>9</v>
      </c>
      <c r="J22" s="24">
        <f>SUMIFS(P_el[Capacity], P_el[Type], J$15, P_el[Region 1], P_el_2[[#This Row],[Region]])</f>
        <v>0</v>
      </c>
      <c r="K22" s="24">
        <f>SUMIFS(P_el[Capacity], P_el[Type], K$15, P_el[Region 1], P_el_2[[#This Row],[Region]])</f>
        <v>8</v>
      </c>
      <c r="L22" s="24">
        <f>SUMIFS(P_el[Capacity], P_el[Type], L$15, P_el[Region 1], P_el_2[[#This Row],[Region]])</f>
        <v>2.7</v>
      </c>
      <c r="M22" s="24">
        <f>SUMIFS(P_el[Capacity], P_el[Type], M$15, P_el[Region 1], P_el_2[[#This Row],[Region]])</f>
        <v>0</v>
      </c>
      <c r="N22" s="6">
        <f>SUM(P_el_2[[#This Row],[Nuclear]:[Thermal]])</f>
        <v>10.7</v>
      </c>
      <c r="O22" s="6"/>
      <c r="P22" s="1" t="s">
        <v>840</v>
      </c>
      <c r="Q22" s="6">
        <f>L45</f>
        <v>1826.3500000000001</v>
      </c>
      <c r="R22" s="6">
        <f>SUM(R9:R13)</f>
        <v>1927</v>
      </c>
      <c r="S22" s="118"/>
      <c r="V22" s="1" t="s">
        <v>470</v>
      </c>
      <c r="W22" s="42">
        <v>7</v>
      </c>
      <c r="AA22" s="226"/>
      <c r="AB22" s="226"/>
      <c r="AC22" s="226"/>
      <c r="AD22" s="226"/>
      <c r="AE22" s="2"/>
      <c r="AF22" s="1" t="s">
        <v>2</v>
      </c>
      <c r="AG22" s="2">
        <v>0</v>
      </c>
      <c r="AH22" s="2">
        <f t="shared" ref="AH22:AI22" si="5">SUM(AH15:AH21)</f>
        <v>46000.000000000007</v>
      </c>
      <c r="AI22" s="2">
        <f t="shared" si="5"/>
        <v>3600</v>
      </c>
      <c r="AJ22" s="2">
        <f>SUM(AJ15:AJ21)</f>
        <v>625</v>
      </c>
      <c r="AK22" s="2">
        <f>SUM(AK15:AK21)</f>
        <v>1201.3499999999999</v>
      </c>
      <c r="AL22" s="2">
        <f>SUM(AL15:AL21)</f>
        <v>21270.000000000004</v>
      </c>
      <c r="AM22" s="2">
        <f>SUM(AM15:AM21)</f>
        <v>76051.35000000002</v>
      </c>
    </row>
    <row r="23" spans="1:39" ht="12" customHeight="1">
      <c r="A23" s="1" t="s">
        <v>422</v>
      </c>
      <c r="B23" s="106" t="s">
        <v>673</v>
      </c>
      <c r="C23" s="1" t="s">
        <v>840</v>
      </c>
      <c r="D23" s="42">
        <v>352</v>
      </c>
      <c r="E23" s="108" t="s">
        <v>6</v>
      </c>
      <c r="F23" s="35"/>
      <c r="G23" s="35" t="s">
        <v>828</v>
      </c>
      <c r="I23" s="1" t="s">
        <v>119</v>
      </c>
      <c r="J23" s="24">
        <f>SUMIFS(P_el[Capacity], P_el[Type], J$15, P_el[Region 1], P_el_2[[#This Row],[Region]])</f>
        <v>0</v>
      </c>
      <c r="K23" s="24">
        <f>SUMIFS(P_el[Capacity], P_el[Type], K$15, P_el[Region 1], P_el_2[[#This Row],[Region]])</f>
        <v>21</v>
      </c>
      <c r="L23" s="24">
        <f>SUMIFS(P_el[Capacity], P_el[Type], L$15, P_el[Region 1], P_el_2[[#This Row],[Region]])</f>
        <v>0</v>
      </c>
      <c r="M23" s="24">
        <f>SUMIFS(P_el[Capacity], P_el[Type], M$15, P_el[Region 1], P_el_2[[#This Row],[Region]])</f>
        <v>0</v>
      </c>
      <c r="N23" s="6">
        <f>SUM(P_el_2[[#This Row],[Nuclear]:[Thermal]])</f>
        <v>21</v>
      </c>
      <c r="O23" s="6"/>
      <c r="P23" s="100" t="s">
        <v>164</v>
      </c>
      <c r="Q23" s="6">
        <f>M45</f>
        <v>133.02000000000001</v>
      </c>
      <c r="R23" s="6">
        <f>R4</f>
        <v>21270</v>
      </c>
      <c r="V23" s="1" t="s">
        <v>200</v>
      </c>
      <c r="W23" s="42">
        <v>6.3</v>
      </c>
      <c r="AA23" s="226"/>
      <c r="AB23" s="226"/>
      <c r="AC23" s="226"/>
      <c r="AD23" s="226"/>
      <c r="AE23" s="2"/>
    </row>
    <row r="24" spans="1:39">
      <c r="A24" s="1" t="s">
        <v>504</v>
      </c>
      <c r="B24" s="1" t="s">
        <v>715</v>
      </c>
      <c r="C24" s="1" t="s">
        <v>163</v>
      </c>
      <c r="D24" s="42">
        <v>241.8</v>
      </c>
      <c r="E24" s="108" t="s">
        <v>122</v>
      </c>
      <c r="F24" s="35"/>
      <c r="G24" s="35" t="s">
        <v>826</v>
      </c>
      <c r="I24" s="1" t="s">
        <v>167</v>
      </c>
      <c r="J24" s="24">
        <f>SUMIFS(P_el[Capacity], P_el[Type], J$15, P_el[Region 1], P_el_2[[#This Row],[Region]])</f>
        <v>0</v>
      </c>
      <c r="K24" s="24">
        <f>SUMIFS(P_el[Capacity], P_el[Type], K$15, P_el[Region 1], P_el_2[[#This Row],[Region]])</f>
        <v>0</v>
      </c>
      <c r="L24" s="24">
        <f>SUMIFS(P_el[Capacity], P_el[Type], L$15, P_el[Region 1], P_el_2[[#This Row],[Region]])</f>
        <v>0</v>
      </c>
      <c r="M24" s="24">
        <f>SUMIFS(P_el[Capacity], P_el[Type], M$15, P_el[Region 1], P_el_2[[#This Row],[Region]])</f>
        <v>12.08</v>
      </c>
      <c r="N24" s="6">
        <f>SUM(P_el_2[[#This Row],[Nuclear]:[Thermal]])</f>
        <v>0</v>
      </c>
      <c r="O24" s="6"/>
      <c r="V24" s="1" t="s">
        <v>666</v>
      </c>
      <c r="W24" s="42">
        <v>5.5</v>
      </c>
      <c r="AA24" s="226"/>
      <c r="AB24" s="226"/>
      <c r="AC24" s="226"/>
      <c r="AD24" s="226"/>
    </row>
    <row r="25" spans="1:39">
      <c r="A25" s="1" t="s">
        <v>474</v>
      </c>
      <c r="B25" s="1" t="s">
        <v>474</v>
      </c>
      <c r="C25" s="1" t="s">
        <v>163</v>
      </c>
      <c r="D25" s="42">
        <v>235.6</v>
      </c>
      <c r="E25" s="108" t="s">
        <v>125</v>
      </c>
      <c r="F25" s="35"/>
      <c r="G25" s="35" t="s">
        <v>826</v>
      </c>
      <c r="I25" s="1" t="s">
        <v>166</v>
      </c>
      <c r="J25" s="24">
        <f>SUMIFS(P_el[Capacity], P_el[Type], J$15, P_el[Region 1], P_el_2[[#This Row],[Region]])</f>
        <v>0</v>
      </c>
      <c r="K25" s="24">
        <f>SUMIFS(P_el[Capacity], P_el[Type], K$15, P_el[Region 1], P_el_2[[#This Row],[Region]])</f>
        <v>10.5</v>
      </c>
      <c r="L25" s="24">
        <f>SUMIFS(P_el[Capacity], P_el[Type], L$15, P_el[Region 1], P_el_2[[#This Row],[Region]])</f>
        <v>181.1</v>
      </c>
      <c r="M25" s="24">
        <f>SUMIFS(P_el[Capacity], P_el[Type], M$15, P_el[Region 1], P_el_2[[#This Row],[Region]])</f>
        <v>4.9000000000000004</v>
      </c>
      <c r="N25" s="6">
        <f>SUM(P_el_2[[#This Row],[Nuclear]:[Thermal]])</f>
        <v>191.6</v>
      </c>
      <c r="O25" s="6"/>
      <c r="V25" s="1" t="s">
        <v>605</v>
      </c>
      <c r="W25" s="42">
        <v>2.7</v>
      </c>
      <c r="AA25" s="226"/>
      <c r="AB25" s="226"/>
      <c r="AC25" s="226"/>
      <c r="AD25" s="226"/>
    </row>
    <row r="26" spans="1:39">
      <c r="A26" s="1" t="s">
        <v>578</v>
      </c>
      <c r="B26" s="1" t="s">
        <v>755</v>
      </c>
      <c r="C26" s="1" t="s">
        <v>163</v>
      </c>
      <c r="D26" s="42">
        <v>211.4</v>
      </c>
      <c r="E26" s="108" t="s">
        <v>125</v>
      </c>
      <c r="F26" s="35" t="s">
        <v>19</v>
      </c>
      <c r="G26" s="35" t="s">
        <v>826</v>
      </c>
      <c r="I26" s="1" t="s">
        <v>123</v>
      </c>
      <c r="J26" s="24">
        <f>SUMIFS(P_el[Capacity], P_el[Type], J$15, P_el[Region 1], P_el_2[[#This Row],[Region]])</f>
        <v>0</v>
      </c>
      <c r="K26" s="24">
        <f>SUMIFS(P_el[Capacity], P_el[Type], K$15, P_el[Region 1], P_el_2[[#This Row],[Region]])</f>
        <v>0</v>
      </c>
      <c r="L26" s="24">
        <f>SUMIFS(P_el[Capacity], P_el[Type], L$15, P_el[Region 1], P_el_2[[#This Row],[Region]])</f>
        <v>0</v>
      </c>
      <c r="M26" s="24">
        <f>SUMIFS(P_el[Capacity], P_el[Type], M$15, P_el[Region 1], P_el_2[[#This Row],[Region]])</f>
        <v>0</v>
      </c>
      <c r="N26" s="6">
        <f>SUM(P_el_2[[#This Row],[Nuclear]:[Thermal]])</f>
        <v>0</v>
      </c>
      <c r="O26" s="6"/>
      <c r="P26" s="39"/>
      <c r="Q26" s="39"/>
      <c r="R26" s="39"/>
      <c r="S26" s="39"/>
      <c r="T26" s="39"/>
      <c r="U26" s="39"/>
      <c r="V26" s="1" t="s">
        <v>630</v>
      </c>
      <c r="W26" s="42">
        <v>2.1</v>
      </c>
      <c r="AA26" s="14" t="s">
        <v>24</v>
      </c>
      <c r="AB26" s="127" t="s">
        <v>895</v>
      </c>
      <c r="AC26" s="127" t="s">
        <v>897</v>
      </c>
      <c r="AD26" s="127" t="s">
        <v>896</v>
      </c>
    </row>
    <row r="27" spans="1:39">
      <c r="A27" s="1" t="s">
        <v>540</v>
      </c>
      <c r="B27" s="1" t="s">
        <v>736</v>
      </c>
      <c r="C27" s="1" t="s">
        <v>163</v>
      </c>
      <c r="D27" s="42">
        <v>203.8</v>
      </c>
      <c r="E27" s="108" t="s">
        <v>125</v>
      </c>
      <c r="F27" s="35" t="s">
        <v>124</v>
      </c>
      <c r="G27" s="35" t="s">
        <v>826</v>
      </c>
      <c r="I27" s="1" t="s">
        <v>120</v>
      </c>
      <c r="J27" s="24">
        <f>SUMIFS(P_el[Capacity], P_el[Type], J$15, P_el[Region 1], P_el_2[[#This Row],[Region]])</f>
        <v>0</v>
      </c>
      <c r="K27" s="24">
        <f>SUMIFS(P_el[Capacity], P_el[Type], K$15, P_el[Region 1], P_el_2[[#This Row],[Region]])</f>
        <v>350.7</v>
      </c>
      <c r="L27" s="24">
        <f>SUMIFS(P_el[Capacity], P_el[Type], L$15, P_el[Region 1], P_el_2[[#This Row],[Region]])</f>
        <v>0</v>
      </c>
      <c r="M27" s="24">
        <f>SUMIFS(P_el[Capacity], P_el[Type], M$15, P_el[Region 1], P_el_2[[#This Row],[Region]])</f>
        <v>0</v>
      </c>
      <c r="N27" s="6">
        <f>SUM(P_el_2[[#This Row],[Nuclear]:[Thermal]])</f>
        <v>350.7</v>
      </c>
      <c r="O27" s="6"/>
      <c r="V27" s="1" t="s">
        <v>439</v>
      </c>
      <c r="W27" s="42">
        <v>1.5</v>
      </c>
      <c r="AA27" s="2" t="s">
        <v>3</v>
      </c>
      <c r="AB27" s="10">
        <v>1693</v>
      </c>
      <c r="AC27" s="125">
        <v>0.08</v>
      </c>
      <c r="AD27" s="6">
        <f t="shared" ref="AD27:AD42" si="6">AB27/AC27</f>
        <v>21162.5</v>
      </c>
    </row>
    <row r="28" spans="1:39">
      <c r="A28" s="1" t="s">
        <v>541</v>
      </c>
      <c r="B28" s="1" t="s">
        <v>736</v>
      </c>
      <c r="C28" s="1" t="s">
        <v>163</v>
      </c>
      <c r="D28" s="42">
        <v>200</v>
      </c>
      <c r="E28" s="108" t="s">
        <v>125</v>
      </c>
      <c r="F28" s="35" t="s">
        <v>124</v>
      </c>
      <c r="G28" s="35" t="s">
        <v>826</v>
      </c>
      <c r="I28" s="1" t="s">
        <v>121</v>
      </c>
      <c r="J28" s="24">
        <f>SUMIFS(P_el[Capacity], P_el[Type], J$15, P_el[Region 1], P_el_2[[#This Row],[Region]])</f>
        <v>0</v>
      </c>
      <c r="K28" s="24">
        <f>SUMIFS(P_el[Capacity], P_el[Type], K$15, P_el[Region 1], P_el_2[[#This Row],[Region]])</f>
        <v>1209.9100000000003</v>
      </c>
      <c r="L28" s="24">
        <f>SUMIFS(P_el[Capacity], P_el[Type], L$15, P_el[Region 1], P_el_2[[#This Row],[Region]])</f>
        <v>1</v>
      </c>
      <c r="M28" s="24">
        <f>SUMIFS(P_el[Capacity], P_el[Type], M$15, P_el[Region 1], P_el_2[[#This Row],[Region]])</f>
        <v>44.2</v>
      </c>
      <c r="N28" s="6">
        <f>SUM(P_el_2[[#This Row],[Nuclear]:[Thermal]])</f>
        <v>1210.9100000000003</v>
      </c>
      <c r="O28" s="6"/>
      <c r="P28" s="39"/>
      <c r="Q28" s="39"/>
      <c r="R28" s="39"/>
      <c r="S28" s="39"/>
      <c r="T28" s="39"/>
      <c r="U28" s="39"/>
      <c r="V28" s="1" t="s">
        <v>510</v>
      </c>
      <c r="W28" s="42">
        <v>1.3</v>
      </c>
      <c r="AA28" s="1" t="s">
        <v>168</v>
      </c>
      <c r="AB28" s="10">
        <v>1542</v>
      </c>
      <c r="AC28" s="125">
        <v>7.0000000000000007E-2</v>
      </c>
      <c r="AD28" s="6">
        <f t="shared" si="6"/>
        <v>22028.571428571428</v>
      </c>
    </row>
    <row r="29" spans="1:39">
      <c r="A29" s="1" t="s">
        <v>475</v>
      </c>
      <c r="B29" s="1" t="s">
        <v>475</v>
      </c>
      <c r="C29" s="1" t="s">
        <v>163</v>
      </c>
      <c r="D29" s="42">
        <v>188.1</v>
      </c>
      <c r="E29" s="108" t="s">
        <v>125</v>
      </c>
      <c r="F29" s="35"/>
      <c r="G29" s="35" t="s">
        <v>827</v>
      </c>
      <c r="I29" s="1" t="s">
        <v>122</v>
      </c>
      <c r="J29" s="24">
        <f>SUMIFS(P_el[Capacity], P_el[Type], J$15, P_el[Region 1], P_el_2[[#This Row],[Region]])</f>
        <v>0</v>
      </c>
      <c r="K29" s="24">
        <f>SUMIFS(P_el[Capacity], P_el[Type], K$15, P_el[Region 1], P_el_2[[#This Row],[Region]])</f>
        <v>1587.1999999999998</v>
      </c>
      <c r="L29" s="24">
        <f>SUMIFS(P_el[Capacity], P_el[Type], L$15, P_el[Region 1], P_el_2[[#This Row],[Region]])</f>
        <v>101.9</v>
      </c>
      <c r="M29" s="24">
        <f>SUMIFS(P_el[Capacity], P_el[Type], M$15, P_el[Region 1], P_el_2[[#This Row],[Region]])</f>
        <v>3.6</v>
      </c>
      <c r="N29" s="6">
        <f>SUM(P_el_2[[#This Row],[Nuclear]:[Thermal]])</f>
        <v>1689.1</v>
      </c>
      <c r="O29" s="6"/>
      <c r="P29" s="39"/>
      <c r="Q29" s="39"/>
      <c r="R29" s="39"/>
      <c r="S29" s="39"/>
      <c r="T29" s="39"/>
      <c r="U29" s="39"/>
      <c r="V29" s="1" t="s">
        <v>473</v>
      </c>
      <c r="W29" s="42">
        <v>1.25</v>
      </c>
      <c r="AA29" s="2" t="s">
        <v>5</v>
      </c>
      <c r="AB29" s="10">
        <v>3546</v>
      </c>
      <c r="AC29" s="125">
        <v>0.17</v>
      </c>
      <c r="AD29" s="24">
        <f>AB29/AC29</f>
        <v>20858.823529411762</v>
      </c>
    </row>
    <row r="30" spans="1:39">
      <c r="A30" s="1" t="s">
        <v>443</v>
      </c>
      <c r="B30" s="1" t="s">
        <v>684</v>
      </c>
      <c r="C30" s="1" t="s">
        <v>840</v>
      </c>
      <c r="D30" s="42">
        <v>180</v>
      </c>
      <c r="E30" s="108" t="s">
        <v>166</v>
      </c>
      <c r="F30" s="35"/>
      <c r="G30" s="35" t="s">
        <v>828</v>
      </c>
      <c r="I30" s="1" t="s">
        <v>124</v>
      </c>
      <c r="J30" s="24">
        <f>SUMIFS(P_el[Capacity], P_el[Type], J$15, P_el[Region 1], P_el_2[[#This Row],[Region]])</f>
        <v>0</v>
      </c>
      <c r="K30" s="24">
        <f>SUMIFS(P_el[Capacity], P_el[Type], K$15, P_el[Region 1], P_el_2[[#This Row],[Region]])</f>
        <v>255.6</v>
      </c>
      <c r="L30" s="24">
        <f>SUMIFS(P_el[Capacity], P_el[Type], L$15, P_el[Region 1], P_el_2[[#This Row],[Region]])</f>
        <v>1.3</v>
      </c>
      <c r="M30" s="24">
        <f>SUMIFS(P_el[Capacity], P_el[Type], M$15, P_el[Region 1], P_el_2[[#This Row],[Region]])</f>
        <v>4</v>
      </c>
      <c r="N30" s="6">
        <f>SUM(P_el_2[[#This Row],[Nuclear]:[Thermal]])</f>
        <v>256.89999999999998</v>
      </c>
      <c r="O30" s="6"/>
      <c r="V30" s="1" t="s">
        <v>494</v>
      </c>
      <c r="W30" s="42">
        <v>1.2</v>
      </c>
      <c r="AA30" s="2" t="s">
        <v>6</v>
      </c>
      <c r="AB30" s="10">
        <v>1135</v>
      </c>
      <c r="AC30" s="125">
        <v>0.05</v>
      </c>
      <c r="AD30" s="6">
        <f t="shared" si="6"/>
        <v>22700</v>
      </c>
      <c r="AL30" s="2"/>
    </row>
    <row r="31" spans="1:39">
      <c r="A31" s="1" t="s">
        <v>469</v>
      </c>
      <c r="B31" s="1" t="s">
        <v>700</v>
      </c>
      <c r="C31" s="1" t="s">
        <v>163</v>
      </c>
      <c r="D31" s="42">
        <v>158.65</v>
      </c>
      <c r="E31" s="108" t="s">
        <v>121</v>
      </c>
      <c r="F31" s="35"/>
      <c r="G31" s="35" t="s">
        <v>826</v>
      </c>
      <c r="I31" s="1" t="s">
        <v>125</v>
      </c>
      <c r="J31" s="24">
        <f>SUMIFS(P_el[Capacity], P_el[Type], J$15, P_el[Region 1], P_el_2[[#This Row],[Region]])</f>
        <v>0</v>
      </c>
      <c r="K31" s="24">
        <f>SUMIFS(P_el[Capacity], P_el[Type], K$15, P_el[Region 1], P_el_2[[#This Row],[Region]])</f>
        <v>3366.6</v>
      </c>
      <c r="L31" s="24">
        <f>SUMIFS(P_el[Capacity], P_el[Type], L$15, P_el[Region 1], P_el_2[[#This Row],[Region]])</f>
        <v>103.2</v>
      </c>
      <c r="M31" s="24">
        <f>SUMIFS(P_el[Capacity], P_el[Type], M$15, P_el[Region 1], P_el_2[[#This Row],[Region]])</f>
        <v>19.3</v>
      </c>
      <c r="N31" s="6">
        <f>SUM(P_el_2[[#This Row],[Nuclear]:[Thermal]])</f>
        <v>3469.7999999999997</v>
      </c>
      <c r="O31" s="6"/>
      <c r="V31" s="1" t="s">
        <v>477</v>
      </c>
      <c r="W31" s="42">
        <v>1.1000000000000001</v>
      </c>
      <c r="AA31" s="2" t="s">
        <v>7</v>
      </c>
      <c r="AB31" s="24">
        <f>AC31*$AD$29</f>
        <v>208.58823529411762</v>
      </c>
      <c r="AC31" s="125">
        <v>0.01</v>
      </c>
      <c r="AD31" s="2"/>
      <c r="AL31" s="2"/>
    </row>
    <row r="32" spans="1:39">
      <c r="A32" s="1" t="s">
        <v>564</v>
      </c>
      <c r="B32" s="1" t="s">
        <v>564</v>
      </c>
      <c r="C32" s="1" t="s">
        <v>163</v>
      </c>
      <c r="D32" s="42">
        <v>153.4</v>
      </c>
      <c r="E32" s="108" t="s">
        <v>125</v>
      </c>
      <c r="F32" s="35"/>
      <c r="G32" s="35" t="s">
        <v>826</v>
      </c>
      <c r="I32" s="2" t="s">
        <v>19</v>
      </c>
      <c r="J32" s="24">
        <f>SUMIFS(P_el[Capacity], P_el[Type], J$15, P_el[Region 1], P_el_2[[#This Row],[Region]])</f>
        <v>0</v>
      </c>
      <c r="K32" s="24">
        <f>SUMIFS(P_el[Capacity], P_el[Type], K$15, P_el[Region 1], P_el_2[[#This Row],[Region]])</f>
        <v>221.3</v>
      </c>
      <c r="L32" s="24">
        <f>SUMIFS(P_el[Capacity], P_el[Type], L$15, P_el[Region 1], P_el_2[[#This Row],[Region]])</f>
        <v>1.5</v>
      </c>
      <c r="M32" s="24">
        <f>SUMIFS(P_el[Capacity], P_el[Type], M$15, P_el[Region 1], P_el_2[[#This Row],[Region]])</f>
        <v>0</v>
      </c>
      <c r="N32" s="6">
        <f>SUM(P_el_2[[#This Row],[Nuclear]:[Thermal]])</f>
        <v>222.8</v>
      </c>
      <c r="O32" s="6"/>
      <c r="V32" s="1" t="s">
        <v>608</v>
      </c>
      <c r="W32" s="42">
        <v>1.1000000000000001</v>
      </c>
      <c r="AA32" s="2" t="s">
        <v>8</v>
      </c>
      <c r="AB32" s="10">
        <v>791</v>
      </c>
      <c r="AC32" s="125">
        <v>0.04</v>
      </c>
      <c r="AD32" s="6">
        <f t="shared" si="6"/>
        <v>19775</v>
      </c>
      <c r="AL32" s="2"/>
    </row>
    <row r="33" spans="1:38">
      <c r="A33" s="1" t="s">
        <v>612</v>
      </c>
      <c r="B33" s="1" t="s">
        <v>779</v>
      </c>
      <c r="C33" s="1" t="s">
        <v>163</v>
      </c>
      <c r="D33" s="42">
        <v>151</v>
      </c>
      <c r="E33" s="108" t="s">
        <v>126</v>
      </c>
      <c r="F33" s="35"/>
      <c r="G33" s="35" t="s">
        <v>826</v>
      </c>
      <c r="I33" s="107" t="s">
        <v>126</v>
      </c>
      <c r="J33" s="24">
        <f>SUMIFS(P_el[Capacity], P_el[Type], J$15, P_el[Region 1], P_el_2[[#This Row],[Region]])</f>
        <v>0</v>
      </c>
      <c r="K33" s="24">
        <f>SUMIFS(P_el[Capacity], P_el[Type], K$15, P_el[Region 1], P_el_2[[#This Row],[Region]])</f>
        <v>821.25</v>
      </c>
      <c r="L33" s="24">
        <f>SUMIFS(P_el[Capacity], P_el[Type], L$15, P_el[Region 1], P_el_2[[#This Row],[Region]])</f>
        <v>16.899999999999999</v>
      </c>
      <c r="M33" s="24">
        <f>SUMIFS(P_el[Capacity], P_el[Type], M$15, P_el[Region 1], P_el_2[[#This Row],[Region]])</f>
        <v>0</v>
      </c>
      <c r="N33" s="111">
        <f>SUM(P_el_2[[#This Row],[Nuclear]:[Thermal]])</f>
        <v>838.15</v>
      </c>
      <c r="O33" s="111"/>
      <c r="V33" s="1" t="s">
        <v>545</v>
      </c>
      <c r="W33" s="42">
        <v>1</v>
      </c>
      <c r="AA33" s="2" t="s">
        <v>9</v>
      </c>
      <c r="AB33" s="10">
        <v>1090</v>
      </c>
      <c r="AC33" s="125">
        <v>0.05</v>
      </c>
      <c r="AD33" s="6">
        <f t="shared" si="6"/>
        <v>21800</v>
      </c>
      <c r="AL33" s="2"/>
    </row>
    <row r="34" spans="1:38">
      <c r="A34" s="1" t="s">
        <v>527</v>
      </c>
      <c r="B34" s="1" t="s">
        <v>729</v>
      </c>
      <c r="C34" s="1" t="s">
        <v>163</v>
      </c>
      <c r="D34" s="42">
        <v>148.5</v>
      </c>
      <c r="E34" s="108" t="s">
        <v>121</v>
      </c>
      <c r="F34" s="35"/>
      <c r="G34" s="35" t="s">
        <v>826</v>
      </c>
      <c r="J34" s="6">
        <f>SUM(P_el_2[Nuclear])</f>
        <v>4369</v>
      </c>
      <c r="K34" s="6">
        <f>SUM(P_el_2[Wind])</f>
        <v>8509.5600000000013</v>
      </c>
      <c r="L34" s="6">
        <f>SUM(P_el_2[Thermal])</f>
        <v>1826.3500000000001</v>
      </c>
      <c r="M34" s="6">
        <f>SUM(P_el_2[Solar])</f>
        <v>133.02000000000001</v>
      </c>
      <c r="V34" s="1" t="s">
        <v>621</v>
      </c>
      <c r="W34" s="42">
        <v>0.9</v>
      </c>
      <c r="AA34" s="1" t="s">
        <v>119</v>
      </c>
      <c r="AB34" s="10">
        <v>1300</v>
      </c>
      <c r="AC34" s="125">
        <v>0.06</v>
      </c>
      <c r="AD34" s="6">
        <f t="shared" si="6"/>
        <v>21666.666666666668</v>
      </c>
      <c r="AL34" s="2"/>
    </row>
    <row r="35" spans="1:38">
      <c r="A35" s="1" t="s">
        <v>514</v>
      </c>
      <c r="B35" s="1" t="s">
        <v>514</v>
      </c>
      <c r="C35" s="1" t="s">
        <v>163</v>
      </c>
      <c r="D35" s="42">
        <v>142.6</v>
      </c>
      <c r="E35" s="108" t="s">
        <v>121</v>
      </c>
      <c r="F35" s="35"/>
      <c r="G35" s="35" t="s">
        <v>828</v>
      </c>
      <c r="V35" s="1" t="s">
        <v>614</v>
      </c>
      <c r="W35" s="42">
        <v>0</v>
      </c>
      <c r="AA35" s="1" t="s">
        <v>167</v>
      </c>
      <c r="AB35" s="24">
        <f>AC35*$AD$29</f>
        <v>834.35294117647049</v>
      </c>
      <c r="AC35" s="125">
        <v>0.04</v>
      </c>
      <c r="AD35" s="2"/>
      <c r="AL35" s="2"/>
    </row>
    <row r="36" spans="1:38">
      <c r="A36" s="1" t="s">
        <v>531</v>
      </c>
      <c r="B36" s="1" t="s">
        <v>732</v>
      </c>
      <c r="C36" s="1" t="s">
        <v>163</v>
      </c>
      <c r="D36" s="42">
        <v>132</v>
      </c>
      <c r="E36" s="108" t="s">
        <v>125</v>
      </c>
      <c r="F36" s="35"/>
      <c r="G36" s="35" t="s">
        <v>828</v>
      </c>
      <c r="I36" s="225" t="s">
        <v>856</v>
      </c>
      <c r="J36" s="225"/>
      <c r="K36" s="225"/>
      <c r="L36" s="225"/>
      <c r="M36" s="225"/>
      <c r="N36" s="225"/>
      <c r="O36" s="121"/>
      <c r="V36" s="35" t="s">
        <v>2</v>
      </c>
      <c r="W36" s="7">
        <f>SUM(W6:W35)</f>
        <v>1826.35</v>
      </c>
      <c r="X36" s="35"/>
      <c r="AA36" s="1" t="s">
        <v>166</v>
      </c>
      <c r="AB36" s="10">
        <v>1345</v>
      </c>
      <c r="AC36" s="125">
        <v>7.0000000000000007E-2</v>
      </c>
      <c r="AD36" s="6">
        <f t="shared" si="6"/>
        <v>19214.285714285714</v>
      </c>
      <c r="AL36" s="2"/>
    </row>
    <row r="37" spans="1:38">
      <c r="A37" s="1" t="s">
        <v>454</v>
      </c>
      <c r="B37" s="1" t="s">
        <v>454</v>
      </c>
      <c r="C37" s="1" t="s">
        <v>163</v>
      </c>
      <c r="D37" s="42">
        <v>126</v>
      </c>
      <c r="E37" s="108" t="s">
        <v>125</v>
      </c>
      <c r="F37" s="35"/>
      <c r="G37" s="35" t="s">
        <v>828</v>
      </c>
      <c r="I37" s="14" t="s">
        <v>24</v>
      </c>
      <c r="J37" s="14" t="s">
        <v>839</v>
      </c>
      <c r="K37" s="14" t="s">
        <v>163</v>
      </c>
      <c r="L37" s="14" t="s">
        <v>840</v>
      </c>
      <c r="M37" s="1" t="s">
        <v>164</v>
      </c>
      <c r="N37" s="14" t="s">
        <v>2</v>
      </c>
      <c r="V37" s="35" t="s">
        <v>880</v>
      </c>
      <c r="W37" s="7">
        <f>SUM(W6:W15)</f>
        <v>1659.5</v>
      </c>
      <c r="X37" s="120">
        <f>W37/W36</f>
        <v>0.90864292167437788</v>
      </c>
      <c r="AA37" s="1" t="s">
        <v>123</v>
      </c>
      <c r="AB37" s="24">
        <f>AC37*$AD$29</f>
        <v>417.17647058823525</v>
      </c>
      <c r="AC37" s="125">
        <v>0.02</v>
      </c>
      <c r="AD37" s="2"/>
      <c r="AL37" s="2"/>
    </row>
    <row r="38" spans="1:38">
      <c r="A38" s="1" t="s">
        <v>535</v>
      </c>
      <c r="B38" s="1" t="s">
        <v>535</v>
      </c>
      <c r="C38" s="1" t="s">
        <v>163</v>
      </c>
      <c r="D38" s="42">
        <v>126</v>
      </c>
      <c r="E38" s="108" t="s">
        <v>126</v>
      </c>
      <c r="F38" s="35"/>
      <c r="G38" s="35" t="s">
        <v>827</v>
      </c>
      <c r="I38" s="1" t="s">
        <v>28</v>
      </c>
      <c r="J38" s="6" cm="1">
        <f t="array" ref="J38">SUM(_xlfn._xlws.FILTER(P_el_2[Nuclear],ISNUMBER(MATCH(P_el_2[Region],_xlfn._xlws.FILTER(Region[Administrative],Region[Model]=P_el_3[[#This Row],[Region]]),0))))</f>
        <v>0</v>
      </c>
      <c r="K38" s="24" cm="1">
        <f t="array" ref="K38">SUM(_xlfn._xlws.FILTER(P_el_2[Wind],ISNUMBER(MATCH(P_el_2[Region],_xlfn._xlws.FILTER(Region[Administrative],Region[Model]=P_el_3[[#This Row],[Region]]),0))))</f>
        <v>4187.8500000000004</v>
      </c>
      <c r="L38" s="24" cm="1">
        <f t="array" ref="L38">SUM(_xlfn._xlws.FILTER(P_el_2[Thermal],ISNUMBER(MATCH(P_el_2[Region],_xlfn._xlws.FILTER(Region[Administrative],Region[Model]=P_el_3[[#This Row],[Region]]),0))))</f>
        <v>120.1</v>
      </c>
      <c r="M38" s="112" cm="1">
        <f t="array" ref="M38">SUM(_xlfn._xlws.FILTER(P_el_2[Solar],ISNUMBER(MATCH(P_el_2[Region],_xlfn._xlws.FILTER(Region[Administrative],Region[Model]=P_el_3[[#This Row],[Region]]),0))))</f>
        <v>19.3</v>
      </c>
      <c r="N38" s="6">
        <f>SUM(P_el_3[[#This Row],[Nuclear]:[Thermal]])</f>
        <v>4307.9500000000007</v>
      </c>
      <c r="O38" s="6"/>
      <c r="AA38" s="1" t="s">
        <v>120</v>
      </c>
      <c r="AB38" s="24">
        <f>AC38*$AD$29</f>
        <v>417.17647058823525</v>
      </c>
      <c r="AC38" s="125">
        <v>0.02</v>
      </c>
      <c r="AD38" s="2"/>
      <c r="AL38" s="2"/>
    </row>
    <row r="39" spans="1:38">
      <c r="A39" s="1" t="s">
        <v>479</v>
      </c>
      <c r="B39" s="1" t="s">
        <v>479</v>
      </c>
      <c r="C39" s="1" t="s">
        <v>840</v>
      </c>
      <c r="D39" s="42">
        <v>118</v>
      </c>
      <c r="E39" s="108" t="s">
        <v>3</v>
      </c>
      <c r="F39" s="35"/>
      <c r="G39" s="35" t="s">
        <v>827</v>
      </c>
      <c r="I39" s="1" t="s">
        <v>29</v>
      </c>
      <c r="J39" s="24" cm="1">
        <f t="array" ref="J39">SUM(_xlfn._xlws.FILTER(P_el_2[Nuclear],ISNUMBER(MATCH(P_el_2[Region],_xlfn._xlws.FILTER(Region[Administrative],Region[Model]=P_el_3[[#This Row],[Region]]),0))))</f>
        <v>3355</v>
      </c>
      <c r="K39" s="24" cm="1">
        <f t="array" ref="K39">SUM(_xlfn._xlws.FILTER(P_el_2[Wind],ISNUMBER(MATCH(P_el_2[Region],_xlfn._xlws.FILTER(Region[Administrative],Region[Model]=P_el_3[[#This Row],[Region]]),0))))</f>
        <v>3504.81</v>
      </c>
      <c r="L39" s="24" cm="1">
        <f t="array" ref="L39">SUM(_xlfn._xlws.FILTER(P_el_2[Thermal],ISNUMBER(MATCH(P_el_2[Region],_xlfn._xlws.FILTER(Region[Administrative],Region[Model]=P_el_3[[#This Row],[Region]]),0))))</f>
        <v>830.09999999999991</v>
      </c>
      <c r="M39" s="112" cm="1">
        <f t="array" ref="M39">SUM(_xlfn._xlws.FILTER(P_el_2[Solar],ISNUMBER(MATCH(P_el_2[Region],_xlfn._xlws.FILTER(Region[Administrative],Region[Model]=P_el_3[[#This Row],[Region]]),0))))</f>
        <v>79.5</v>
      </c>
      <c r="N39" s="6">
        <f>SUM(P_el_3[[#This Row],[Nuclear]:[Thermal]])</f>
        <v>7689.91</v>
      </c>
      <c r="O39" s="6"/>
      <c r="AA39" s="1" t="s">
        <v>121</v>
      </c>
      <c r="AB39" s="10">
        <v>3036</v>
      </c>
      <c r="AC39" s="125">
        <v>0.15</v>
      </c>
      <c r="AD39" s="6">
        <f t="shared" si="6"/>
        <v>20240</v>
      </c>
      <c r="AL39" s="2"/>
    </row>
    <row r="40" spans="1:38">
      <c r="A40" s="1" t="s">
        <v>575</v>
      </c>
      <c r="B40" s="1" t="s">
        <v>575</v>
      </c>
      <c r="C40" s="1" t="s">
        <v>163</v>
      </c>
      <c r="D40" s="42">
        <v>117.6</v>
      </c>
      <c r="E40" s="108" t="s">
        <v>121</v>
      </c>
      <c r="F40" s="35"/>
      <c r="G40" s="35" t="s">
        <v>828</v>
      </c>
      <c r="I40" s="1" t="s">
        <v>31</v>
      </c>
      <c r="J40" s="6" cm="1">
        <f t="array" ref="J40">SUM(_xlfn._xlws.FILTER(P_el_2[Nuclear],ISNUMBER(MATCH(P_el_2[Region],_xlfn._xlws.FILTER(Region[Administrative],Region[Model]=P_el_3[[#This Row],[Region]]),0))))</f>
        <v>0</v>
      </c>
      <c r="K40" s="24" cm="1">
        <f t="array" ref="K40">SUM(_xlfn._xlws.FILTER(P_el_2[Wind],ISNUMBER(MATCH(P_el_2[Region],_xlfn._xlws.FILTER(Region[Administrative],Region[Model]=P_el_3[[#This Row],[Region]]),0))))</f>
        <v>370.8</v>
      </c>
      <c r="L40" s="6" cm="1">
        <f t="array" ref="L40">SUM(_xlfn._xlws.FILTER(P_el_2[Thermal],ISNUMBER(MATCH(P_el_2[Region],_xlfn._xlws.FILTER(Region[Administrative],Region[Model]=P_el_3[[#This Row],[Region]]),0))))</f>
        <v>7</v>
      </c>
      <c r="M40" s="112" cm="1">
        <f t="array" ref="M40">SUM(_xlfn._xlws.FILTER(P_el_2[Solar],ISNUMBER(MATCH(P_el_2[Region],_xlfn._xlws.FILTER(Region[Administrative],Region[Model]=P_el_3[[#This Row],[Region]]),0))))</f>
        <v>4.5999999999999996</v>
      </c>
      <c r="N40" s="6">
        <f>SUM(P_el_3[[#This Row],[Nuclear]:[Thermal]])</f>
        <v>377.8</v>
      </c>
      <c r="O40" s="6"/>
      <c r="AA40" s="1" t="s">
        <v>122</v>
      </c>
      <c r="AB40" s="24">
        <f>AC40*$AD$29</f>
        <v>417.17647058823525</v>
      </c>
      <c r="AC40" s="125">
        <v>0.02</v>
      </c>
      <c r="AD40" s="2"/>
      <c r="AL40" s="2"/>
    </row>
    <row r="41" spans="1:38" ht="14.45" customHeight="1">
      <c r="A41" s="1" t="s">
        <v>532</v>
      </c>
      <c r="B41" s="1" t="s">
        <v>532</v>
      </c>
      <c r="C41" s="1" t="s">
        <v>163</v>
      </c>
      <c r="D41" s="42">
        <v>117.3</v>
      </c>
      <c r="E41" s="108" t="s">
        <v>122</v>
      </c>
      <c r="F41" s="35"/>
      <c r="G41" s="35" t="s">
        <v>828</v>
      </c>
      <c r="I41" s="1" t="s">
        <v>32</v>
      </c>
      <c r="J41" s="6" cm="1">
        <f t="array" ref="J41">SUM(_xlfn._xlws.FILTER(P_el_2[Nuclear],ISNUMBER(MATCH(P_el_2[Region],_xlfn._xlws.FILTER(Region[Administrative],Region[Model]=P_el_3[[#This Row],[Region]]),0))))</f>
        <v>0</v>
      </c>
      <c r="K41" s="24" cm="1">
        <f t="array" ref="K41">SUM(_xlfn._xlws.FILTER(P_el_2[Wind],ISNUMBER(MATCH(P_el_2[Region],_xlfn._xlws.FILTER(Region[Administrative],Region[Model]=P_el_3[[#This Row],[Region]]),0))))</f>
        <v>231.8</v>
      </c>
      <c r="L41" s="24" cm="1">
        <f t="array" ref="L41">SUM(_xlfn._xlws.FILTER(P_el_2[Thermal],ISNUMBER(MATCH(P_el_2[Region],_xlfn._xlws.FILTER(Region[Administrative],Region[Model]=P_el_3[[#This Row],[Region]]),0))))</f>
        <v>182.6</v>
      </c>
      <c r="M41" s="112" cm="1">
        <f t="array" ref="M41">SUM(_xlfn._xlws.FILTER(P_el_2[Solar],ISNUMBER(MATCH(P_el_2[Region],_xlfn._xlws.FILTER(Region[Administrative],Region[Model]=P_el_3[[#This Row],[Region]]),0))))</f>
        <v>16.98</v>
      </c>
      <c r="N41" s="6">
        <f>SUM(P_el_3[[#This Row],[Nuclear]:[Thermal]])</f>
        <v>414.4</v>
      </c>
      <c r="O41" s="6"/>
      <c r="V41" s="122"/>
      <c r="W41" s="122"/>
      <c r="X41" s="122"/>
      <c r="Y41" s="122"/>
      <c r="AA41" s="1" t="s">
        <v>124</v>
      </c>
      <c r="AB41" s="24">
        <f>AC41*$AD$29</f>
        <v>625.76470588235281</v>
      </c>
      <c r="AC41" s="125">
        <v>0.03</v>
      </c>
      <c r="AD41" s="2"/>
      <c r="AL41" s="2"/>
    </row>
    <row r="42" spans="1:38">
      <c r="A42" s="1" t="s">
        <v>624</v>
      </c>
      <c r="B42" s="1" t="s">
        <v>786</v>
      </c>
      <c r="C42" s="1" t="s">
        <v>163</v>
      </c>
      <c r="D42" s="42">
        <v>105.4</v>
      </c>
      <c r="E42" s="108" t="s">
        <v>122</v>
      </c>
      <c r="F42" s="35"/>
      <c r="G42" s="35" t="s">
        <v>826</v>
      </c>
      <c r="I42" s="1" t="s">
        <v>33</v>
      </c>
      <c r="J42" s="6" cm="1">
        <f t="array" ref="J42">SUM(_xlfn._xlws.FILTER(P_el_2[Nuclear],ISNUMBER(MATCH(P_el_2[Region],_xlfn._xlws.FILTER(Region[Administrative],Region[Model]=P_el_3[[#This Row],[Region]]),0))))</f>
        <v>0</v>
      </c>
      <c r="K42" s="24" cm="1">
        <f t="array" ref="K42">SUM(_xlfn._xlws.FILTER(P_el_2[Wind],ISNUMBER(MATCH(P_el_2[Region],_xlfn._xlws.FILTER(Region[Administrative],Region[Model]=P_el_3[[#This Row],[Region]]),0))))</f>
        <v>138.85</v>
      </c>
      <c r="L42" s="24" cm="1">
        <f t="array" ref="L42">SUM(_xlfn._xlws.FILTER(P_el_2[Thermal],ISNUMBER(MATCH(P_el_2[Region],_xlfn._xlws.FILTER(Region[Administrative],Region[Model]=P_el_3[[#This Row],[Region]]),0))))</f>
        <v>443.1</v>
      </c>
      <c r="M42" s="112" cm="1">
        <f t="array" ref="M42">SUM(_xlfn._xlws.FILTER(P_el_2[Solar],ISNUMBER(MATCH(P_el_2[Region],_xlfn._xlws.FILTER(Region[Administrative],Region[Model]=P_el_3[[#This Row],[Region]]),0))))</f>
        <v>0</v>
      </c>
      <c r="N42" s="6">
        <f>SUM(P_el_3[[#This Row],[Nuclear]:[Thermal]])</f>
        <v>581.95000000000005</v>
      </c>
      <c r="O42" s="6"/>
      <c r="V42" s="122"/>
      <c r="W42" s="122"/>
      <c r="X42" s="122"/>
      <c r="Y42" s="122"/>
      <c r="AA42" s="1" t="s">
        <v>125</v>
      </c>
      <c r="AB42" s="10">
        <v>1585</v>
      </c>
      <c r="AC42" s="125">
        <v>0.08</v>
      </c>
      <c r="AD42" s="6">
        <f t="shared" si="6"/>
        <v>19812.5</v>
      </c>
      <c r="AL42" s="2"/>
    </row>
    <row r="43" spans="1:38">
      <c r="A43" s="1" t="s">
        <v>662</v>
      </c>
      <c r="B43" s="1" t="s">
        <v>815</v>
      </c>
      <c r="C43" s="1" t="s">
        <v>163</v>
      </c>
      <c r="D43" s="42">
        <v>103.2</v>
      </c>
      <c r="E43" s="108" t="s">
        <v>125</v>
      </c>
      <c r="F43" s="35"/>
      <c r="G43" s="35" t="s">
        <v>828</v>
      </c>
      <c r="I43" s="1" t="s">
        <v>34</v>
      </c>
      <c r="J43" s="6" cm="1">
        <f t="array" ref="J43">SUM(_xlfn._xlws.FILTER(P_el_2[Nuclear],ISNUMBER(MATCH(P_el_2[Region],_xlfn._xlws.FILTER(Region[Administrative],Region[Model]=P_el_3[[#This Row],[Region]]),0))))</f>
        <v>0</v>
      </c>
      <c r="K43" s="6" cm="1">
        <f t="array" ref="K43">SUM(_xlfn._xlws.FILTER(P_el_2[Wind],ISNUMBER(MATCH(P_el_2[Region],_xlfn._xlws.FILTER(Region[Administrative],Region[Model]=P_el_3[[#This Row],[Region]]),0))))</f>
        <v>48.8</v>
      </c>
      <c r="L43" s="6" cm="1">
        <f t="array" ref="L43">SUM(_xlfn._xlws.FILTER(P_el_2[Thermal],ISNUMBER(MATCH(P_el_2[Region],_xlfn._xlws.FILTER(Region[Administrative],Region[Model]=P_el_3[[#This Row],[Region]]),0))))</f>
        <v>17.2</v>
      </c>
      <c r="M43" s="112" cm="1">
        <f t="array" ref="M43">SUM(_xlfn._xlws.FILTER(P_el_2[Solar],ISNUMBER(MATCH(P_el_2[Region],_xlfn._xlws.FILTER(Region[Administrative],Region[Model]=P_el_3[[#This Row],[Region]]),0))))</f>
        <v>2.31</v>
      </c>
      <c r="N43" s="6">
        <f>SUM(P_el_3[[#This Row],[Nuclear]:[Thermal]])</f>
        <v>66</v>
      </c>
      <c r="O43" s="6"/>
      <c r="V43" s="122"/>
      <c r="W43" s="122"/>
      <c r="X43" s="122"/>
      <c r="Y43" s="122"/>
      <c r="AA43" s="2" t="s">
        <v>19</v>
      </c>
      <c r="AB43" s="24">
        <f>AC43*$AD$29</f>
        <v>208.58823529411762</v>
      </c>
      <c r="AC43" s="125">
        <v>0.01</v>
      </c>
      <c r="AD43" s="2"/>
      <c r="AL43" s="2"/>
    </row>
    <row r="44" spans="1:38">
      <c r="A44" s="1" t="s">
        <v>530</v>
      </c>
      <c r="B44" s="1" t="s">
        <v>731</v>
      </c>
      <c r="C44" s="1" t="s">
        <v>840</v>
      </c>
      <c r="D44" s="42">
        <v>102</v>
      </c>
      <c r="E44" s="108" t="s">
        <v>125</v>
      </c>
      <c r="F44" s="35"/>
      <c r="G44" s="35" t="s">
        <v>828</v>
      </c>
      <c r="I44" s="1" t="s">
        <v>3</v>
      </c>
      <c r="J44" s="24" cm="1">
        <f t="array" ref="J44">SUM(_xlfn._xlws.FILTER(P_el_2[Nuclear],ISNUMBER(MATCH(P_el_2[Region],_xlfn._xlws.FILTER(Region[Administrative],Region[Model]=P_el_3[[#This Row],[Region]]),0))))</f>
        <v>1014</v>
      </c>
      <c r="K44" s="6" cm="1">
        <f t="array" ref="K44">SUM(_xlfn._xlws.FILTER(P_el_2[Wind],ISNUMBER(MATCH(P_el_2[Region],_xlfn._xlws.FILTER(Region[Administrative],Region[Model]=P_el_3[[#This Row],[Region]]),0))))</f>
        <v>26.65</v>
      </c>
      <c r="L44" s="24" cm="1">
        <f t="array" ref="L44">SUM(_xlfn._xlws.FILTER(P_el_2[Thermal],ISNUMBER(MATCH(P_el_2[Region],_xlfn._xlws.FILTER(Region[Administrative],Region[Model]=P_el_3[[#This Row],[Region]]),0))))</f>
        <v>226.25</v>
      </c>
      <c r="M44" s="112" cm="1">
        <f t="array" ref="M44">SUM(_xlfn._xlws.FILTER(P_el_2[Solar],ISNUMBER(MATCH(P_el_2[Region],_xlfn._xlws.FILTER(Region[Administrative],Region[Model]=P_el_3[[#This Row],[Region]]),0))))</f>
        <v>10.33</v>
      </c>
      <c r="N44" s="6">
        <f>SUM(P_el_3[[#This Row],[Nuclear]:[Thermal]])</f>
        <v>1266.9000000000001</v>
      </c>
      <c r="O44" s="6"/>
      <c r="V44" s="122"/>
      <c r="W44" s="122"/>
      <c r="X44" s="122"/>
      <c r="Y44" s="122"/>
      <c r="AA44" s="1" t="s">
        <v>126</v>
      </c>
      <c r="AB44" s="24">
        <f>AC44*$AD$29</f>
        <v>417.17647058823525</v>
      </c>
      <c r="AC44" s="125">
        <v>0.02</v>
      </c>
      <c r="AD44" s="2"/>
      <c r="AL44" s="2"/>
    </row>
    <row r="45" spans="1:38">
      <c r="A45" s="1" t="s">
        <v>551</v>
      </c>
      <c r="B45" s="1" t="s">
        <v>741</v>
      </c>
      <c r="C45" s="1" t="s">
        <v>163</v>
      </c>
      <c r="D45" s="42">
        <v>102</v>
      </c>
      <c r="E45" s="108" t="s">
        <v>122</v>
      </c>
      <c r="F45" s="35"/>
      <c r="G45" s="35" t="s">
        <v>828</v>
      </c>
      <c r="J45" s="6">
        <f>SUM(P_el_3[Nuclear])</f>
        <v>4369</v>
      </c>
      <c r="K45" s="6">
        <f>SUM(P_el_3[Wind])</f>
        <v>8509.56</v>
      </c>
      <c r="L45" s="6">
        <f>SUM(P_el_3[Thermal])</f>
        <v>1826.3500000000001</v>
      </c>
      <c r="M45" s="6">
        <f>SUM(P_el_3[Solar])</f>
        <v>133.02000000000001</v>
      </c>
      <c r="N45" s="6">
        <f>SUM(N38:N44)</f>
        <v>14704.91</v>
      </c>
      <c r="O45" s="6"/>
      <c r="V45" s="122"/>
      <c r="W45" s="122"/>
      <c r="X45" s="122"/>
      <c r="Y45" s="122"/>
      <c r="AB45" s="6">
        <f>SUM(AB27:AB44)</f>
        <v>20609.000000000004</v>
      </c>
      <c r="AC45" s="124"/>
      <c r="AL45" s="2"/>
    </row>
    <row r="46" spans="1:38">
      <c r="A46" s="1" t="s">
        <v>559</v>
      </c>
      <c r="B46" s="1" t="s">
        <v>744</v>
      </c>
      <c r="C46" s="1" t="s">
        <v>840</v>
      </c>
      <c r="D46" s="42">
        <v>100.5</v>
      </c>
      <c r="E46" s="108" t="s">
        <v>5</v>
      </c>
      <c r="F46" s="35"/>
      <c r="G46" s="35" t="s">
        <v>826</v>
      </c>
      <c r="V46" s="122"/>
      <c r="W46" s="122"/>
      <c r="X46" s="122"/>
      <c r="Y46" s="122"/>
      <c r="AL46" s="2"/>
    </row>
    <row r="47" spans="1:38">
      <c r="A47" s="1" t="s">
        <v>552</v>
      </c>
      <c r="B47" s="1" t="s">
        <v>552</v>
      </c>
      <c r="C47" s="1" t="s">
        <v>163</v>
      </c>
      <c r="D47" s="42">
        <v>96.9</v>
      </c>
      <c r="E47" s="108" t="s">
        <v>126</v>
      </c>
      <c r="F47" s="35"/>
      <c r="G47" s="35" t="s">
        <v>828</v>
      </c>
      <c r="V47" s="122"/>
      <c r="W47" s="122"/>
      <c r="X47" s="122"/>
      <c r="Y47" s="122"/>
      <c r="AA47" s="45" t="s">
        <v>894</v>
      </c>
      <c r="AB47" s="45"/>
      <c r="AL47" s="2"/>
    </row>
    <row r="48" spans="1:38">
      <c r="A48" s="1" t="s">
        <v>534</v>
      </c>
      <c r="B48" s="1" t="s">
        <v>733</v>
      </c>
      <c r="C48" s="1" t="s">
        <v>163</v>
      </c>
      <c r="D48" s="42">
        <v>93</v>
      </c>
      <c r="E48" s="108" t="s">
        <v>125</v>
      </c>
      <c r="F48" s="35"/>
      <c r="G48" s="35" t="s">
        <v>828</v>
      </c>
      <c r="V48" s="122"/>
      <c r="W48" s="122"/>
      <c r="X48" s="122"/>
      <c r="Y48" s="122"/>
      <c r="AA48" s="14" t="s">
        <v>24</v>
      </c>
      <c r="AB48" s="14" t="s">
        <v>58</v>
      </c>
    </row>
    <row r="49" spans="1:28">
      <c r="A49" s="1" t="s">
        <v>563</v>
      </c>
      <c r="B49" s="1" t="s">
        <v>748</v>
      </c>
      <c r="C49" s="1" t="s">
        <v>163</v>
      </c>
      <c r="D49" s="42">
        <v>93</v>
      </c>
      <c r="E49" s="108" t="s">
        <v>5</v>
      </c>
      <c r="F49" s="35"/>
      <c r="G49" s="35" t="s">
        <v>826</v>
      </c>
      <c r="AA49" s="1" t="s">
        <v>28</v>
      </c>
      <c r="AB49" s="24" cm="1">
        <f t="array" ref="AB49">SUM(_xlfn._xlws.FILTER(P_el_S5_1[Regional],ISNUMBER(MATCH(P_el_S5_1[Region],_xlfn._xlws.FILTER(Region[Administrative],Region[Model]=P_el_S5_2[[#This Row],[Region]]),0))))</f>
        <v>2002.1764705882351</v>
      </c>
    </row>
    <row r="50" spans="1:28">
      <c r="A50" s="1" t="s">
        <v>566</v>
      </c>
      <c r="B50" s="1" t="s">
        <v>309</v>
      </c>
      <c r="C50" s="1" t="s">
        <v>163</v>
      </c>
      <c r="D50" s="42">
        <v>93</v>
      </c>
      <c r="E50" s="108" t="s">
        <v>125</v>
      </c>
      <c r="F50" s="35"/>
      <c r="G50" s="35" t="s">
        <v>828</v>
      </c>
      <c r="AA50" s="1" t="s">
        <v>29</v>
      </c>
      <c r="AB50" s="24" cm="1">
        <f t="array" ref="AB50">SUM(_xlfn._xlws.FILTER(P_el_S5_1[Regional],ISNUMBER(MATCH(P_el_S5_1[Region],_xlfn._xlws.FILTER(Region[Administrative],Region[Model]=P_el_S5_2[[#This Row],[Region]]),0))))</f>
        <v>7624.9411764705883</v>
      </c>
    </row>
    <row r="51" spans="1:28">
      <c r="A51" s="1" t="s">
        <v>417</v>
      </c>
      <c r="B51" s="1" t="s">
        <v>669</v>
      </c>
      <c r="C51" s="1" t="s">
        <v>163</v>
      </c>
      <c r="D51" s="42">
        <v>92.4</v>
      </c>
      <c r="E51" s="108" t="s">
        <v>124</v>
      </c>
      <c r="F51" s="35" t="s">
        <v>120</v>
      </c>
      <c r="G51" s="35" t="s">
        <v>828</v>
      </c>
      <c r="AA51" s="1" t="s">
        <v>31</v>
      </c>
      <c r="AB51" s="24" cm="1">
        <f t="array" ref="AB51">SUM(_xlfn._xlws.FILTER(P_el_S5_1[Regional],ISNUMBER(MATCH(P_el_S5_1[Region],_xlfn._xlws.FILTER(Region[Administrative],Region[Model]=P_el_S5_2[[#This Row],[Region]]),0))))</f>
        <v>625.76470588235293</v>
      </c>
    </row>
    <row r="52" spans="1:28">
      <c r="A52" s="1" t="s">
        <v>539</v>
      </c>
      <c r="B52" s="1" t="s">
        <v>735</v>
      </c>
      <c r="C52" s="1" t="s">
        <v>163</v>
      </c>
      <c r="D52" s="42">
        <v>92.399999999999991</v>
      </c>
      <c r="E52" s="108" t="s">
        <v>125</v>
      </c>
      <c r="F52" s="35"/>
      <c r="G52" s="35" t="s">
        <v>826</v>
      </c>
      <c r="AA52" s="1" t="s">
        <v>32</v>
      </c>
      <c r="AB52" s="24" cm="1">
        <f t="array" ref="AB52">SUM(_xlfn._xlws.FILTER(P_el_S5_1[Regional],ISNUMBER(MATCH(P_el_S5_1[Region],_xlfn._xlws.FILTER(Region[Administrative],Region[Model]=P_el_S5_2[[#This Row],[Region]]),0))))</f>
        <v>2805.117647058823</v>
      </c>
    </row>
    <row r="53" spans="1:28">
      <c r="A53" s="1" t="s">
        <v>560</v>
      </c>
      <c r="B53" s="1" t="s">
        <v>745</v>
      </c>
      <c r="C53" s="1" t="s">
        <v>163</v>
      </c>
      <c r="D53" s="42">
        <v>91.2</v>
      </c>
      <c r="E53" s="108" t="s">
        <v>125</v>
      </c>
      <c r="F53" s="35"/>
      <c r="G53" s="35" t="s">
        <v>826</v>
      </c>
      <c r="AA53" s="1" t="s">
        <v>33</v>
      </c>
      <c r="AB53" s="24" cm="1">
        <f t="array" ref="AB53">SUM(_xlfn._xlws.FILTER(P_el_S5_1[Regional],ISNUMBER(MATCH(P_el_S5_1[Region],_xlfn._xlws.FILTER(Region[Administrative],Region[Model]=P_el_S5_2[[#This Row],[Region]]),0))))</f>
        <v>2677</v>
      </c>
    </row>
    <row r="54" spans="1:28">
      <c r="A54" s="1" t="s">
        <v>468</v>
      </c>
      <c r="B54" s="1" t="s">
        <v>699</v>
      </c>
      <c r="C54" s="1" t="s">
        <v>163</v>
      </c>
      <c r="D54" s="42">
        <v>90.3</v>
      </c>
      <c r="E54" s="108" t="s">
        <v>122</v>
      </c>
      <c r="F54" s="35"/>
      <c r="G54" s="35" t="s">
        <v>827</v>
      </c>
      <c r="AA54" s="1" t="s">
        <v>34</v>
      </c>
      <c r="AB54" s="24" cm="1">
        <f t="array" ref="AB54">SUM(_xlfn._xlws.FILTER(P_el_S5_1[Regional],ISNUMBER(MATCH(P_el_S5_1[Region],_xlfn._xlws.FILTER(Region[Administrative],Region[Model]=P_el_S5_2[[#This Row],[Region]]),0))))</f>
        <v>3181</v>
      </c>
    </row>
    <row r="55" spans="1:28">
      <c r="A55" s="1" t="s">
        <v>590</v>
      </c>
      <c r="B55" s="1" t="s">
        <v>763</v>
      </c>
      <c r="C55" s="1" t="s">
        <v>163</v>
      </c>
      <c r="D55" s="42">
        <v>88</v>
      </c>
      <c r="E55" s="108" t="s">
        <v>125</v>
      </c>
      <c r="F55" s="35"/>
      <c r="G55" s="35" t="s">
        <v>826</v>
      </c>
      <c r="AA55" s="1" t="s">
        <v>3</v>
      </c>
      <c r="AB55" s="24" cm="1">
        <f t="array" ref="AB55">SUM(_xlfn._xlws.FILTER(P_el_S5_1[Regional],ISNUMBER(MATCH(P_el_S5_1[Region],_xlfn._xlws.FILTER(Region[Administrative],Region[Model]=P_el_S5_2[[#This Row],[Region]]),0))))</f>
        <v>1693</v>
      </c>
    </row>
    <row r="56" spans="1:28">
      <c r="A56" s="1" t="s">
        <v>569</v>
      </c>
      <c r="B56" s="1" t="s">
        <v>569</v>
      </c>
      <c r="C56" s="1" t="s">
        <v>163</v>
      </c>
      <c r="D56" s="42">
        <v>86.8</v>
      </c>
      <c r="E56" s="108" t="s">
        <v>125</v>
      </c>
      <c r="F56" s="35"/>
      <c r="G56" s="35" t="s">
        <v>828</v>
      </c>
      <c r="AB56" s="6">
        <f>SUM(P_el_S5_2[Capacity])</f>
        <v>20609</v>
      </c>
    </row>
    <row r="57" spans="1:28">
      <c r="A57" s="1" t="s">
        <v>503</v>
      </c>
      <c r="B57" s="1" t="s">
        <v>503</v>
      </c>
      <c r="C57" s="1" t="s">
        <v>163</v>
      </c>
      <c r="D57" s="42">
        <v>86</v>
      </c>
      <c r="E57" s="108" t="s">
        <v>121</v>
      </c>
      <c r="F57" s="35"/>
      <c r="G57" s="35" t="s">
        <v>828</v>
      </c>
    </row>
    <row r="58" spans="1:28">
      <c r="A58" s="1" t="s">
        <v>529</v>
      </c>
      <c r="B58" s="1" t="s">
        <v>730</v>
      </c>
      <c r="C58" s="1" t="s">
        <v>163</v>
      </c>
      <c r="D58" s="42">
        <v>82.5</v>
      </c>
      <c r="E58" s="108" t="s">
        <v>122</v>
      </c>
      <c r="F58" s="35"/>
      <c r="G58" s="35" t="s">
        <v>826</v>
      </c>
    </row>
    <row r="59" spans="1:28">
      <c r="A59" s="1" t="s">
        <v>562</v>
      </c>
      <c r="B59" s="1" t="s">
        <v>747</v>
      </c>
      <c r="C59" s="1" t="s">
        <v>163</v>
      </c>
      <c r="D59" s="42">
        <v>80.599999999999994</v>
      </c>
      <c r="E59" s="108" t="s">
        <v>5</v>
      </c>
      <c r="F59" s="35"/>
      <c r="G59" s="35" t="s">
        <v>828</v>
      </c>
    </row>
    <row r="60" spans="1:28">
      <c r="A60" s="1" t="s">
        <v>588</v>
      </c>
      <c r="B60" s="1" t="s">
        <v>762</v>
      </c>
      <c r="C60" s="1" t="s">
        <v>840</v>
      </c>
      <c r="D60" s="42">
        <v>80</v>
      </c>
      <c r="E60" s="108" t="s">
        <v>3</v>
      </c>
      <c r="F60" s="35"/>
      <c r="G60" s="35" t="s">
        <v>827</v>
      </c>
    </row>
    <row r="61" spans="1:28">
      <c r="A61" s="1" t="s">
        <v>467</v>
      </c>
      <c r="B61" s="1" t="s">
        <v>467</v>
      </c>
      <c r="C61" s="1" t="s">
        <v>163</v>
      </c>
      <c r="D61" s="42">
        <v>79.8</v>
      </c>
      <c r="E61" s="108" t="s">
        <v>125</v>
      </c>
      <c r="F61" s="35"/>
      <c r="G61" s="35" t="s">
        <v>826</v>
      </c>
    </row>
    <row r="62" spans="1:28">
      <c r="A62" s="1" t="s">
        <v>433</v>
      </c>
      <c r="B62" s="1" t="s">
        <v>677</v>
      </c>
      <c r="C62" s="1" t="s">
        <v>163</v>
      </c>
      <c r="D62" s="42">
        <v>79</v>
      </c>
      <c r="E62" s="108" t="s">
        <v>122</v>
      </c>
      <c r="F62" s="35"/>
      <c r="G62" s="35" t="s">
        <v>826</v>
      </c>
    </row>
    <row r="63" spans="1:28">
      <c r="A63" s="1" t="s">
        <v>546</v>
      </c>
      <c r="B63" s="1" t="s">
        <v>546</v>
      </c>
      <c r="C63" s="1" t="s">
        <v>163</v>
      </c>
      <c r="D63" s="42">
        <v>78</v>
      </c>
      <c r="E63" s="108" t="s">
        <v>121</v>
      </c>
      <c r="F63" s="35"/>
      <c r="G63" s="35" t="s">
        <v>828</v>
      </c>
    </row>
    <row r="64" spans="1:28">
      <c r="A64" s="1" t="s">
        <v>642</v>
      </c>
      <c r="B64" s="1" t="s">
        <v>803</v>
      </c>
      <c r="C64" s="1" t="s">
        <v>163</v>
      </c>
      <c r="D64" s="42">
        <v>72</v>
      </c>
      <c r="E64" s="108" t="s">
        <v>125</v>
      </c>
      <c r="F64" s="35"/>
      <c r="G64" s="35" t="s">
        <v>828</v>
      </c>
    </row>
    <row r="65" spans="1:7">
      <c r="A65" s="1" t="s">
        <v>571</v>
      </c>
      <c r="B65" s="1" t="s">
        <v>692</v>
      </c>
      <c r="C65" s="1" t="s">
        <v>163</v>
      </c>
      <c r="D65" s="42">
        <v>70.8</v>
      </c>
      <c r="E65" s="108" t="s">
        <v>125</v>
      </c>
      <c r="F65" s="35"/>
      <c r="G65" s="35" t="s">
        <v>826</v>
      </c>
    </row>
    <row r="66" spans="1:7">
      <c r="A66" s="1" t="s">
        <v>526</v>
      </c>
      <c r="B66" s="1" t="s">
        <v>728</v>
      </c>
      <c r="C66" s="1" t="s">
        <v>163</v>
      </c>
      <c r="D66" s="42">
        <v>68.400000000000006</v>
      </c>
      <c r="E66" s="108" t="s">
        <v>125</v>
      </c>
      <c r="F66" s="35"/>
      <c r="G66" s="35" t="s">
        <v>826</v>
      </c>
    </row>
    <row r="67" spans="1:7">
      <c r="A67" s="1" t="s">
        <v>495</v>
      </c>
      <c r="B67" s="1" t="s">
        <v>710</v>
      </c>
      <c r="C67" s="1" t="s">
        <v>840</v>
      </c>
      <c r="D67" s="42">
        <v>60</v>
      </c>
      <c r="E67" s="108" t="s">
        <v>122</v>
      </c>
      <c r="F67" s="35"/>
      <c r="G67" s="35" t="s">
        <v>826</v>
      </c>
    </row>
    <row r="68" spans="1:7">
      <c r="A68" s="1" t="s">
        <v>498</v>
      </c>
      <c r="B68" s="1" t="s">
        <v>498</v>
      </c>
      <c r="C68" s="1" t="s">
        <v>163</v>
      </c>
      <c r="D68" s="42">
        <v>58.8</v>
      </c>
      <c r="E68" s="108" t="s">
        <v>124</v>
      </c>
      <c r="F68" s="35"/>
      <c r="G68" s="35" t="s">
        <v>828</v>
      </c>
    </row>
    <row r="69" spans="1:7">
      <c r="A69" s="1" t="s">
        <v>610</v>
      </c>
      <c r="B69" s="1" t="s">
        <v>610</v>
      </c>
      <c r="C69" s="1" t="s">
        <v>163</v>
      </c>
      <c r="D69" s="42">
        <v>56.1</v>
      </c>
      <c r="E69" s="108" t="s">
        <v>121</v>
      </c>
      <c r="F69" s="35"/>
      <c r="G69" s="35" t="s">
        <v>828</v>
      </c>
    </row>
    <row r="70" spans="1:7">
      <c r="A70" s="1" t="s">
        <v>573</v>
      </c>
      <c r="B70" s="1" t="s">
        <v>753</v>
      </c>
      <c r="C70" s="1" t="s">
        <v>163</v>
      </c>
      <c r="D70" s="42">
        <v>56</v>
      </c>
      <c r="E70" s="108" t="s">
        <v>125</v>
      </c>
      <c r="F70" s="35"/>
      <c r="G70" s="35" t="s">
        <v>826</v>
      </c>
    </row>
    <row r="71" spans="1:7">
      <c r="A71" s="1" t="s">
        <v>518</v>
      </c>
      <c r="B71" s="1" t="s">
        <v>722</v>
      </c>
      <c r="C71" s="1" t="s">
        <v>163</v>
      </c>
      <c r="D71" s="42">
        <v>55.8</v>
      </c>
      <c r="E71" s="108" t="s">
        <v>19</v>
      </c>
      <c r="F71" s="35"/>
      <c r="G71" s="35" t="s">
        <v>826</v>
      </c>
    </row>
    <row r="72" spans="1:7">
      <c r="A72" s="1" t="s">
        <v>663</v>
      </c>
      <c r="B72" s="1" t="s">
        <v>663</v>
      </c>
      <c r="C72" s="1" t="s">
        <v>163</v>
      </c>
      <c r="D72" s="42">
        <v>55.8</v>
      </c>
      <c r="E72" s="108" t="s">
        <v>122</v>
      </c>
      <c r="F72" s="35"/>
      <c r="G72" s="35" t="s">
        <v>828</v>
      </c>
    </row>
    <row r="73" spans="1:7">
      <c r="A73" s="1" t="s">
        <v>584</v>
      </c>
      <c r="B73" s="1" t="s">
        <v>584</v>
      </c>
      <c r="C73" s="1" t="s">
        <v>163</v>
      </c>
      <c r="D73" s="42">
        <v>54</v>
      </c>
      <c r="E73" s="108" t="s">
        <v>5</v>
      </c>
      <c r="F73" s="35"/>
      <c r="G73" s="35" t="s">
        <v>826</v>
      </c>
    </row>
    <row r="74" spans="1:7">
      <c r="A74" s="1" t="s">
        <v>643</v>
      </c>
      <c r="B74" s="1" t="s">
        <v>804</v>
      </c>
      <c r="C74" s="1" t="s">
        <v>163</v>
      </c>
      <c r="D74" s="42">
        <v>52.8</v>
      </c>
      <c r="E74" s="108" t="s">
        <v>122</v>
      </c>
      <c r="F74" s="35"/>
      <c r="G74" s="35" t="s">
        <v>828</v>
      </c>
    </row>
    <row r="75" spans="1:7">
      <c r="A75" s="1" t="s">
        <v>631</v>
      </c>
      <c r="B75" s="1" t="s">
        <v>793</v>
      </c>
      <c r="C75" s="1" t="s">
        <v>840</v>
      </c>
      <c r="D75" s="42">
        <v>52</v>
      </c>
      <c r="E75" s="108" t="s">
        <v>5</v>
      </c>
      <c r="F75" s="35"/>
      <c r="G75" s="35" t="s">
        <v>827</v>
      </c>
    </row>
    <row r="76" spans="1:7">
      <c r="A76" s="1" t="s">
        <v>497</v>
      </c>
      <c r="B76" s="1" t="s">
        <v>712</v>
      </c>
      <c r="C76" s="1" t="s">
        <v>163</v>
      </c>
      <c r="D76" s="42">
        <v>51</v>
      </c>
      <c r="E76" s="108" t="s">
        <v>126</v>
      </c>
      <c r="F76" s="35"/>
      <c r="G76" s="35" t="s">
        <v>828</v>
      </c>
    </row>
    <row r="77" spans="1:7">
      <c r="A77" s="1" t="s">
        <v>502</v>
      </c>
      <c r="B77" s="1" t="s">
        <v>502</v>
      </c>
      <c r="C77" s="1" t="s">
        <v>163</v>
      </c>
      <c r="D77" s="42">
        <v>50.4</v>
      </c>
      <c r="E77" s="108" t="s">
        <v>121</v>
      </c>
      <c r="F77" s="35"/>
      <c r="G77" s="35" t="s">
        <v>828</v>
      </c>
    </row>
    <row r="78" spans="1:7">
      <c r="A78" s="1" t="s">
        <v>652</v>
      </c>
      <c r="B78" s="1" t="s">
        <v>811</v>
      </c>
      <c r="C78" s="1" t="s">
        <v>840</v>
      </c>
      <c r="D78" s="42">
        <v>50</v>
      </c>
      <c r="E78" s="108" t="s">
        <v>6</v>
      </c>
      <c r="F78" s="35"/>
      <c r="G78" s="35" t="s">
        <v>827</v>
      </c>
    </row>
    <row r="79" spans="1:7">
      <c r="A79" s="1" t="s">
        <v>611</v>
      </c>
      <c r="B79" s="1" t="s">
        <v>778</v>
      </c>
      <c r="C79" s="1" t="s">
        <v>163</v>
      </c>
      <c r="D79" s="42">
        <v>48.3</v>
      </c>
      <c r="E79" s="108" t="s">
        <v>125</v>
      </c>
      <c r="F79" s="35"/>
      <c r="G79" s="35" t="s">
        <v>826</v>
      </c>
    </row>
    <row r="80" spans="1:7">
      <c r="A80" s="1" t="s">
        <v>478</v>
      </c>
      <c r="B80" s="1" t="s">
        <v>478</v>
      </c>
      <c r="C80" s="1" t="s">
        <v>163</v>
      </c>
      <c r="D80" s="42">
        <v>48</v>
      </c>
      <c r="E80" s="108" t="s">
        <v>124</v>
      </c>
      <c r="F80" s="35"/>
      <c r="G80" s="35" t="s">
        <v>827</v>
      </c>
    </row>
    <row r="81" spans="1:7">
      <c r="A81" s="1" t="s">
        <v>598</v>
      </c>
      <c r="B81" s="1" t="s">
        <v>768</v>
      </c>
      <c r="C81" s="1" t="s">
        <v>163</v>
      </c>
      <c r="D81" s="42">
        <v>48</v>
      </c>
      <c r="E81" s="108" t="s">
        <v>121</v>
      </c>
      <c r="F81" s="35"/>
      <c r="G81" s="35" t="s">
        <v>826</v>
      </c>
    </row>
    <row r="82" spans="1:7">
      <c r="A82" s="1" t="s">
        <v>427</v>
      </c>
      <c r="B82" s="1" t="s">
        <v>427</v>
      </c>
      <c r="C82" s="1" t="s">
        <v>163</v>
      </c>
      <c r="D82" s="42">
        <v>45.6</v>
      </c>
      <c r="E82" s="108" t="s">
        <v>120</v>
      </c>
      <c r="F82" s="35"/>
      <c r="G82" s="35" t="s">
        <v>828</v>
      </c>
    </row>
    <row r="83" spans="1:7">
      <c r="A83" s="1" t="s">
        <v>482</v>
      </c>
      <c r="B83" s="1" t="s">
        <v>482</v>
      </c>
      <c r="C83" s="1" t="s">
        <v>163</v>
      </c>
      <c r="D83" s="42">
        <v>45.6</v>
      </c>
      <c r="E83" s="108" t="s">
        <v>120</v>
      </c>
      <c r="F83" s="35"/>
      <c r="G83" s="35" t="s">
        <v>828</v>
      </c>
    </row>
    <row r="84" spans="1:7">
      <c r="A84" s="1" t="s">
        <v>519</v>
      </c>
      <c r="B84" s="1" t="s">
        <v>723</v>
      </c>
      <c r="C84" s="1" t="s">
        <v>163</v>
      </c>
      <c r="D84" s="42">
        <v>45.6</v>
      </c>
      <c r="E84" s="108" t="s">
        <v>19</v>
      </c>
      <c r="F84" s="35"/>
      <c r="G84" s="35" t="s">
        <v>826</v>
      </c>
    </row>
    <row r="85" spans="1:7">
      <c r="A85" s="1" t="s">
        <v>542</v>
      </c>
      <c r="B85" s="1" t="s">
        <v>542</v>
      </c>
      <c r="C85" s="1" t="s">
        <v>163</v>
      </c>
      <c r="D85" s="42">
        <v>45.6</v>
      </c>
      <c r="E85" s="108" t="s">
        <v>125</v>
      </c>
      <c r="F85" s="35"/>
      <c r="G85" s="35" t="s">
        <v>827</v>
      </c>
    </row>
    <row r="86" spans="1:7">
      <c r="A86" s="1" t="s">
        <v>507</v>
      </c>
      <c r="B86" s="1" t="s">
        <v>507</v>
      </c>
      <c r="C86" s="1" t="s">
        <v>163</v>
      </c>
      <c r="D86" s="42">
        <v>44.9</v>
      </c>
      <c r="E86" s="108" t="s">
        <v>126</v>
      </c>
      <c r="F86" s="35"/>
      <c r="G86" s="35" t="s">
        <v>827</v>
      </c>
    </row>
    <row r="87" spans="1:7">
      <c r="A87" s="1" t="s">
        <v>430</v>
      </c>
      <c r="B87" s="1" t="s">
        <v>676</v>
      </c>
      <c r="C87" s="1" t="s">
        <v>163</v>
      </c>
      <c r="D87" s="42">
        <v>44.8</v>
      </c>
      <c r="E87" s="108" t="s">
        <v>125</v>
      </c>
      <c r="F87" s="35"/>
      <c r="G87" s="35" t="s">
        <v>827</v>
      </c>
    </row>
    <row r="88" spans="1:7">
      <c r="A88" s="1" t="s">
        <v>593</v>
      </c>
      <c r="B88" s="1" t="s">
        <v>765</v>
      </c>
      <c r="C88" s="1" t="s">
        <v>163</v>
      </c>
      <c r="D88" s="42">
        <v>44</v>
      </c>
      <c r="E88" s="108" t="s">
        <v>125</v>
      </c>
      <c r="F88" s="35"/>
      <c r="G88" s="35" t="s">
        <v>828</v>
      </c>
    </row>
    <row r="89" spans="1:7">
      <c r="A89" s="1" t="s">
        <v>604</v>
      </c>
      <c r="B89" s="1" t="s">
        <v>773</v>
      </c>
      <c r="C89" s="1" t="s">
        <v>163</v>
      </c>
      <c r="D89" s="42">
        <v>44</v>
      </c>
      <c r="E89" s="108" t="s">
        <v>121</v>
      </c>
      <c r="F89" s="35"/>
      <c r="G89" s="35" t="s">
        <v>826</v>
      </c>
    </row>
    <row r="90" spans="1:7">
      <c r="A90" s="1" t="s">
        <v>489</v>
      </c>
      <c r="B90" s="1" t="s">
        <v>705</v>
      </c>
      <c r="C90" s="1" t="s">
        <v>163</v>
      </c>
      <c r="D90" s="42">
        <v>43.2</v>
      </c>
      <c r="E90" s="108" t="s">
        <v>125</v>
      </c>
      <c r="F90" s="35"/>
      <c r="G90" s="35" t="s">
        <v>827</v>
      </c>
    </row>
    <row r="91" spans="1:7">
      <c r="A91" s="1" t="s">
        <v>492</v>
      </c>
      <c r="B91" s="1" t="s">
        <v>707</v>
      </c>
      <c r="C91" s="1" t="s">
        <v>163</v>
      </c>
      <c r="D91" s="42">
        <v>43.2</v>
      </c>
      <c r="E91" s="108" t="s">
        <v>120</v>
      </c>
      <c r="F91" s="35"/>
      <c r="G91" s="35" t="s">
        <v>828</v>
      </c>
    </row>
    <row r="92" spans="1:7">
      <c r="A92" s="1" t="s">
        <v>581</v>
      </c>
      <c r="B92" s="1" t="s">
        <v>757</v>
      </c>
      <c r="C92" s="1" t="s">
        <v>163</v>
      </c>
      <c r="D92" s="42">
        <v>43</v>
      </c>
      <c r="E92" s="108" t="s">
        <v>125</v>
      </c>
      <c r="F92" s="35"/>
      <c r="G92" s="35" t="s">
        <v>828</v>
      </c>
    </row>
    <row r="93" spans="1:7">
      <c r="A93" s="1" t="s">
        <v>416</v>
      </c>
      <c r="B93" s="1" t="s">
        <v>416</v>
      </c>
      <c r="C93" s="1" t="s">
        <v>163</v>
      </c>
      <c r="D93" s="42">
        <v>42.4</v>
      </c>
      <c r="E93" s="108" t="s">
        <v>126</v>
      </c>
      <c r="F93" s="35"/>
      <c r="G93" s="35" t="s">
        <v>827</v>
      </c>
    </row>
    <row r="94" spans="1:7">
      <c r="A94" s="1" t="s">
        <v>481</v>
      </c>
      <c r="B94" s="1" t="s">
        <v>481</v>
      </c>
      <c r="C94" s="1" t="s">
        <v>163</v>
      </c>
      <c r="D94" s="42">
        <v>42</v>
      </c>
      <c r="E94" s="108" t="s">
        <v>125</v>
      </c>
      <c r="F94" s="35"/>
      <c r="G94" s="35" t="s">
        <v>827</v>
      </c>
    </row>
    <row r="95" spans="1:7">
      <c r="A95" s="1" t="s">
        <v>633</v>
      </c>
      <c r="B95" s="1" t="s">
        <v>633</v>
      </c>
      <c r="C95" s="1" t="s">
        <v>163</v>
      </c>
      <c r="D95" s="42">
        <v>42</v>
      </c>
      <c r="E95" s="108" t="s">
        <v>5</v>
      </c>
      <c r="F95" s="35"/>
      <c r="G95" s="35" t="s">
        <v>827</v>
      </c>
    </row>
    <row r="96" spans="1:7">
      <c r="A96" s="1" t="s">
        <v>419</v>
      </c>
      <c r="B96" s="1" t="s">
        <v>670</v>
      </c>
      <c r="C96" s="1" t="s">
        <v>163</v>
      </c>
      <c r="D96" s="42">
        <v>41.3</v>
      </c>
      <c r="E96" s="108" t="s">
        <v>122</v>
      </c>
      <c r="F96" s="35"/>
      <c r="G96" s="35" t="s">
        <v>828</v>
      </c>
    </row>
    <row r="97" spans="1:7">
      <c r="A97" s="1" t="s">
        <v>525</v>
      </c>
      <c r="B97" s="1" t="s">
        <v>727</v>
      </c>
      <c r="C97" s="1" t="s">
        <v>163</v>
      </c>
      <c r="D97" s="42">
        <v>41.3</v>
      </c>
      <c r="E97" s="108" t="s">
        <v>125</v>
      </c>
      <c r="F97" s="35"/>
      <c r="G97" s="35" t="s">
        <v>828</v>
      </c>
    </row>
    <row r="98" spans="1:7">
      <c r="A98" s="1" t="s">
        <v>548</v>
      </c>
      <c r="B98" s="1" t="s">
        <v>739</v>
      </c>
      <c r="C98" s="1" t="s">
        <v>840</v>
      </c>
      <c r="D98" s="42">
        <v>40</v>
      </c>
      <c r="E98" s="108" t="s">
        <v>168</v>
      </c>
      <c r="F98" s="35"/>
      <c r="G98" s="35" t="s">
        <v>826</v>
      </c>
    </row>
    <row r="99" spans="1:7">
      <c r="A99" s="1" t="s">
        <v>464</v>
      </c>
      <c r="B99" s="1" t="s">
        <v>697</v>
      </c>
      <c r="C99" s="1" t="s">
        <v>163</v>
      </c>
      <c r="D99" s="42">
        <v>39.9</v>
      </c>
      <c r="E99" s="108" t="s">
        <v>125</v>
      </c>
      <c r="F99" s="35"/>
      <c r="G99" s="35" t="s">
        <v>826</v>
      </c>
    </row>
    <row r="100" spans="1:7">
      <c r="A100" s="1" t="s">
        <v>646</v>
      </c>
      <c r="B100" s="1" t="s">
        <v>806</v>
      </c>
      <c r="C100" s="1" t="s">
        <v>163</v>
      </c>
      <c r="D100" s="42">
        <v>39.9</v>
      </c>
      <c r="E100" s="108" t="s">
        <v>125</v>
      </c>
      <c r="F100" s="35"/>
      <c r="G100" s="35" t="s">
        <v>826</v>
      </c>
    </row>
    <row r="101" spans="1:7">
      <c r="A101" s="1" t="s">
        <v>484</v>
      </c>
      <c r="B101" s="1" t="s">
        <v>704</v>
      </c>
      <c r="C101" s="1" t="s">
        <v>163</v>
      </c>
      <c r="D101" s="42">
        <v>39</v>
      </c>
      <c r="E101" s="108" t="s">
        <v>19</v>
      </c>
      <c r="F101" s="35"/>
      <c r="G101" s="35" t="s">
        <v>827</v>
      </c>
    </row>
    <row r="102" spans="1:7">
      <c r="A102" s="1" t="s">
        <v>428</v>
      </c>
      <c r="B102" s="1" t="s">
        <v>675</v>
      </c>
      <c r="C102" s="1" t="s">
        <v>163</v>
      </c>
      <c r="D102" s="42">
        <v>38.5</v>
      </c>
      <c r="E102" s="108" t="s">
        <v>126</v>
      </c>
      <c r="F102" s="35"/>
      <c r="G102" s="35" t="s">
        <v>827</v>
      </c>
    </row>
    <row r="103" spans="1:7">
      <c r="A103" s="1" t="s">
        <v>649</v>
      </c>
      <c r="B103" s="1" t="s">
        <v>809</v>
      </c>
      <c r="C103" s="1" t="s">
        <v>163</v>
      </c>
      <c r="D103" s="42">
        <v>38.5</v>
      </c>
      <c r="E103" s="108" t="s">
        <v>120</v>
      </c>
      <c r="F103" s="35"/>
      <c r="G103" s="35" t="s">
        <v>827</v>
      </c>
    </row>
    <row r="104" spans="1:7">
      <c r="A104" s="1" t="s">
        <v>664</v>
      </c>
      <c r="B104" s="1" t="s">
        <v>816</v>
      </c>
      <c r="C104" s="1" t="s">
        <v>163</v>
      </c>
      <c r="D104" s="42">
        <v>37.800000000000004</v>
      </c>
      <c r="E104" s="108" t="s">
        <v>121</v>
      </c>
      <c r="F104" s="35"/>
      <c r="G104" s="35" t="s">
        <v>826</v>
      </c>
    </row>
    <row r="105" spans="1:7">
      <c r="A105" s="1" t="s">
        <v>644</v>
      </c>
      <c r="B105" s="1" t="s">
        <v>644</v>
      </c>
      <c r="C105" s="1" t="s">
        <v>163</v>
      </c>
      <c r="D105" s="42">
        <v>36</v>
      </c>
      <c r="E105" s="108" t="s">
        <v>126</v>
      </c>
      <c r="F105" s="35"/>
      <c r="G105" s="35" t="s">
        <v>828</v>
      </c>
    </row>
    <row r="106" spans="1:7">
      <c r="A106" s="1" t="s">
        <v>434</v>
      </c>
      <c r="B106" s="1" t="s">
        <v>434</v>
      </c>
      <c r="C106" s="1" t="s">
        <v>164</v>
      </c>
      <c r="D106" s="42">
        <v>35.200000000000003</v>
      </c>
      <c r="E106" s="108" t="s">
        <v>121</v>
      </c>
      <c r="F106" s="35"/>
      <c r="G106" s="35" t="s">
        <v>826</v>
      </c>
    </row>
    <row r="107" spans="1:7">
      <c r="A107" s="1" t="s">
        <v>418</v>
      </c>
      <c r="B107" s="1" t="s">
        <v>418</v>
      </c>
      <c r="C107" s="1" t="s">
        <v>163</v>
      </c>
      <c r="D107" s="42">
        <v>34.5</v>
      </c>
      <c r="E107" s="108" t="s">
        <v>121</v>
      </c>
      <c r="F107" s="35"/>
      <c r="G107" s="35" t="s">
        <v>827</v>
      </c>
    </row>
    <row r="108" spans="1:7">
      <c r="A108" s="1" t="s">
        <v>550</v>
      </c>
      <c r="B108" s="1" t="s">
        <v>740</v>
      </c>
      <c r="C108" s="1" t="s">
        <v>163</v>
      </c>
      <c r="D108" s="42">
        <v>34.5</v>
      </c>
      <c r="E108" s="108" t="s">
        <v>121</v>
      </c>
      <c r="F108" s="35"/>
      <c r="G108" s="35" t="s">
        <v>827</v>
      </c>
    </row>
    <row r="109" spans="1:7">
      <c r="A109" s="1" t="s">
        <v>446</v>
      </c>
      <c r="B109" s="1" t="s">
        <v>687</v>
      </c>
      <c r="C109" s="1" t="s">
        <v>163</v>
      </c>
      <c r="D109" s="42">
        <v>33.9</v>
      </c>
      <c r="E109" s="108" t="s">
        <v>125</v>
      </c>
      <c r="F109" s="35"/>
      <c r="G109" s="35" t="s">
        <v>826</v>
      </c>
    </row>
    <row r="110" spans="1:7">
      <c r="A110" s="1" t="s">
        <v>613</v>
      </c>
      <c r="B110" s="1" t="s">
        <v>780</v>
      </c>
      <c r="C110" s="1" t="s">
        <v>163</v>
      </c>
      <c r="D110" s="42">
        <v>33.6</v>
      </c>
      <c r="E110" s="108" t="s">
        <v>121</v>
      </c>
      <c r="F110" s="35"/>
      <c r="G110" s="35" t="s">
        <v>826</v>
      </c>
    </row>
    <row r="111" spans="1:7">
      <c r="A111" s="1" t="s">
        <v>486</v>
      </c>
      <c r="B111" s="1" t="s">
        <v>486</v>
      </c>
      <c r="C111" s="1" t="s">
        <v>163</v>
      </c>
      <c r="D111" s="42">
        <v>33</v>
      </c>
      <c r="E111" s="108" t="s">
        <v>19</v>
      </c>
      <c r="F111" s="35"/>
      <c r="G111" s="35" t="s">
        <v>827</v>
      </c>
    </row>
    <row r="112" spans="1:7">
      <c r="A112" s="1" t="s">
        <v>544</v>
      </c>
      <c r="B112" s="1" t="s">
        <v>737</v>
      </c>
      <c r="C112" s="1" t="s">
        <v>163</v>
      </c>
      <c r="D112" s="42">
        <v>33</v>
      </c>
      <c r="E112" s="108" t="s">
        <v>125</v>
      </c>
      <c r="F112" s="35"/>
      <c r="G112" s="35" t="s">
        <v>826</v>
      </c>
    </row>
    <row r="113" spans="1:7">
      <c r="A113" s="1" t="s">
        <v>636</v>
      </c>
      <c r="B113" s="1" t="s">
        <v>796</v>
      </c>
      <c r="C113" s="1" t="s">
        <v>163</v>
      </c>
      <c r="D113" s="42">
        <v>32.25</v>
      </c>
      <c r="E113" s="108" t="s">
        <v>126</v>
      </c>
      <c r="F113" s="35"/>
      <c r="G113" s="35" t="s">
        <v>827</v>
      </c>
    </row>
    <row r="114" spans="1:7">
      <c r="A114" s="1" t="s">
        <v>453</v>
      </c>
      <c r="B114" s="1" t="s">
        <v>663</v>
      </c>
      <c r="C114" s="1" t="s">
        <v>163</v>
      </c>
      <c r="D114" s="42">
        <v>31</v>
      </c>
      <c r="E114" s="108" t="s">
        <v>122</v>
      </c>
      <c r="F114" s="35"/>
      <c r="G114" s="35" t="s">
        <v>827</v>
      </c>
    </row>
    <row r="115" spans="1:7">
      <c r="A115" s="1" t="s">
        <v>466</v>
      </c>
      <c r="B115" s="1" t="s">
        <v>466</v>
      </c>
      <c r="C115" s="1" t="s">
        <v>163</v>
      </c>
      <c r="D115" s="42">
        <v>30</v>
      </c>
      <c r="E115" s="108" t="s">
        <v>5</v>
      </c>
      <c r="F115" s="35"/>
      <c r="G115" s="35" t="s">
        <v>827</v>
      </c>
    </row>
    <row r="116" spans="1:7">
      <c r="A116" s="1" t="s">
        <v>524</v>
      </c>
      <c r="B116" s="1" t="s">
        <v>726</v>
      </c>
      <c r="C116" s="1" t="s">
        <v>163</v>
      </c>
      <c r="D116" s="42">
        <v>30</v>
      </c>
      <c r="E116" s="108" t="s">
        <v>122</v>
      </c>
      <c r="F116" s="35"/>
      <c r="G116" s="35" t="s">
        <v>827</v>
      </c>
    </row>
    <row r="117" spans="1:7">
      <c r="A117" s="1" t="s">
        <v>577</v>
      </c>
      <c r="B117" s="1" t="s">
        <v>577</v>
      </c>
      <c r="C117" s="1" t="s">
        <v>163</v>
      </c>
      <c r="D117" s="42">
        <v>30</v>
      </c>
      <c r="E117" s="108" t="s">
        <v>120</v>
      </c>
      <c r="F117" s="35"/>
      <c r="G117" s="35" t="s">
        <v>828</v>
      </c>
    </row>
    <row r="118" spans="1:7">
      <c r="A118" s="1" t="s">
        <v>616</v>
      </c>
      <c r="B118" s="1" t="s">
        <v>577</v>
      </c>
      <c r="C118" s="1" t="s">
        <v>163</v>
      </c>
      <c r="D118" s="42">
        <v>30</v>
      </c>
      <c r="E118" s="108" t="s">
        <v>120</v>
      </c>
      <c r="F118" s="35"/>
      <c r="G118" s="35" t="s">
        <v>828</v>
      </c>
    </row>
    <row r="119" spans="1:7">
      <c r="A119" s="1" t="s">
        <v>490</v>
      </c>
      <c r="B119" s="1" t="s">
        <v>706</v>
      </c>
      <c r="C119" s="1" t="s">
        <v>163</v>
      </c>
      <c r="D119" s="42">
        <v>29.96</v>
      </c>
      <c r="E119" s="108" t="s">
        <v>121</v>
      </c>
      <c r="F119" s="35"/>
      <c r="G119" s="35" t="s">
        <v>828</v>
      </c>
    </row>
    <row r="120" spans="1:7">
      <c r="A120" s="1" t="s">
        <v>448</v>
      </c>
      <c r="B120" s="1" t="s">
        <v>448</v>
      </c>
      <c r="C120" s="1" t="s">
        <v>163</v>
      </c>
      <c r="D120" s="42">
        <v>29.9</v>
      </c>
      <c r="E120" s="108" t="s">
        <v>19</v>
      </c>
      <c r="F120" s="35"/>
      <c r="G120" s="35" t="s">
        <v>828</v>
      </c>
    </row>
    <row r="121" spans="1:7">
      <c r="A121" s="1" t="s">
        <v>607</v>
      </c>
      <c r="B121" s="1" t="s">
        <v>776</v>
      </c>
      <c r="C121" s="1" t="s">
        <v>163</v>
      </c>
      <c r="D121" s="42">
        <v>29.7</v>
      </c>
      <c r="E121" s="108" t="s">
        <v>126</v>
      </c>
      <c r="F121" s="35"/>
      <c r="G121" s="35" t="s">
        <v>828</v>
      </c>
    </row>
    <row r="122" spans="1:7">
      <c r="A122" s="1" t="s">
        <v>452</v>
      </c>
      <c r="B122" s="1" t="s">
        <v>692</v>
      </c>
      <c r="C122" s="1" t="s">
        <v>163</v>
      </c>
      <c r="D122" s="42">
        <v>29.5</v>
      </c>
      <c r="E122" s="108" t="s">
        <v>125</v>
      </c>
      <c r="F122" s="35"/>
      <c r="G122" s="35" t="s">
        <v>826</v>
      </c>
    </row>
    <row r="123" spans="1:7">
      <c r="A123" s="1" t="s">
        <v>496</v>
      </c>
      <c r="B123" s="1" t="s">
        <v>711</v>
      </c>
      <c r="C123" s="1" t="s">
        <v>163</v>
      </c>
      <c r="D123" s="42">
        <v>29.5</v>
      </c>
      <c r="E123" s="108" t="s">
        <v>122</v>
      </c>
      <c r="F123" s="35"/>
      <c r="G123" s="35" t="s">
        <v>826</v>
      </c>
    </row>
    <row r="124" spans="1:7">
      <c r="A124" s="1" t="s">
        <v>547</v>
      </c>
      <c r="B124" s="1" t="s">
        <v>738</v>
      </c>
      <c r="C124" s="1" t="s">
        <v>163</v>
      </c>
      <c r="D124" s="42">
        <v>29.5</v>
      </c>
      <c r="E124" s="108" t="s">
        <v>122</v>
      </c>
      <c r="F124" s="35"/>
      <c r="G124" s="35" t="s">
        <v>828</v>
      </c>
    </row>
    <row r="125" spans="1:7">
      <c r="A125" s="1" t="s">
        <v>582</v>
      </c>
      <c r="B125" s="1" t="s">
        <v>758</v>
      </c>
      <c r="C125" s="1" t="s">
        <v>163</v>
      </c>
      <c r="D125" s="42">
        <v>29.5</v>
      </c>
      <c r="E125" s="108" t="s">
        <v>121</v>
      </c>
      <c r="F125" s="35"/>
      <c r="G125" s="35" t="s">
        <v>828</v>
      </c>
    </row>
    <row r="126" spans="1:7">
      <c r="A126" s="1" t="s">
        <v>623</v>
      </c>
      <c r="B126" s="1" t="s">
        <v>785</v>
      </c>
      <c r="C126" s="1" t="s">
        <v>163</v>
      </c>
      <c r="D126" s="42">
        <v>29.5</v>
      </c>
      <c r="E126" s="108" t="s">
        <v>122</v>
      </c>
      <c r="F126" s="35"/>
      <c r="G126" s="35" t="s">
        <v>827</v>
      </c>
    </row>
    <row r="127" spans="1:7">
      <c r="A127" s="1" t="s">
        <v>650</v>
      </c>
      <c r="B127" s="1" t="s">
        <v>650</v>
      </c>
      <c r="C127" s="1" t="s">
        <v>163</v>
      </c>
      <c r="D127" s="42">
        <v>29.5</v>
      </c>
      <c r="E127" s="108" t="s">
        <v>6</v>
      </c>
      <c r="F127" s="35"/>
      <c r="G127" s="35" t="s">
        <v>827</v>
      </c>
    </row>
    <row r="128" spans="1:7">
      <c r="A128" s="1" t="s">
        <v>488</v>
      </c>
      <c r="B128" s="1" t="s">
        <v>488</v>
      </c>
      <c r="C128" s="1" t="s">
        <v>163</v>
      </c>
      <c r="D128" s="42">
        <v>28.9</v>
      </c>
      <c r="E128" s="108" t="s">
        <v>120</v>
      </c>
      <c r="F128" s="35"/>
      <c r="G128" s="35" t="s">
        <v>828</v>
      </c>
    </row>
    <row r="129" spans="1:7">
      <c r="A129" s="1" t="s">
        <v>538</v>
      </c>
      <c r="B129" s="1" t="s">
        <v>538</v>
      </c>
      <c r="C129" s="1" t="s">
        <v>163</v>
      </c>
      <c r="D129" s="42">
        <v>28.9</v>
      </c>
      <c r="E129" s="108" t="s">
        <v>120</v>
      </c>
      <c r="F129" s="35"/>
      <c r="G129" s="35" t="s">
        <v>828</v>
      </c>
    </row>
    <row r="130" spans="1:7">
      <c r="A130" s="1" t="s">
        <v>645</v>
      </c>
      <c r="B130" s="1" t="s">
        <v>805</v>
      </c>
      <c r="C130" s="1" t="s">
        <v>163</v>
      </c>
      <c r="D130" s="42">
        <v>28.8</v>
      </c>
      <c r="E130" s="108" t="s">
        <v>126</v>
      </c>
      <c r="F130" s="35"/>
      <c r="G130" s="35" t="s">
        <v>828</v>
      </c>
    </row>
    <row r="131" spans="1:7">
      <c r="A131" s="1" t="s">
        <v>635</v>
      </c>
      <c r="B131" s="1" t="s">
        <v>635</v>
      </c>
      <c r="C131" s="1" t="s">
        <v>163</v>
      </c>
      <c r="D131" s="42">
        <v>28.5</v>
      </c>
      <c r="E131" s="108" t="s">
        <v>122</v>
      </c>
      <c r="F131" s="35"/>
      <c r="G131" s="35" t="s">
        <v>828</v>
      </c>
    </row>
    <row r="132" spans="1:7">
      <c r="A132" s="1" t="s">
        <v>579</v>
      </c>
      <c r="B132" s="1" t="s">
        <v>579</v>
      </c>
      <c r="C132" s="1" t="s">
        <v>163</v>
      </c>
      <c r="D132" s="42">
        <v>27.6</v>
      </c>
      <c r="E132" s="108" t="s">
        <v>126</v>
      </c>
      <c r="F132" s="35"/>
      <c r="G132" s="35" t="s">
        <v>827</v>
      </c>
    </row>
    <row r="133" spans="1:7">
      <c r="A133" s="1" t="s">
        <v>461</v>
      </c>
      <c r="B133" s="1" t="s">
        <v>695</v>
      </c>
      <c r="C133" s="1" t="s">
        <v>163</v>
      </c>
      <c r="D133" s="42">
        <v>27</v>
      </c>
      <c r="E133" s="108" t="s">
        <v>126</v>
      </c>
      <c r="F133" s="35"/>
      <c r="G133" s="35" t="s">
        <v>826</v>
      </c>
    </row>
    <row r="134" spans="1:7">
      <c r="A134" s="1" t="s">
        <v>491</v>
      </c>
      <c r="B134" s="1" t="s">
        <v>491</v>
      </c>
      <c r="C134" s="1" t="s">
        <v>163</v>
      </c>
      <c r="D134" s="42">
        <v>27</v>
      </c>
      <c r="E134" s="108" t="s">
        <v>5</v>
      </c>
      <c r="F134" s="35"/>
      <c r="G134" s="35" t="s">
        <v>827</v>
      </c>
    </row>
    <row r="135" spans="1:7">
      <c r="A135" s="1" t="s">
        <v>511</v>
      </c>
      <c r="B135" s="1" t="s">
        <v>511</v>
      </c>
      <c r="C135" s="1" t="s">
        <v>163</v>
      </c>
      <c r="D135" s="42">
        <v>27</v>
      </c>
      <c r="E135" s="108" t="s">
        <v>124</v>
      </c>
      <c r="F135" s="35"/>
      <c r="G135" s="35" t="s">
        <v>828</v>
      </c>
    </row>
    <row r="136" spans="1:7">
      <c r="A136" s="1" t="s">
        <v>587</v>
      </c>
      <c r="B136" s="1" t="s">
        <v>761</v>
      </c>
      <c r="C136" s="1" t="s">
        <v>840</v>
      </c>
      <c r="D136" s="42">
        <v>27</v>
      </c>
      <c r="E136" s="108" t="s">
        <v>3</v>
      </c>
      <c r="F136" s="35"/>
      <c r="G136" s="35" t="s">
        <v>826</v>
      </c>
    </row>
    <row r="137" spans="1:7">
      <c r="A137" s="1" t="s">
        <v>600</v>
      </c>
      <c r="B137" s="1" t="s">
        <v>600</v>
      </c>
      <c r="C137" s="1" t="s">
        <v>163</v>
      </c>
      <c r="D137" s="42">
        <v>27</v>
      </c>
      <c r="E137" s="108" t="s">
        <v>5</v>
      </c>
      <c r="F137" s="35"/>
      <c r="G137" s="35" t="s">
        <v>827</v>
      </c>
    </row>
    <row r="138" spans="1:7">
      <c r="A138" s="1" t="s">
        <v>549</v>
      </c>
      <c r="B138" s="1" t="s">
        <v>549</v>
      </c>
      <c r="C138" s="1" t="s">
        <v>163</v>
      </c>
      <c r="D138" s="42">
        <v>26.4</v>
      </c>
      <c r="E138" s="108" t="s">
        <v>125</v>
      </c>
      <c r="F138" s="35"/>
      <c r="G138" s="35" t="s">
        <v>827</v>
      </c>
    </row>
    <row r="139" spans="1:7">
      <c r="A139" s="1" t="s">
        <v>594</v>
      </c>
      <c r="B139" s="1" t="s">
        <v>594</v>
      </c>
      <c r="C139" s="1" t="s">
        <v>163</v>
      </c>
      <c r="D139" s="42">
        <v>26.4</v>
      </c>
      <c r="E139" s="108" t="s">
        <v>125</v>
      </c>
      <c r="F139" s="35"/>
      <c r="G139" s="35" t="s">
        <v>826</v>
      </c>
    </row>
    <row r="140" spans="1:7">
      <c r="A140" s="1" t="s">
        <v>617</v>
      </c>
      <c r="B140" s="1" t="s">
        <v>617</v>
      </c>
      <c r="C140" s="1" t="s">
        <v>163</v>
      </c>
      <c r="D140" s="42">
        <v>26.4</v>
      </c>
      <c r="E140" s="108" t="s">
        <v>5</v>
      </c>
      <c r="F140" s="35"/>
      <c r="G140" s="35" t="s">
        <v>826</v>
      </c>
    </row>
    <row r="141" spans="1:7">
      <c r="A141" s="1" t="s">
        <v>655</v>
      </c>
      <c r="B141" s="1" t="s">
        <v>812</v>
      </c>
      <c r="C141" s="1" t="s">
        <v>840</v>
      </c>
      <c r="D141" s="42">
        <v>26</v>
      </c>
      <c r="E141" s="108" t="s">
        <v>122</v>
      </c>
      <c r="F141" s="35"/>
      <c r="G141" s="35" t="s">
        <v>827</v>
      </c>
    </row>
    <row r="142" spans="1:7">
      <c r="A142" s="1" t="s">
        <v>656</v>
      </c>
      <c r="B142" s="1" t="s">
        <v>813</v>
      </c>
      <c r="C142" s="1" t="s">
        <v>163</v>
      </c>
      <c r="D142" s="42">
        <v>25.9</v>
      </c>
      <c r="E142" s="108" t="s">
        <v>168</v>
      </c>
      <c r="F142" s="35"/>
      <c r="G142" s="35" t="s">
        <v>828</v>
      </c>
    </row>
    <row r="143" spans="1:7">
      <c r="A143" s="1" t="s">
        <v>442</v>
      </c>
      <c r="B143" s="1" t="s">
        <v>683</v>
      </c>
      <c r="C143" s="1" t="s">
        <v>163</v>
      </c>
      <c r="D143" s="42">
        <v>25.8</v>
      </c>
      <c r="E143" s="108" t="s">
        <v>6</v>
      </c>
      <c r="F143" s="35"/>
      <c r="G143" s="35" t="s">
        <v>828</v>
      </c>
    </row>
    <row r="144" spans="1:7">
      <c r="A144" s="1" t="s">
        <v>654</v>
      </c>
      <c r="B144" s="1" t="s">
        <v>654</v>
      </c>
      <c r="C144" s="1" t="s">
        <v>163</v>
      </c>
      <c r="D144" s="42">
        <v>25.65</v>
      </c>
      <c r="E144" s="108" t="s">
        <v>125</v>
      </c>
      <c r="F144" s="35"/>
      <c r="G144" s="35" t="s">
        <v>828</v>
      </c>
    </row>
    <row r="145" spans="1:7">
      <c r="A145" s="1" t="s">
        <v>500</v>
      </c>
      <c r="B145" s="1" t="s">
        <v>713</v>
      </c>
      <c r="C145" s="1" t="s">
        <v>164</v>
      </c>
      <c r="D145" s="42">
        <v>24.64</v>
      </c>
      <c r="E145" s="108" t="s">
        <v>5</v>
      </c>
      <c r="F145" s="35"/>
      <c r="G145" s="35" t="s">
        <v>828</v>
      </c>
    </row>
    <row r="146" spans="1:7">
      <c r="A146" s="1" t="s">
        <v>589</v>
      </c>
      <c r="B146" s="1" t="s">
        <v>589</v>
      </c>
      <c r="C146" s="1" t="s">
        <v>163</v>
      </c>
      <c r="D146" s="42">
        <v>24.2</v>
      </c>
      <c r="E146" s="108" t="s">
        <v>126</v>
      </c>
      <c r="F146" s="35"/>
      <c r="G146" s="35" t="s">
        <v>828</v>
      </c>
    </row>
    <row r="147" spans="1:7">
      <c r="A147" s="1" t="s">
        <v>472</v>
      </c>
      <c r="B147" s="1" t="s">
        <v>472</v>
      </c>
      <c r="C147" s="1" t="s">
        <v>163</v>
      </c>
      <c r="D147" s="42">
        <v>24</v>
      </c>
      <c r="E147" s="108" t="s">
        <v>5</v>
      </c>
      <c r="F147" s="35"/>
      <c r="G147" s="35" t="s">
        <v>828</v>
      </c>
    </row>
    <row r="148" spans="1:7">
      <c r="A148" s="1" t="s">
        <v>423</v>
      </c>
      <c r="B148" s="1" t="s">
        <v>674</v>
      </c>
      <c r="C148" s="1" t="s">
        <v>163</v>
      </c>
      <c r="D148" s="42">
        <v>23.1</v>
      </c>
      <c r="E148" s="108" t="s">
        <v>125</v>
      </c>
      <c r="F148" s="35"/>
      <c r="G148" s="35" t="s">
        <v>828</v>
      </c>
    </row>
    <row r="149" spans="1:7">
      <c r="A149" s="1" t="s">
        <v>568</v>
      </c>
      <c r="B149" s="1" t="s">
        <v>751</v>
      </c>
      <c r="C149" s="1" t="s">
        <v>163</v>
      </c>
      <c r="D149" s="42">
        <v>23.1</v>
      </c>
      <c r="E149" s="108" t="s">
        <v>125</v>
      </c>
      <c r="F149" s="35"/>
      <c r="G149" s="35" t="s">
        <v>828</v>
      </c>
    </row>
    <row r="150" spans="1:7">
      <c r="A150" s="1" t="s">
        <v>425</v>
      </c>
      <c r="B150" s="1" t="s">
        <v>425</v>
      </c>
      <c r="C150" s="1" t="s">
        <v>163</v>
      </c>
      <c r="D150" s="42">
        <v>22.8</v>
      </c>
      <c r="E150" s="108" t="s">
        <v>120</v>
      </c>
      <c r="F150" s="35"/>
      <c r="G150" s="35" t="s">
        <v>828</v>
      </c>
    </row>
    <row r="151" spans="1:7">
      <c r="A151" s="1" t="s">
        <v>602</v>
      </c>
      <c r="B151" s="1" t="s">
        <v>771</v>
      </c>
      <c r="C151" s="1" t="s">
        <v>163</v>
      </c>
      <c r="D151" s="42">
        <v>22.5</v>
      </c>
      <c r="E151" s="108" t="s">
        <v>122</v>
      </c>
      <c r="F151" s="35"/>
      <c r="G151" s="35" t="s">
        <v>828</v>
      </c>
    </row>
    <row r="152" spans="1:7">
      <c r="A152" s="1" t="s">
        <v>483</v>
      </c>
      <c r="B152" s="1" t="s">
        <v>703</v>
      </c>
      <c r="C152" s="1" t="s">
        <v>163</v>
      </c>
      <c r="D152" s="42">
        <v>21.6</v>
      </c>
      <c r="E152" s="108" t="s">
        <v>5</v>
      </c>
      <c r="F152" s="35"/>
      <c r="G152" s="35" t="s">
        <v>828</v>
      </c>
    </row>
    <row r="153" spans="1:7">
      <c r="A153" s="1" t="s">
        <v>572</v>
      </c>
      <c r="B153" s="1" t="s">
        <v>752</v>
      </c>
      <c r="C153" s="1" t="s">
        <v>163</v>
      </c>
      <c r="D153" s="42">
        <v>21.5</v>
      </c>
      <c r="E153" s="108" t="s">
        <v>125</v>
      </c>
      <c r="F153" s="35"/>
      <c r="G153" s="35" t="s">
        <v>826</v>
      </c>
    </row>
    <row r="154" spans="1:7">
      <c r="A154" s="1" t="s">
        <v>447</v>
      </c>
      <c r="B154" s="1" t="s">
        <v>688</v>
      </c>
      <c r="C154" s="1" t="s">
        <v>163</v>
      </c>
      <c r="D154" s="42">
        <v>21</v>
      </c>
      <c r="E154" s="108" t="s">
        <v>125</v>
      </c>
      <c r="F154" s="35"/>
      <c r="G154" s="35" t="s">
        <v>826</v>
      </c>
    </row>
    <row r="155" spans="1:7">
      <c r="A155" s="1" t="s">
        <v>647</v>
      </c>
      <c r="B155" s="1" t="s">
        <v>807</v>
      </c>
      <c r="C155" s="1" t="s">
        <v>163</v>
      </c>
      <c r="D155" s="42">
        <v>21</v>
      </c>
      <c r="E155" s="108" t="s">
        <v>119</v>
      </c>
      <c r="F155" s="35"/>
      <c r="G155" s="35" t="s">
        <v>826</v>
      </c>
    </row>
    <row r="156" spans="1:7">
      <c r="A156" s="1" t="s">
        <v>462</v>
      </c>
      <c r="B156" s="1" t="s">
        <v>462</v>
      </c>
      <c r="C156" s="1" t="s">
        <v>163</v>
      </c>
      <c r="D156" s="42">
        <v>20.7</v>
      </c>
      <c r="E156" s="108" t="s">
        <v>121</v>
      </c>
      <c r="F156" s="35"/>
      <c r="G156" s="35" t="s">
        <v>827</v>
      </c>
    </row>
    <row r="157" spans="1:7">
      <c r="A157" s="1" t="s">
        <v>597</v>
      </c>
      <c r="B157" s="1" t="s">
        <v>767</v>
      </c>
      <c r="C157" s="1" t="s">
        <v>163</v>
      </c>
      <c r="D157" s="42">
        <v>20.7</v>
      </c>
      <c r="E157" s="108" t="s">
        <v>125</v>
      </c>
      <c r="F157" s="35"/>
      <c r="G157" s="35" t="s">
        <v>826</v>
      </c>
    </row>
    <row r="158" spans="1:7">
      <c r="A158" s="1" t="s">
        <v>537</v>
      </c>
      <c r="B158" s="1" t="s">
        <v>537</v>
      </c>
      <c r="C158" s="1" t="s">
        <v>163</v>
      </c>
      <c r="D158" s="42">
        <v>20</v>
      </c>
      <c r="E158" s="108" t="s">
        <v>121</v>
      </c>
      <c r="F158" s="35"/>
      <c r="G158" s="35" t="s">
        <v>827</v>
      </c>
    </row>
    <row r="159" spans="1:7">
      <c r="A159" s="1" t="s">
        <v>499</v>
      </c>
      <c r="B159" s="1" t="s">
        <v>499</v>
      </c>
      <c r="C159" s="1" t="s">
        <v>163</v>
      </c>
      <c r="D159" s="42">
        <v>19.8</v>
      </c>
      <c r="E159" s="108" t="s">
        <v>8</v>
      </c>
      <c r="F159" s="35"/>
      <c r="G159" s="35" t="s">
        <v>828</v>
      </c>
    </row>
    <row r="160" spans="1:7">
      <c r="A160" s="1" t="s">
        <v>493</v>
      </c>
      <c r="B160" s="1" t="s">
        <v>708</v>
      </c>
      <c r="C160" s="1" t="s">
        <v>163</v>
      </c>
      <c r="D160" s="42">
        <v>19.200000000000003</v>
      </c>
      <c r="E160" s="108" t="s">
        <v>120</v>
      </c>
      <c r="F160" s="35"/>
      <c r="G160" s="35" t="s">
        <v>828</v>
      </c>
    </row>
    <row r="161" spans="1:7">
      <c r="A161" s="1" t="s">
        <v>438</v>
      </c>
      <c r="B161" s="1" t="s">
        <v>681</v>
      </c>
      <c r="C161" s="1" t="s">
        <v>163</v>
      </c>
      <c r="D161" s="42">
        <v>19.2</v>
      </c>
      <c r="E161" s="108" t="s">
        <v>125</v>
      </c>
      <c r="F161" s="35"/>
      <c r="G161" s="35" t="s">
        <v>827</v>
      </c>
    </row>
    <row r="162" spans="1:7">
      <c r="A162" s="1" t="s">
        <v>555</v>
      </c>
      <c r="B162" s="1" t="s">
        <v>743</v>
      </c>
      <c r="C162" s="1" t="s">
        <v>163</v>
      </c>
      <c r="D162" s="42">
        <v>19.2</v>
      </c>
      <c r="E162" s="108" t="s">
        <v>125</v>
      </c>
      <c r="F162" s="35"/>
      <c r="G162" s="35" t="s">
        <v>827</v>
      </c>
    </row>
    <row r="163" spans="1:7">
      <c r="A163" s="1" t="s">
        <v>485</v>
      </c>
      <c r="B163" s="1" t="s">
        <v>485</v>
      </c>
      <c r="C163" s="1" t="s">
        <v>163</v>
      </c>
      <c r="D163" s="42">
        <v>18</v>
      </c>
      <c r="E163" s="108" t="s">
        <v>19</v>
      </c>
      <c r="F163" s="35"/>
      <c r="G163" s="35" t="s">
        <v>827</v>
      </c>
    </row>
    <row r="164" spans="1:7">
      <c r="A164" s="1" t="s">
        <v>506</v>
      </c>
      <c r="B164" s="1" t="s">
        <v>717</v>
      </c>
      <c r="C164" s="1" t="s">
        <v>163</v>
      </c>
      <c r="D164" s="42">
        <v>18</v>
      </c>
      <c r="E164" s="108" t="s">
        <v>120</v>
      </c>
      <c r="F164" s="35"/>
      <c r="G164" s="35" t="s">
        <v>827</v>
      </c>
    </row>
    <row r="165" spans="1:7">
      <c r="A165" s="1" t="s">
        <v>618</v>
      </c>
      <c r="B165" s="1" t="s">
        <v>618</v>
      </c>
      <c r="C165" s="1" t="s">
        <v>163</v>
      </c>
      <c r="D165" s="42">
        <v>18</v>
      </c>
      <c r="E165" s="108" t="s">
        <v>126</v>
      </c>
      <c r="F165" s="35"/>
      <c r="G165" s="35" t="s">
        <v>826</v>
      </c>
    </row>
    <row r="166" spans="1:7">
      <c r="A166" s="1" t="s">
        <v>570</v>
      </c>
      <c r="B166" s="1" t="s">
        <v>570</v>
      </c>
      <c r="C166" s="1" t="s">
        <v>163</v>
      </c>
      <c r="D166" s="42">
        <v>17.2</v>
      </c>
      <c r="E166" s="108" t="s">
        <v>168</v>
      </c>
      <c r="F166" s="35"/>
      <c r="G166" s="35" t="s">
        <v>827</v>
      </c>
    </row>
    <row r="167" spans="1:7">
      <c r="A167" s="1" t="s">
        <v>592</v>
      </c>
      <c r="B167" s="1" t="s">
        <v>592</v>
      </c>
      <c r="C167" s="1" t="s">
        <v>163</v>
      </c>
      <c r="D167" s="42">
        <v>16.5</v>
      </c>
      <c r="E167" s="108" t="s">
        <v>126</v>
      </c>
      <c r="F167" s="35"/>
      <c r="G167" s="35" t="s">
        <v>827</v>
      </c>
    </row>
    <row r="168" spans="1:7">
      <c r="A168" s="1" t="s">
        <v>606</v>
      </c>
      <c r="B168" s="1" t="s">
        <v>775</v>
      </c>
      <c r="C168" s="1" t="s">
        <v>840</v>
      </c>
      <c r="D168" s="42">
        <v>16</v>
      </c>
      <c r="E168" s="108" t="s">
        <v>126</v>
      </c>
      <c r="F168" s="35"/>
      <c r="G168" s="35" t="s">
        <v>827</v>
      </c>
    </row>
    <row r="169" spans="1:7">
      <c r="A169" s="1" t="s">
        <v>627</v>
      </c>
      <c r="B169" s="1" t="s">
        <v>789</v>
      </c>
      <c r="C169" s="1" t="s">
        <v>163</v>
      </c>
      <c r="D169" s="42">
        <v>15</v>
      </c>
      <c r="E169" s="108" t="s">
        <v>122</v>
      </c>
      <c r="F169" s="35"/>
      <c r="G169" s="35" t="s">
        <v>826</v>
      </c>
    </row>
    <row r="170" spans="1:7">
      <c r="A170" s="1" t="s">
        <v>648</v>
      </c>
      <c r="B170" s="1" t="s">
        <v>808</v>
      </c>
      <c r="C170" s="1" t="s">
        <v>163</v>
      </c>
      <c r="D170" s="42">
        <v>15</v>
      </c>
      <c r="E170" s="108" t="s">
        <v>124</v>
      </c>
      <c r="F170" s="35"/>
      <c r="G170" s="35" t="s">
        <v>828</v>
      </c>
    </row>
    <row r="171" spans="1:7">
      <c r="A171" s="1" t="s">
        <v>622</v>
      </c>
      <c r="B171" s="1" t="s">
        <v>784</v>
      </c>
      <c r="C171" s="1" t="s">
        <v>840</v>
      </c>
      <c r="D171" s="42">
        <v>14.5</v>
      </c>
      <c r="E171" s="108" t="s">
        <v>8</v>
      </c>
      <c r="F171" s="35"/>
      <c r="G171" s="35" t="s">
        <v>826</v>
      </c>
    </row>
    <row r="172" spans="1:7">
      <c r="A172" s="1" t="s">
        <v>668</v>
      </c>
      <c r="B172" s="1" t="s">
        <v>668</v>
      </c>
      <c r="C172" s="1" t="s">
        <v>163</v>
      </c>
      <c r="D172" s="42">
        <v>14.4</v>
      </c>
      <c r="E172" s="108" t="s">
        <v>124</v>
      </c>
      <c r="F172" s="35"/>
      <c r="G172" s="35" t="s">
        <v>828</v>
      </c>
    </row>
    <row r="173" spans="1:7">
      <c r="A173" s="1" t="s">
        <v>595</v>
      </c>
      <c r="B173" s="1" t="s">
        <v>595</v>
      </c>
      <c r="C173" s="1" t="s">
        <v>163</v>
      </c>
      <c r="D173" s="42">
        <v>13.2</v>
      </c>
      <c r="E173" s="108" t="s">
        <v>3</v>
      </c>
      <c r="F173" s="35"/>
      <c r="G173" s="35" t="s">
        <v>828</v>
      </c>
    </row>
    <row r="174" spans="1:7">
      <c r="A174" s="1" t="s">
        <v>637</v>
      </c>
      <c r="B174" s="1" t="s">
        <v>797</v>
      </c>
      <c r="C174" s="1" t="s">
        <v>163</v>
      </c>
      <c r="D174" s="42">
        <v>13.2</v>
      </c>
      <c r="E174" s="108" t="s">
        <v>125</v>
      </c>
      <c r="F174" s="35"/>
      <c r="G174" s="35" t="s">
        <v>828</v>
      </c>
    </row>
    <row r="175" spans="1:7">
      <c r="A175" s="1" t="s">
        <v>638</v>
      </c>
      <c r="B175" s="1" t="s">
        <v>798</v>
      </c>
      <c r="C175" s="1" t="s">
        <v>163</v>
      </c>
      <c r="D175" s="42">
        <v>13.2</v>
      </c>
      <c r="E175" s="108" t="s">
        <v>125</v>
      </c>
      <c r="F175" s="35"/>
      <c r="G175" s="35" t="s">
        <v>828</v>
      </c>
    </row>
    <row r="176" spans="1:7">
      <c r="A176" s="1" t="s">
        <v>639</v>
      </c>
      <c r="B176" s="1" t="s">
        <v>799</v>
      </c>
      <c r="C176" s="1" t="s">
        <v>163</v>
      </c>
      <c r="D176" s="42">
        <v>13.2</v>
      </c>
      <c r="E176" s="108" t="s">
        <v>125</v>
      </c>
      <c r="F176" s="35"/>
      <c r="G176" s="35" t="s">
        <v>828</v>
      </c>
    </row>
    <row r="177" spans="1:7">
      <c r="A177" s="1" t="s">
        <v>641</v>
      </c>
      <c r="B177" s="1" t="s">
        <v>802</v>
      </c>
      <c r="C177" s="1" t="s">
        <v>163</v>
      </c>
      <c r="D177" s="42">
        <v>13.2</v>
      </c>
      <c r="E177" s="108" t="s">
        <v>125</v>
      </c>
      <c r="F177" s="35"/>
      <c r="G177" s="35" t="s">
        <v>828</v>
      </c>
    </row>
    <row r="178" spans="1:7">
      <c r="A178" s="1" t="s">
        <v>626</v>
      </c>
      <c r="B178" s="1" t="s">
        <v>788</v>
      </c>
      <c r="C178" s="1" t="s">
        <v>163</v>
      </c>
      <c r="D178" s="42">
        <v>12.6</v>
      </c>
      <c r="E178" s="108" t="s">
        <v>7</v>
      </c>
      <c r="F178" s="35"/>
      <c r="G178" s="35" t="s">
        <v>826</v>
      </c>
    </row>
    <row r="179" spans="1:7">
      <c r="A179" s="1" t="s">
        <v>457</v>
      </c>
      <c r="B179" s="1" t="s">
        <v>457</v>
      </c>
      <c r="C179" s="1" t="s">
        <v>163</v>
      </c>
      <c r="D179" s="42">
        <v>12</v>
      </c>
      <c r="E179" s="108" t="s">
        <v>125</v>
      </c>
      <c r="F179" s="35"/>
      <c r="G179" s="35" t="s">
        <v>828</v>
      </c>
    </row>
    <row r="180" spans="1:7">
      <c r="A180" s="1" t="s">
        <v>458</v>
      </c>
      <c r="B180" s="1" t="s">
        <v>458</v>
      </c>
      <c r="C180" s="1" t="s">
        <v>163</v>
      </c>
      <c r="D180" s="42">
        <v>12</v>
      </c>
      <c r="E180" s="108" t="s">
        <v>125</v>
      </c>
      <c r="F180" s="35"/>
      <c r="G180" s="35" t="s">
        <v>828</v>
      </c>
    </row>
    <row r="181" spans="1:7">
      <c r="A181" s="1" t="s">
        <v>459</v>
      </c>
      <c r="B181" s="1" t="s">
        <v>459</v>
      </c>
      <c r="C181" s="1" t="s">
        <v>163</v>
      </c>
      <c r="D181" s="42">
        <v>12</v>
      </c>
      <c r="E181" s="108" t="s">
        <v>125</v>
      </c>
      <c r="F181" s="35"/>
      <c r="G181" s="35" t="s">
        <v>828</v>
      </c>
    </row>
    <row r="182" spans="1:7">
      <c r="A182" s="1" t="s">
        <v>565</v>
      </c>
      <c r="B182" s="1" t="s">
        <v>749</v>
      </c>
      <c r="C182" s="1" t="s">
        <v>163</v>
      </c>
      <c r="D182" s="42">
        <v>11.4</v>
      </c>
      <c r="E182" s="108" t="s">
        <v>168</v>
      </c>
      <c r="F182" s="35"/>
      <c r="G182" s="35" t="s">
        <v>828</v>
      </c>
    </row>
    <row r="183" spans="1:7">
      <c r="A183" s="1" t="s">
        <v>449</v>
      </c>
      <c r="B183" s="1" t="s">
        <v>689</v>
      </c>
      <c r="C183" s="1" t="s">
        <v>163</v>
      </c>
      <c r="D183" s="42">
        <v>10.5</v>
      </c>
      <c r="E183" s="108" t="s">
        <v>166</v>
      </c>
      <c r="F183" s="35"/>
      <c r="G183" s="35" t="s">
        <v>828</v>
      </c>
    </row>
    <row r="184" spans="1:7">
      <c r="A184" s="1" t="s">
        <v>561</v>
      </c>
      <c r="B184" s="1" t="s">
        <v>746</v>
      </c>
      <c r="C184" s="1" t="s">
        <v>163</v>
      </c>
      <c r="D184" s="42">
        <v>10.5</v>
      </c>
      <c r="E184" s="108" t="s">
        <v>126</v>
      </c>
      <c r="F184" s="35"/>
      <c r="G184" s="35" t="s">
        <v>826</v>
      </c>
    </row>
    <row r="185" spans="1:7">
      <c r="A185" s="1" t="s">
        <v>667</v>
      </c>
      <c r="B185" s="1" t="s">
        <v>818</v>
      </c>
      <c r="C185" s="1" t="s">
        <v>840</v>
      </c>
      <c r="D185" s="42">
        <v>10.4</v>
      </c>
      <c r="E185" s="108" t="s">
        <v>122</v>
      </c>
      <c r="F185" s="35"/>
      <c r="G185" s="35" t="s">
        <v>828</v>
      </c>
    </row>
    <row r="186" spans="1:7">
      <c r="A186" s="1" t="s">
        <v>463</v>
      </c>
      <c r="B186" s="1" t="s">
        <v>696</v>
      </c>
      <c r="C186" s="1" t="s">
        <v>164</v>
      </c>
      <c r="D186" s="42">
        <v>10</v>
      </c>
      <c r="E186" s="108" t="s">
        <v>125</v>
      </c>
      <c r="F186" s="35"/>
      <c r="G186" s="35" t="s">
        <v>826</v>
      </c>
    </row>
    <row r="187" spans="1:7">
      <c r="A187" s="1" t="s">
        <v>609</v>
      </c>
      <c r="B187" s="1" t="s">
        <v>609</v>
      </c>
      <c r="C187" s="1" t="s">
        <v>163</v>
      </c>
      <c r="D187" s="42">
        <v>10</v>
      </c>
      <c r="E187" s="108" t="s">
        <v>168</v>
      </c>
      <c r="F187" s="35"/>
      <c r="G187" s="35" t="s">
        <v>826</v>
      </c>
    </row>
    <row r="188" spans="1:7">
      <c r="A188" s="1" t="s">
        <v>640</v>
      </c>
      <c r="B188" s="1" t="s">
        <v>800</v>
      </c>
      <c r="C188" s="1" t="s">
        <v>163</v>
      </c>
      <c r="D188" s="42">
        <v>9.9</v>
      </c>
      <c r="E188" s="108" t="s">
        <v>125</v>
      </c>
      <c r="F188" s="35"/>
      <c r="G188" s="35" t="s">
        <v>828</v>
      </c>
    </row>
    <row r="189" spans="1:7">
      <c r="A189" s="1" t="s">
        <v>640</v>
      </c>
      <c r="B189" s="1" t="s">
        <v>801</v>
      </c>
      <c r="C189" s="1" t="s">
        <v>163</v>
      </c>
      <c r="D189" s="42">
        <v>9.9</v>
      </c>
      <c r="E189" s="108" t="s">
        <v>125</v>
      </c>
      <c r="F189" s="35"/>
      <c r="G189" s="35" t="s">
        <v>828</v>
      </c>
    </row>
    <row r="190" spans="1:7">
      <c r="A190" s="1" t="s">
        <v>533</v>
      </c>
      <c r="B190" s="1" t="s">
        <v>533</v>
      </c>
      <c r="C190" s="1" t="s">
        <v>163</v>
      </c>
      <c r="D190" s="42">
        <v>9</v>
      </c>
      <c r="E190" s="108" t="s">
        <v>122</v>
      </c>
      <c r="F190" s="35"/>
      <c r="G190" s="35" t="s">
        <v>828</v>
      </c>
    </row>
    <row r="191" spans="1:7">
      <c r="A191" s="1" t="s">
        <v>554</v>
      </c>
      <c r="B191" s="1" t="s">
        <v>742</v>
      </c>
      <c r="C191" s="1" t="s">
        <v>164</v>
      </c>
      <c r="D191" s="42">
        <v>9</v>
      </c>
      <c r="E191" s="108" t="s">
        <v>121</v>
      </c>
      <c r="F191" s="35"/>
      <c r="G191" s="35" t="s">
        <v>828</v>
      </c>
    </row>
    <row r="192" spans="1:7">
      <c r="A192" s="1" t="s">
        <v>619</v>
      </c>
      <c r="B192" s="1" t="s">
        <v>782</v>
      </c>
      <c r="C192" s="1" t="s">
        <v>163</v>
      </c>
      <c r="D192" s="42">
        <v>9</v>
      </c>
      <c r="E192" s="108" t="s">
        <v>126</v>
      </c>
      <c r="F192" s="35"/>
      <c r="G192" s="35" t="s">
        <v>826</v>
      </c>
    </row>
    <row r="193" spans="1:7">
      <c r="A193" s="1" t="s">
        <v>620</v>
      </c>
      <c r="B193" s="1" t="s">
        <v>783</v>
      </c>
      <c r="C193" s="1" t="s">
        <v>163</v>
      </c>
      <c r="D193" s="42">
        <v>9</v>
      </c>
      <c r="E193" s="108" t="s">
        <v>126</v>
      </c>
      <c r="F193" s="35"/>
      <c r="G193" s="35" t="s">
        <v>826</v>
      </c>
    </row>
    <row r="194" spans="1:7">
      <c r="A194" s="1" t="s">
        <v>543</v>
      </c>
      <c r="B194" s="1" t="s">
        <v>543</v>
      </c>
      <c r="C194" s="1" t="s">
        <v>163</v>
      </c>
      <c r="D194" s="42">
        <v>8.4</v>
      </c>
      <c r="E194" s="108" t="s">
        <v>125</v>
      </c>
      <c r="F194" s="35"/>
      <c r="G194" s="35" t="s">
        <v>827</v>
      </c>
    </row>
    <row r="195" spans="1:7">
      <c r="A195" s="1" t="s">
        <v>429</v>
      </c>
      <c r="B195" s="1" t="s">
        <v>429</v>
      </c>
      <c r="C195" s="1" t="s">
        <v>163</v>
      </c>
      <c r="D195" s="42">
        <v>8</v>
      </c>
      <c r="E195" s="108" t="s">
        <v>9</v>
      </c>
      <c r="F195" s="35"/>
      <c r="G195" s="35" t="s">
        <v>826</v>
      </c>
    </row>
    <row r="196" spans="1:7">
      <c r="A196" s="1" t="s">
        <v>431</v>
      </c>
      <c r="B196" s="1" t="s">
        <v>431</v>
      </c>
      <c r="C196" s="1" t="s">
        <v>163</v>
      </c>
      <c r="D196" s="42">
        <v>8</v>
      </c>
      <c r="E196" s="108" t="s">
        <v>3</v>
      </c>
      <c r="F196" s="35"/>
      <c r="G196" s="35" t="s">
        <v>826</v>
      </c>
    </row>
    <row r="197" spans="1:7">
      <c r="A197" s="1" t="s">
        <v>471</v>
      </c>
      <c r="B197" s="1" t="s">
        <v>471</v>
      </c>
      <c r="C197" s="1" t="s">
        <v>163</v>
      </c>
      <c r="D197" s="42">
        <v>7.5</v>
      </c>
      <c r="E197" s="108" t="s">
        <v>7</v>
      </c>
      <c r="F197" s="35"/>
      <c r="G197" s="35" t="s">
        <v>828</v>
      </c>
    </row>
    <row r="198" spans="1:7">
      <c r="A198" s="1" t="s">
        <v>445</v>
      </c>
      <c r="B198" s="1" t="s">
        <v>686</v>
      </c>
      <c r="C198" s="1" t="s">
        <v>163</v>
      </c>
      <c r="D198" s="42">
        <v>7</v>
      </c>
      <c r="E198" s="108" t="s">
        <v>125</v>
      </c>
      <c r="F198" s="35"/>
      <c r="G198" s="35" t="s">
        <v>826</v>
      </c>
    </row>
    <row r="199" spans="1:7">
      <c r="A199" s="1" t="s">
        <v>470</v>
      </c>
      <c r="B199" s="1" t="s">
        <v>470</v>
      </c>
      <c r="C199" s="1" t="s">
        <v>840</v>
      </c>
      <c r="D199" s="42">
        <v>7</v>
      </c>
      <c r="E199" s="108" t="s">
        <v>7</v>
      </c>
      <c r="F199" s="35"/>
      <c r="G199" s="35" t="s">
        <v>828</v>
      </c>
    </row>
    <row r="200" spans="1:7">
      <c r="A200" s="1" t="s">
        <v>501</v>
      </c>
      <c r="B200" s="1" t="s">
        <v>714</v>
      </c>
      <c r="C200" s="1" t="s">
        <v>163</v>
      </c>
      <c r="D200" s="42">
        <v>7</v>
      </c>
      <c r="E200" s="108" t="s">
        <v>121</v>
      </c>
      <c r="F200" s="35"/>
      <c r="G200" s="35" t="s">
        <v>828</v>
      </c>
    </row>
    <row r="201" spans="1:7">
      <c r="A201" s="1" t="s">
        <v>432</v>
      </c>
      <c r="B201" s="1" t="s">
        <v>432</v>
      </c>
      <c r="C201" s="1" t="s">
        <v>163</v>
      </c>
      <c r="D201" s="42">
        <v>6.9</v>
      </c>
      <c r="E201" s="108" t="s">
        <v>121</v>
      </c>
      <c r="F201" s="35"/>
      <c r="G201" s="35" t="s">
        <v>828</v>
      </c>
    </row>
    <row r="202" spans="1:7">
      <c r="A202" s="1" t="s">
        <v>456</v>
      </c>
      <c r="B202" s="1" t="s">
        <v>456</v>
      </c>
      <c r="C202" s="1" t="s">
        <v>163</v>
      </c>
      <c r="D202" s="42">
        <v>6.9</v>
      </c>
      <c r="E202" s="108" t="s">
        <v>122</v>
      </c>
      <c r="F202" s="35"/>
      <c r="G202" s="35" t="s">
        <v>828</v>
      </c>
    </row>
    <row r="203" spans="1:7">
      <c r="A203" s="1" t="s">
        <v>424</v>
      </c>
      <c r="B203" s="1" t="s">
        <v>424</v>
      </c>
      <c r="C203" s="1" t="s">
        <v>163</v>
      </c>
      <c r="D203" s="42">
        <v>6.6</v>
      </c>
      <c r="E203" s="108" t="s">
        <v>125</v>
      </c>
      <c r="F203" s="35"/>
      <c r="G203" s="35" t="s">
        <v>826</v>
      </c>
    </row>
    <row r="204" spans="1:7">
      <c r="A204" s="1" t="s">
        <v>567</v>
      </c>
      <c r="B204" s="1" t="s">
        <v>750</v>
      </c>
      <c r="C204" s="1" t="s">
        <v>163</v>
      </c>
      <c r="D204" s="42">
        <v>6.6</v>
      </c>
      <c r="E204" s="108" t="s">
        <v>125</v>
      </c>
      <c r="F204" s="35"/>
      <c r="G204" s="35" t="s">
        <v>828</v>
      </c>
    </row>
    <row r="205" spans="1:7">
      <c r="A205" s="1" t="s">
        <v>583</v>
      </c>
      <c r="B205" s="1" t="s">
        <v>583</v>
      </c>
      <c r="C205" s="1" t="s">
        <v>163</v>
      </c>
      <c r="D205" s="42">
        <v>6.6</v>
      </c>
      <c r="E205" s="108" t="s">
        <v>5</v>
      </c>
      <c r="F205" s="35"/>
      <c r="G205" s="35" t="s">
        <v>826</v>
      </c>
    </row>
    <row r="206" spans="1:7">
      <c r="A206" s="1" t="s">
        <v>574</v>
      </c>
      <c r="B206" s="1" t="s">
        <v>574</v>
      </c>
      <c r="C206" s="1" t="s">
        <v>163</v>
      </c>
      <c r="D206" s="42">
        <v>6.4</v>
      </c>
      <c r="E206" s="108" t="s">
        <v>121</v>
      </c>
      <c r="F206" s="35"/>
      <c r="G206" s="35" t="s">
        <v>828</v>
      </c>
    </row>
    <row r="207" spans="1:7">
      <c r="A207" s="1" t="s">
        <v>200</v>
      </c>
      <c r="B207" s="1" t="s">
        <v>200</v>
      </c>
      <c r="C207" s="1" t="s">
        <v>840</v>
      </c>
      <c r="D207" s="42">
        <v>6.3</v>
      </c>
      <c r="E207" s="108" t="s">
        <v>5</v>
      </c>
      <c r="F207" s="35"/>
      <c r="G207" s="35" t="s">
        <v>828</v>
      </c>
    </row>
    <row r="208" spans="1:7">
      <c r="A208" s="1" t="s">
        <v>513</v>
      </c>
      <c r="B208" s="1" t="s">
        <v>513</v>
      </c>
      <c r="C208" s="1" t="s">
        <v>164</v>
      </c>
      <c r="D208" s="42">
        <v>6.3</v>
      </c>
      <c r="E208" s="108" t="s">
        <v>3</v>
      </c>
      <c r="F208" s="35"/>
      <c r="G208" s="35" t="s">
        <v>828</v>
      </c>
    </row>
    <row r="209" spans="1:7">
      <c r="A209" s="1" t="s">
        <v>421</v>
      </c>
      <c r="B209" s="1" t="s">
        <v>672</v>
      </c>
      <c r="C209" s="1" t="s">
        <v>163</v>
      </c>
      <c r="D209" s="42">
        <v>6</v>
      </c>
      <c r="E209" s="108" t="s">
        <v>125</v>
      </c>
      <c r="F209" s="35"/>
      <c r="G209" s="35" t="s">
        <v>826</v>
      </c>
    </row>
    <row r="210" spans="1:7">
      <c r="A210" s="1" t="s">
        <v>444</v>
      </c>
      <c r="B210" s="1" t="s">
        <v>685</v>
      </c>
      <c r="C210" s="1" t="s">
        <v>163</v>
      </c>
      <c r="D210" s="42">
        <v>6</v>
      </c>
      <c r="E210" s="108" t="s">
        <v>168</v>
      </c>
      <c r="F210" s="35"/>
      <c r="G210" s="35" t="s">
        <v>828</v>
      </c>
    </row>
    <row r="211" spans="1:7">
      <c r="A211" s="1" t="s">
        <v>585</v>
      </c>
      <c r="B211" s="1" t="s">
        <v>759</v>
      </c>
      <c r="C211" s="1" t="s">
        <v>163</v>
      </c>
      <c r="D211" s="42">
        <v>6</v>
      </c>
      <c r="E211" s="108" t="s">
        <v>5</v>
      </c>
      <c r="F211" s="35"/>
      <c r="G211" s="35" t="s">
        <v>826</v>
      </c>
    </row>
    <row r="212" spans="1:7">
      <c r="A212" s="1" t="s">
        <v>536</v>
      </c>
      <c r="B212" s="1" t="s">
        <v>734</v>
      </c>
      <c r="C212" s="1" t="s">
        <v>163</v>
      </c>
      <c r="D212" s="42">
        <v>5.7</v>
      </c>
      <c r="E212" s="108" t="s">
        <v>168</v>
      </c>
      <c r="F212" s="35"/>
      <c r="G212" s="35" t="s">
        <v>828</v>
      </c>
    </row>
    <row r="213" spans="1:7">
      <c r="A213" s="1" t="s">
        <v>666</v>
      </c>
      <c r="B213" s="1" t="s">
        <v>666</v>
      </c>
      <c r="C213" s="1" t="s">
        <v>840</v>
      </c>
      <c r="D213" s="42">
        <v>5.5</v>
      </c>
      <c r="E213" s="108" t="s">
        <v>122</v>
      </c>
      <c r="F213" s="35"/>
      <c r="G213" s="35" t="s">
        <v>828</v>
      </c>
    </row>
    <row r="214" spans="1:7">
      <c r="A214" s="1" t="s">
        <v>601</v>
      </c>
      <c r="B214" s="1" t="s">
        <v>770</v>
      </c>
      <c r="C214" s="1" t="s">
        <v>163</v>
      </c>
      <c r="D214" s="42">
        <v>5</v>
      </c>
      <c r="E214" s="108" t="s">
        <v>168</v>
      </c>
      <c r="F214" s="35"/>
      <c r="G214" s="35" t="s">
        <v>826</v>
      </c>
    </row>
    <row r="215" spans="1:7">
      <c r="A215" s="1" t="s">
        <v>460</v>
      </c>
      <c r="B215" s="1" t="s">
        <v>694</v>
      </c>
      <c r="C215" s="1" t="s">
        <v>164</v>
      </c>
      <c r="D215" s="42">
        <v>4.9000000000000004</v>
      </c>
      <c r="E215" s="108" t="s">
        <v>166</v>
      </c>
      <c r="F215" s="35"/>
      <c r="G215" s="35" t="s">
        <v>826</v>
      </c>
    </row>
    <row r="216" spans="1:7">
      <c r="A216" s="1" t="s">
        <v>657</v>
      </c>
      <c r="B216" s="1" t="s">
        <v>814</v>
      </c>
      <c r="C216" s="1" t="s">
        <v>164</v>
      </c>
      <c r="D216" s="42">
        <v>4.9000000000000004</v>
      </c>
      <c r="E216" s="108" t="s">
        <v>125</v>
      </c>
      <c r="F216" s="35"/>
      <c r="G216" s="35" t="s">
        <v>828</v>
      </c>
    </row>
    <row r="217" spans="1:7">
      <c r="A217" s="1" t="s">
        <v>658</v>
      </c>
      <c r="B217" s="1" t="s">
        <v>814</v>
      </c>
      <c r="C217" s="1" t="s">
        <v>164</v>
      </c>
      <c r="D217" s="42">
        <v>4.4000000000000004</v>
      </c>
      <c r="E217" s="108" t="s">
        <v>125</v>
      </c>
      <c r="F217" s="35"/>
      <c r="G217" s="35" t="s">
        <v>828</v>
      </c>
    </row>
    <row r="218" spans="1:7">
      <c r="A218" s="1" t="s">
        <v>520</v>
      </c>
      <c r="B218" s="1" t="s">
        <v>520</v>
      </c>
      <c r="C218" s="1" t="s">
        <v>163</v>
      </c>
      <c r="D218" s="42">
        <v>4.2</v>
      </c>
      <c r="E218" s="108" t="s">
        <v>121</v>
      </c>
      <c r="F218" s="35"/>
      <c r="G218" s="35" t="s">
        <v>827</v>
      </c>
    </row>
    <row r="219" spans="1:7">
      <c r="A219" s="1" t="s">
        <v>437</v>
      </c>
      <c r="B219" s="1" t="s">
        <v>680</v>
      </c>
      <c r="C219" s="1" t="s">
        <v>164</v>
      </c>
      <c r="D219" s="42">
        <v>4.08</v>
      </c>
      <c r="E219" s="108" t="s">
        <v>167</v>
      </c>
      <c r="F219" s="35"/>
      <c r="G219" s="35" t="s">
        <v>826</v>
      </c>
    </row>
    <row r="220" spans="1:7">
      <c r="A220" s="1" t="s">
        <v>435</v>
      </c>
      <c r="B220" s="1" t="s">
        <v>678</v>
      </c>
      <c r="C220" s="1" t="s">
        <v>164</v>
      </c>
      <c r="D220" s="42">
        <v>4</v>
      </c>
      <c r="E220" s="108" t="s">
        <v>124</v>
      </c>
      <c r="F220" s="35"/>
      <c r="G220" s="35" t="s">
        <v>826</v>
      </c>
    </row>
    <row r="221" spans="1:7">
      <c r="A221" s="1" t="s">
        <v>465</v>
      </c>
      <c r="B221" s="1" t="s">
        <v>698</v>
      </c>
      <c r="C221" s="1" t="s">
        <v>164</v>
      </c>
      <c r="D221" s="42">
        <v>4</v>
      </c>
      <c r="E221" s="108" t="s">
        <v>167</v>
      </c>
      <c r="F221" s="35"/>
      <c r="G221" s="35" t="s">
        <v>826</v>
      </c>
    </row>
    <row r="222" spans="1:7">
      <c r="A222" s="1" t="s">
        <v>625</v>
      </c>
      <c r="B222" s="1" t="s">
        <v>787</v>
      </c>
      <c r="C222" s="1" t="s">
        <v>164</v>
      </c>
      <c r="D222" s="42">
        <v>4</v>
      </c>
      <c r="E222" s="108" t="s">
        <v>167</v>
      </c>
      <c r="F222" s="35"/>
      <c r="G222" s="35" t="s">
        <v>828</v>
      </c>
    </row>
    <row r="223" spans="1:7">
      <c r="A223" s="1" t="s">
        <v>441</v>
      </c>
      <c r="B223" s="1" t="s">
        <v>682</v>
      </c>
      <c r="C223" s="1" t="s">
        <v>163</v>
      </c>
      <c r="D223" s="42">
        <v>3.6</v>
      </c>
      <c r="E223" s="108" t="s">
        <v>5</v>
      </c>
      <c r="F223" s="35"/>
      <c r="G223" s="35" t="s">
        <v>828</v>
      </c>
    </row>
    <row r="224" spans="1:7">
      <c r="A224" s="1" t="s">
        <v>665</v>
      </c>
      <c r="B224" s="1" t="s">
        <v>817</v>
      </c>
      <c r="C224" s="1" t="s">
        <v>163</v>
      </c>
      <c r="D224" s="42">
        <v>3.6</v>
      </c>
      <c r="E224" s="108" t="s">
        <v>122</v>
      </c>
      <c r="F224" s="35"/>
      <c r="G224" s="35" t="s">
        <v>826</v>
      </c>
    </row>
    <row r="225" spans="1:7">
      <c r="A225" s="1" t="s">
        <v>476</v>
      </c>
      <c r="B225" s="1" t="s">
        <v>476</v>
      </c>
      <c r="C225" s="1" t="s">
        <v>163</v>
      </c>
      <c r="D225" s="42">
        <v>3.45</v>
      </c>
      <c r="E225" s="108" t="s">
        <v>3</v>
      </c>
      <c r="F225" s="35"/>
      <c r="G225" s="35" t="s">
        <v>827</v>
      </c>
    </row>
    <row r="226" spans="1:7">
      <c r="A226" s="1" t="s">
        <v>659</v>
      </c>
      <c r="B226" s="1" t="s">
        <v>659</v>
      </c>
      <c r="C226" s="1" t="s">
        <v>163</v>
      </c>
      <c r="D226" s="42">
        <v>3.45</v>
      </c>
      <c r="E226" s="108" t="s">
        <v>125</v>
      </c>
      <c r="F226" s="35"/>
      <c r="G226" s="35" t="s">
        <v>828</v>
      </c>
    </row>
    <row r="227" spans="1:7">
      <c r="A227" s="1" t="s">
        <v>660</v>
      </c>
      <c r="B227" s="1" t="s">
        <v>660</v>
      </c>
      <c r="C227" s="1" t="s">
        <v>163</v>
      </c>
      <c r="D227" s="42">
        <v>3.3</v>
      </c>
      <c r="E227" s="108" t="s">
        <v>125</v>
      </c>
      <c r="F227" s="35"/>
      <c r="G227" s="35" t="s">
        <v>826</v>
      </c>
    </row>
    <row r="228" spans="1:7">
      <c r="A228" s="1" t="s">
        <v>661</v>
      </c>
      <c r="B228" s="1" t="s">
        <v>661</v>
      </c>
      <c r="C228" s="1" t="s">
        <v>163</v>
      </c>
      <c r="D228" s="42">
        <v>3.3</v>
      </c>
      <c r="E228" s="108" t="s">
        <v>125</v>
      </c>
      <c r="F228" s="35"/>
      <c r="G228" s="35" t="s">
        <v>826</v>
      </c>
    </row>
    <row r="229" spans="1:7">
      <c r="A229" s="1" t="s">
        <v>426</v>
      </c>
      <c r="B229" s="1" t="s">
        <v>426</v>
      </c>
      <c r="C229" s="1" t="s">
        <v>163</v>
      </c>
      <c r="D229" s="42">
        <v>3.1</v>
      </c>
      <c r="E229" s="108" t="s">
        <v>125</v>
      </c>
      <c r="F229" s="35"/>
      <c r="G229" s="35" t="s">
        <v>828</v>
      </c>
    </row>
    <row r="230" spans="1:7">
      <c r="A230" s="1" t="s">
        <v>487</v>
      </c>
      <c r="B230" s="1" t="s">
        <v>487</v>
      </c>
      <c r="C230" s="1" t="s">
        <v>163</v>
      </c>
      <c r="D230" s="42">
        <v>3.1</v>
      </c>
      <c r="E230" s="108" t="s">
        <v>125</v>
      </c>
      <c r="F230" s="35"/>
      <c r="G230" s="35" t="s">
        <v>828</v>
      </c>
    </row>
    <row r="231" spans="1:7">
      <c r="A231" s="1" t="s">
        <v>420</v>
      </c>
      <c r="B231" s="1" t="s">
        <v>671</v>
      </c>
      <c r="C231" s="1" t="s">
        <v>164</v>
      </c>
      <c r="D231" s="42">
        <v>3.06</v>
      </c>
      <c r="E231" s="108" t="s">
        <v>5</v>
      </c>
      <c r="F231" s="35"/>
      <c r="G231" s="35" t="s">
        <v>828</v>
      </c>
    </row>
    <row r="232" spans="1:7">
      <c r="A232" s="1" t="s">
        <v>522</v>
      </c>
      <c r="B232" s="1" t="s">
        <v>724</v>
      </c>
      <c r="C232" s="1" t="s">
        <v>163</v>
      </c>
      <c r="D232" s="42">
        <v>3</v>
      </c>
      <c r="E232" s="108" t="s">
        <v>121</v>
      </c>
      <c r="F232" s="35"/>
      <c r="G232" s="35" t="s">
        <v>827</v>
      </c>
    </row>
    <row r="233" spans="1:7">
      <c r="A233" s="1" t="s">
        <v>523</v>
      </c>
      <c r="B233" s="1" t="s">
        <v>725</v>
      </c>
      <c r="C233" s="1" t="s">
        <v>163</v>
      </c>
      <c r="D233" s="42">
        <v>3</v>
      </c>
      <c r="E233" s="108" t="s">
        <v>122</v>
      </c>
      <c r="F233" s="35"/>
      <c r="G233" s="35" t="s">
        <v>828</v>
      </c>
    </row>
    <row r="234" spans="1:7">
      <c r="A234" s="1" t="s">
        <v>586</v>
      </c>
      <c r="B234" s="1" t="s">
        <v>760</v>
      </c>
      <c r="C234" s="1" t="s">
        <v>163</v>
      </c>
      <c r="D234" s="42">
        <v>3</v>
      </c>
      <c r="E234" s="108" t="s">
        <v>5</v>
      </c>
      <c r="F234" s="35"/>
      <c r="G234" s="35" t="s">
        <v>827</v>
      </c>
    </row>
    <row r="235" spans="1:7">
      <c r="A235" s="1" t="s">
        <v>599</v>
      </c>
      <c r="B235" s="1" t="s">
        <v>769</v>
      </c>
      <c r="C235" s="1" t="s">
        <v>163</v>
      </c>
      <c r="D235" s="42">
        <v>3</v>
      </c>
      <c r="E235" s="108" t="s">
        <v>121</v>
      </c>
      <c r="F235" s="35"/>
      <c r="G235" s="35" t="s">
        <v>826</v>
      </c>
    </row>
    <row r="236" spans="1:7">
      <c r="A236" s="1" t="s">
        <v>634</v>
      </c>
      <c r="B236" s="1" t="s">
        <v>795</v>
      </c>
      <c r="C236" s="1" t="s">
        <v>163</v>
      </c>
      <c r="D236" s="42">
        <v>3</v>
      </c>
      <c r="E236" s="108" t="s">
        <v>5</v>
      </c>
      <c r="F236" s="35"/>
      <c r="G236" s="35" t="s">
        <v>826</v>
      </c>
    </row>
    <row r="237" spans="1:7">
      <c r="A237" s="1" t="s">
        <v>605</v>
      </c>
      <c r="B237" s="1" t="s">
        <v>774</v>
      </c>
      <c r="C237" s="1" t="s">
        <v>840</v>
      </c>
      <c r="D237" s="42">
        <v>2.7</v>
      </c>
      <c r="E237" s="108" t="s">
        <v>9</v>
      </c>
      <c r="F237" s="35"/>
      <c r="G237" s="35" t="s">
        <v>826</v>
      </c>
    </row>
    <row r="238" spans="1:7">
      <c r="A238" s="1" t="s">
        <v>615</v>
      </c>
      <c r="B238" s="1" t="s">
        <v>781</v>
      </c>
      <c r="C238" s="1" t="s">
        <v>164</v>
      </c>
      <c r="D238" s="42">
        <v>2.5299999999999998</v>
      </c>
      <c r="E238" s="108" t="s">
        <v>3</v>
      </c>
      <c r="F238" s="35"/>
      <c r="G238" s="35" t="s">
        <v>828</v>
      </c>
    </row>
    <row r="239" spans="1:7">
      <c r="A239" s="1" t="s">
        <v>455</v>
      </c>
      <c r="B239" s="1" t="s">
        <v>693</v>
      </c>
      <c r="C239" s="1" t="s">
        <v>163</v>
      </c>
      <c r="D239" s="42">
        <v>2.5</v>
      </c>
      <c r="E239" s="108" t="s">
        <v>121</v>
      </c>
      <c r="F239" s="35"/>
      <c r="G239" s="35" t="s">
        <v>828</v>
      </c>
    </row>
    <row r="240" spans="1:7">
      <c r="A240" s="1" t="s">
        <v>576</v>
      </c>
      <c r="B240" s="1" t="s">
        <v>754</v>
      </c>
      <c r="C240" s="1" t="s">
        <v>163</v>
      </c>
      <c r="D240" s="42">
        <v>2.5</v>
      </c>
      <c r="E240" s="108" t="s">
        <v>121</v>
      </c>
      <c r="F240" s="35"/>
      <c r="G240" s="35" t="s">
        <v>826</v>
      </c>
    </row>
    <row r="241" spans="1:7">
      <c r="A241" s="1" t="s">
        <v>628</v>
      </c>
      <c r="B241" s="1" t="s">
        <v>790</v>
      </c>
      <c r="C241" s="1" t="s">
        <v>163</v>
      </c>
      <c r="D241" s="42">
        <v>2.5</v>
      </c>
      <c r="E241" s="108" t="s">
        <v>121</v>
      </c>
      <c r="F241" s="35"/>
      <c r="G241" s="35" t="s">
        <v>828</v>
      </c>
    </row>
    <row r="242" spans="1:7">
      <c r="A242" s="1" t="s">
        <v>521</v>
      </c>
      <c r="B242" s="1" t="s">
        <v>521</v>
      </c>
      <c r="C242" s="1" t="s">
        <v>163</v>
      </c>
      <c r="D242" s="42">
        <v>2.35</v>
      </c>
      <c r="E242" s="108" t="s">
        <v>168</v>
      </c>
      <c r="F242" s="35"/>
      <c r="G242" s="35" t="s">
        <v>828</v>
      </c>
    </row>
    <row r="243" spans="1:7">
      <c r="A243" s="1" t="s">
        <v>451</v>
      </c>
      <c r="B243" s="1" t="s">
        <v>691</v>
      </c>
      <c r="C243" s="1" t="s">
        <v>164</v>
      </c>
      <c r="D243" s="42">
        <v>2.31</v>
      </c>
      <c r="E243" s="108" t="s">
        <v>8</v>
      </c>
      <c r="F243" s="35"/>
      <c r="G243" s="35" t="s">
        <v>826</v>
      </c>
    </row>
    <row r="244" spans="1:7">
      <c r="A244" s="1" t="s">
        <v>632</v>
      </c>
      <c r="B244" s="1" t="s">
        <v>794</v>
      </c>
      <c r="C244" s="1" t="s">
        <v>163</v>
      </c>
      <c r="D244" s="42">
        <v>2.2999999999999998</v>
      </c>
      <c r="E244" s="108" t="s">
        <v>5</v>
      </c>
      <c r="F244" s="35"/>
      <c r="G244" s="35" t="s">
        <v>826</v>
      </c>
    </row>
    <row r="245" spans="1:7">
      <c r="A245" s="1" t="s">
        <v>630</v>
      </c>
      <c r="B245" s="1" t="s">
        <v>792</v>
      </c>
      <c r="C245" s="1" t="s">
        <v>840</v>
      </c>
      <c r="D245" s="42">
        <v>2.1</v>
      </c>
      <c r="E245" s="108" t="s">
        <v>5</v>
      </c>
      <c r="F245" s="35"/>
      <c r="G245" s="35" t="s">
        <v>828</v>
      </c>
    </row>
    <row r="246" spans="1:7">
      <c r="A246" s="1" t="s">
        <v>436</v>
      </c>
      <c r="B246" s="1" t="s">
        <v>679</v>
      </c>
      <c r="C246" s="1" t="s">
        <v>163</v>
      </c>
      <c r="D246" s="42">
        <v>2</v>
      </c>
      <c r="E246" s="108" t="s">
        <v>5</v>
      </c>
      <c r="F246" s="35"/>
      <c r="G246" s="35" t="s">
        <v>826</v>
      </c>
    </row>
    <row r="247" spans="1:7">
      <c r="A247" s="1" t="s">
        <v>440</v>
      </c>
      <c r="B247" s="1" t="s">
        <v>440</v>
      </c>
      <c r="C247" s="1" t="s">
        <v>163</v>
      </c>
      <c r="D247" s="42">
        <v>2</v>
      </c>
      <c r="E247" s="108" t="s">
        <v>125</v>
      </c>
      <c r="F247" s="35"/>
      <c r="G247" s="35" t="s">
        <v>828</v>
      </c>
    </row>
    <row r="248" spans="1:7">
      <c r="A248" s="1" t="s">
        <v>450</v>
      </c>
      <c r="B248" s="1" t="s">
        <v>690</v>
      </c>
      <c r="C248" s="1" t="s">
        <v>163</v>
      </c>
      <c r="D248" s="42">
        <v>2</v>
      </c>
      <c r="E248" s="108" t="s">
        <v>3</v>
      </c>
      <c r="F248" s="35"/>
      <c r="G248" s="35" t="s">
        <v>826</v>
      </c>
    </row>
    <row r="249" spans="1:7">
      <c r="A249" s="1" t="s">
        <v>480</v>
      </c>
      <c r="B249" s="1" t="s">
        <v>702</v>
      </c>
      <c r="C249" s="1" t="s">
        <v>163</v>
      </c>
      <c r="D249" s="42">
        <v>2</v>
      </c>
      <c r="E249" s="108" t="s">
        <v>126</v>
      </c>
      <c r="F249" s="35"/>
      <c r="G249" s="35" t="s">
        <v>827</v>
      </c>
    </row>
    <row r="250" spans="1:7">
      <c r="A250" s="1" t="s">
        <v>629</v>
      </c>
      <c r="B250" s="1" t="s">
        <v>791</v>
      </c>
      <c r="C250" s="1" t="s">
        <v>163</v>
      </c>
      <c r="D250" s="42">
        <v>2</v>
      </c>
      <c r="E250" s="108" t="s">
        <v>125</v>
      </c>
      <c r="F250" s="35"/>
      <c r="G250" s="35" t="s">
        <v>826</v>
      </c>
    </row>
    <row r="251" spans="1:7">
      <c r="A251" s="1" t="s">
        <v>653</v>
      </c>
      <c r="B251" s="1" t="s">
        <v>653</v>
      </c>
      <c r="C251" s="1" t="s">
        <v>163</v>
      </c>
      <c r="D251" s="42">
        <v>2</v>
      </c>
      <c r="E251" s="108" t="s">
        <v>125</v>
      </c>
      <c r="F251" s="35"/>
      <c r="G251" s="35" t="s">
        <v>828</v>
      </c>
    </row>
    <row r="252" spans="1:7">
      <c r="A252" s="1" t="s">
        <v>508</v>
      </c>
      <c r="B252" s="1" t="s">
        <v>718</v>
      </c>
      <c r="C252" s="1" t="s">
        <v>164</v>
      </c>
      <c r="D252" s="42">
        <v>1.8</v>
      </c>
      <c r="E252" s="108" t="s">
        <v>7</v>
      </c>
      <c r="F252" s="35"/>
      <c r="G252" s="35" t="s">
        <v>826</v>
      </c>
    </row>
    <row r="253" spans="1:7">
      <c r="A253" s="1" t="s">
        <v>509</v>
      </c>
      <c r="B253" s="1" t="s">
        <v>719</v>
      </c>
      <c r="C253" s="1" t="s">
        <v>164</v>
      </c>
      <c r="D253" s="42">
        <v>1.8</v>
      </c>
      <c r="E253" s="108" t="s">
        <v>7</v>
      </c>
      <c r="F253" s="35"/>
      <c r="G253" s="35" t="s">
        <v>826</v>
      </c>
    </row>
    <row r="254" spans="1:7">
      <c r="A254" s="1" t="s">
        <v>512</v>
      </c>
      <c r="B254" s="1" t="s">
        <v>512</v>
      </c>
      <c r="C254" s="1" t="s">
        <v>164</v>
      </c>
      <c r="D254" s="42">
        <v>1.8</v>
      </c>
      <c r="E254" s="108" t="s">
        <v>122</v>
      </c>
      <c r="F254" s="35"/>
      <c r="G254" s="35" t="s">
        <v>828</v>
      </c>
    </row>
    <row r="255" spans="1:7">
      <c r="A255" s="1" t="s">
        <v>603</v>
      </c>
      <c r="B255" s="1" t="s">
        <v>772</v>
      </c>
      <c r="C255" s="1" t="s">
        <v>164</v>
      </c>
      <c r="D255" s="42">
        <v>1.8</v>
      </c>
      <c r="E255" s="108" t="s">
        <v>122</v>
      </c>
      <c r="F255" s="35"/>
      <c r="G255" s="35" t="s">
        <v>828</v>
      </c>
    </row>
    <row r="256" spans="1:7">
      <c r="A256" s="1" t="s">
        <v>517</v>
      </c>
      <c r="B256" s="1" t="s">
        <v>517</v>
      </c>
      <c r="C256" s="1" t="s">
        <v>163</v>
      </c>
      <c r="D256" s="42">
        <v>1.6</v>
      </c>
      <c r="E256" s="108" t="s">
        <v>125</v>
      </c>
      <c r="F256" s="35"/>
      <c r="G256" s="35" t="s">
        <v>828</v>
      </c>
    </row>
    <row r="257" spans="1:7">
      <c r="A257" s="1" t="s">
        <v>439</v>
      </c>
      <c r="B257" s="1" t="s">
        <v>439</v>
      </c>
      <c r="C257" s="1" t="s">
        <v>840</v>
      </c>
      <c r="D257" s="42">
        <v>1.5</v>
      </c>
      <c r="E257" s="108" t="s">
        <v>19</v>
      </c>
      <c r="F257" s="35"/>
      <c r="G257" s="35" t="s">
        <v>826</v>
      </c>
    </row>
    <row r="258" spans="1:7">
      <c r="A258" s="1" t="s">
        <v>553</v>
      </c>
      <c r="B258" s="1" t="s">
        <v>553</v>
      </c>
      <c r="C258" s="1" t="s">
        <v>164</v>
      </c>
      <c r="D258" s="42">
        <v>1.5</v>
      </c>
      <c r="E258" s="108" t="s">
        <v>3</v>
      </c>
      <c r="F258" s="35"/>
      <c r="G258" s="35" t="s">
        <v>828</v>
      </c>
    </row>
    <row r="259" spans="1:7">
      <c r="A259" s="1" t="s">
        <v>651</v>
      </c>
      <c r="B259" s="1" t="s">
        <v>810</v>
      </c>
      <c r="C259" s="1" t="s">
        <v>163</v>
      </c>
      <c r="D259" s="42">
        <v>1.5</v>
      </c>
      <c r="E259" s="108" t="s">
        <v>121</v>
      </c>
      <c r="F259" s="35"/>
      <c r="G259" s="35" t="s">
        <v>826</v>
      </c>
    </row>
    <row r="260" spans="1:7">
      <c r="A260" s="1" t="s">
        <v>510</v>
      </c>
      <c r="B260" s="1" t="s">
        <v>510</v>
      </c>
      <c r="C260" s="1" t="s">
        <v>840</v>
      </c>
      <c r="D260" s="42">
        <v>1.3</v>
      </c>
      <c r="E260" s="108" t="s">
        <v>124</v>
      </c>
      <c r="F260" s="35"/>
      <c r="G260" s="35" t="s">
        <v>828</v>
      </c>
    </row>
    <row r="261" spans="1:7">
      <c r="A261" s="1" t="s">
        <v>473</v>
      </c>
      <c r="B261" s="1" t="s">
        <v>473</v>
      </c>
      <c r="C261" s="1" t="s">
        <v>840</v>
      </c>
      <c r="D261" s="42">
        <v>1.25</v>
      </c>
      <c r="E261" s="108" t="s">
        <v>3</v>
      </c>
      <c r="F261" s="35"/>
      <c r="G261" s="35" t="s">
        <v>828</v>
      </c>
    </row>
    <row r="262" spans="1:7">
      <c r="A262" s="1" t="s">
        <v>494</v>
      </c>
      <c r="B262" s="1" t="s">
        <v>709</v>
      </c>
      <c r="C262" s="1" t="s">
        <v>840</v>
      </c>
      <c r="D262" s="42">
        <v>1.2</v>
      </c>
      <c r="E262" s="108" t="s">
        <v>125</v>
      </c>
      <c r="F262" s="35"/>
      <c r="G262" s="35" t="s">
        <v>828</v>
      </c>
    </row>
    <row r="263" spans="1:7">
      <c r="A263" s="1" t="s">
        <v>477</v>
      </c>
      <c r="B263" s="1" t="s">
        <v>701</v>
      </c>
      <c r="C263" s="1" t="s">
        <v>840</v>
      </c>
      <c r="D263" s="42">
        <v>1.1000000000000001</v>
      </c>
      <c r="E263" s="108" t="s">
        <v>168</v>
      </c>
      <c r="F263" s="35"/>
      <c r="G263" s="35" t="s">
        <v>826</v>
      </c>
    </row>
    <row r="264" spans="1:7">
      <c r="A264" s="1" t="s">
        <v>608</v>
      </c>
      <c r="B264" s="1" t="s">
        <v>777</v>
      </c>
      <c r="C264" s="1" t="s">
        <v>840</v>
      </c>
      <c r="D264" s="42">
        <v>1.1000000000000001</v>
      </c>
      <c r="E264" s="108" t="s">
        <v>166</v>
      </c>
      <c r="F264" s="35"/>
      <c r="G264" s="35" t="s">
        <v>828</v>
      </c>
    </row>
    <row r="265" spans="1:7">
      <c r="A265" s="1" t="s">
        <v>505</v>
      </c>
      <c r="B265" s="1" t="s">
        <v>716</v>
      </c>
      <c r="C265" s="1" t="s">
        <v>163</v>
      </c>
      <c r="D265" s="42">
        <v>1</v>
      </c>
      <c r="E265" s="108" t="s">
        <v>122</v>
      </c>
      <c r="F265" s="35"/>
      <c r="G265" s="35" t="s">
        <v>828</v>
      </c>
    </row>
    <row r="266" spans="1:7">
      <c r="A266" s="1" t="s">
        <v>545</v>
      </c>
      <c r="B266" s="1" t="s">
        <v>545</v>
      </c>
      <c r="C266" s="1" t="s">
        <v>840</v>
      </c>
      <c r="D266" s="42">
        <v>1</v>
      </c>
      <c r="E266" s="108" t="s">
        <v>121</v>
      </c>
      <c r="F266" s="35"/>
      <c r="G266" s="35" t="s">
        <v>828</v>
      </c>
    </row>
    <row r="267" spans="1:7">
      <c r="A267" s="1" t="s">
        <v>591</v>
      </c>
      <c r="B267" s="1" t="s">
        <v>764</v>
      </c>
      <c r="D267" s="42">
        <v>1</v>
      </c>
      <c r="E267" s="108" t="s">
        <v>120</v>
      </c>
      <c r="F267" s="35"/>
      <c r="G267" s="35" t="s">
        <v>828</v>
      </c>
    </row>
    <row r="268" spans="1:7">
      <c r="A268" s="1" t="s">
        <v>596</v>
      </c>
      <c r="B268" s="1" t="s">
        <v>766</v>
      </c>
      <c r="C268" s="1" t="s">
        <v>164</v>
      </c>
      <c r="D268" s="42">
        <v>1</v>
      </c>
      <c r="E268" s="108" t="s">
        <v>7</v>
      </c>
      <c r="F268" s="35"/>
      <c r="G268" s="35" t="s">
        <v>828</v>
      </c>
    </row>
    <row r="269" spans="1:7">
      <c r="A269" s="1" t="s">
        <v>621</v>
      </c>
      <c r="B269" s="1" t="s">
        <v>621</v>
      </c>
      <c r="C269" s="1" t="s">
        <v>840</v>
      </c>
      <c r="D269" s="42">
        <v>0.9</v>
      </c>
      <c r="E269" s="108" t="s">
        <v>126</v>
      </c>
      <c r="F269" s="35"/>
      <c r="G269" s="35" t="s">
        <v>826</v>
      </c>
    </row>
    <row r="270" spans="1:7">
      <c r="A270" s="1" t="s">
        <v>614</v>
      </c>
      <c r="B270" s="1" t="s">
        <v>614</v>
      </c>
      <c r="C270" s="1" t="s">
        <v>840</v>
      </c>
      <c r="D270" s="42">
        <v>0</v>
      </c>
      <c r="E270" s="108" t="s">
        <v>120</v>
      </c>
      <c r="F270" s="35"/>
      <c r="G270" s="35" t="s">
        <v>828</v>
      </c>
    </row>
    <row r="272" spans="1:7">
      <c r="D272" s="102"/>
      <c r="E272" s="102" t="s">
        <v>110</v>
      </c>
      <c r="F272" s="102" t="s">
        <v>58</v>
      </c>
      <c r="G272" s="102" t="s">
        <v>820</v>
      </c>
    </row>
    <row r="273" spans="3:7">
      <c r="C273" s="39"/>
      <c r="D273" s="102" t="s">
        <v>2</v>
      </c>
      <c r="E273" s="35">
        <f>COUNT(D16:D270)</f>
        <v>255</v>
      </c>
      <c r="F273" s="7">
        <f>SUM(D16:D270)</f>
        <v>14838.929999999993</v>
      </c>
      <c r="G273" s="35"/>
    </row>
    <row r="274" spans="3:7">
      <c r="C274" s="76"/>
      <c r="D274" s="102" t="s">
        <v>393</v>
      </c>
      <c r="E274" s="35">
        <f>COUNT(D16:D187)</f>
        <v>172</v>
      </c>
      <c r="F274" s="7">
        <f>SUM(D16:D187)</f>
        <v>14506.049999999996</v>
      </c>
      <c r="G274" s="120">
        <f>F274/$F$273</f>
        <v>0.97756711568826071</v>
      </c>
    </row>
    <row r="275" spans="3:7">
      <c r="D275" s="102" t="s">
        <v>822</v>
      </c>
      <c r="E275" s="35">
        <f>COUNT(D16:D158)</f>
        <v>143</v>
      </c>
      <c r="F275" s="7">
        <f>SUM(D16:D158)</f>
        <v>14088.649999999991</v>
      </c>
      <c r="G275" s="120">
        <f>F275/$F$273</f>
        <v>0.94943840290371317</v>
      </c>
    </row>
    <row r="276" spans="3:7">
      <c r="D276" s="102" t="s">
        <v>821</v>
      </c>
      <c r="E276" s="35">
        <f>COUNT(D16:D78)</f>
        <v>63</v>
      </c>
      <c r="F276" s="7">
        <f>SUM(D16:D78)</f>
        <v>11477.649999999994</v>
      </c>
      <c r="G276" s="120">
        <f>F276/$F$273</f>
        <v>0.77348231981686011</v>
      </c>
    </row>
    <row r="277" spans="3:7">
      <c r="D277" s="102" t="s">
        <v>392</v>
      </c>
      <c r="E277" s="35">
        <f>COUNT(D16:D46)</f>
        <v>31</v>
      </c>
      <c r="F277" s="7">
        <f>SUM(D16:D46)</f>
        <v>9130.85</v>
      </c>
      <c r="G277" s="120">
        <f>F277/$F$273</f>
        <v>0.6153307549803122</v>
      </c>
    </row>
    <row r="278" spans="3:7">
      <c r="D278" s="102" t="s">
        <v>836</v>
      </c>
      <c r="E278" s="35">
        <f>COUNT(D16:D28)</f>
        <v>13</v>
      </c>
      <c r="F278" s="7">
        <f>SUM(D16:D28)</f>
        <v>6758.6</v>
      </c>
      <c r="G278" s="120">
        <f>F278/$F$273</f>
        <v>0.4554641069133693</v>
      </c>
    </row>
  </sheetData>
  <sortState xmlns:xlrd2="http://schemas.microsoft.com/office/spreadsheetml/2017/richdata2" ref="A16:G270">
    <sortCondition descending="1" ref="D16:D270"/>
  </sortState>
  <mergeCells count="7">
    <mergeCell ref="I36:N36"/>
    <mergeCell ref="V2:Y4"/>
    <mergeCell ref="AA3:AD13"/>
    <mergeCell ref="AA15:AD25"/>
    <mergeCell ref="A14:D14"/>
    <mergeCell ref="E14:G14"/>
    <mergeCell ref="I14:N14"/>
  </mergeCells>
  <conditionalFormatting sqref="P1:Q1">
    <cfRule type="duplicateValues" dxfId="2" priority="1"/>
  </conditionalFormatting>
  <hyperlinks>
    <hyperlink ref="D1" r:id="rId1" display="https://energiavirasto.fi/toimitusvarmuus" xr:uid="{B69D348C-50ED-4794-A4F2-F64F7831A2C6}"/>
    <hyperlink ref="W1" r:id="rId2" display="https://www.gem.wiki/Main_Page" xr:uid="{3944A0CB-9FB5-4E5E-8B51-F970EC13B82F}"/>
    <hyperlink ref="AB1" r:id="rId3" display="https://suomenuusiutuvat.fi/en/solar-power/solar-power-projects-in-finland/" xr:uid="{62CA7909-AE4D-4AB7-BBE1-7586393CC8F6}"/>
  </hyperlinks>
  <pageMargins left="0.7" right="0.7" top="0.75" bottom="0.75" header="0.3" footer="0.3"/>
  <tableParts count="5">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0EE52-27A3-419F-AA10-D99200E12D7C}">
  <sheetPr>
    <tabColor theme="9" tint="-0.249977111117893"/>
  </sheetPr>
  <dimension ref="A1:V85"/>
  <sheetViews>
    <sheetView zoomScaleNormal="100" workbookViewId="0">
      <selection activeCell="S26" sqref="S26"/>
    </sheetView>
  </sheetViews>
  <sheetFormatPr defaultColWidth="8.85546875" defaultRowHeight="15"/>
  <cols>
    <col min="1" max="1" width="13.7109375" style="1" customWidth="1"/>
    <col min="2" max="2" width="9.5703125" style="1" customWidth="1"/>
    <col min="3" max="3" width="19.85546875" style="1" bestFit="1" customWidth="1"/>
    <col min="4" max="4" width="10.7109375" style="35" bestFit="1" customWidth="1"/>
    <col min="5" max="6" width="14.140625" style="35" customWidth="1"/>
    <col min="7" max="7" width="14.140625" style="1" customWidth="1"/>
    <col min="8" max="8" width="8.85546875" style="100"/>
    <col min="9" max="9" width="8.85546875" style="1" customWidth="1"/>
    <col min="10" max="10" width="19.85546875" style="1" customWidth="1"/>
    <col min="11" max="11" width="11.42578125" style="1" customWidth="1"/>
    <col min="12" max="12" width="9.42578125" style="1" customWidth="1"/>
    <col min="13" max="13" width="9.28515625" style="1" customWidth="1"/>
    <col min="14" max="14" width="20.28515625" style="1" customWidth="1"/>
    <col min="15" max="15" width="9.42578125" style="1" customWidth="1"/>
    <col min="16" max="16" width="8.85546875" style="1"/>
    <col min="17" max="17" width="8.85546875" style="1" customWidth="1"/>
    <col min="18" max="16384" width="8.85546875" style="1"/>
  </cols>
  <sheetData>
    <row r="1" spans="1:22">
      <c r="A1" s="65" t="s">
        <v>1182</v>
      </c>
      <c r="B1" s="36" t="s">
        <v>864</v>
      </c>
      <c r="C1" s="36"/>
      <c r="D1" s="36"/>
      <c r="E1" s="97"/>
      <c r="F1" s="97" t="s">
        <v>176</v>
      </c>
      <c r="G1" s="36"/>
      <c r="H1" s="135"/>
      <c r="I1" s="36"/>
      <c r="J1" s="36"/>
      <c r="K1" s="36"/>
      <c r="L1" s="36"/>
      <c r="N1" s="65" t="s">
        <v>1183</v>
      </c>
      <c r="O1" s="65" t="s">
        <v>1164</v>
      </c>
      <c r="P1" s="36"/>
      <c r="Q1" s="36"/>
    </row>
    <row r="2" spans="1:22">
      <c r="A2" s="98" t="s">
        <v>397</v>
      </c>
      <c r="B2" s="98" t="s">
        <v>1137</v>
      </c>
      <c r="C2" s="45"/>
      <c r="D2" s="98"/>
      <c r="E2" s="98"/>
      <c r="F2" s="98"/>
      <c r="G2" s="45"/>
      <c r="H2" s="46"/>
      <c r="I2" s="45"/>
      <c r="J2" s="45"/>
      <c r="K2" s="45"/>
      <c r="L2" s="45"/>
      <c r="N2" s="14" t="s">
        <v>1199</v>
      </c>
      <c r="O2" s="14" t="s">
        <v>1165</v>
      </c>
      <c r="P2" s="14" t="s">
        <v>1163</v>
      </c>
      <c r="Q2" s="14" t="s">
        <v>1162</v>
      </c>
    </row>
    <row r="3" spans="1:22">
      <c r="A3" s="45" t="s">
        <v>398</v>
      </c>
      <c r="B3" s="45" t="s">
        <v>1138</v>
      </c>
      <c r="C3" s="45"/>
      <c r="D3" s="98"/>
      <c r="E3" s="98"/>
      <c r="F3" s="98"/>
      <c r="G3" s="45"/>
      <c r="H3" s="46"/>
      <c r="I3" s="45"/>
      <c r="J3" s="45"/>
      <c r="K3" s="45"/>
      <c r="L3" s="45"/>
      <c r="N3" s="1" t="s">
        <v>899</v>
      </c>
      <c r="O3" s="9">
        <v>7056.656097907563</v>
      </c>
      <c r="P3" s="10">
        <v>2822.6624391630253</v>
      </c>
      <c r="Q3" s="9">
        <v>4233.9936587445382</v>
      </c>
    </row>
    <row r="4" spans="1:22">
      <c r="N4" s="1" t="s">
        <v>900</v>
      </c>
      <c r="O4" s="9">
        <v>357.53724229398318</v>
      </c>
      <c r="P4" s="10">
        <v>143.01489691759329</v>
      </c>
      <c r="Q4" s="9">
        <v>214.52234537638995</v>
      </c>
    </row>
    <row r="5" spans="1:22">
      <c r="A5" s="14" t="s">
        <v>178</v>
      </c>
      <c r="B5" s="14" t="s">
        <v>179</v>
      </c>
      <c r="C5" s="14" t="s">
        <v>24</v>
      </c>
      <c r="D5" s="128" t="s">
        <v>58</v>
      </c>
      <c r="E5" s="128" t="s">
        <v>1017</v>
      </c>
      <c r="F5" s="102" t="s">
        <v>1018</v>
      </c>
      <c r="G5" s="102" t="s">
        <v>1019</v>
      </c>
      <c r="H5" s="128" t="s">
        <v>1139</v>
      </c>
      <c r="J5" s="45" t="s">
        <v>1143</v>
      </c>
      <c r="K5" s="45" t="s">
        <v>1144</v>
      </c>
      <c r="L5" s="45"/>
      <c r="P5" s="6">
        <f>P3+P4</f>
        <v>2965.6773360806187</v>
      </c>
    </row>
    <row r="6" spans="1:22">
      <c r="A6" s="35" t="s">
        <v>967</v>
      </c>
      <c r="B6" s="1" t="s">
        <v>967</v>
      </c>
      <c r="C6" s="108" t="s">
        <v>120</v>
      </c>
      <c r="D6" s="140">
        <v>280</v>
      </c>
      <c r="E6" s="100" t="s">
        <v>1029</v>
      </c>
      <c r="G6" s="132" t="s">
        <v>1142</v>
      </c>
      <c r="H6" s="136" t="str">
        <f>IF(ISNUMBER(MATCH(P_ind[[#This Row],[Main fuel]],$J$29:$J$42,0)),"RE","non-RE")</f>
        <v>RE</v>
      </c>
      <c r="I6" s="131"/>
      <c r="J6" s="98" t="s">
        <v>1167</v>
      </c>
      <c r="K6" s="45"/>
      <c r="L6" s="45"/>
    </row>
    <row r="7" spans="1:22">
      <c r="A7" s="35" t="s">
        <v>903</v>
      </c>
      <c r="B7" s="1" t="s">
        <v>970</v>
      </c>
      <c r="C7" s="108" t="s">
        <v>122</v>
      </c>
      <c r="D7" s="140">
        <v>240</v>
      </c>
      <c r="E7" s="100" t="s">
        <v>1020</v>
      </c>
      <c r="F7" s="35" t="s">
        <v>1023</v>
      </c>
      <c r="G7" s="35" t="s">
        <v>1021</v>
      </c>
      <c r="H7" s="136" t="str">
        <f>IF(ISNUMBER(MATCH(P_ind[[#This Row],[Main fuel]],$J$29:$J$42,0)),"RE","non-RE")</f>
        <v>RE</v>
      </c>
      <c r="I7" s="131"/>
      <c r="J7" s="35" t="str" cm="1">
        <f t="array" ref="J7:J26">_xlfn.UNIQUE(_xlfn.TOCOL(P_ind[[Main fuel]:[Standby fuel 2]], 1))</f>
        <v>Black liquor and concentrated liquors</v>
      </c>
      <c r="K7" s="103" t="s">
        <v>394</v>
      </c>
      <c r="N7" s="14" t="s">
        <v>1202</v>
      </c>
      <c r="O7" s="14"/>
      <c r="P7" s="22">
        <v>1.5</v>
      </c>
    </row>
    <row r="8" spans="1:22">
      <c r="A8" s="35" t="s">
        <v>924</v>
      </c>
      <c r="B8" s="1" t="s">
        <v>923</v>
      </c>
      <c r="C8" s="108" t="s">
        <v>126</v>
      </c>
      <c r="D8" s="140">
        <v>228</v>
      </c>
      <c r="E8" s="100" t="s">
        <v>1029</v>
      </c>
      <c r="F8" s="35" t="s">
        <v>1032</v>
      </c>
      <c r="G8" s="35"/>
      <c r="H8" s="136" t="str">
        <f>IF(ISNUMBER(MATCH(P_ind[[#This Row],[Main fuel]],$J$29:$J$42,0)),"RE","non-RE")</f>
        <v>RE</v>
      </c>
      <c r="I8" s="131"/>
      <c r="J8" s="35" t="str">
        <v/>
      </c>
      <c r="K8" s="103" t="s">
        <v>1136</v>
      </c>
    </row>
    <row r="9" spans="1:22">
      <c r="A9" s="35" t="s">
        <v>185</v>
      </c>
      <c r="B9" s="1" t="s">
        <v>971</v>
      </c>
      <c r="C9" s="108" t="s">
        <v>9</v>
      </c>
      <c r="D9" s="140">
        <v>160.5</v>
      </c>
      <c r="E9" s="100" t="s">
        <v>1021</v>
      </c>
      <c r="F9" s="132" t="s">
        <v>1142</v>
      </c>
      <c r="G9" s="35"/>
      <c r="H9" s="136" t="str">
        <f>IF(ISNUMBER(MATCH(P_ind[[#This Row],[Main fuel]],$J$29:$J$42,0)),"RE","non-RE")</f>
        <v>RE</v>
      </c>
      <c r="I9" s="131"/>
      <c r="J9" s="35" t="str">
        <v>Peat</v>
      </c>
      <c r="K9" s="103" t="s">
        <v>1136</v>
      </c>
      <c r="N9" s="65" t="s">
        <v>1185</v>
      </c>
      <c r="O9" s="36"/>
      <c r="P9" s="36"/>
      <c r="Q9" s="36"/>
    </row>
    <row r="10" spans="1:22">
      <c r="A10" s="35" t="s">
        <v>920</v>
      </c>
      <c r="B10" s="1" t="s">
        <v>920</v>
      </c>
      <c r="C10" s="108" t="s">
        <v>119</v>
      </c>
      <c r="D10" s="140">
        <v>134</v>
      </c>
      <c r="E10" s="100" t="s">
        <v>1029</v>
      </c>
      <c r="F10" s="35" t="s">
        <v>1021</v>
      </c>
      <c r="G10" s="35" t="s">
        <v>1028</v>
      </c>
      <c r="H10" s="136" t="str">
        <f>IF(ISNUMBER(MATCH(P_ind[[#This Row],[Main fuel]],$J$29:$J$42,0)),"RE","non-RE")</f>
        <v>RE</v>
      </c>
      <c r="I10" s="131"/>
      <c r="J10" s="35" t="str">
        <v>Hard coal and anthracite</v>
      </c>
      <c r="K10" s="103" t="s">
        <v>395</v>
      </c>
      <c r="N10" s="98" t="s">
        <v>1170</v>
      </c>
      <c r="O10" s="98"/>
      <c r="P10" s="98"/>
      <c r="Q10" s="98"/>
    </row>
    <row r="11" spans="1:22" ht="15" customHeight="1">
      <c r="A11" s="35" t="s">
        <v>927</v>
      </c>
      <c r="B11" s="1" t="s">
        <v>990</v>
      </c>
      <c r="C11" s="108" t="s">
        <v>3</v>
      </c>
      <c r="D11" s="140">
        <v>128</v>
      </c>
      <c r="E11" s="100" t="s">
        <v>1028</v>
      </c>
      <c r="F11" s="35" t="s">
        <v>1025</v>
      </c>
      <c r="G11" s="132" t="s">
        <v>1142</v>
      </c>
      <c r="H11" s="136" t="str">
        <f>IF(ISNUMBER(MATCH(P_ind[[#This Row],[Main fuel]],$J$29:$J$42,0)),"RE","non-RE")</f>
        <v>non-RE</v>
      </c>
      <c r="I11" s="131"/>
      <c r="J11" s="35" t="str">
        <v>Industrial wood residues</v>
      </c>
      <c r="K11" s="103" t="s">
        <v>394</v>
      </c>
      <c r="N11" s="98" t="s">
        <v>1168</v>
      </c>
      <c r="O11" s="98"/>
      <c r="P11" s="98"/>
      <c r="Q11" s="98"/>
    </row>
    <row r="12" spans="1:22">
      <c r="A12" s="35" t="s">
        <v>938</v>
      </c>
      <c r="B12" s="1" t="s">
        <v>938</v>
      </c>
      <c r="C12" s="108" t="s">
        <v>125</v>
      </c>
      <c r="D12" s="140">
        <v>105</v>
      </c>
      <c r="E12" s="100" t="s">
        <v>1029</v>
      </c>
      <c r="F12" s="35" t="s">
        <v>1021</v>
      </c>
      <c r="G12" s="35" t="s">
        <v>1020</v>
      </c>
      <c r="H12" s="136" t="str">
        <f>IF(ISNUMBER(MATCH(P_ind[[#This Row],[Main fuel]],$J$29:$J$42,0)),"RE","non-RE")</f>
        <v>RE</v>
      </c>
      <c r="I12" s="131"/>
      <c r="J12" s="35" t="str">
        <v>By-products from wood processing industry</v>
      </c>
      <c r="K12" s="103" t="s">
        <v>394</v>
      </c>
      <c r="N12" s="98" t="s">
        <v>1171</v>
      </c>
      <c r="O12" s="98"/>
      <c r="P12" s="98"/>
      <c r="Q12" s="98"/>
      <c r="V12" s="137"/>
    </row>
    <row r="13" spans="1:22">
      <c r="A13" s="35" t="s">
        <v>959</v>
      </c>
      <c r="B13" s="1" t="s">
        <v>1010</v>
      </c>
      <c r="C13" s="108" t="s">
        <v>123</v>
      </c>
      <c r="D13" s="140">
        <v>105</v>
      </c>
      <c r="E13" s="100" t="s">
        <v>1029</v>
      </c>
      <c r="F13" s="35" t="s">
        <v>1021</v>
      </c>
      <c r="G13" s="35" t="s">
        <v>1022</v>
      </c>
      <c r="H13" s="136" t="str">
        <f>IF(ISNUMBER(MATCH(P_ind[[#This Row],[Main fuel]],$J$29:$J$42,0)),"RE","non-RE")</f>
        <v>RE</v>
      </c>
      <c r="I13" s="131"/>
      <c r="J13" s="35" t="str">
        <v>Natural gas</v>
      </c>
      <c r="K13" s="103" t="s">
        <v>395</v>
      </c>
      <c r="N13" s="226" t="s">
        <v>1169</v>
      </c>
      <c r="O13" s="226"/>
      <c r="P13" s="226"/>
      <c r="Q13" s="226"/>
    </row>
    <row r="14" spans="1:22">
      <c r="A14" s="35" t="s">
        <v>939</v>
      </c>
      <c r="B14" s="1" t="s">
        <v>999</v>
      </c>
      <c r="C14" s="108" t="s">
        <v>122</v>
      </c>
      <c r="D14" s="140">
        <v>95</v>
      </c>
      <c r="E14" s="100" t="s">
        <v>1029</v>
      </c>
      <c r="F14" s="35" t="s">
        <v>1022</v>
      </c>
      <c r="G14" s="35" t="s">
        <v>1033</v>
      </c>
      <c r="H14" s="136" t="str">
        <f>IF(ISNUMBER(MATCH(P_ind[[#This Row],[Main fuel]],$J$29:$J$42,0)),"RE","non-RE")</f>
        <v>RE</v>
      </c>
      <c r="I14" s="131"/>
      <c r="J14" s="35" t="str">
        <v>Medium heavy distillates</v>
      </c>
      <c r="K14" s="103" t="s">
        <v>395</v>
      </c>
      <c r="N14" s="226"/>
      <c r="O14" s="226"/>
      <c r="P14" s="226"/>
      <c r="Q14" s="226"/>
    </row>
    <row r="15" spans="1:22" ht="15" customHeight="1">
      <c r="A15" s="35" t="s">
        <v>944</v>
      </c>
      <c r="B15" s="1" t="s">
        <v>944</v>
      </c>
      <c r="C15" s="108" t="s">
        <v>125</v>
      </c>
      <c r="D15" s="140">
        <v>94</v>
      </c>
      <c r="E15" s="100" t="s">
        <v>1034</v>
      </c>
      <c r="F15" s="35" t="s">
        <v>1035</v>
      </c>
      <c r="G15" s="35" t="s">
        <v>1028</v>
      </c>
      <c r="H15" s="136" t="str">
        <f>IF(ISNUMBER(MATCH(P_ind[[#This Row],[Main fuel]],$J$29:$J$42,0)),"RE","non-RE")</f>
        <v>RE</v>
      </c>
      <c r="I15" s="131"/>
      <c r="J15" s="35" t="str">
        <v>Heavy distillates</v>
      </c>
      <c r="K15" s="103" t="s">
        <v>395</v>
      </c>
      <c r="N15" s="226"/>
      <c r="O15" s="226"/>
      <c r="P15" s="226"/>
      <c r="Q15" s="226"/>
    </row>
    <row r="16" spans="1:22">
      <c r="A16" s="35" t="s">
        <v>934</v>
      </c>
      <c r="B16" s="1" t="s">
        <v>995</v>
      </c>
      <c r="C16" s="108" t="s">
        <v>9</v>
      </c>
      <c r="D16" s="140">
        <v>87</v>
      </c>
      <c r="E16" s="100" t="s">
        <v>1029</v>
      </c>
      <c r="F16" s="35" t="s">
        <v>1028</v>
      </c>
      <c r="G16" s="35" t="s">
        <v>1022</v>
      </c>
      <c r="H16" s="136" t="str">
        <f>IF(ISNUMBER(MATCH(P_ind[[#This Row],[Main fuel]],$J$29:$J$42,0)),"RE","non-RE")</f>
        <v>RE</v>
      </c>
      <c r="I16" s="131"/>
      <c r="J16" s="35" t="str">
        <v>Bioliquids</v>
      </c>
      <c r="K16" s="103" t="s">
        <v>394</v>
      </c>
      <c r="N16" s="126" t="s">
        <v>1172</v>
      </c>
      <c r="O16" s="126"/>
      <c r="P16" s="126"/>
      <c r="Q16" s="126"/>
    </row>
    <row r="17" spans="1:17">
      <c r="A17" s="35" t="s">
        <v>914</v>
      </c>
      <c r="B17" s="1" t="s">
        <v>980</v>
      </c>
      <c r="C17" s="108" t="s">
        <v>119</v>
      </c>
      <c r="D17" s="140">
        <v>85</v>
      </c>
      <c r="E17" s="100" t="s">
        <v>1029</v>
      </c>
      <c r="F17" s="35" t="s">
        <v>1028</v>
      </c>
      <c r="G17" s="35"/>
      <c r="H17" s="136" t="str">
        <f>IF(ISNUMBER(MATCH(P_ind[[#This Row],[Main fuel]],$J$29:$J$42,0)),"RE","non-RE")</f>
        <v>RE</v>
      </c>
      <c r="I17" s="131"/>
      <c r="J17" s="35" t="str">
        <v>Blast furnace gas</v>
      </c>
      <c r="K17" s="103" t="s">
        <v>1136</v>
      </c>
      <c r="N17" s="227" t="s">
        <v>1173</v>
      </c>
      <c r="O17" s="227"/>
      <c r="P17" s="227"/>
      <c r="Q17" s="227"/>
    </row>
    <row r="18" spans="1:17">
      <c r="A18" s="35" t="s">
        <v>941</v>
      </c>
      <c r="B18" s="1" t="s">
        <v>1001</v>
      </c>
      <c r="C18" s="108" t="s">
        <v>5</v>
      </c>
      <c r="D18" s="140">
        <v>81.400000000000006</v>
      </c>
      <c r="E18" s="145" t="s">
        <v>1142</v>
      </c>
      <c r="G18" s="35"/>
      <c r="H18" s="136" t="str">
        <f>IF(ISNUMBER(MATCH(P_ind[[#This Row],[Main fuel]],$J$29:$J$42,0)),"RE","non-RE")</f>
        <v>RE</v>
      </c>
      <c r="I18" s="131"/>
      <c r="J18" s="35" t="str">
        <v>Coke oven gas</v>
      </c>
      <c r="K18" s="103" t="s">
        <v>1136</v>
      </c>
      <c r="N18" s="227"/>
      <c r="O18" s="227"/>
      <c r="P18" s="227"/>
      <c r="Q18" s="227"/>
    </row>
    <row r="19" spans="1:17">
      <c r="A19" s="35" t="s">
        <v>922</v>
      </c>
      <c r="B19" s="1" t="s">
        <v>922</v>
      </c>
      <c r="C19" s="108" t="s">
        <v>19</v>
      </c>
      <c r="D19" s="140">
        <v>79.2</v>
      </c>
      <c r="E19" s="100" t="s">
        <v>1020</v>
      </c>
      <c r="F19" s="35" t="s">
        <v>1021</v>
      </c>
      <c r="G19" s="35" t="s">
        <v>1027</v>
      </c>
      <c r="H19" s="136" t="str">
        <f>IF(ISNUMBER(MATCH(P_ind[[#This Row],[Main fuel]],$J$29:$J$42,0)),"RE","non-RE")</f>
        <v>RE</v>
      </c>
      <c r="I19" s="131"/>
      <c r="J19" s="35" t="str">
        <v>Forest fuelwood</v>
      </c>
      <c r="K19" s="103" t="s">
        <v>394</v>
      </c>
      <c r="N19" s="227"/>
      <c r="O19" s="227"/>
      <c r="P19" s="227"/>
      <c r="Q19" s="227"/>
    </row>
    <row r="20" spans="1:17">
      <c r="A20" s="35" t="s">
        <v>933</v>
      </c>
      <c r="B20" s="1" t="s">
        <v>239</v>
      </c>
      <c r="C20" s="108" t="s">
        <v>9</v>
      </c>
      <c r="D20" s="140">
        <v>76</v>
      </c>
      <c r="E20" s="100" t="s">
        <v>1021</v>
      </c>
      <c r="F20" s="35" t="s">
        <v>1028</v>
      </c>
      <c r="G20" s="35" t="s">
        <v>1022</v>
      </c>
      <c r="H20" s="136" t="str">
        <f>IF(ISNUMBER(MATCH(P_ind[[#This Row],[Main fuel]],$J$29:$J$42,0)),"RE","non-RE")</f>
        <v>RE</v>
      </c>
      <c r="I20" s="131"/>
      <c r="J20" s="35" t="str">
        <v>Mixed fuels</v>
      </c>
      <c r="K20" s="103" t="s">
        <v>1136</v>
      </c>
      <c r="N20" s="14" t="s">
        <v>1199</v>
      </c>
      <c r="O20" s="14" t="s">
        <v>1141</v>
      </c>
      <c r="P20" s="14" t="s">
        <v>1140</v>
      </c>
    </row>
    <row r="21" spans="1:17">
      <c r="A21" s="35" t="s">
        <v>946</v>
      </c>
      <c r="B21" s="1" t="s">
        <v>1002</v>
      </c>
      <c r="C21" s="108" t="s">
        <v>5</v>
      </c>
      <c r="D21" s="140">
        <v>75</v>
      </c>
      <c r="E21" s="100" t="s">
        <v>1029</v>
      </c>
      <c r="F21" s="35" t="s">
        <v>1022</v>
      </c>
      <c r="G21" s="132" t="s">
        <v>1142</v>
      </c>
      <c r="H21" s="136" t="str">
        <f>IF(ISNUMBER(MATCH(P_ind[[#This Row],[Main fuel]],$J$29:$J$42,0)),"RE","non-RE")</f>
        <v>RE</v>
      </c>
      <c r="I21" s="131"/>
      <c r="J21" s="35" t="str">
        <v>Other by-products and wastes used as fuel</v>
      </c>
      <c r="K21" s="103" t="s">
        <v>1136</v>
      </c>
      <c r="N21" s="1" t="s">
        <v>28</v>
      </c>
      <c r="O21" s="24">
        <f t="shared" ref="O21:O27" si="0">M66-P21</f>
        <v>501.3</v>
      </c>
      <c r="P21" s="108">
        <v>0</v>
      </c>
    </row>
    <row r="22" spans="1:17">
      <c r="A22" s="35" t="s">
        <v>943</v>
      </c>
      <c r="B22" s="1" t="s">
        <v>943</v>
      </c>
      <c r="C22" s="108" t="s">
        <v>3</v>
      </c>
      <c r="D22" s="140">
        <v>72.599999999999994</v>
      </c>
      <c r="E22" s="100" t="s">
        <v>1028</v>
      </c>
      <c r="F22" s="35" t="s">
        <v>1025</v>
      </c>
      <c r="G22" s="35"/>
      <c r="H22" s="136" t="str">
        <f>IF(ISNUMBER(MATCH(P_ind[[#This Row],[Main fuel]],$J$29:$J$42,0)),"RE","non-RE")</f>
        <v>non-RE</v>
      </c>
      <c r="I22" s="131"/>
      <c r="J22" s="35" t="str">
        <v>Exothermic heat from industry</v>
      </c>
      <c r="K22" s="103" t="s">
        <v>1136</v>
      </c>
      <c r="N22" s="1" t="s">
        <v>29</v>
      </c>
      <c r="O22" s="24">
        <f t="shared" si="0"/>
        <v>652.9</v>
      </c>
      <c r="P22" s="108">
        <v>0</v>
      </c>
    </row>
    <row r="23" spans="1:17">
      <c r="A23" s="35" t="s">
        <v>929</v>
      </c>
      <c r="B23" s="1" t="s">
        <v>929</v>
      </c>
      <c r="C23" s="108" t="s">
        <v>9</v>
      </c>
      <c r="D23" s="140">
        <v>72</v>
      </c>
      <c r="E23" s="100" t="s">
        <v>1029</v>
      </c>
      <c r="F23" s="35" t="s">
        <v>1028</v>
      </c>
      <c r="G23" s="35"/>
      <c r="H23" s="136" t="str">
        <f>IF(ISNUMBER(MATCH(P_ind[[#This Row],[Main fuel]],$J$29:$J$42,0)),"RE","non-RE")</f>
        <v>RE</v>
      </c>
      <c r="I23" s="131"/>
      <c r="J23" s="35" t="str">
        <v>Petroleum gases</v>
      </c>
      <c r="K23" s="103" t="s">
        <v>395</v>
      </c>
      <c r="N23" s="1" t="s">
        <v>31</v>
      </c>
      <c r="O23" s="24">
        <f t="shared" si="0"/>
        <v>528.5</v>
      </c>
      <c r="P23" s="108">
        <v>0</v>
      </c>
    </row>
    <row r="24" spans="1:17">
      <c r="A24" s="35" t="s">
        <v>937</v>
      </c>
      <c r="B24" s="1" t="s">
        <v>998</v>
      </c>
      <c r="C24" s="108" t="s">
        <v>7</v>
      </c>
      <c r="D24" s="140">
        <v>72</v>
      </c>
      <c r="E24" s="100" t="s">
        <v>1028</v>
      </c>
      <c r="F24" s="35" t="s">
        <v>1025</v>
      </c>
      <c r="G24" s="132" t="s">
        <v>1142</v>
      </c>
      <c r="H24" s="136" t="str">
        <f>IF(ISNUMBER(MATCH(P_ind[[#This Row],[Main fuel]],$J$29:$J$42,0)),"RE","non-RE")</f>
        <v>non-RE</v>
      </c>
      <c r="I24" s="131"/>
      <c r="J24" s="35" t="str">
        <v>Other non-specified energy sources</v>
      </c>
      <c r="K24" s="103" t="s">
        <v>1136</v>
      </c>
      <c r="N24" s="1" t="s">
        <v>32</v>
      </c>
      <c r="O24" s="24">
        <f t="shared" si="0"/>
        <v>281.60000000000002</v>
      </c>
      <c r="P24" s="108">
        <v>0</v>
      </c>
    </row>
    <row r="25" spans="1:17">
      <c r="A25" s="35" t="s">
        <v>946</v>
      </c>
      <c r="B25" s="1" t="s">
        <v>946</v>
      </c>
      <c r="C25" s="108" t="s">
        <v>5</v>
      </c>
      <c r="D25" s="140">
        <v>71.5</v>
      </c>
      <c r="E25" s="100" t="s">
        <v>1021</v>
      </c>
      <c r="F25" s="35" t="s">
        <v>1027</v>
      </c>
      <c r="G25" s="35" t="s">
        <v>1024</v>
      </c>
      <c r="H25" s="136" t="str">
        <f>IF(ISNUMBER(MATCH(P_ind[[#This Row],[Main fuel]],$J$29:$J$42,0)),"RE","non-RE")</f>
        <v>RE</v>
      </c>
      <c r="I25" s="131"/>
      <c r="J25" s="35" t="str">
        <v>Biogas</v>
      </c>
      <c r="K25" s="103" t="s">
        <v>394</v>
      </c>
      <c r="N25" s="1" t="s">
        <v>33</v>
      </c>
      <c r="O25" s="24">
        <f t="shared" si="0"/>
        <v>39.1</v>
      </c>
      <c r="P25" s="108">
        <v>0</v>
      </c>
    </row>
    <row r="26" spans="1:17">
      <c r="A26" s="35" t="s">
        <v>919</v>
      </c>
      <c r="B26" s="1" t="s">
        <v>985</v>
      </c>
      <c r="C26" s="108" t="s">
        <v>119</v>
      </c>
      <c r="D26" s="140">
        <v>67.3</v>
      </c>
      <c r="E26" s="100" t="s">
        <v>1029</v>
      </c>
      <c r="F26" s="35" t="s">
        <v>1028</v>
      </c>
      <c r="G26" s="35"/>
      <c r="H26" s="136" t="str">
        <f>IF(ISNUMBER(MATCH(P_ind[[#This Row],[Main fuel]],$J$29:$J$42,0)),"RE","non-RE")</f>
        <v>RE</v>
      </c>
      <c r="I26" s="131"/>
      <c r="J26" s="35" t="str">
        <v>Light distillates</v>
      </c>
      <c r="K26" s="103" t="s">
        <v>395</v>
      </c>
      <c r="N26" s="1" t="s">
        <v>34</v>
      </c>
      <c r="O26" s="24">
        <f t="shared" si="0"/>
        <v>765.40000000000009</v>
      </c>
      <c r="P26" s="108">
        <v>0</v>
      </c>
    </row>
    <row r="27" spans="1:17">
      <c r="A27" s="35" t="s">
        <v>961</v>
      </c>
      <c r="B27" s="1" t="s">
        <v>1012</v>
      </c>
      <c r="C27" s="108" t="s">
        <v>166</v>
      </c>
      <c r="D27" s="140">
        <v>51.8</v>
      </c>
      <c r="E27" s="100" t="s">
        <v>1029</v>
      </c>
      <c r="F27" s="35" t="s">
        <v>1027</v>
      </c>
      <c r="G27" s="35" t="s">
        <v>1031</v>
      </c>
      <c r="H27" s="136" t="str">
        <f>IF(ISNUMBER(MATCH(P_ind[[#This Row],[Main fuel]],$J$29:$J$42,0)),"RE","non-RE")</f>
        <v>RE</v>
      </c>
      <c r="I27" s="131"/>
      <c r="J27" s="45" t="s">
        <v>1145</v>
      </c>
      <c r="K27" s="45"/>
      <c r="L27" s="45"/>
      <c r="N27" s="1" t="s">
        <v>3</v>
      </c>
      <c r="O27" s="24">
        <f t="shared" si="0"/>
        <v>146.58510308240673</v>
      </c>
      <c r="P27" s="24">
        <f>P4</f>
        <v>143.01489691759329</v>
      </c>
    </row>
    <row r="28" spans="1:17">
      <c r="A28" s="35" t="s">
        <v>942</v>
      </c>
      <c r="B28" s="1" t="s">
        <v>942</v>
      </c>
      <c r="C28" s="108" t="s">
        <v>3</v>
      </c>
      <c r="D28" s="140">
        <v>48</v>
      </c>
      <c r="E28" s="100" t="s">
        <v>1028</v>
      </c>
      <c r="F28" s="35" t="s">
        <v>1025</v>
      </c>
      <c r="G28" s="35"/>
      <c r="H28" s="136" t="str">
        <f>IF(ISNUMBER(MATCH(P_ind[[#This Row],[Main fuel]],$J$29:$J$42,0)),"RE","non-RE")</f>
        <v>non-RE</v>
      </c>
      <c r="I28" s="131"/>
      <c r="J28" s="98" t="s">
        <v>1166</v>
      </c>
      <c r="K28" s="45"/>
      <c r="L28" s="45"/>
      <c r="M28" s="131" t="s">
        <v>1142</v>
      </c>
      <c r="N28" s="14" t="s">
        <v>1192</v>
      </c>
      <c r="O28" s="14" t="s">
        <v>1141</v>
      </c>
      <c r="P28" s="14" t="s">
        <v>1140</v>
      </c>
    </row>
    <row r="29" spans="1:17">
      <c r="A29" s="35" t="s">
        <v>909</v>
      </c>
      <c r="B29" s="1" t="s">
        <v>976</v>
      </c>
      <c r="C29" s="108" t="s">
        <v>9</v>
      </c>
      <c r="D29" s="140">
        <v>45</v>
      </c>
      <c r="E29" s="100" t="s">
        <v>1028</v>
      </c>
      <c r="F29" s="35" t="s">
        <v>1025</v>
      </c>
      <c r="G29" s="132" t="s">
        <v>1142</v>
      </c>
      <c r="H29" s="136" t="str">
        <f>IF(ISNUMBER(MATCH(P_ind[[#This Row],[Main fuel]],$J$29:$J$42,0)),"RE","non-RE")</f>
        <v>non-RE</v>
      </c>
      <c r="I29" s="131"/>
      <c r="J29" s="35" t="s">
        <v>1029</v>
      </c>
      <c r="M29" s="131" t="s">
        <v>1142</v>
      </c>
      <c r="N29" s="1" t="s">
        <v>28</v>
      </c>
      <c r="O29" s="105">
        <f>O21*$P$7</f>
        <v>751.95</v>
      </c>
      <c r="P29" s="105">
        <f>P21*$P$7</f>
        <v>0</v>
      </c>
    </row>
    <row r="30" spans="1:17">
      <c r="A30" s="35" t="s">
        <v>915</v>
      </c>
      <c r="B30" s="1" t="s">
        <v>981</v>
      </c>
      <c r="C30" s="108" t="s">
        <v>120</v>
      </c>
      <c r="D30" s="140">
        <v>43</v>
      </c>
      <c r="E30" s="145" t="s">
        <v>1142</v>
      </c>
      <c r="G30" s="35"/>
      <c r="H30" s="136" t="str">
        <f>IF(ISNUMBER(MATCH(P_ind[[#This Row],[Main fuel]],$J$29:$J$42,0)),"RE","non-RE")</f>
        <v>RE</v>
      </c>
      <c r="I30" s="131"/>
      <c r="J30" s="35" t="s">
        <v>1142</v>
      </c>
      <c r="M30" s="131" t="s">
        <v>1142</v>
      </c>
      <c r="N30" s="1" t="s">
        <v>29</v>
      </c>
      <c r="O30" s="105">
        <f t="shared" ref="O30:P35" si="1">O22*$P$7</f>
        <v>979.34999999999991</v>
      </c>
      <c r="P30" s="105">
        <f t="shared" si="1"/>
        <v>0</v>
      </c>
    </row>
    <row r="31" spans="1:17">
      <c r="A31" s="35" t="s">
        <v>926</v>
      </c>
      <c r="B31" s="1" t="s">
        <v>989</v>
      </c>
      <c r="C31" s="108" t="s">
        <v>3</v>
      </c>
      <c r="D31" s="140">
        <v>41</v>
      </c>
      <c r="E31" s="100" t="s">
        <v>1022</v>
      </c>
      <c r="F31" s="35" t="s">
        <v>1022</v>
      </c>
      <c r="G31" s="35" t="s">
        <v>1028</v>
      </c>
      <c r="H31" s="136" t="str">
        <f>IF(ISNUMBER(MATCH(P_ind[[#This Row],[Main fuel]],$J$29:$J$42,0)),"RE","non-RE")</f>
        <v>non-RE</v>
      </c>
      <c r="I31" s="131"/>
      <c r="J31" s="35" t="s">
        <v>1020</v>
      </c>
      <c r="M31" s="131" t="s">
        <v>1142</v>
      </c>
      <c r="N31" s="1" t="s">
        <v>31</v>
      </c>
      <c r="O31" s="105">
        <f t="shared" si="1"/>
        <v>792.75</v>
      </c>
      <c r="P31" s="105">
        <f t="shared" si="1"/>
        <v>0</v>
      </c>
    </row>
    <row r="32" spans="1:17">
      <c r="A32" s="35" t="s">
        <v>958</v>
      </c>
      <c r="B32" s="1" t="s">
        <v>1009</v>
      </c>
      <c r="C32" s="108" t="s">
        <v>126</v>
      </c>
      <c r="D32" s="140">
        <v>39.299999999999997</v>
      </c>
      <c r="E32" s="100" t="s">
        <v>1020</v>
      </c>
      <c r="F32" s="35" t="s">
        <v>1027</v>
      </c>
      <c r="G32" s="35" t="s">
        <v>1024</v>
      </c>
      <c r="H32" s="136" t="str">
        <f>IF(ISNUMBER(MATCH(P_ind[[#This Row],[Main fuel]],$J$29:$J$42,0)),"RE","non-RE")</f>
        <v>RE</v>
      </c>
      <c r="I32" s="131"/>
      <c r="J32" s="35" t="s">
        <v>1021</v>
      </c>
      <c r="M32" s="131" t="s">
        <v>1142</v>
      </c>
      <c r="N32" s="1" t="s">
        <v>32</v>
      </c>
      <c r="O32" s="105">
        <f t="shared" si="1"/>
        <v>422.40000000000003</v>
      </c>
      <c r="P32" s="105">
        <f t="shared" si="1"/>
        <v>0</v>
      </c>
    </row>
    <row r="33" spans="1:16">
      <c r="A33" s="35" t="s">
        <v>966</v>
      </c>
      <c r="B33" s="1" t="s">
        <v>1016</v>
      </c>
      <c r="C33" s="108" t="s">
        <v>120</v>
      </c>
      <c r="D33" s="140">
        <v>35</v>
      </c>
      <c r="E33" s="100" t="s">
        <v>1021</v>
      </c>
      <c r="F33" s="35" t="s">
        <v>1027</v>
      </c>
      <c r="G33" s="35" t="s">
        <v>1020</v>
      </c>
      <c r="H33" s="136" t="str">
        <f>IF(ISNUMBER(MATCH(P_ind[[#This Row],[Main fuel]],$J$29:$J$42,0)),"RE","non-RE")</f>
        <v>RE</v>
      </c>
      <c r="I33" s="131"/>
      <c r="J33" s="35" t="s">
        <v>1032</v>
      </c>
      <c r="M33" s="131" t="s">
        <v>1142</v>
      </c>
      <c r="N33" s="1" t="s">
        <v>33</v>
      </c>
      <c r="O33" s="105">
        <f t="shared" si="1"/>
        <v>58.650000000000006</v>
      </c>
      <c r="P33" s="105">
        <f t="shared" si="1"/>
        <v>0</v>
      </c>
    </row>
    <row r="34" spans="1:16">
      <c r="A34" s="35" t="s">
        <v>902</v>
      </c>
      <c r="B34" s="1" t="s">
        <v>969</v>
      </c>
      <c r="C34" s="108" t="s">
        <v>122</v>
      </c>
      <c r="D34" s="140">
        <v>30</v>
      </c>
      <c r="E34" s="100" t="s">
        <v>1021</v>
      </c>
      <c r="G34" s="35" t="s">
        <v>1022</v>
      </c>
      <c r="H34" s="136" t="str">
        <f>IF(ISNUMBER(MATCH(P_ind[[#This Row],[Main fuel]],$J$29:$J$42,0)),"RE","non-RE")</f>
        <v>RE</v>
      </c>
      <c r="I34" s="131"/>
      <c r="J34" s="35" t="s">
        <v>1033</v>
      </c>
      <c r="M34" s="131" t="s">
        <v>1142</v>
      </c>
      <c r="N34" s="1" t="s">
        <v>34</v>
      </c>
      <c r="O34" s="105">
        <f t="shared" si="1"/>
        <v>1148.1000000000001</v>
      </c>
      <c r="P34" s="105">
        <f t="shared" si="1"/>
        <v>0</v>
      </c>
    </row>
    <row r="35" spans="1:16">
      <c r="A35" s="35" t="s">
        <v>928</v>
      </c>
      <c r="B35" s="1" t="s">
        <v>991</v>
      </c>
      <c r="C35" s="108" t="s">
        <v>124</v>
      </c>
      <c r="D35" s="140">
        <v>27</v>
      </c>
      <c r="E35" s="100" t="s">
        <v>1020</v>
      </c>
      <c r="F35" s="35" t="s">
        <v>1027</v>
      </c>
      <c r="G35" s="35" t="s">
        <v>1021</v>
      </c>
      <c r="H35" s="136" t="str">
        <f>IF(ISNUMBER(MATCH(P_ind[[#This Row],[Main fuel]],$J$29:$J$42,0)),"RE","non-RE")</f>
        <v>RE</v>
      </c>
      <c r="I35" s="131"/>
      <c r="J35" s="35" t="s">
        <v>1034</v>
      </c>
      <c r="M35" s="131" t="s">
        <v>1142</v>
      </c>
      <c r="N35" s="1" t="s">
        <v>3</v>
      </c>
      <c r="O35" s="105">
        <f t="shared" si="1"/>
        <v>219.87765462361011</v>
      </c>
      <c r="P35" s="105">
        <f t="shared" si="1"/>
        <v>214.52234537638992</v>
      </c>
    </row>
    <row r="36" spans="1:16">
      <c r="A36" s="35" t="s">
        <v>949</v>
      </c>
      <c r="B36" s="1" t="s">
        <v>1004</v>
      </c>
      <c r="C36" s="108" t="s">
        <v>166</v>
      </c>
      <c r="D36" s="140">
        <v>25.1</v>
      </c>
      <c r="E36" s="100" t="s">
        <v>1036</v>
      </c>
      <c r="F36" s="35" t="s">
        <v>1022</v>
      </c>
      <c r="G36" s="35"/>
      <c r="H36" s="136" t="str">
        <f>IF(ISNUMBER(MATCH(P_ind[[#This Row],[Main fuel]],$J$29:$J$42,0)),"RE","non-RE")</f>
        <v>RE</v>
      </c>
      <c r="I36" s="131"/>
      <c r="J36" s="35" t="s">
        <v>1035</v>
      </c>
      <c r="M36" s="131" t="s">
        <v>1142</v>
      </c>
    </row>
    <row r="37" spans="1:16">
      <c r="A37" s="35" t="s">
        <v>917</v>
      </c>
      <c r="B37" s="1" t="s">
        <v>983</v>
      </c>
      <c r="C37" s="108" t="s">
        <v>120</v>
      </c>
      <c r="D37" s="140">
        <v>25</v>
      </c>
      <c r="E37" s="100" t="s">
        <v>1024</v>
      </c>
      <c r="F37" s="35" t="s">
        <v>1031</v>
      </c>
      <c r="G37" s="35" t="s">
        <v>1021</v>
      </c>
      <c r="H37" s="136" t="str">
        <f>IF(ISNUMBER(MATCH(P_ind[[#This Row],[Main fuel]],$J$29:$J$42,0)),"RE","non-RE")</f>
        <v>RE</v>
      </c>
      <c r="I37" s="131"/>
      <c r="J37" s="35" t="s">
        <v>1027</v>
      </c>
      <c r="M37" s="131" t="s">
        <v>1142</v>
      </c>
    </row>
    <row r="38" spans="1:16">
      <c r="A38" s="35" t="s">
        <v>955</v>
      </c>
      <c r="B38" s="1" t="s">
        <v>1007</v>
      </c>
      <c r="C38" s="108" t="s">
        <v>7</v>
      </c>
      <c r="D38" s="140">
        <v>25</v>
      </c>
      <c r="E38" s="100" t="s">
        <v>1027</v>
      </c>
      <c r="F38" s="35" t="s">
        <v>1021</v>
      </c>
      <c r="G38" s="35" t="s">
        <v>1028</v>
      </c>
      <c r="H38" s="136" t="str">
        <f>IF(ISNUMBER(MATCH(P_ind[[#This Row],[Main fuel]],$J$29:$J$42,0)),"RE","non-RE")</f>
        <v>RE</v>
      </c>
      <c r="I38" s="131"/>
      <c r="J38" s="35" t="s">
        <v>1024</v>
      </c>
      <c r="M38" s="131" t="s">
        <v>1142</v>
      </c>
    </row>
    <row r="39" spans="1:16">
      <c r="A39" s="35" t="s">
        <v>963</v>
      </c>
      <c r="B39" s="1" t="s">
        <v>963</v>
      </c>
      <c r="C39" s="108" t="s">
        <v>126</v>
      </c>
      <c r="D39" s="140">
        <v>25</v>
      </c>
      <c r="E39" s="100" t="s">
        <v>1029</v>
      </c>
      <c r="F39" s="35" t="s">
        <v>1021</v>
      </c>
      <c r="G39" s="35" t="s">
        <v>1020</v>
      </c>
      <c r="H39" s="136" t="str">
        <f>IF(ISNUMBER(MATCH(P_ind[[#This Row],[Main fuel]],$J$29:$J$42,0)),"RE","non-RE")</f>
        <v>RE</v>
      </c>
      <c r="I39" s="131"/>
      <c r="J39" s="35" t="s">
        <v>1031</v>
      </c>
      <c r="M39" s="131" t="s">
        <v>1142</v>
      </c>
    </row>
    <row r="40" spans="1:16">
      <c r="A40" s="35" t="s">
        <v>932</v>
      </c>
      <c r="B40" s="1" t="s">
        <v>994</v>
      </c>
      <c r="C40" s="108" t="s">
        <v>166</v>
      </c>
      <c r="D40" s="140">
        <v>20.5</v>
      </c>
      <c r="E40" s="100" t="s">
        <v>1029</v>
      </c>
      <c r="F40" s="35" t="s">
        <v>1020</v>
      </c>
      <c r="G40" s="35" t="s">
        <v>1021</v>
      </c>
      <c r="H40" s="136" t="str">
        <f>IF(ISNUMBER(MATCH(P_ind[[#This Row],[Main fuel]],$J$29:$J$42,0)),"RE","non-RE")</f>
        <v>RE</v>
      </c>
      <c r="I40" s="131"/>
      <c r="J40" s="35" t="s">
        <v>1036</v>
      </c>
      <c r="M40" s="131" t="s">
        <v>1142</v>
      </c>
    </row>
    <row r="41" spans="1:16">
      <c r="A41" s="35" t="s">
        <v>911</v>
      </c>
      <c r="B41" s="1" t="s">
        <v>977</v>
      </c>
      <c r="C41" s="108" t="s">
        <v>7</v>
      </c>
      <c r="D41" s="140">
        <v>20</v>
      </c>
      <c r="E41" s="100" t="s">
        <v>1027</v>
      </c>
      <c r="F41" s="35" t="s">
        <v>1028</v>
      </c>
      <c r="G41" s="35"/>
      <c r="H41" s="136" t="str">
        <f>IF(ISNUMBER(MATCH(P_ind[[#This Row],[Main fuel]],$J$29:$J$42,0)),"RE","non-RE")</f>
        <v>RE</v>
      </c>
      <c r="I41" s="131"/>
      <c r="J41" s="35" t="s">
        <v>1030</v>
      </c>
      <c r="M41" s="131" t="s">
        <v>1142</v>
      </c>
    </row>
    <row r="42" spans="1:16">
      <c r="A42" s="35" t="s">
        <v>950</v>
      </c>
      <c r="B42" s="1" t="s">
        <v>950</v>
      </c>
      <c r="C42" s="108" t="s">
        <v>119</v>
      </c>
      <c r="D42" s="140">
        <v>19.600000000000001</v>
      </c>
      <c r="E42" s="100" t="s">
        <v>1021</v>
      </c>
      <c r="F42" s="35" t="s">
        <v>1022</v>
      </c>
      <c r="G42" s="132" t="s">
        <v>1142</v>
      </c>
      <c r="H42" s="136" t="str">
        <f>IF(ISNUMBER(MATCH(P_ind[[#This Row],[Main fuel]],$J$29:$J$42,0)),"RE","non-RE")</f>
        <v>RE</v>
      </c>
      <c r="I42" s="131"/>
      <c r="J42" s="35" t="s">
        <v>1038</v>
      </c>
      <c r="M42" s="131" t="s">
        <v>1142</v>
      </c>
    </row>
    <row r="43" spans="1:16">
      <c r="A43" s="35" t="s">
        <v>908</v>
      </c>
      <c r="B43" s="1" t="s">
        <v>975</v>
      </c>
      <c r="C43" s="108" t="s">
        <v>8</v>
      </c>
      <c r="D43" s="140">
        <v>19</v>
      </c>
      <c r="E43" s="100" t="s">
        <v>1020</v>
      </c>
      <c r="F43" s="35" t="s">
        <v>1021</v>
      </c>
      <c r="G43" s="35" t="s">
        <v>1029</v>
      </c>
      <c r="H43" s="136" t="str">
        <f>IF(ISNUMBER(MATCH(P_ind[[#This Row],[Main fuel]],$J$29:$J$42,0)),"RE","non-RE")</f>
        <v>RE</v>
      </c>
      <c r="I43" s="131"/>
      <c r="L43" s="131" t="s">
        <v>1142</v>
      </c>
    </row>
    <row r="44" spans="1:16">
      <c r="A44" s="35" t="s">
        <v>921</v>
      </c>
      <c r="B44" s="1" t="s">
        <v>986</v>
      </c>
      <c r="C44" s="108" t="s">
        <v>5</v>
      </c>
      <c r="D44" s="140">
        <v>19</v>
      </c>
      <c r="E44" s="100" t="s">
        <v>1020</v>
      </c>
      <c r="G44" s="35"/>
      <c r="H44" s="136" t="str">
        <f>IF(ISNUMBER(MATCH(P_ind[[#This Row],[Main fuel]],$J$29:$J$42,0)),"RE","non-RE")</f>
        <v>RE</v>
      </c>
      <c r="I44" s="131"/>
      <c r="J44" s="1" t="s">
        <v>24</v>
      </c>
      <c r="K44" s="1" t="s">
        <v>1141</v>
      </c>
      <c r="L44" s="1" t="s">
        <v>1140</v>
      </c>
    </row>
    <row r="45" spans="1:16">
      <c r="A45" s="35" t="s">
        <v>953</v>
      </c>
      <c r="B45" s="1" t="s">
        <v>1005</v>
      </c>
      <c r="C45" s="108" t="s">
        <v>7</v>
      </c>
      <c r="D45" s="140">
        <v>16.5</v>
      </c>
      <c r="E45" s="100" t="s">
        <v>1028</v>
      </c>
      <c r="F45" s="35" t="s">
        <v>1022</v>
      </c>
      <c r="G45" s="35"/>
      <c r="H45" s="136" t="str">
        <f>IF(ISNUMBER(MATCH(P_ind[[#This Row],[Main fuel]],$J$29:$J$42,0)),"RE","non-RE")</f>
        <v>non-RE</v>
      </c>
      <c r="I45" s="131"/>
      <c r="J45" s="2" t="s">
        <v>3</v>
      </c>
      <c r="K45" s="24">
        <f>SUMIFS(P_ind[Capacity], P_ind[Unit type], K$44, P_ind[Region], P_chp_ind14[[#This Row],[Region]])</f>
        <v>0</v>
      </c>
      <c r="L45" s="24">
        <f>SUMIFS(P_ind[Capacity], P_ind[Unit type], L$44, P_ind[Region], P_chp_ind14[[#This Row],[Region]])</f>
        <v>289.60000000000002</v>
      </c>
      <c r="M45" s="99">
        <f>SUM(P_chp_ind14[[#This Row],[RE]:[non-RE]])</f>
        <v>289.60000000000002</v>
      </c>
    </row>
    <row r="46" spans="1:16">
      <c r="A46" s="35" t="s">
        <v>960</v>
      </c>
      <c r="B46" s="1" t="s">
        <v>1011</v>
      </c>
      <c r="C46" s="108" t="s">
        <v>168</v>
      </c>
      <c r="D46" s="140">
        <v>14.2</v>
      </c>
      <c r="E46" s="100" t="s">
        <v>1036</v>
      </c>
      <c r="F46" s="35" t="s">
        <v>1022</v>
      </c>
      <c r="G46" s="35"/>
      <c r="H46" s="136" t="str">
        <f>IF(ISNUMBER(MATCH(P_ind[[#This Row],[Main fuel]],$J$29:$J$42,0)),"RE","non-RE")</f>
        <v>RE</v>
      </c>
      <c r="I46" s="131"/>
      <c r="J46" s="1" t="s">
        <v>168</v>
      </c>
      <c r="K46" s="24">
        <f>SUMIFS(P_ind[Capacity], P_ind[Unit type], K$44, P_ind[Region], P_chp_ind14[[#This Row],[Region]])</f>
        <v>14.2</v>
      </c>
      <c r="L46" s="24">
        <f>SUMIFS(P_ind[Capacity], P_ind[Unit type], L$44, P_ind[Region], P_chp_ind14[[#This Row],[Region]])</f>
        <v>0</v>
      </c>
      <c r="M46" s="99">
        <f>SUM(P_chp_ind14[[#This Row],[RE]:[non-RE]])</f>
        <v>14.2</v>
      </c>
    </row>
    <row r="47" spans="1:16">
      <c r="A47" s="35" t="s">
        <v>901</v>
      </c>
      <c r="B47" s="1" t="s">
        <v>968</v>
      </c>
      <c r="C47" s="108" t="s">
        <v>5</v>
      </c>
      <c r="D47" s="140">
        <v>14</v>
      </c>
      <c r="E47" s="100" t="s">
        <v>1020</v>
      </c>
      <c r="F47" s="35" t="s">
        <v>1021</v>
      </c>
      <c r="G47" s="35" t="s">
        <v>1021</v>
      </c>
      <c r="H47" s="136" t="str">
        <f>IF(ISNUMBER(MATCH(P_ind[[#This Row],[Main fuel]],$J$29:$J$42,0)),"RE","non-RE")</f>
        <v>RE</v>
      </c>
      <c r="I47" s="131"/>
      <c r="J47" s="2" t="s">
        <v>5</v>
      </c>
      <c r="K47" s="24">
        <f>SUMIFS(P_ind[Capacity], P_ind[Unit type], K$44, P_ind[Region], P_chp_ind14[[#This Row],[Region]])</f>
        <v>260.89999999999998</v>
      </c>
      <c r="L47" s="24">
        <f>SUMIFS(P_ind[Capacity], P_ind[Unit type], L$44, P_ind[Region], P_chp_ind14[[#This Row],[Region]])</f>
        <v>0</v>
      </c>
      <c r="M47" s="99">
        <f>SUM(P_chp_ind14[[#This Row],[RE]:[non-RE]])</f>
        <v>260.89999999999998</v>
      </c>
    </row>
    <row r="48" spans="1:16">
      <c r="A48" s="35" t="s">
        <v>925</v>
      </c>
      <c r="B48" s="1" t="s">
        <v>988</v>
      </c>
      <c r="C48" s="108" t="s">
        <v>6</v>
      </c>
      <c r="D48" s="140">
        <v>13.5</v>
      </c>
      <c r="E48" s="100" t="s">
        <v>1027</v>
      </c>
      <c r="F48" s="35" t="s">
        <v>1024</v>
      </c>
      <c r="G48" s="35" t="s">
        <v>1021</v>
      </c>
      <c r="H48" s="136" t="str">
        <f>IF(ISNUMBER(MATCH(P_ind[[#This Row],[Main fuel]],$J$29:$J$42,0)),"RE","non-RE")</f>
        <v>RE</v>
      </c>
      <c r="I48" s="131"/>
      <c r="J48" s="2" t="s">
        <v>6</v>
      </c>
      <c r="K48" s="24">
        <f>SUMIFS(P_ind[Capacity], P_ind[Unit type], K$44, P_ind[Region], P_chp_ind14[[#This Row],[Region]])</f>
        <v>13.5</v>
      </c>
      <c r="L48" s="24">
        <f>SUMIFS(P_ind[Capacity], P_ind[Unit type], L$44, P_ind[Region], P_chp_ind14[[#This Row],[Region]])</f>
        <v>11.4</v>
      </c>
      <c r="M48" s="99">
        <f>SUM(P_chp_ind14[[#This Row],[RE]:[non-RE]])</f>
        <v>24.9</v>
      </c>
    </row>
    <row r="49" spans="1:13">
      <c r="A49" s="35" t="s">
        <v>936</v>
      </c>
      <c r="B49" s="1" t="s">
        <v>997</v>
      </c>
      <c r="C49" s="108" t="s">
        <v>7</v>
      </c>
      <c r="D49" s="140">
        <v>12</v>
      </c>
      <c r="E49" s="100" t="s">
        <v>1020</v>
      </c>
      <c r="F49" s="35" t="s">
        <v>1027</v>
      </c>
      <c r="G49" s="35" t="s">
        <v>1022</v>
      </c>
      <c r="H49" s="136" t="str">
        <f>IF(ISNUMBER(MATCH(P_ind[[#This Row],[Main fuel]],$J$29:$J$42,0)),"RE","non-RE")</f>
        <v>RE</v>
      </c>
      <c r="I49" s="131"/>
      <c r="J49" s="2" t="s">
        <v>7</v>
      </c>
      <c r="K49" s="24">
        <f>SUMIFS(P_ind[Capacity], P_ind[Unit type], K$44, P_ind[Region], P_chp_ind14[[#This Row],[Region]])</f>
        <v>57</v>
      </c>
      <c r="L49" s="24">
        <f>SUMIFS(P_ind[Capacity], P_ind[Unit type], L$44, P_ind[Region], P_chp_ind14[[#This Row],[Region]])</f>
        <v>88.5</v>
      </c>
      <c r="M49" s="99">
        <f>SUM(P_chp_ind14[[#This Row],[RE]:[non-RE]])</f>
        <v>145.5</v>
      </c>
    </row>
    <row r="50" spans="1:13">
      <c r="A50" s="35" t="s">
        <v>954</v>
      </c>
      <c r="B50" s="1" t="s">
        <v>1006</v>
      </c>
      <c r="C50" s="108" t="s">
        <v>6</v>
      </c>
      <c r="D50" s="140">
        <v>11.4</v>
      </c>
      <c r="E50" s="100" t="s">
        <v>1028</v>
      </c>
      <c r="F50" s="35" t="s">
        <v>1022</v>
      </c>
      <c r="G50" s="35"/>
      <c r="H50" s="136" t="str">
        <f>IF(ISNUMBER(MATCH(P_ind[[#This Row],[Main fuel]],$J$29:$J$42,0)),"RE","non-RE")</f>
        <v>non-RE</v>
      </c>
      <c r="I50" s="131"/>
      <c r="J50" s="2" t="s">
        <v>8</v>
      </c>
      <c r="K50" s="24">
        <f>SUMIFS(P_ind[Capacity], P_ind[Unit type], K$44, P_ind[Region], P_chp_ind14[[#This Row],[Region]])</f>
        <v>19</v>
      </c>
      <c r="L50" s="24">
        <f>SUMIFS(P_ind[Capacity], P_ind[Unit type], L$44, P_ind[Region], P_chp_ind14[[#This Row],[Region]])</f>
        <v>0</v>
      </c>
      <c r="M50" s="99">
        <f>SUM(P_chp_ind14[[#This Row],[RE]:[non-RE]])</f>
        <v>19</v>
      </c>
    </row>
    <row r="51" spans="1:13">
      <c r="A51" s="35" t="s">
        <v>904</v>
      </c>
      <c r="B51" s="1" t="s">
        <v>972</v>
      </c>
      <c r="C51" s="108" t="s">
        <v>125</v>
      </c>
      <c r="D51" s="140">
        <v>10</v>
      </c>
      <c r="E51" s="100" t="s">
        <v>1024</v>
      </c>
      <c r="F51" s="35" t="s">
        <v>1025</v>
      </c>
      <c r="G51" s="35" t="s">
        <v>1026</v>
      </c>
      <c r="H51" s="136" t="str">
        <f>IF(ISNUMBER(MATCH(P_ind[[#This Row],[Main fuel]],$J$29:$J$42,0)),"RE","non-RE")</f>
        <v>RE</v>
      </c>
      <c r="I51" s="131"/>
      <c r="J51" s="2" t="s">
        <v>9</v>
      </c>
      <c r="K51" s="24">
        <f>SUMIFS(P_ind[Capacity], P_ind[Unit type], K$44, P_ind[Region], P_chp_ind14[[#This Row],[Region]])</f>
        <v>395.5</v>
      </c>
      <c r="L51" s="24">
        <f>SUMIFS(P_ind[Capacity], P_ind[Unit type], L$44, P_ind[Region], P_chp_ind14[[#This Row],[Region]])</f>
        <v>45</v>
      </c>
      <c r="M51" s="99">
        <f>SUM(P_chp_ind14[[#This Row],[RE]:[non-RE]])</f>
        <v>440.5</v>
      </c>
    </row>
    <row r="52" spans="1:13">
      <c r="A52" s="130" t="s">
        <v>952</v>
      </c>
      <c r="B52" s="130" t="s">
        <v>952</v>
      </c>
      <c r="C52" s="134" t="s">
        <v>1142</v>
      </c>
      <c r="D52" s="55">
        <v>8.8000000000000007</v>
      </c>
      <c r="E52" s="35" t="s">
        <v>1022</v>
      </c>
      <c r="F52" s="132" t="s">
        <v>1142</v>
      </c>
      <c r="G52" s="35"/>
      <c r="H52" s="136" t="str">
        <f>IF(ISNUMBER(MATCH(P_ind[[#This Row],[Main fuel]],$J$29:$J$42,0)),"RE","non-RE")</f>
        <v>non-RE</v>
      </c>
      <c r="I52" s="131"/>
      <c r="J52" s="1" t="s">
        <v>119</v>
      </c>
      <c r="K52" s="24">
        <f>SUMIFS(P_ind[Capacity], P_ind[Unit type], K$44, P_ind[Region], P_chp_ind14[[#This Row],[Region]])</f>
        <v>305.90000000000003</v>
      </c>
      <c r="L52" s="24">
        <f>SUMIFS(P_ind[Capacity], P_ind[Unit type], L$44, P_ind[Region], P_chp_ind14[[#This Row],[Region]])</f>
        <v>0</v>
      </c>
      <c r="M52" s="99">
        <f>SUM(P_chp_ind14[[#This Row],[RE]:[non-RE]])</f>
        <v>305.90000000000003</v>
      </c>
    </row>
    <row r="53" spans="1:13">
      <c r="A53" s="130" t="s">
        <v>948</v>
      </c>
      <c r="B53" s="130" t="s">
        <v>948</v>
      </c>
      <c r="C53" s="134" t="s">
        <v>1142</v>
      </c>
      <c r="D53" s="55">
        <v>8.5</v>
      </c>
      <c r="E53" s="35" t="s">
        <v>1021</v>
      </c>
      <c r="F53" s="35" t="s">
        <v>1022</v>
      </c>
      <c r="G53" s="35"/>
      <c r="H53" s="136" t="str">
        <f>IF(ISNUMBER(MATCH(P_ind[[#This Row],[Main fuel]],$J$29:$J$42,0)),"RE","non-RE")</f>
        <v>RE</v>
      </c>
      <c r="I53" s="131"/>
      <c r="J53" s="1" t="s">
        <v>167</v>
      </c>
      <c r="K53" s="24">
        <f>SUMIFS(P_ind[Capacity], P_ind[Unit type], K$44, P_ind[Region], P_chp_ind14[[#This Row],[Region]])</f>
        <v>0</v>
      </c>
      <c r="L53" s="24">
        <f>SUMIFS(P_ind[Capacity], P_ind[Unit type], L$44, P_ind[Region], P_chp_ind14[[#This Row],[Region]])</f>
        <v>0</v>
      </c>
      <c r="M53" s="99">
        <f>SUM(P_chp_ind14[[#This Row],[RE]:[non-RE]])</f>
        <v>0</v>
      </c>
    </row>
    <row r="54" spans="1:13">
      <c r="A54" s="130" t="s">
        <v>910</v>
      </c>
      <c r="B54" s="130" t="s">
        <v>910</v>
      </c>
      <c r="C54" s="134" t="s">
        <v>1142</v>
      </c>
      <c r="D54" s="55">
        <v>7</v>
      </c>
      <c r="E54" s="132" t="s">
        <v>1142</v>
      </c>
      <c r="F54" s="35" t="s">
        <v>1028</v>
      </c>
      <c r="G54" s="35"/>
      <c r="H54" s="136" t="str">
        <f>IF(ISNUMBER(MATCH(P_ind[[#This Row],[Main fuel]],$J$29:$J$42,0)),"RE","non-RE")</f>
        <v>RE</v>
      </c>
      <c r="I54" s="131"/>
      <c r="J54" s="1" t="s">
        <v>166</v>
      </c>
      <c r="K54" s="24">
        <f>SUMIFS(P_ind[Capacity], P_ind[Unit type], K$44, P_ind[Region], P_chp_ind14[[#This Row],[Region]])</f>
        <v>97.4</v>
      </c>
      <c r="L54" s="24">
        <f>SUMIFS(P_ind[Capacity], P_ind[Unit type], L$44, P_ind[Region], P_chp_ind14[[#This Row],[Region]])</f>
        <v>0</v>
      </c>
      <c r="M54" s="99">
        <f>SUM(P_chp_ind14[[#This Row],[RE]:[non-RE]])</f>
        <v>97.4</v>
      </c>
    </row>
    <row r="55" spans="1:13">
      <c r="A55" s="130" t="s">
        <v>935</v>
      </c>
      <c r="B55" s="130" t="s">
        <v>996</v>
      </c>
      <c r="C55" s="134" t="s">
        <v>1142</v>
      </c>
      <c r="D55" s="55">
        <v>7</v>
      </c>
      <c r="E55" s="35" t="s">
        <v>1021</v>
      </c>
      <c r="F55" s="35" t="s">
        <v>1027</v>
      </c>
      <c r="G55" s="35"/>
      <c r="H55" s="136" t="str">
        <f>IF(ISNUMBER(MATCH(P_ind[[#This Row],[Main fuel]],$J$29:$J$42,0)),"RE","non-RE")</f>
        <v>RE</v>
      </c>
      <c r="I55" s="131"/>
      <c r="J55" s="1" t="s">
        <v>123</v>
      </c>
      <c r="K55" s="24">
        <f>SUMIFS(P_ind[Capacity], P_ind[Unit type], K$44, P_ind[Region], P_chp_ind14[[#This Row],[Region]])</f>
        <v>105</v>
      </c>
      <c r="L55" s="24">
        <f>SUMIFS(P_ind[Capacity], P_ind[Unit type], L$44, P_ind[Region], P_chp_ind14[[#This Row],[Region]])</f>
        <v>0</v>
      </c>
      <c r="M55" s="99">
        <f>SUM(P_chp_ind14[[#This Row],[RE]:[non-RE]])</f>
        <v>105</v>
      </c>
    </row>
    <row r="56" spans="1:13">
      <c r="A56" s="130" t="s">
        <v>912</v>
      </c>
      <c r="B56" s="130" t="s">
        <v>978</v>
      </c>
      <c r="C56" s="134" t="s">
        <v>1142</v>
      </c>
      <c r="D56" s="55">
        <v>6</v>
      </c>
      <c r="E56" s="35" t="s">
        <v>1028</v>
      </c>
      <c r="G56" s="35"/>
      <c r="H56" s="136" t="str">
        <f>IF(ISNUMBER(MATCH(P_ind[[#This Row],[Main fuel]],$J$29:$J$42,0)),"RE","non-RE")</f>
        <v>non-RE</v>
      </c>
      <c r="I56" s="131"/>
      <c r="J56" s="1" t="s">
        <v>120</v>
      </c>
      <c r="K56" s="24">
        <f>SUMIFS(P_ind[Capacity], P_ind[Unit type], K$44, P_ind[Region], P_chp_ind14[[#This Row],[Region]])</f>
        <v>383</v>
      </c>
      <c r="L56" s="24">
        <f>SUMIFS(P_ind[Capacity], P_ind[Unit type], L$44, P_ind[Region], P_chp_ind14[[#This Row],[Region]])</f>
        <v>0</v>
      </c>
      <c r="M56" s="99">
        <f>SUM(P_chp_ind14[[#This Row],[RE]:[non-RE]])</f>
        <v>383</v>
      </c>
    </row>
    <row r="57" spans="1:13">
      <c r="A57" s="130" t="s">
        <v>930</v>
      </c>
      <c r="B57" s="130" t="s">
        <v>992</v>
      </c>
      <c r="C57" s="134" t="s">
        <v>1142</v>
      </c>
      <c r="D57" s="55">
        <v>4</v>
      </c>
      <c r="E57" s="35" t="s">
        <v>1021</v>
      </c>
      <c r="F57" s="35" t="s">
        <v>1021</v>
      </c>
      <c r="G57" s="35" t="s">
        <v>1020</v>
      </c>
      <c r="H57" s="136" t="str">
        <f>IF(ISNUMBER(MATCH(P_ind[[#This Row],[Main fuel]],$J$29:$J$42,0)),"RE","non-RE")</f>
        <v>RE</v>
      </c>
      <c r="I57" s="131"/>
      <c r="J57" s="1" t="s">
        <v>121</v>
      </c>
      <c r="K57" s="24">
        <f>SUMIFS(P_ind[Capacity], P_ind[Unit type], K$44, P_ind[Region], P_chp_ind14[[#This Row],[Region]])</f>
        <v>0</v>
      </c>
      <c r="L57" s="24">
        <f>SUMIFS(P_ind[Capacity], P_ind[Unit type], L$44, P_ind[Region], P_chp_ind14[[#This Row],[Region]])</f>
        <v>0</v>
      </c>
      <c r="M57" s="99">
        <f>SUM(P_chp_ind14[[#This Row],[RE]:[non-RE]])</f>
        <v>0</v>
      </c>
    </row>
    <row r="58" spans="1:13">
      <c r="A58" s="130" t="s">
        <v>914</v>
      </c>
      <c r="B58" s="130" t="s">
        <v>914</v>
      </c>
      <c r="C58" s="134" t="s">
        <v>1142</v>
      </c>
      <c r="D58" s="55">
        <v>3.9</v>
      </c>
      <c r="E58" s="35" t="s">
        <v>1030</v>
      </c>
      <c r="G58" s="35"/>
      <c r="H58" s="136" t="str">
        <f>IF(ISNUMBER(MATCH(P_ind[[#This Row],[Main fuel]],$J$29:$J$42,0)),"RE","non-RE")</f>
        <v>RE</v>
      </c>
      <c r="I58" s="131"/>
      <c r="J58" s="1" t="s">
        <v>122</v>
      </c>
      <c r="K58" s="24">
        <f>SUMIFS(P_ind[Capacity], P_ind[Unit type], K$44, P_ind[Region], P_chp_ind14[[#This Row],[Region]])</f>
        <v>365</v>
      </c>
      <c r="L58" s="24">
        <f>SUMIFS(P_ind[Capacity], P_ind[Unit type], L$44, P_ind[Region], P_chp_ind14[[#This Row],[Region]])</f>
        <v>0</v>
      </c>
      <c r="M58" s="99">
        <f>SUM(P_chp_ind14[[#This Row],[RE]:[non-RE]])</f>
        <v>365</v>
      </c>
    </row>
    <row r="59" spans="1:13">
      <c r="A59" s="130" t="s">
        <v>965</v>
      </c>
      <c r="B59" s="130" t="s">
        <v>1015</v>
      </c>
      <c r="C59" s="134" t="s">
        <v>1142</v>
      </c>
      <c r="D59" s="55">
        <v>2.9</v>
      </c>
      <c r="E59" s="35" t="s">
        <v>1021</v>
      </c>
      <c r="F59" s="35" t="s">
        <v>1021</v>
      </c>
      <c r="G59" s="35"/>
      <c r="H59" s="136" t="str">
        <f>IF(ISNUMBER(MATCH(P_ind[[#This Row],[Main fuel]],$J$29:$J$42,0)),"RE","non-RE")</f>
        <v>RE</v>
      </c>
      <c r="I59" s="131"/>
      <c r="J59" s="1" t="s">
        <v>124</v>
      </c>
      <c r="K59" s="24">
        <f>SUMIFS(P_ind[Capacity], P_ind[Unit type], K$44, P_ind[Region], P_chp_ind14[[#This Row],[Region]])</f>
        <v>27</v>
      </c>
      <c r="L59" s="24">
        <f>SUMIFS(P_ind[Capacity], P_ind[Unit type], L$44, P_ind[Region], P_chp_ind14[[#This Row],[Region]])</f>
        <v>0</v>
      </c>
      <c r="M59" s="99">
        <f>SUM(P_chp_ind14[[#This Row],[RE]:[non-RE]])</f>
        <v>27</v>
      </c>
    </row>
    <row r="60" spans="1:13">
      <c r="A60" s="130" t="s">
        <v>913</v>
      </c>
      <c r="B60" s="130" t="s">
        <v>979</v>
      </c>
      <c r="C60" s="134" t="s">
        <v>1142</v>
      </c>
      <c r="D60" s="55">
        <v>2.8</v>
      </c>
      <c r="E60" s="35" t="s">
        <v>1020</v>
      </c>
      <c r="F60" s="35" t="s">
        <v>1025</v>
      </c>
      <c r="G60" s="35" t="s">
        <v>1027</v>
      </c>
      <c r="H60" s="136" t="str">
        <f>IF(ISNUMBER(MATCH(P_ind[[#This Row],[Main fuel]],$J$29:$J$42,0)),"RE","non-RE")</f>
        <v>RE</v>
      </c>
      <c r="I60" s="131"/>
      <c r="J60" s="1" t="s">
        <v>125</v>
      </c>
      <c r="K60" s="24">
        <f>SUMIFS(P_ind[Capacity], P_ind[Unit type], K$44, P_ind[Region], P_chp_ind14[[#This Row],[Region]])</f>
        <v>209</v>
      </c>
      <c r="L60" s="24">
        <f>SUMIFS(P_ind[Capacity], P_ind[Unit type], L$44, P_ind[Region], P_chp_ind14[[#This Row],[Region]])</f>
        <v>0</v>
      </c>
      <c r="M60" s="99">
        <f>SUM(P_chp_ind14[[#This Row],[RE]:[non-RE]])</f>
        <v>209</v>
      </c>
    </row>
    <row r="61" spans="1:13">
      <c r="A61" s="130" t="s">
        <v>905</v>
      </c>
      <c r="B61" s="130" t="s">
        <v>905</v>
      </c>
      <c r="C61" s="134" t="s">
        <v>1142</v>
      </c>
      <c r="D61" s="55">
        <v>2.7</v>
      </c>
      <c r="E61" s="35" t="s">
        <v>1021</v>
      </c>
      <c r="F61" s="35" t="s">
        <v>1027</v>
      </c>
      <c r="G61" s="35" t="s">
        <v>1020</v>
      </c>
      <c r="H61" s="136" t="str">
        <f>IF(ISNUMBER(MATCH(P_ind[[#This Row],[Main fuel]],$J$29:$J$42,0)),"RE","non-RE")</f>
        <v>RE</v>
      </c>
      <c r="I61" s="131"/>
      <c r="J61" s="2" t="s">
        <v>19</v>
      </c>
      <c r="K61" s="24">
        <f>SUMIFS(P_ind[Capacity], P_ind[Unit type], K$44, P_ind[Region], P_chp_ind14[[#This Row],[Region]])</f>
        <v>79.2</v>
      </c>
      <c r="L61" s="24">
        <f>SUMIFS(P_ind[Capacity], P_ind[Unit type], L$44, P_ind[Region], P_chp_ind14[[#This Row],[Region]])</f>
        <v>0</v>
      </c>
      <c r="M61" s="99">
        <f>SUM(P_chp_ind14[[#This Row],[RE]:[non-RE]])</f>
        <v>79.2</v>
      </c>
    </row>
    <row r="62" spans="1:13">
      <c r="A62" s="130" t="s">
        <v>964</v>
      </c>
      <c r="B62" s="130" t="s">
        <v>1014</v>
      </c>
      <c r="C62" s="134" t="s">
        <v>1142</v>
      </c>
      <c r="D62" s="55">
        <v>2.7</v>
      </c>
      <c r="E62" s="35" t="s">
        <v>1038</v>
      </c>
      <c r="F62" s="35" t="s">
        <v>1025</v>
      </c>
      <c r="G62" s="35"/>
      <c r="H62" s="136" t="str">
        <f>IF(ISNUMBER(MATCH(P_ind[[#This Row],[Main fuel]],$J$29:$J$42,0)),"RE","non-RE")</f>
        <v>RE</v>
      </c>
      <c r="I62" s="131"/>
      <c r="J62" s="107" t="s">
        <v>126</v>
      </c>
      <c r="K62" s="24">
        <f>SUMIFS(P_ind[Capacity], P_ind[Unit type], K$44, P_ind[Region], P_chp_ind14[[#This Row],[Region]])</f>
        <v>292.3</v>
      </c>
      <c r="L62" s="24">
        <f>SUMIFS(P_ind[Capacity], P_ind[Unit type], L$44, P_ind[Region], P_chp_ind14[[#This Row],[Region]])</f>
        <v>0</v>
      </c>
      <c r="M62" s="99">
        <f>SUM(P_chp_ind14[[#This Row],[RE]:[non-RE]])</f>
        <v>292.3</v>
      </c>
    </row>
    <row r="63" spans="1:13">
      <c r="A63" s="130" t="s">
        <v>931</v>
      </c>
      <c r="B63" s="130" t="s">
        <v>993</v>
      </c>
      <c r="C63" s="134" t="s">
        <v>1142</v>
      </c>
      <c r="D63" s="55">
        <v>2.5</v>
      </c>
      <c r="E63" s="35" t="s">
        <v>1021</v>
      </c>
      <c r="G63" s="35"/>
      <c r="H63" s="136" t="str">
        <f>IF(ISNUMBER(MATCH(P_ind[[#This Row],[Main fuel]],$J$29:$J$42,0)),"RE","non-RE")</f>
        <v>RE</v>
      </c>
      <c r="I63" s="131"/>
      <c r="K63" s="6">
        <f>SUM(P_chp_ind14[RE])</f>
        <v>2623.9</v>
      </c>
      <c r="L63" s="6">
        <f>SUM(P_chp_ind14[non-RE])</f>
        <v>434.5</v>
      </c>
      <c r="M63" s="6">
        <f>SUM(M45:M62)</f>
        <v>3058.4</v>
      </c>
    </row>
    <row r="64" spans="1:13">
      <c r="A64" s="130" t="s">
        <v>916</v>
      </c>
      <c r="B64" s="130" t="s">
        <v>982</v>
      </c>
      <c r="C64" s="134" t="s">
        <v>1142</v>
      </c>
      <c r="D64" s="55">
        <v>1.6</v>
      </c>
      <c r="E64" s="35" t="s">
        <v>1021</v>
      </c>
      <c r="F64" s="35" t="s">
        <v>1027</v>
      </c>
      <c r="G64" s="35" t="s">
        <v>1022</v>
      </c>
      <c r="H64" s="136" t="str">
        <f>IF(ISNUMBER(MATCH(P_ind[[#This Row],[Main fuel]],$J$29:$J$42,0)),"RE","non-RE")</f>
        <v>RE</v>
      </c>
      <c r="I64" s="131"/>
    </row>
    <row r="65" spans="1:13">
      <c r="A65" s="130" t="s">
        <v>906</v>
      </c>
      <c r="B65" s="130" t="s">
        <v>973</v>
      </c>
      <c r="C65" s="134" t="s">
        <v>1142</v>
      </c>
      <c r="D65" s="55">
        <v>1.5</v>
      </c>
      <c r="E65" s="35" t="s">
        <v>1028</v>
      </c>
      <c r="G65" s="35"/>
      <c r="H65" s="136" t="str">
        <f>IF(ISNUMBER(MATCH(P_ind[[#This Row],[Main fuel]],$J$29:$J$42,0)),"RE","non-RE")</f>
        <v>non-RE</v>
      </c>
      <c r="I65" s="131"/>
      <c r="J65" s="14" t="s">
        <v>24</v>
      </c>
      <c r="K65" s="14" t="s">
        <v>1141</v>
      </c>
      <c r="L65" s="14" t="s">
        <v>1140</v>
      </c>
    </row>
    <row r="66" spans="1:13">
      <c r="A66" s="130" t="s">
        <v>962</v>
      </c>
      <c r="B66" s="130" t="s">
        <v>1013</v>
      </c>
      <c r="C66" s="134" t="s">
        <v>1142</v>
      </c>
      <c r="D66" s="55">
        <v>1.4</v>
      </c>
      <c r="E66" s="35" t="s">
        <v>1038</v>
      </c>
      <c r="G66" s="35"/>
      <c r="H66" s="136" t="str">
        <f>IF(ISNUMBER(MATCH(P_ind[[#This Row],[Main fuel]],$J$29:$J$42,0)),"RE","non-RE")</f>
        <v>RE</v>
      </c>
      <c r="I66" s="131"/>
      <c r="J66" s="1" t="s">
        <v>28</v>
      </c>
      <c r="K66" s="6" cm="1">
        <f t="array" ref="K66">SUM(_xlfn._xlws.FILTER(P_chp_ind14[RE],ISNUMBER(MATCH(P_chp_ind14[Region],_xlfn._xlws.FILTER(Region[Administrative],Region[Model]=P_chp_ind216[[#This Row],[Region]]),0))))</f>
        <v>501.3</v>
      </c>
      <c r="L66" s="6" cm="1">
        <f t="array" ref="L66">SUM(_xlfn._xlws.FILTER(P_chp_ind14[non-RE],ISNUMBER(MATCH(P_chp_ind14[Region],_xlfn._xlws.FILTER(Region[Administrative],Region[Model]=P_chp_ind216[[#This Row],[Region]]),0))))</f>
        <v>0</v>
      </c>
      <c r="M66" s="24">
        <f>SUM(P_chp_ind216[[#This Row],[RE]:[non-RE]])</f>
        <v>501.3</v>
      </c>
    </row>
    <row r="67" spans="1:13">
      <c r="A67" s="130" t="s">
        <v>947</v>
      </c>
      <c r="B67" s="130" t="s">
        <v>1003</v>
      </c>
      <c r="C67" s="134" t="s">
        <v>1142</v>
      </c>
      <c r="D67" s="55">
        <v>1.3</v>
      </c>
      <c r="E67" s="35" t="s">
        <v>1021</v>
      </c>
      <c r="F67" s="35" t="s">
        <v>1021</v>
      </c>
      <c r="G67" s="132" t="s">
        <v>1142</v>
      </c>
      <c r="H67" s="136" t="str">
        <f>IF(ISNUMBER(MATCH(P_ind[[#This Row],[Main fuel]],$J$29:$J$42,0)),"RE","non-RE")</f>
        <v>RE</v>
      </c>
      <c r="I67" s="131"/>
      <c r="J67" s="1" t="s">
        <v>29</v>
      </c>
      <c r="K67" s="6" cm="1">
        <f t="array" ref="K67">SUM(_xlfn._xlws.FILTER(P_chp_ind14[RE],ISNUMBER(MATCH(P_chp_ind14[Region],_xlfn._xlws.FILTER(Region[Administrative],Region[Model]=P_chp_ind216[[#This Row],[Region]]),0))))</f>
        <v>652.9</v>
      </c>
      <c r="L67" s="6" cm="1">
        <f t="array" ref="L67">SUM(_xlfn._xlws.FILTER(P_chp_ind14[non-RE],ISNUMBER(MATCH(P_chp_ind14[Region],_xlfn._xlws.FILTER(Region[Administrative],Region[Model]=P_chp_ind216[[#This Row],[Region]]),0))))</f>
        <v>0</v>
      </c>
      <c r="M67" s="24">
        <f>SUM(P_chp_ind216[[#This Row],[RE]:[non-RE]])</f>
        <v>652.9</v>
      </c>
    </row>
    <row r="68" spans="1:13">
      <c r="A68" s="130" t="s">
        <v>951</v>
      </c>
      <c r="B68" s="130" t="s">
        <v>951</v>
      </c>
      <c r="C68" s="134" t="s">
        <v>1142</v>
      </c>
      <c r="D68" s="55">
        <v>1.3</v>
      </c>
      <c r="E68" s="35" t="s">
        <v>1020</v>
      </c>
      <c r="F68" s="35" t="s">
        <v>1021</v>
      </c>
      <c r="G68" s="35" t="s">
        <v>1027</v>
      </c>
      <c r="H68" s="136" t="str">
        <f>IF(ISNUMBER(MATCH(P_ind[[#This Row],[Main fuel]],$J$29:$J$42,0)),"RE","non-RE")</f>
        <v>RE</v>
      </c>
      <c r="I68" s="131"/>
      <c r="J68" s="1" t="s">
        <v>31</v>
      </c>
      <c r="K68" s="6" cm="1">
        <f t="array" ref="K68">SUM(_xlfn._xlws.FILTER(P_chp_ind14[RE],ISNUMBER(MATCH(P_chp_ind14[Region],_xlfn._xlws.FILTER(Region[Administrative],Region[Model]=P_chp_ind216[[#This Row],[Region]]),0))))</f>
        <v>440</v>
      </c>
      <c r="L68" s="6" cm="1">
        <f t="array" ref="L68">SUM(_xlfn._xlws.FILTER(P_chp_ind14[non-RE],ISNUMBER(MATCH(P_chp_ind14[Region],_xlfn._xlws.FILTER(Region[Administrative],Region[Model]=P_chp_ind216[[#This Row],[Region]]),0))))</f>
        <v>88.5</v>
      </c>
      <c r="M68" s="24">
        <f>SUM(P_chp_ind216[[#This Row],[RE]:[non-RE]])</f>
        <v>528.5</v>
      </c>
    </row>
    <row r="69" spans="1:13">
      <c r="A69" s="130" t="s">
        <v>956</v>
      </c>
      <c r="B69" s="130" t="s">
        <v>1008</v>
      </c>
      <c r="C69" s="134" t="s">
        <v>1142</v>
      </c>
      <c r="D69" s="55">
        <v>1</v>
      </c>
      <c r="E69" s="35" t="s">
        <v>1037</v>
      </c>
      <c r="G69" s="35"/>
      <c r="H69" s="136" t="str">
        <f>IF(ISNUMBER(MATCH(P_ind[[#This Row],[Main fuel]],$J$29:$J$42,0)),"RE","non-RE")</f>
        <v>non-RE</v>
      </c>
      <c r="I69" s="131"/>
      <c r="J69" s="1" t="s">
        <v>32</v>
      </c>
      <c r="K69" s="6" cm="1">
        <f t="array" ref="K69">SUM(_xlfn._xlws.FILTER(P_chp_ind14[RE],ISNUMBER(MATCH(P_chp_ind14[Region],_xlfn._xlws.FILTER(Region[Administrative],Region[Model]=P_chp_ind216[[#This Row],[Region]]),0))))</f>
        <v>281.60000000000002</v>
      </c>
      <c r="L69" s="6" cm="1">
        <f t="array" ref="L69">SUM(_xlfn._xlws.FILTER(P_chp_ind14[non-RE],ISNUMBER(MATCH(P_chp_ind14[Region],_xlfn._xlws.FILTER(Region[Administrative],Region[Model]=P_chp_ind216[[#This Row],[Region]]),0))))</f>
        <v>0</v>
      </c>
      <c r="M69" s="24">
        <f>SUM(P_chp_ind216[[#This Row],[RE]:[non-RE]])</f>
        <v>281.60000000000002</v>
      </c>
    </row>
    <row r="70" spans="1:13">
      <c r="A70" s="130" t="s">
        <v>957</v>
      </c>
      <c r="B70" s="130" t="s">
        <v>957</v>
      </c>
      <c r="C70" s="134" t="s">
        <v>1142</v>
      </c>
      <c r="D70" s="55">
        <v>0.8</v>
      </c>
      <c r="E70" s="35" t="s">
        <v>1038</v>
      </c>
      <c r="F70" s="35" t="s">
        <v>1038</v>
      </c>
      <c r="G70" s="35"/>
      <c r="H70" s="136" t="str">
        <f>IF(ISNUMBER(MATCH(P_ind[[#This Row],[Main fuel]],$J$29:$J$42,0)),"RE","non-RE")</f>
        <v>RE</v>
      </c>
      <c r="I70" s="131"/>
      <c r="J70" s="1" t="s">
        <v>33</v>
      </c>
      <c r="K70" s="6" cm="1">
        <f t="array" ref="K70">SUM(_xlfn._xlws.FILTER(P_chp_ind14[RE],ISNUMBER(MATCH(P_chp_ind14[Region],_xlfn._xlws.FILTER(Region[Administrative],Region[Model]=P_chp_ind216[[#This Row],[Region]]),0))))</f>
        <v>27.7</v>
      </c>
      <c r="L70" s="6" cm="1">
        <f t="array" ref="L70">SUM(_xlfn._xlws.FILTER(P_chp_ind14[non-RE],ISNUMBER(MATCH(P_chp_ind14[Region],_xlfn._xlws.FILTER(Region[Administrative],Region[Model]=P_chp_ind216[[#This Row],[Region]]),0))))</f>
        <v>11.4</v>
      </c>
      <c r="M70" s="24">
        <f>SUM(P_chp_ind216[[#This Row],[RE]:[non-RE]])</f>
        <v>39.1</v>
      </c>
    </row>
    <row r="71" spans="1:13">
      <c r="A71" s="130" t="s">
        <v>907</v>
      </c>
      <c r="B71" s="130" t="s">
        <v>974</v>
      </c>
      <c r="C71" s="134" t="s">
        <v>1142</v>
      </c>
      <c r="D71" s="55">
        <v>0</v>
      </c>
      <c r="E71" s="35" t="s">
        <v>1021</v>
      </c>
      <c r="F71" s="35" t="s">
        <v>1025</v>
      </c>
      <c r="G71" s="35" t="s">
        <v>1026</v>
      </c>
      <c r="H71" s="136" t="str">
        <f>IF(ISNUMBER(MATCH(P_ind[[#This Row],[Main fuel]],$J$29:$J$42,0)),"RE","non-RE")</f>
        <v>RE</v>
      </c>
      <c r="I71" s="131"/>
      <c r="J71" s="1" t="s">
        <v>34</v>
      </c>
      <c r="K71" s="6" cm="1">
        <f t="array" ref="K71">SUM(_xlfn._xlws.FILTER(P_chp_ind14[RE],ISNUMBER(MATCH(P_chp_ind14[Region],_xlfn._xlws.FILTER(Region[Administrative],Region[Model]=P_chp_ind216[[#This Row],[Region]]),0))))</f>
        <v>720.40000000000009</v>
      </c>
      <c r="L71" s="6" cm="1">
        <f t="array" ref="L71">SUM(_xlfn._xlws.FILTER(P_chp_ind14[non-RE],ISNUMBER(MATCH(P_chp_ind14[Region],_xlfn._xlws.FILTER(Region[Administrative],Region[Model]=P_chp_ind216[[#This Row],[Region]]),0))))</f>
        <v>45</v>
      </c>
      <c r="M71" s="24">
        <f>SUM(P_chp_ind216[[#This Row],[RE]:[non-RE]])</f>
        <v>765.40000000000009</v>
      </c>
    </row>
    <row r="72" spans="1:13">
      <c r="A72" s="130" t="s">
        <v>918</v>
      </c>
      <c r="B72" s="130" t="s">
        <v>984</v>
      </c>
      <c r="C72" s="134" t="s">
        <v>1142</v>
      </c>
      <c r="D72" s="55">
        <v>0</v>
      </c>
      <c r="E72" s="35" t="s">
        <v>1029</v>
      </c>
      <c r="F72" s="35" t="s">
        <v>1022</v>
      </c>
      <c r="G72" s="35" t="s">
        <v>1021</v>
      </c>
      <c r="H72" s="136" t="str">
        <f>IF(ISNUMBER(MATCH(P_ind[[#This Row],[Main fuel]],$J$29:$J$42,0)),"RE","non-RE")</f>
        <v>RE</v>
      </c>
      <c r="I72" s="131"/>
      <c r="J72" s="107" t="s">
        <v>3</v>
      </c>
      <c r="K72" s="6" cm="1">
        <f t="array" ref="K72">SUM(_xlfn._xlws.FILTER(P_chp_ind14[RE],ISNUMBER(MATCH(P_chp_ind14[Region],_xlfn._xlws.FILTER(Region[Administrative],Region[Model]=P_chp_ind216[[#This Row],[Region]]),0))))</f>
        <v>0</v>
      </c>
      <c r="L72" s="6" cm="1">
        <f t="array" ref="L72">SUM(_xlfn._xlws.FILTER(P_chp_ind14[non-RE],ISNUMBER(MATCH(P_chp_ind14[Region],_xlfn._xlws.FILTER(Region[Administrative],Region[Model]=P_chp_ind216[[#This Row],[Region]]),0))))</f>
        <v>289.60000000000002</v>
      </c>
      <c r="M72" s="24">
        <f>SUM(P_chp_ind216[[#This Row],[RE]:[non-RE]])</f>
        <v>289.60000000000002</v>
      </c>
    </row>
    <row r="73" spans="1:13">
      <c r="A73" s="130" t="s">
        <v>923</v>
      </c>
      <c r="B73" s="130" t="s">
        <v>987</v>
      </c>
      <c r="C73" s="134" t="s">
        <v>1142</v>
      </c>
      <c r="D73" s="55">
        <v>0</v>
      </c>
      <c r="E73" s="35" t="s">
        <v>1029</v>
      </c>
      <c r="F73" s="35" t="s">
        <v>1021</v>
      </c>
      <c r="G73" s="35" t="s">
        <v>1022</v>
      </c>
      <c r="H73" s="136" t="str">
        <f>IF(ISNUMBER(MATCH(P_ind[[#This Row],[Main fuel]],$J$29:$J$42,0)),"RE","non-RE")</f>
        <v>RE</v>
      </c>
      <c r="I73" s="131"/>
      <c r="K73" s="6">
        <f>SUM(P_chp_ind216[RE])</f>
        <v>2623.9000000000005</v>
      </c>
      <c r="L73" s="6">
        <f>SUM(P_chp_ind216[non-RE])</f>
        <v>434.5</v>
      </c>
      <c r="M73" s="6">
        <f>SUM(K73:L73)</f>
        <v>3058.4000000000005</v>
      </c>
    </row>
    <row r="74" spans="1:13">
      <c r="A74" s="130" t="s">
        <v>940</v>
      </c>
      <c r="B74" s="130" t="s">
        <v>1000</v>
      </c>
      <c r="C74" s="134" t="s">
        <v>1142</v>
      </c>
      <c r="D74" s="55">
        <v>0</v>
      </c>
      <c r="E74" s="35" t="s">
        <v>1021</v>
      </c>
      <c r="F74" s="35" t="s">
        <v>1022</v>
      </c>
      <c r="G74" s="132" t="s">
        <v>1142</v>
      </c>
      <c r="H74" s="136" t="str">
        <f>IF(ISNUMBER(MATCH(P_ind[[#This Row],[Main fuel]],$J$29:$J$42,0)),"RE","non-RE")</f>
        <v>RE</v>
      </c>
      <c r="I74" s="131"/>
    </row>
    <row r="75" spans="1:13">
      <c r="A75" s="130" t="s">
        <v>945</v>
      </c>
      <c r="B75" s="130" t="s">
        <v>945</v>
      </c>
      <c r="C75" s="134" t="s">
        <v>1142</v>
      </c>
      <c r="D75" s="55">
        <v>0</v>
      </c>
      <c r="E75" s="35" t="s">
        <v>1022</v>
      </c>
      <c r="G75" s="35"/>
      <c r="H75" s="136" t="str">
        <f>IF(ISNUMBER(MATCH(P_ind[[#This Row],[Main fuel]],$J$29:$J$42,0)),"RE","non-RE")</f>
        <v>non-RE</v>
      </c>
      <c r="I75" s="131"/>
    </row>
    <row r="76" spans="1:13">
      <c r="A76" s="35"/>
      <c r="C76" s="108"/>
      <c r="D76" s="140"/>
      <c r="G76" s="35"/>
      <c r="H76" s="136"/>
      <c r="I76" s="131"/>
    </row>
    <row r="77" spans="1:13">
      <c r="A77" s="35"/>
      <c r="B77" s="102"/>
      <c r="C77" s="102" t="s">
        <v>110</v>
      </c>
      <c r="D77" s="102" t="s">
        <v>58</v>
      </c>
      <c r="E77" s="102" t="s">
        <v>820</v>
      </c>
      <c r="I77" s="131"/>
    </row>
    <row r="78" spans="1:13">
      <c r="B78" s="102" t="s">
        <v>2</v>
      </c>
      <c r="C78" s="35">
        <f>COUNT(P_ind[Capacity])</f>
        <v>70</v>
      </c>
      <c r="D78" s="7">
        <f>SUM(P_ind[Capacity])</f>
        <v>3126.1000000000013</v>
      </c>
      <c r="F78" s="1"/>
      <c r="H78" s="1"/>
    </row>
    <row r="79" spans="1:13">
      <c r="B79" s="102" t="s">
        <v>393</v>
      </c>
      <c r="C79" s="35">
        <f>COUNT(D6:D51)</f>
        <v>46</v>
      </c>
      <c r="D79" s="7">
        <f>SUM(D6:D51)</f>
        <v>3058.4000000000005</v>
      </c>
      <c r="E79" s="120">
        <f>D79/$D$78</f>
        <v>0.97834362304468803</v>
      </c>
      <c r="F79" s="1"/>
      <c r="H79" s="1"/>
    </row>
    <row r="80" spans="1:13">
      <c r="B80" s="102" t="s">
        <v>822</v>
      </c>
      <c r="C80" s="35">
        <f>COUNT(D6:D42)</f>
        <v>37</v>
      </c>
      <c r="D80" s="7">
        <f>SUM(D6:D42)</f>
        <v>2928.8000000000006</v>
      </c>
      <c r="E80" s="120">
        <f>D80/$D$78</f>
        <v>0.93688621605194955</v>
      </c>
      <c r="F80" s="1"/>
      <c r="H80" s="1"/>
    </row>
    <row r="81" spans="2:8">
      <c r="B81" s="102" t="s">
        <v>821</v>
      </c>
      <c r="C81" s="35">
        <f>COUNT(D6:D27)</f>
        <v>22</v>
      </c>
      <c r="D81" s="7">
        <f>SUM(D6:D27)</f>
        <v>2460.3000000000006</v>
      </c>
      <c r="E81" s="120">
        <f>D81/$D$78</f>
        <v>0.78701896932279825</v>
      </c>
      <c r="F81" s="1"/>
      <c r="H81" s="1"/>
    </row>
    <row r="82" spans="2:8">
      <c r="B82" s="102" t="s">
        <v>392</v>
      </c>
      <c r="C82" s="35">
        <f>COUNT(D6:D13)</f>
        <v>8</v>
      </c>
      <c r="D82" s="7">
        <f>SUM(D6:D13)</f>
        <v>1380.5</v>
      </c>
      <c r="E82" s="120">
        <f>D82/$D$78</f>
        <v>0.4416045551965706</v>
      </c>
      <c r="F82" s="1"/>
      <c r="H82" s="1"/>
    </row>
    <row r="83" spans="2:8">
      <c r="B83" s="102" t="s">
        <v>836</v>
      </c>
      <c r="C83" s="35">
        <f>COUNT(D6:D8)</f>
        <v>3</v>
      </c>
      <c r="D83" s="7">
        <f>SUM(D6:D8)</f>
        <v>748</v>
      </c>
      <c r="E83" s="120">
        <f>D83/$D$78</f>
        <v>0.23927577492722552</v>
      </c>
      <c r="F83" s="1"/>
      <c r="H83" s="1"/>
    </row>
    <row r="84" spans="2:8">
      <c r="D84" s="1"/>
      <c r="E84" s="1"/>
    </row>
    <row r="85" spans="2:8">
      <c r="D85" s="1"/>
      <c r="E85" s="1"/>
    </row>
  </sheetData>
  <mergeCells count="2">
    <mergeCell ref="N13:Q15"/>
    <mergeCell ref="N17:Q19"/>
  </mergeCells>
  <hyperlinks>
    <hyperlink ref="F1" r:id="rId1" display="https://energiavirasto.fi/toimitusvarmuus" xr:uid="{AB8D404B-BBC6-48A9-86E9-E79E8D526C8B}"/>
  </hyperlinks>
  <pageMargins left="0.7" right="0.7" top="0.75" bottom="0.75" header="0.3" footer="0.3"/>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1B3BA-EF67-4547-9141-46A2C7B3FBE9}">
  <sheetPr>
    <tabColor theme="9" tint="-0.249977111117893"/>
  </sheetPr>
  <dimension ref="A1:AN79"/>
  <sheetViews>
    <sheetView topLeftCell="F1" zoomScaleNormal="100" workbookViewId="0">
      <selection activeCell="AF20" sqref="AF20"/>
    </sheetView>
  </sheetViews>
  <sheetFormatPr defaultColWidth="8.85546875" defaultRowHeight="15"/>
  <cols>
    <col min="1" max="1" width="13.7109375" style="1" customWidth="1"/>
    <col min="2" max="2" width="9.5703125" style="1" customWidth="1"/>
    <col min="3" max="3" width="19.85546875" style="1" bestFit="1" customWidth="1"/>
    <col min="4" max="4" width="8.42578125" style="35" bestFit="1" customWidth="1"/>
    <col min="5" max="6" width="14.140625" style="35" customWidth="1"/>
    <col min="7" max="7" width="14.140625" style="1" customWidth="1"/>
    <col min="8" max="8" width="8.85546875" style="100"/>
    <col min="9" max="9" width="8.85546875" style="1" customWidth="1"/>
    <col min="10" max="10" width="19.85546875" style="1" customWidth="1"/>
    <col min="11" max="11" width="11.42578125" style="1" customWidth="1"/>
    <col min="12" max="13" width="9.42578125" style="1" customWidth="1"/>
    <col min="14" max="15" width="9.28515625" style="1" customWidth="1"/>
    <col min="16" max="16" width="11.140625" style="1" customWidth="1"/>
    <col min="17" max="22" width="8.85546875" style="1"/>
    <col min="23" max="23" width="10.7109375" style="1" customWidth="1"/>
    <col min="24" max="26" width="8.85546875" style="1"/>
    <col min="27" max="27" width="11.140625" style="1" customWidth="1"/>
    <col min="28" max="16384" width="8.85546875" style="1"/>
  </cols>
  <sheetData>
    <row r="1" spans="1:34">
      <c r="A1" s="65" t="s">
        <v>1182</v>
      </c>
      <c r="B1" s="36"/>
      <c r="C1" s="36" t="s">
        <v>864</v>
      </c>
      <c r="D1" s="129"/>
      <c r="E1" s="129"/>
      <c r="F1" s="97" t="s">
        <v>176</v>
      </c>
      <c r="G1" s="36"/>
      <c r="H1" s="135"/>
      <c r="I1" s="36"/>
      <c r="J1" s="36"/>
      <c r="K1" s="36"/>
      <c r="L1" s="36"/>
      <c r="M1" s="36"/>
      <c r="P1" s="65" t="s">
        <v>1183</v>
      </c>
      <c r="Q1" s="65" t="s">
        <v>1164</v>
      </c>
      <c r="R1" s="36"/>
      <c r="S1" s="36"/>
      <c r="T1" s="36"/>
      <c r="U1" s="36"/>
      <c r="W1" s="65" t="s">
        <v>1184</v>
      </c>
      <c r="X1" s="36"/>
      <c r="Y1" s="36"/>
      <c r="Z1" s="36"/>
      <c r="AA1" s="36"/>
      <c r="AB1" s="36"/>
    </row>
    <row r="2" spans="1:34">
      <c r="A2" s="98" t="s">
        <v>397</v>
      </c>
      <c r="B2" s="45"/>
      <c r="C2" s="98" t="s">
        <v>1137</v>
      </c>
      <c r="D2" s="98"/>
      <c r="E2" s="98"/>
      <c r="F2" s="98"/>
      <c r="G2" s="45"/>
      <c r="H2" s="46"/>
      <c r="I2" s="45"/>
      <c r="J2" s="45"/>
      <c r="K2" s="45"/>
      <c r="L2" s="45"/>
      <c r="M2" s="45"/>
    </row>
    <row r="3" spans="1:34">
      <c r="A3" s="45" t="s">
        <v>398</v>
      </c>
      <c r="B3" s="45"/>
      <c r="C3" s="45" t="s">
        <v>1138</v>
      </c>
      <c r="D3" s="98"/>
      <c r="E3" s="98"/>
      <c r="F3" s="98"/>
      <c r="G3" s="45"/>
      <c r="H3" s="46"/>
      <c r="I3" s="45"/>
      <c r="J3" s="45"/>
      <c r="K3" s="45"/>
      <c r="L3" s="45"/>
      <c r="M3" s="45"/>
      <c r="P3" s="45" t="s">
        <v>1200</v>
      </c>
      <c r="Q3" s="45"/>
      <c r="R3" s="45"/>
      <c r="S3" s="45"/>
      <c r="T3" s="45"/>
      <c r="U3" s="45"/>
      <c r="W3" s="45" t="s">
        <v>1198</v>
      </c>
      <c r="X3" s="45"/>
      <c r="Y3" s="45"/>
      <c r="Z3" s="45"/>
      <c r="AA3" s="45"/>
    </row>
    <row r="4" spans="1:34">
      <c r="A4" s="45" t="s">
        <v>1178</v>
      </c>
      <c r="B4" s="45"/>
      <c r="C4" s="45" t="s">
        <v>1179</v>
      </c>
      <c r="D4" s="98"/>
      <c r="E4" s="98"/>
      <c r="F4" s="98"/>
      <c r="G4" s="45"/>
      <c r="H4" s="46"/>
      <c r="I4" s="45"/>
      <c r="J4" s="45"/>
      <c r="K4" s="45"/>
      <c r="L4" s="45"/>
      <c r="M4" s="45"/>
      <c r="P4" s="14"/>
      <c r="Q4" s="228" t="s">
        <v>1150</v>
      </c>
      <c r="R4" s="228" t="s">
        <v>1156</v>
      </c>
      <c r="S4" s="228" t="s">
        <v>1158</v>
      </c>
      <c r="T4" s="228" t="s">
        <v>1159</v>
      </c>
      <c r="X4" s="14" t="s">
        <v>1175</v>
      </c>
      <c r="Y4" s="14" t="s">
        <v>1177</v>
      </c>
      <c r="Z4" s="14" t="s">
        <v>1176</v>
      </c>
    </row>
    <row r="5" spans="1:34">
      <c r="A5" s="45"/>
      <c r="B5" s="45"/>
      <c r="C5" s="98" t="s">
        <v>1180</v>
      </c>
      <c r="D5" s="98"/>
      <c r="E5" s="98"/>
      <c r="F5" s="98"/>
      <c r="G5" s="45"/>
      <c r="H5" s="46"/>
      <c r="I5" s="45"/>
      <c r="J5" s="45"/>
      <c r="K5" s="45"/>
      <c r="L5" s="45"/>
      <c r="M5" s="45"/>
      <c r="P5" s="14"/>
      <c r="Q5" s="228"/>
      <c r="R5" s="228"/>
      <c r="S5" s="228"/>
      <c r="T5" s="228"/>
      <c r="X5" s="119">
        <f>(Q28+R28)/K53</f>
        <v>1.0136465324384787</v>
      </c>
      <c r="Y5" s="119">
        <f>S28/L53</f>
        <v>1.3586578695384131</v>
      </c>
      <c r="Z5" s="119">
        <f>T28/M53</f>
        <v>2.6215864759427832</v>
      </c>
    </row>
    <row r="6" spans="1:34">
      <c r="P6" s="14"/>
      <c r="Q6" s="228"/>
      <c r="R6" s="228"/>
      <c r="S6" s="228"/>
      <c r="T6" s="228"/>
    </row>
    <row r="7" spans="1:34">
      <c r="A7" s="14" t="s">
        <v>178</v>
      </c>
      <c r="B7" s="14" t="s">
        <v>179</v>
      </c>
      <c r="C7" s="14" t="s">
        <v>24</v>
      </c>
      <c r="D7" s="128" t="s">
        <v>58</v>
      </c>
      <c r="E7" s="128" t="s">
        <v>1017</v>
      </c>
      <c r="F7" s="102" t="s">
        <v>1018</v>
      </c>
      <c r="G7" s="102" t="s">
        <v>1019</v>
      </c>
      <c r="H7" s="128" t="s">
        <v>1139</v>
      </c>
      <c r="J7" s="14" t="s">
        <v>1143</v>
      </c>
      <c r="K7" s="14" t="s">
        <v>1174</v>
      </c>
      <c r="P7" s="14"/>
      <c r="Q7" s="228"/>
      <c r="R7" s="228"/>
      <c r="S7" s="228"/>
      <c r="T7" s="228"/>
      <c r="W7" s="45" t="s">
        <v>1193</v>
      </c>
      <c r="X7" s="45"/>
      <c r="Y7" s="45"/>
      <c r="Z7" s="45"/>
      <c r="AA7" s="45"/>
      <c r="AB7" s="45"/>
    </row>
    <row r="8" spans="1:34">
      <c r="A8" s="35" t="s">
        <v>1091</v>
      </c>
      <c r="B8" s="1" t="s">
        <v>1128</v>
      </c>
      <c r="C8" s="108" t="s">
        <v>3</v>
      </c>
      <c r="D8" s="140">
        <v>485</v>
      </c>
      <c r="E8" s="100" t="s">
        <v>1028</v>
      </c>
      <c r="F8" s="35" t="s">
        <v>1025</v>
      </c>
      <c r="G8" s="132" t="s">
        <v>1142</v>
      </c>
      <c r="H8" s="136" t="str">
        <f>_xlfn.XLOOKUP(P_dh[[#This Row],[Main fuel]],$J$7:$J$21,$K$7:$K$21)</f>
        <v>Gas</v>
      </c>
      <c r="I8" s="131"/>
      <c r="J8" s="100" t="str" cm="1">
        <f t="array" ref="J8:J21">_xlfn.UNIQUE(_xlfn.TOCOL(P_dh[[Main fuel]:[Standby fuel 2]], 1))</f>
        <v>Natural gas</v>
      </c>
      <c r="K8" s="148" t="s">
        <v>1175</v>
      </c>
      <c r="P8" s="138" t="s">
        <v>88</v>
      </c>
      <c r="Q8" s="10">
        <v>356.6</v>
      </c>
      <c r="R8" s="22"/>
      <c r="S8" s="10">
        <v>3099.2999999999997</v>
      </c>
      <c r="T8" s="10">
        <v>345</v>
      </c>
      <c r="W8" s="98" t="s">
        <v>1181</v>
      </c>
      <c r="X8" s="45"/>
      <c r="Y8" s="45"/>
      <c r="Z8" s="45"/>
      <c r="AA8" s="45"/>
      <c r="AB8" s="45"/>
      <c r="AH8" s="6"/>
    </row>
    <row r="9" spans="1:34">
      <c r="A9" s="35" t="s">
        <v>1079</v>
      </c>
      <c r="B9" s="1" t="s">
        <v>1079</v>
      </c>
      <c r="C9" s="108" t="s">
        <v>3</v>
      </c>
      <c r="D9" s="140">
        <v>276</v>
      </c>
      <c r="E9" s="100" t="s">
        <v>1028</v>
      </c>
      <c r="F9" s="35" t="s">
        <v>1025</v>
      </c>
      <c r="G9" s="132" t="s">
        <v>1142</v>
      </c>
      <c r="H9" s="136" t="str">
        <f>_xlfn.XLOOKUP(P_dh[[#This Row],[Main fuel]],$J$7:$J$21,$K$7:$K$21)</f>
        <v>Gas</v>
      </c>
      <c r="I9" s="131"/>
      <c r="J9" s="100" t="str">
        <v>Medium heavy distillates</v>
      </c>
      <c r="K9" s="148" t="s">
        <v>1175</v>
      </c>
      <c r="P9" s="138" t="s">
        <v>87</v>
      </c>
      <c r="Q9" s="22"/>
      <c r="R9" s="22"/>
      <c r="S9" s="10">
        <v>435</v>
      </c>
      <c r="T9" s="22"/>
      <c r="W9" s="227" t="s">
        <v>1191</v>
      </c>
      <c r="X9" s="227"/>
      <c r="Y9" s="227"/>
      <c r="Z9" s="227"/>
      <c r="AA9" s="227"/>
      <c r="AB9" s="227"/>
      <c r="AH9" s="6"/>
    </row>
    <row r="10" spans="1:34">
      <c r="A10" s="35" t="s">
        <v>1088</v>
      </c>
      <c r="B10" s="1" t="s">
        <v>1125</v>
      </c>
      <c r="C10" s="108" t="s">
        <v>122</v>
      </c>
      <c r="D10" s="140">
        <v>230</v>
      </c>
      <c r="E10" s="100" t="s">
        <v>1023</v>
      </c>
      <c r="F10" s="35" t="s">
        <v>1022</v>
      </c>
      <c r="G10" s="132" t="s">
        <v>1142</v>
      </c>
      <c r="H10" s="136" t="str">
        <f>_xlfn.XLOOKUP(P_dh[[#This Row],[Main fuel]],$J$7:$J$21,$K$7:$K$21)</f>
        <v>Gas</v>
      </c>
      <c r="I10" s="131"/>
      <c r="J10" s="100" t="str">
        <v/>
      </c>
      <c r="K10" s="149" t="s">
        <v>1177</v>
      </c>
      <c r="P10" s="138" t="s">
        <v>84</v>
      </c>
      <c r="Q10" s="22"/>
      <c r="R10" s="22"/>
      <c r="S10" s="10">
        <v>260</v>
      </c>
      <c r="T10" s="22"/>
      <c r="W10" s="227"/>
      <c r="X10" s="227"/>
      <c r="Y10" s="227"/>
      <c r="Z10" s="227"/>
      <c r="AA10" s="227"/>
      <c r="AB10" s="227"/>
      <c r="AH10" s="6"/>
    </row>
    <row r="11" spans="1:34">
      <c r="A11" s="35" t="s">
        <v>1048</v>
      </c>
      <c r="B11" s="1" t="s">
        <v>1100</v>
      </c>
      <c r="C11" s="108" t="s">
        <v>120</v>
      </c>
      <c r="D11" s="140">
        <v>190</v>
      </c>
      <c r="E11" s="100" t="s">
        <v>1020</v>
      </c>
      <c r="F11" s="35" t="s">
        <v>1027</v>
      </c>
      <c r="G11" s="35" t="s">
        <v>1021</v>
      </c>
      <c r="H11" s="136" t="str">
        <f>_xlfn.XLOOKUP(P_dh[[#This Row],[Main fuel]],$J$7:$J$21,$K$7:$K$21)</f>
        <v>Bio</v>
      </c>
      <c r="I11" s="131"/>
      <c r="J11" s="100" t="str">
        <v>Hard coal and anthracite</v>
      </c>
      <c r="K11" s="148" t="s">
        <v>1175</v>
      </c>
      <c r="P11" s="138" t="s">
        <v>86</v>
      </c>
      <c r="Q11" s="22"/>
      <c r="R11" s="22"/>
      <c r="S11" s="10">
        <v>395</v>
      </c>
      <c r="T11" s="22"/>
      <c r="W11" s="98" t="s">
        <v>1190</v>
      </c>
      <c r="X11" s="45"/>
      <c r="Y11" s="45"/>
      <c r="Z11" s="45"/>
      <c r="AA11" s="45"/>
      <c r="AB11" s="45"/>
      <c r="AH11" s="6"/>
    </row>
    <row r="12" spans="1:34">
      <c r="A12" s="35" t="s">
        <v>1090</v>
      </c>
      <c r="B12" s="1" t="s">
        <v>1127</v>
      </c>
      <c r="C12" s="108" t="s">
        <v>3</v>
      </c>
      <c r="D12" s="140">
        <v>163</v>
      </c>
      <c r="E12" s="100" t="s">
        <v>1028</v>
      </c>
      <c r="F12" s="35" t="s">
        <v>1025</v>
      </c>
      <c r="G12" s="35"/>
      <c r="H12" s="136" t="str">
        <f>_xlfn.XLOOKUP(P_dh[[#This Row],[Main fuel]],$J$7:$J$21,$K$7:$K$21)</f>
        <v>Gas</v>
      </c>
      <c r="I12" s="131"/>
      <c r="J12" s="100" t="str">
        <v>Heavy distillates</v>
      </c>
      <c r="K12" s="148" t="s">
        <v>1175</v>
      </c>
      <c r="P12" s="138" t="s">
        <v>85</v>
      </c>
      <c r="Q12" s="10">
        <v>170</v>
      </c>
      <c r="R12" s="22"/>
      <c r="S12" s="10">
        <v>160</v>
      </c>
      <c r="T12" s="10">
        <v>46</v>
      </c>
      <c r="W12" s="14" t="s">
        <v>24</v>
      </c>
      <c r="X12" s="14" t="s">
        <v>1195</v>
      </c>
      <c r="Y12" s="14" t="s">
        <v>1197</v>
      </c>
      <c r="Z12" s="14" t="s">
        <v>1177</v>
      </c>
      <c r="AA12" s="14" t="s">
        <v>1176</v>
      </c>
      <c r="AH12" s="6"/>
    </row>
    <row r="13" spans="1:34">
      <c r="A13" s="35" t="s">
        <v>1061</v>
      </c>
      <c r="B13" s="1" t="s">
        <v>1061</v>
      </c>
      <c r="C13" s="108" t="s">
        <v>7</v>
      </c>
      <c r="D13" s="140">
        <v>142</v>
      </c>
      <c r="E13" s="100" t="s">
        <v>1028</v>
      </c>
      <c r="F13" s="35" t="s">
        <v>1025</v>
      </c>
      <c r="G13" s="132" t="s">
        <v>1142</v>
      </c>
      <c r="H13" s="136" t="str">
        <f>_xlfn.XLOOKUP(P_dh[[#This Row],[Main fuel]],$J$7:$J$21,$K$7:$K$21)</f>
        <v>Gas</v>
      </c>
      <c r="I13" s="131"/>
      <c r="J13" s="100" t="str">
        <v>Peat</v>
      </c>
      <c r="K13" s="148" t="s">
        <v>1177</v>
      </c>
      <c r="P13" s="138" t="s">
        <v>83</v>
      </c>
      <c r="Q13" s="10">
        <v>90</v>
      </c>
      <c r="R13" s="22"/>
      <c r="S13" s="10">
        <v>105</v>
      </c>
      <c r="T13" s="10">
        <v>147</v>
      </c>
      <c r="W13" s="14" t="s">
        <v>28</v>
      </c>
      <c r="X13" s="24">
        <f>K46*$X$5-X22</f>
        <v>0</v>
      </c>
      <c r="Y13" s="108"/>
      <c r="Z13" s="24">
        <f>L46*$Y$5-Z22</f>
        <v>112.25895562522135</v>
      </c>
      <c r="AA13" s="24">
        <f>M46*$Z$5-AA22</f>
        <v>0</v>
      </c>
      <c r="AB13" s="6">
        <f t="shared" ref="AB13:AB27" si="0">SUM(X13:AA13)</f>
        <v>112.25895562522135</v>
      </c>
      <c r="AH13" s="6"/>
    </row>
    <row r="14" spans="1:34">
      <c r="A14" s="35" t="s">
        <v>1063</v>
      </c>
      <c r="B14" s="1" t="s">
        <v>1111</v>
      </c>
      <c r="C14" s="108" t="s">
        <v>168</v>
      </c>
      <c r="D14" s="140">
        <v>130</v>
      </c>
      <c r="E14" s="100" t="s">
        <v>1027</v>
      </c>
      <c r="F14" s="35" t="s">
        <v>1021</v>
      </c>
      <c r="G14" s="35" t="s">
        <v>1023</v>
      </c>
      <c r="H14" s="136" t="str">
        <f>_xlfn.XLOOKUP(P_dh[[#This Row],[Main fuel]],$J$7:$J$21,$K$7:$K$21)</f>
        <v>Bio</v>
      </c>
      <c r="I14" s="131"/>
      <c r="J14" s="100" t="str">
        <v>Forest fuelwood</v>
      </c>
      <c r="K14" s="148" t="s">
        <v>1177</v>
      </c>
      <c r="P14" s="138" t="s">
        <v>82</v>
      </c>
      <c r="Q14" s="10">
        <v>213</v>
      </c>
      <c r="R14" s="10">
        <v>80</v>
      </c>
      <c r="S14" s="22"/>
      <c r="T14" s="22"/>
      <c r="W14" s="14" t="s">
        <v>29</v>
      </c>
      <c r="X14" s="24">
        <f>K47*$X$5</f>
        <v>233.13870246085008</v>
      </c>
      <c r="Y14" s="108"/>
      <c r="Z14" s="24">
        <f>L47*$Y$5</f>
        <v>207.46705667851566</v>
      </c>
      <c r="AA14" s="24">
        <f>M47*$Z$5</f>
        <v>0</v>
      </c>
      <c r="AB14" s="6">
        <f t="shared" si="0"/>
        <v>440.60575913936577</v>
      </c>
      <c r="AH14" s="6"/>
    </row>
    <row r="15" spans="1:34">
      <c r="A15" s="35" t="s">
        <v>1078</v>
      </c>
      <c r="B15" s="1" t="s">
        <v>1119</v>
      </c>
      <c r="C15" s="108" t="s">
        <v>121</v>
      </c>
      <c r="D15" s="140">
        <v>120</v>
      </c>
      <c r="E15" s="100" t="s">
        <v>1020</v>
      </c>
      <c r="F15" s="35" t="s">
        <v>1022</v>
      </c>
      <c r="G15" s="35" t="s">
        <v>1025</v>
      </c>
      <c r="H15" s="136" t="str">
        <f>_xlfn.XLOOKUP(P_dh[[#This Row],[Main fuel]],$J$7:$J$21,$K$7:$K$21)</f>
        <v>Bio</v>
      </c>
      <c r="I15" s="131"/>
      <c r="J15" s="100" t="str">
        <v>Industrial wood residues</v>
      </c>
      <c r="K15" s="148" t="s">
        <v>1177</v>
      </c>
      <c r="P15" s="138" t="s">
        <v>81</v>
      </c>
      <c r="Q15" s="10">
        <v>587</v>
      </c>
      <c r="R15" s="22"/>
      <c r="S15" s="22"/>
      <c r="T15" s="22"/>
      <c r="W15" s="14" t="s">
        <v>31</v>
      </c>
      <c r="X15" s="24">
        <f>MAX(K48*$X$5-X20-X23,0)</f>
        <v>0</v>
      </c>
      <c r="Y15" s="108"/>
      <c r="Z15" s="24">
        <f>L48*$Y$5-Z20-Z23</f>
        <v>34.664467384603256</v>
      </c>
      <c r="AA15" s="24">
        <f>M48*$Z$5-AA20-AA23</f>
        <v>20.245513654096236</v>
      </c>
      <c r="AB15" s="6">
        <f t="shared" si="0"/>
        <v>54.909981038699492</v>
      </c>
      <c r="AH15" s="6"/>
    </row>
    <row r="16" spans="1:34">
      <c r="A16" s="35" t="s">
        <v>1057</v>
      </c>
      <c r="C16" s="108" t="s">
        <v>119</v>
      </c>
      <c r="D16" s="140">
        <v>119</v>
      </c>
      <c r="E16" s="100" t="s">
        <v>1021</v>
      </c>
      <c r="F16" s="35" t="s">
        <v>1028</v>
      </c>
      <c r="G16" s="35"/>
      <c r="H16" s="136" t="str">
        <f>_xlfn.XLOOKUP(P_dh[[#This Row],[Main fuel]],$J$7:$J$21,$K$7:$K$21)</f>
        <v>Bio</v>
      </c>
      <c r="I16" s="131"/>
      <c r="J16" s="100" t="str">
        <v>Mixed fuels</v>
      </c>
      <c r="K16" s="149" t="s">
        <v>1177</v>
      </c>
      <c r="Q16" s="24">
        <f t="shared" ref="Q16:T16" si="1">SUM(Q8:Q15)</f>
        <v>1416.6</v>
      </c>
      <c r="R16" s="24">
        <f t="shared" si="1"/>
        <v>80</v>
      </c>
      <c r="S16" s="24">
        <f t="shared" si="1"/>
        <v>4454.2999999999993</v>
      </c>
      <c r="T16" s="6">
        <f t="shared" si="1"/>
        <v>538</v>
      </c>
      <c r="U16" s="6">
        <f>SUM(Q16:T16)</f>
        <v>6488.9</v>
      </c>
      <c r="W16" s="14" t="s">
        <v>32</v>
      </c>
      <c r="X16" s="24">
        <f>K49*$X$5</f>
        <v>0</v>
      </c>
      <c r="Y16" s="108"/>
      <c r="Z16" s="24">
        <f>L49*$Y$5</f>
        <v>473.3564017471831</v>
      </c>
      <c r="AA16" s="24">
        <f>M49*$Z$5</f>
        <v>0</v>
      </c>
      <c r="AB16" s="6">
        <f t="shared" si="0"/>
        <v>473.3564017471831</v>
      </c>
      <c r="AH16" s="6"/>
    </row>
    <row r="17" spans="1:28">
      <c r="A17" s="35" t="s">
        <v>1041</v>
      </c>
      <c r="B17" s="1" t="s">
        <v>1096</v>
      </c>
      <c r="C17" s="108" t="s">
        <v>166</v>
      </c>
      <c r="D17" s="140">
        <v>118.1</v>
      </c>
      <c r="E17" s="100" t="s">
        <v>1020</v>
      </c>
      <c r="F17" s="35" t="s">
        <v>1022</v>
      </c>
      <c r="G17" s="35" t="s">
        <v>1027</v>
      </c>
      <c r="H17" s="136" t="str">
        <f>_xlfn.XLOOKUP(P_dh[[#This Row],[Main fuel]],$J$7:$J$21,$K$7:$K$21)</f>
        <v>Bio</v>
      </c>
      <c r="I17" s="131"/>
      <c r="J17" s="100" t="str">
        <v>Gasified waste</v>
      </c>
      <c r="K17" s="148" t="s">
        <v>1176</v>
      </c>
      <c r="W17" s="14" t="s">
        <v>33</v>
      </c>
      <c r="X17" s="24">
        <f>K50*$X$5-X21</f>
        <v>0</v>
      </c>
      <c r="Y17" s="108"/>
      <c r="Z17" s="24">
        <f>L50*$Y$5-Z21</f>
        <v>123.28016579875913</v>
      </c>
      <c r="AA17" s="24">
        <f>M50*$Z$5-AA21</f>
        <v>51.383094928478556</v>
      </c>
      <c r="AB17" s="6">
        <f t="shared" si="0"/>
        <v>174.66326072723768</v>
      </c>
    </row>
    <row r="18" spans="1:28">
      <c r="A18" s="35" t="s">
        <v>1085</v>
      </c>
      <c r="B18" s="1" t="s">
        <v>1123</v>
      </c>
      <c r="C18" s="108" t="s">
        <v>125</v>
      </c>
      <c r="D18" s="140">
        <v>98</v>
      </c>
      <c r="E18" s="100" t="s">
        <v>1020</v>
      </c>
      <c r="F18" s="35" t="s">
        <v>1021</v>
      </c>
      <c r="G18" s="35" t="s">
        <v>1022</v>
      </c>
      <c r="H18" s="136" t="str">
        <f>_xlfn.XLOOKUP(P_dh[[#This Row],[Main fuel]],$J$7:$J$21,$K$7:$K$21)</f>
        <v>Bio</v>
      </c>
      <c r="I18" s="131"/>
      <c r="J18" s="100" t="str">
        <v>Other by-products and wastes used as fuel</v>
      </c>
      <c r="K18" s="148" t="s">
        <v>1176</v>
      </c>
      <c r="P18" s="45" t="s">
        <v>1199</v>
      </c>
      <c r="Q18" s="45"/>
      <c r="R18" s="45"/>
      <c r="S18" s="45"/>
      <c r="T18" s="45"/>
      <c r="W18" s="14" t="s">
        <v>34</v>
      </c>
      <c r="X18" s="24">
        <f>K51*$X$5</f>
        <v>45.614093959731541</v>
      </c>
      <c r="Y18" s="108"/>
      <c r="Z18" s="24">
        <f>L51*$Y$5</f>
        <v>223.49921953906895</v>
      </c>
      <c r="AA18" s="24">
        <f>M51*$Z$5</f>
        <v>117.97139141742524</v>
      </c>
      <c r="AB18" s="6">
        <f t="shared" si="0"/>
        <v>387.08470491622575</v>
      </c>
    </row>
    <row r="19" spans="1:28">
      <c r="A19" s="35" t="s">
        <v>1086</v>
      </c>
      <c r="B19" s="1" t="s">
        <v>1124</v>
      </c>
      <c r="C19" s="108" t="s">
        <v>3</v>
      </c>
      <c r="D19" s="140">
        <v>81.400000000000006</v>
      </c>
      <c r="E19" s="100" t="s">
        <v>1024</v>
      </c>
      <c r="F19" s="35" t="s">
        <v>1028</v>
      </c>
      <c r="G19" s="35" t="s">
        <v>1025</v>
      </c>
      <c r="H19" s="136" t="str">
        <f>_xlfn.XLOOKUP(P_dh[[#This Row],[Main fuel]],$J$7:$J$21,$K$7:$K$21)</f>
        <v>Bio</v>
      </c>
      <c r="I19" s="131"/>
      <c r="J19" s="100" t="str">
        <v>Vegetable-based fuels and other field biomass</v>
      </c>
      <c r="K19" s="148" t="s">
        <v>1177</v>
      </c>
      <c r="P19" s="14"/>
      <c r="Q19" s="14" t="s">
        <v>1195</v>
      </c>
      <c r="R19" s="14" t="s">
        <v>1196</v>
      </c>
      <c r="S19" s="14" t="s">
        <v>1177</v>
      </c>
      <c r="T19" s="14" t="s">
        <v>1176</v>
      </c>
      <c r="W19" s="14" t="s">
        <v>3</v>
      </c>
      <c r="X19" s="24">
        <f>MAX(K52*$X$5-SUM(X24:X26,Y24:Y26),0)</f>
        <v>0</v>
      </c>
      <c r="Y19" s="108"/>
      <c r="Z19" s="24">
        <f>L52*$Y$5-SUM(Z24:Z26)</f>
        <v>252.07373322664847</v>
      </c>
      <c r="AA19" s="24">
        <f>MAX(M52*$Z$5-SUM(AA24:AA26),0)</f>
        <v>0</v>
      </c>
      <c r="AB19" s="6">
        <f t="shared" si="0"/>
        <v>252.07373322664847</v>
      </c>
    </row>
    <row r="20" spans="1:28">
      <c r="A20" s="35" t="s">
        <v>1072</v>
      </c>
      <c r="B20" s="1" t="s">
        <v>1072</v>
      </c>
      <c r="C20" s="108" t="s">
        <v>166</v>
      </c>
      <c r="D20" s="140">
        <v>80</v>
      </c>
      <c r="E20" s="100" t="s">
        <v>1020</v>
      </c>
      <c r="F20" s="35" t="s">
        <v>1021</v>
      </c>
      <c r="G20" s="35" t="s">
        <v>1027</v>
      </c>
      <c r="H20" s="136" t="str">
        <f>_xlfn.XLOOKUP(P_dh[[#This Row],[Main fuel]],$J$7:$J$21,$K$7:$K$21)</f>
        <v>Bio</v>
      </c>
      <c r="I20" s="131"/>
      <c r="J20" s="100" t="str">
        <v>Biogas</v>
      </c>
      <c r="K20" s="148" t="s">
        <v>1177</v>
      </c>
      <c r="P20" s="14" t="s">
        <v>88</v>
      </c>
      <c r="Q20" s="10">
        <v>211.3</v>
      </c>
      <c r="R20" s="139" t="s">
        <v>1142</v>
      </c>
      <c r="S20" s="10">
        <v>1426.6</v>
      </c>
      <c r="T20" s="10">
        <v>113.2</v>
      </c>
      <c r="U20" s="6">
        <f t="shared" ref="U20:U27" si="2">SUM(Q20:T20)</f>
        <v>1751.1</v>
      </c>
      <c r="W20" s="14" t="s">
        <v>87</v>
      </c>
      <c r="X20" s="140">
        <f t="shared" ref="X20:AA26" si="3">Q21</f>
        <v>0</v>
      </c>
      <c r="Y20" s="140">
        <f t="shared" si="3"/>
        <v>0</v>
      </c>
      <c r="Z20" s="140">
        <f t="shared" si="3"/>
        <v>250</v>
      </c>
      <c r="AA20" s="140">
        <f t="shared" si="3"/>
        <v>0</v>
      </c>
      <c r="AB20" s="6">
        <f t="shared" si="0"/>
        <v>250</v>
      </c>
    </row>
    <row r="21" spans="1:28">
      <c r="A21" s="35" t="s">
        <v>1056</v>
      </c>
      <c r="B21" s="1" t="s">
        <v>1108</v>
      </c>
      <c r="C21" s="108" t="s">
        <v>125</v>
      </c>
      <c r="D21" s="140">
        <v>66.5</v>
      </c>
      <c r="E21" s="100" t="s">
        <v>1027</v>
      </c>
      <c r="F21" s="35" t="s">
        <v>1021</v>
      </c>
      <c r="G21" s="35" t="s">
        <v>1024</v>
      </c>
      <c r="H21" s="136" t="str">
        <f>_xlfn.XLOOKUP(P_dh[[#This Row],[Main fuel]],$J$7:$J$21,$K$7:$K$21)</f>
        <v>Bio</v>
      </c>
      <c r="I21" s="131"/>
      <c r="J21" s="100" t="str">
        <v>Recovered wood</v>
      </c>
      <c r="K21" s="148" t="s">
        <v>1177</v>
      </c>
      <c r="P21" s="14" t="s">
        <v>87</v>
      </c>
      <c r="Q21" s="22"/>
      <c r="R21" s="22"/>
      <c r="S21" s="10">
        <v>250</v>
      </c>
      <c r="T21" s="22"/>
      <c r="U21" s="6">
        <f t="shared" si="2"/>
        <v>250</v>
      </c>
      <c r="W21" s="14" t="s">
        <v>84</v>
      </c>
      <c r="X21" s="140">
        <f t="shared" si="3"/>
        <v>0</v>
      </c>
      <c r="Y21" s="140">
        <f t="shared" si="3"/>
        <v>0</v>
      </c>
      <c r="Z21" s="140">
        <f t="shared" si="3"/>
        <v>160</v>
      </c>
      <c r="AA21" s="140">
        <f t="shared" si="3"/>
        <v>0</v>
      </c>
      <c r="AB21" s="6">
        <f t="shared" si="0"/>
        <v>160</v>
      </c>
    </row>
    <row r="22" spans="1:28">
      <c r="A22" s="35" t="s">
        <v>1044</v>
      </c>
      <c r="B22" s="1" t="s">
        <v>1044</v>
      </c>
      <c r="C22" s="108" t="s">
        <v>6</v>
      </c>
      <c r="D22" s="140">
        <v>65</v>
      </c>
      <c r="E22" s="100" t="s">
        <v>1027</v>
      </c>
      <c r="F22" s="35" t="s">
        <v>1020</v>
      </c>
      <c r="G22" s="35" t="s">
        <v>1028</v>
      </c>
      <c r="H22" s="136" t="str">
        <f>_xlfn.XLOOKUP(P_dh[[#This Row],[Main fuel]],$J$7:$J$21,$K$7:$K$21)</f>
        <v>Bio</v>
      </c>
      <c r="I22" s="131"/>
      <c r="J22" s="35"/>
      <c r="K22" s="103"/>
      <c r="P22" s="14" t="s">
        <v>84</v>
      </c>
      <c r="Q22" s="22"/>
      <c r="R22" s="22"/>
      <c r="S22" s="10">
        <v>160</v>
      </c>
      <c r="T22" s="22"/>
      <c r="U22" s="6">
        <f t="shared" si="2"/>
        <v>160</v>
      </c>
      <c r="W22" s="14" t="s">
        <v>86</v>
      </c>
      <c r="X22" s="140">
        <f t="shared" si="3"/>
        <v>0</v>
      </c>
      <c r="Y22" s="140">
        <f t="shared" si="3"/>
        <v>0</v>
      </c>
      <c r="Z22" s="140">
        <f t="shared" si="3"/>
        <v>152</v>
      </c>
      <c r="AA22" s="140">
        <f t="shared" si="3"/>
        <v>0</v>
      </c>
      <c r="AB22" s="6">
        <f t="shared" si="0"/>
        <v>152</v>
      </c>
    </row>
    <row r="23" spans="1:28">
      <c r="A23" s="35" t="s">
        <v>1065</v>
      </c>
      <c r="B23" s="1" t="s">
        <v>1065</v>
      </c>
      <c r="C23" s="108" t="s">
        <v>7</v>
      </c>
      <c r="D23" s="140">
        <v>60</v>
      </c>
      <c r="E23" s="100" t="s">
        <v>1027</v>
      </c>
      <c r="F23" s="35" t="s">
        <v>1020</v>
      </c>
      <c r="G23" s="35" t="s">
        <v>1028</v>
      </c>
      <c r="H23" s="136" t="str">
        <f>_xlfn.XLOOKUP(P_dh[[#This Row],[Main fuel]],$J$7:$J$21,$K$7:$K$21)</f>
        <v>Bio</v>
      </c>
      <c r="I23" s="131"/>
      <c r="J23" s="1" t="s">
        <v>24</v>
      </c>
      <c r="K23" s="1" t="s">
        <v>1175</v>
      </c>
      <c r="L23" s="1" t="s">
        <v>1177</v>
      </c>
      <c r="M23" s="1" t="s">
        <v>1176</v>
      </c>
      <c r="P23" s="14" t="s">
        <v>86</v>
      </c>
      <c r="Q23" s="22"/>
      <c r="R23" s="22"/>
      <c r="S23" s="10">
        <v>152</v>
      </c>
      <c r="T23" s="22"/>
      <c r="U23" s="6">
        <f t="shared" si="2"/>
        <v>152</v>
      </c>
      <c r="W23" s="14" t="s">
        <v>85</v>
      </c>
      <c r="X23" s="140">
        <f t="shared" si="3"/>
        <v>147</v>
      </c>
      <c r="Y23" s="140">
        <f t="shared" si="3"/>
        <v>0</v>
      </c>
      <c r="Z23" s="140">
        <f t="shared" si="3"/>
        <v>55</v>
      </c>
      <c r="AA23" s="140">
        <f t="shared" si="3"/>
        <v>12</v>
      </c>
      <c r="AB23" s="6">
        <f t="shared" si="0"/>
        <v>214</v>
      </c>
    </row>
    <row r="24" spans="1:28">
      <c r="A24" s="35" t="s">
        <v>1046</v>
      </c>
      <c r="B24" s="1" t="s">
        <v>1098</v>
      </c>
      <c r="C24" s="108" t="s">
        <v>123</v>
      </c>
      <c r="D24" s="140">
        <v>47</v>
      </c>
      <c r="E24" s="100" t="s">
        <v>1020</v>
      </c>
      <c r="F24" s="35" t="s">
        <v>1027</v>
      </c>
      <c r="G24" s="35" t="s">
        <v>1021</v>
      </c>
      <c r="H24" s="136" t="str">
        <f>_xlfn.XLOOKUP(P_dh[[#This Row],[Main fuel]],$J$7:$J$21,$K$7:$K$21)</f>
        <v>Bio</v>
      </c>
      <c r="I24" s="131"/>
      <c r="J24" s="2" t="s">
        <v>3</v>
      </c>
      <c r="K24" s="24">
        <f>SUMIFS(P_dh[Capacity], P_dh[Unit type], K$23, P_dh[Region], P_chp_ind[[#This Row],[Region]])</f>
        <v>924</v>
      </c>
      <c r="L24" s="24">
        <f>SUMIFS(P_dh[Capacity], P_dh[Unit type], L$23, P_dh[Region], P_chp_ind[[#This Row],[Region]])</f>
        <v>206.14000000000001</v>
      </c>
      <c r="M24" s="24">
        <f>SUMIFS(P_dh[Capacity], P_dh[Unit type], M$23, P_dh[Region], P_chp_ind[[#This Row],[Region]])</f>
        <v>0</v>
      </c>
      <c r="N24" s="99">
        <f>SUM(P_chp_ind[[#This Row],[Gas]:[Waste]])</f>
        <v>1130.1400000000001</v>
      </c>
      <c r="O24" s="99"/>
      <c r="P24" s="14" t="s">
        <v>85</v>
      </c>
      <c r="Q24" s="10">
        <v>147</v>
      </c>
      <c r="R24" s="22"/>
      <c r="S24" s="10">
        <v>55</v>
      </c>
      <c r="T24" s="10">
        <v>12</v>
      </c>
      <c r="U24" s="6">
        <f t="shared" si="2"/>
        <v>214</v>
      </c>
      <c r="W24" s="14" t="s">
        <v>83</v>
      </c>
      <c r="X24" s="140">
        <f t="shared" si="3"/>
        <v>88</v>
      </c>
      <c r="Y24" s="140">
        <f t="shared" si="3"/>
        <v>0</v>
      </c>
      <c r="Z24" s="140">
        <f t="shared" si="3"/>
        <v>28</v>
      </c>
      <c r="AA24" s="140">
        <f t="shared" si="3"/>
        <v>76.400000000000006</v>
      </c>
      <c r="AB24" s="6">
        <f t="shared" si="0"/>
        <v>192.4</v>
      </c>
    </row>
    <row r="25" spans="1:28">
      <c r="A25" s="35" t="s">
        <v>1043</v>
      </c>
      <c r="B25" s="1" t="s">
        <v>1043</v>
      </c>
      <c r="C25" s="108" t="s">
        <v>9</v>
      </c>
      <c r="D25" s="140">
        <v>45.5</v>
      </c>
      <c r="E25" s="145" t="s">
        <v>1142</v>
      </c>
      <c r="G25" s="35" t="s">
        <v>1028</v>
      </c>
      <c r="H25" s="136" t="str">
        <f>_xlfn.XLOOKUP(P_dh[[#This Row],[Main fuel]],$J$7:$J$21,$K$7:$K$21)</f>
        <v>Bio</v>
      </c>
      <c r="I25" s="131"/>
      <c r="J25" s="1" t="s">
        <v>168</v>
      </c>
      <c r="K25" s="24">
        <f>SUMIFS(P_dh[Capacity], P_dh[Unit type], K$23, P_dh[Region], P_chp_ind[[#This Row],[Region]])</f>
        <v>0</v>
      </c>
      <c r="L25" s="24">
        <f>SUMIFS(P_dh[Capacity], P_dh[Unit type], L$23, P_dh[Region], P_chp_ind[[#This Row],[Region]])</f>
        <v>143.5</v>
      </c>
      <c r="M25" s="24">
        <f>SUMIFS(P_dh[Capacity], P_dh[Unit type], M$23, P_dh[Region], P_chp_ind[[#This Row],[Region]])</f>
        <v>0</v>
      </c>
      <c r="N25" s="99">
        <f>SUM(P_chp_ind[[#This Row],[Gas]:[Waste]])</f>
        <v>143.5</v>
      </c>
      <c r="O25" s="99"/>
      <c r="P25" s="14" t="s">
        <v>83</v>
      </c>
      <c r="Q25" s="10">
        <v>88</v>
      </c>
      <c r="R25" s="22"/>
      <c r="S25" s="10">
        <v>28</v>
      </c>
      <c r="T25" s="10">
        <v>76.400000000000006</v>
      </c>
      <c r="U25" s="6">
        <f t="shared" si="2"/>
        <v>192.4</v>
      </c>
      <c r="W25" s="14" t="s">
        <v>82</v>
      </c>
      <c r="X25" s="140">
        <f t="shared" si="3"/>
        <v>234</v>
      </c>
      <c r="Y25" s="140">
        <f t="shared" si="3"/>
        <v>49</v>
      </c>
      <c r="Z25" s="140">
        <f t="shared" si="3"/>
        <v>0</v>
      </c>
      <c r="AA25" s="140">
        <f t="shared" si="3"/>
        <v>0</v>
      </c>
      <c r="AB25" s="6">
        <f t="shared" si="0"/>
        <v>283</v>
      </c>
    </row>
    <row r="26" spans="1:28">
      <c r="A26" s="35" t="s">
        <v>1054</v>
      </c>
      <c r="B26" s="1" t="s">
        <v>1106</v>
      </c>
      <c r="C26" s="108" t="s">
        <v>8</v>
      </c>
      <c r="D26" s="140">
        <v>45</v>
      </c>
      <c r="E26" s="100" t="s">
        <v>1023</v>
      </c>
      <c r="F26" s="35" t="s">
        <v>1028</v>
      </c>
      <c r="G26" s="35" t="s">
        <v>1134</v>
      </c>
      <c r="H26" s="136" t="str">
        <f>_xlfn.XLOOKUP(P_dh[[#This Row],[Main fuel]],$J$7:$J$21,$K$7:$K$21)</f>
        <v>Gas</v>
      </c>
      <c r="I26" s="131"/>
      <c r="J26" s="2" t="s">
        <v>5</v>
      </c>
      <c r="K26" s="24">
        <f>SUMIFS(P_dh[Capacity], P_dh[Unit type], K$23, P_dh[Region], P_chp_ind[[#This Row],[Region]])</f>
        <v>0</v>
      </c>
      <c r="L26" s="24">
        <f>SUMIFS(P_dh[Capacity], P_dh[Unit type], L$23, P_dh[Region], P_chp_ind[[#This Row],[Region]])</f>
        <v>0</v>
      </c>
      <c r="M26" s="24">
        <f>SUMIFS(P_dh[Capacity], P_dh[Unit type], M$23, P_dh[Region], P_chp_ind[[#This Row],[Region]])</f>
        <v>0</v>
      </c>
      <c r="N26" s="99">
        <f>SUM(P_chp_ind[[#This Row],[Gas]:[Waste]])</f>
        <v>0</v>
      </c>
      <c r="O26" s="99"/>
      <c r="P26" s="14" t="s">
        <v>82</v>
      </c>
      <c r="Q26" s="10">
        <v>234</v>
      </c>
      <c r="R26" s="10">
        <v>49</v>
      </c>
      <c r="S26" s="22"/>
      <c r="T26" s="22"/>
      <c r="U26" s="6">
        <f t="shared" si="2"/>
        <v>283</v>
      </c>
      <c r="W26" s="14" t="s">
        <v>81</v>
      </c>
      <c r="X26" s="140">
        <f t="shared" si="3"/>
        <v>630</v>
      </c>
      <c r="Y26" s="140">
        <f t="shared" si="3"/>
        <v>0</v>
      </c>
      <c r="Z26" s="140">
        <f t="shared" si="3"/>
        <v>0</v>
      </c>
      <c r="AA26" s="140">
        <f t="shared" si="3"/>
        <v>0</v>
      </c>
      <c r="AB26" s="6">
        <f t="shared" si="0"/>
        <v>630</v>
      </c>
    </row>
    <row r="27" spans="1:28">
      <c r="A27" s="35" t="s">
        <v>1055</v>
      </c>
      <c r="B27" s="1" t="s">
        <v>1107</v>
      </c>
      <c r="C27" s="108" t="s">
        <v>8</v>
      </c>
      <c r="D27" s="140">
        <v>45</v>
      </c>
      <c r="E27" s="100" t="s">
        <v>1134</v>
      </c>
      <c r="F27" s="35" t="s">
        <v>1028</v>
      </c>
      <c r="G27" s="35"/>
      <c r="H27" s="136" t="str">
        <f>_xlfn.XLOOKUP(P_dh[[#This Row],[Main fuel]],$J$7:$J$21,$K$7:$K$21)</f>
        <v>Waste</v>
      </c>
      <c r="I27" s="131"/>
      <c r="J27" s="2" t="s">
        <v>6</v>
      </c>
      <c r="K27" s="24">
        <f>SUMIFS(P_dh[Capacity], P_dh[Unit type], K$23, P_dh[Region], P_chp_ind[[#This Row],[Region]])</f>
        <v>0</v>
      </c>
      <c r="L27" s="24">
        <f>SUMIFS(P_dh[Capacity], P_dh[Unit type], L$23, P_dh[Region], P_chp_ind[[#This Row],[Region]])</f>
        <v>65</v>
      </c>
      <c r="M27" s="24">
        <f>SUMIFS(P_dh[Capacity], P_dh[Unit type], M$23, P_dh[Region], P_chp_ind[[#This Row],[Region]])</f>
        <v>19.600000000000001</v>
      </c>
      <c r="N27" s="99">
        <f>SUM(P_chp_ind[[#This Row],[Gas]:[Waste]])</f>
        <v>84.6</v>
      </c>
      <c r="O27" s="99"/>
      <c r="P27" s="14" t="s">
        <v>81</v>
      </c>
      <c r="Q27" s="10">
        <v>630</v>
      </c>
      <c r="R27" s="22"/>
      <c r="S27" s="22"/>
      <c r="T27" s="22"/>
      <c r="U27" s="6">
        <f t="shared" si="2"/>
        <v>630</v>
      </c>
      <c r="X27" s="6">
        <f>SUM(X13:X26)</f>
        <v>1377.7527964205815</v>
      </c>
      <c r="Y27" s="6">
        <f>SUM(Y13:Y26)</f>
        <v>49</v>
      </c>
      <c r="Z27" s="6">
        <f>SUM(Z13:Z26)</f>
        <v>2071.6</v>
      </c>
      <c r="AA27" s="6">
        <f t="shared" ref="AA27" si="4">SUM(AA13:AA26)</f>
        <v>278</v>
      </c>
      <c r="AB27" s="6">
        <f t="shared" si="0"/>
        <v>3776.3527964205814</v>
      </c>
    </row>
    <row r="28" spans="1:28">
      <c r="A28" s="35" t="s">
        <v>1062</v>
      </c>
      <c r="B28" s="1" t="s">
        <v>1062</v>
      </c>
      <c r="C28" s="108" t="s">
        <v>3</v>
      </c>
      <c r="D28" s="140">
        <v>37.1</v>
      </c>
      <c r="E28" s="145" t="s">
        <v>1142</v>
      </c>
      <c r="G28" s="35"/>
      <c r="H28" s="136" t="str">
        <f>_xlfn.XLOOKUP(P_dh[[#This Row],[Main fuel]],$J$7:$J$21,$K$7:$K$21)</f>
        <v>Bio</v>
      </c>
      <c r="I28" s="131"/>
      <c r="J28" s="2" t="s">
        <v>7</v>
      </c>
      <c r="K28" s="24">
        <f>SUMIFS(P_dh[Capacity], P_dh[Unit type], K$23, P_dh[Region], P_chp_ind[[#This Row],[Region]])</f>
        <v>142</v>
      </c>
      <c r="L28" s="24">
        <f>SUMIFS(P_dh[Capacity], P_dh[Unit type], L$23, P_dh[Region], P_chp_ind[[#This Row],[Region]])</f>
        <v>60</v>
      </c>
      <c r="M28" s="24">
        <f>SUMIFS(P_dh[Capacity], P_dh[Unit type], M$23, P_dh[Region], P_chp_ind[[#This Row],[Region]])</f>
        <v>12.3</v>
      </c>
      <c r="N28" s="99">
        <f>SUM(P_chp_ind[[#This Row],[Gas]:[Waste]])</f>
        <v>214.3</v>
      </c>
      <c r="O28" s="99"/>
      <c r="Q28" s="6">
        <f>SUM(Q20:Q27)</f>
        <v>1310.3</v>
      </c>
      <c r="R28" s="6">
        <f>SUM(R20:R27)</f>
        <v>49</v>
      </c>
      <c r="S28" s="6">
        <f>SUM(S20:S27)</f>
        <v>2071.6</v>
      </c>
      <c r="T28" s="6">
        <f>SUM(T20:T27)</f>
        <v>201.60000000000002</v>
      </c>
      <c r="U28" s="6">
        <f>SUM(U20:U27)</f>
        <v>3632.5</v>
      </c>
    </row>
    <row r="29" spans="1:28">
      <c r="A29" s="35" t="s">
        <v>1080</v>
      </c>
      <c r="B29" s="1" t="s">
        <v>1120</v>
      </c>
      <c r="C29" s="108" t="s">
        <v>126</v>
      </c>
      <c r="D29" s="140">
        <v>30</v>
      </c>
      <c r="E29" s="100" t="s">
        <v>1020</v>
      </c>
      <c r="F29" s="35" t="s">
        <v>1021</v>
      </c>
      <c r="G29" s="35" t="s">
        <v>1027</v>
      </c>
      <c r="H29" s="136" t="str">
        <f>_xlfn.XLOOKUP(P_dh[[#This Row],[Main fuel]],$J$7:$J$21,$K$7:$K$21)</f>
        <v>Bio</v>
      </c>
      <c r="I29" s="131"/>
      <c r="J29" s="2" t="s">
        <v>8</v>
      </c>
      <c r="K29" s="24">
        <f>SUMIFS(P_dh[Capacity], P_dh[Unit type], K$23, P_dh[Region], P_chp_ind[[#This Row],[Region]])</f>
        <v>45</v>
      </c>
      <c r="L29" s="24">
        <f>SUMIFS(P_dh[Capacity], P_dh[Unit type], L$23, P_dh[Region], P_chp_ind[[#This Row],[Region]])</f>
        <v>0</v>
      </c>
      <c r="M29" s="24">
        <f>SUMIFS(P_dh[Capacity], P_dh[Unit type], M$23, P_dh[Region], P_chp_ind[[#This Row],[Region]])</f>
        <v>45</v>
      </c>
      <c r="N29" s="99">
        <f>SUM(P_chp_ind[[#This Row],[Gas]:[Waste]])</f>
        <v>90</v>
      </c>
      <c r="O29" s="99"/>
      <c r="W29" s="45" t="s">
        <v>1192</v>
      </c>
      <c r="X29" s="45"/>
      <c r="Y29" s="45"/>
      <c r="Z29" s="45"/>
      <c r="AA29" s="45"/>
      <c r="AB29" s="45"/>
    </row>
    <row r="30" spans="1:28">
      <c r="A30" s="35" t="s">
        <v>1070</v>
      </c>
      <c r="B30" s="1" t="s">
        <v>1116</v>
      </c>
      <c r="C30" s="108" t="s">
        <v>167</v>
      </c>
      <c r="D30" s="140">
        <v>27</v>
      </c>
      <c r="E30" s="100" t="s">
        <v>1027</v>
      </c>
      <c r="F30" s="35" t="s">
        <v>1021</v>
      </c>
      <c r="G30" s="35" t="s">
        <v>1020</v>
      </c>
      <c r="H30" s="136" t="str">
        <f>_xlfn.XLOOKUP(P_dh[[#This Row],[Main fuel]],$J$7:$J$21,$K$7:$K$21)</f>
        <v>Bio</v>
      </c>
      <c r="I30" s="131"/>
      <c r="J30" s="2" t="s">
        <v>9</v>
      </c>
      <c r="K30" s="24">
        <f>SUMIFS(P_dh[Capacity], P_dh[Unit type], K$23, P_dh[Region], P_chp_ind[[#This Row],[Region]])</f>
        <v>0</v>
      </c>
      <c r="L30" s="24">
        <f>SUMIFS(P_dh[Capacity], P_dh[Unit type], L$23, P_dh[Region], P_chp_ind[[#This Row],[Region]])</f>
        <v>45.5</v>
      </c>
      <c r="M30" s="24">
        <f>SUMIFS(P_dh[Capacity], P_dh[Unit type], M$23, P_dh[Region], P_chp_ind[[#This Row],[Region]])</f>
        <v>0</v>
      </c>
      <c r="N30" s="99">
        <f>SUM(P_chp_ind[[#This Row],[Gas]:[Waste]])</f>
        <v>45.5</v>
      </c>
      <c r="O30" s="99"/>
      <c r="P30" s="98" t="s">
        <v>1194</v>
      </c>
      <c r="Q30" s="98"/>
      <c r="R30" s="98"/>
      <c r="S30" s="98"/>
      <c r="T30" s="98"/>
      <c r="W30" s="14" t="s">
        <v>24</v>
      </c>
      <c r="X30" s="14" t="s">
        <v>1195</v>
      </c>
      <c r="Y30" s="14" t="s">
        <v>1197</v>
      </c>
      <c r="Z30" s="14" t="s">
        <v>1177</v>
      </c>
      <c r="AA30" s="14" t="s">
        <v>1176</v>
      </c>
    </row>
    <row r="31" spans="1:28">
      <c r="A31" s="35" t="s">
        <v>1047</v>
      </c>
      <c r="B31" s="1" t="s">
        <v>1099</v>
      </c>
      <c r="C31" s="108" t="s">
        <v>3</v>
      </c>
      <c r="D31" s="140">
        <v>23.8</v>
      </c>
      <c r="E31" s="100" t="s">
        <v>1027</v>
      </c>
      <c r="G31" s="35"/>
      <c r="H31" s="136" t="str">
        <f>_xlfn.XLOOKUP(P_dh[[#This Row],[Main fuel]],$J$7:$J$21,$K$7:$K$21)</f>
        <v>Bio</v>
      </c>
      <c r="I31" s="131"/>
      <c r="J31" s="1" t="s">
        <v>119</v>
      </c>
      <c r="K31" s="24">
        <f>SUMIFS(P_dh[Capacity], P_dh[Unit type], K$23, P_dh[Region], P_chp_ind[[#This Row],[Region]])</f>
        <v>0</v>
      </c>
      <c r="L31" s="24">
        <f>SUMIFS(P_dh[Capacity], P_dh[Unit type], L$23, P_dh[Region], P_chp_ind[[#This Row],[Region]])</f>
        <v>119</v>
      </c>
      <c r="M31" s="24">
        <f>SUMIFS(P_dh[Capacity], P_dh[Unit type], M$23, P_dh[Region], P_chp_ind[[#This Row],[Region]])</f>
        <v>0</v>
      </c>
      <c r="N31" s="99">
        <f>SUM(P_chp_ind[[#This Row],[Gas]:[Waste]])</f>
        <v>119</v>
      </c>
      <c r="O31" s="99"/>
      <c r="P31" s="102"/>
      <c r="Q31" s="100" t="s">
        <v>1195</v>
      </c>
      <c r="R31" s="100" t="s">
        <v>1196</v>
      </c>
      <c r="S31" s="100" t="s">
        <v>1177</v>
      </c>
      <c r="T31" s="100" t="s">
        <v>1176</v>
      </c>
      <c r="W31" s="14" t="s">
        <v>28</v>
      </c>
      <c r="X31" s="105">
        <f t="shared" ref="X31:AA37" si="5">X13*Q$32</f>
        <v>0</v>
      </c>
      <c r="Y31" s="105">
        <f t="shared" si="5"/>
        <v>0</v>
      </c>
      <c r="Z31" s="105">
        <f t="shared" si="5"/>
        <v>243.88348602919424</v>
      </c>
      <c r="AA31" s="105">
        <f t="shared" si="5"/>
        <v>0</v>
      </c>
      <c r="AB31" s="6">
        <f>SUM(X31:AA31)</f>
        <v>243.88348602919424</v>
      </c>
    </row>
    <row r="32" spans="1:28">
      <c r="A32" s="35" t="s">
        <v>1071</v>
      </c>
      <c r="B32" s="1" t="s">
        <v>1071</v>
      </c>
      <c r="C32" s="108" t="s">
        <v>167</v>
      </c>
      <c r="D32" s="140">
        <v>22</v>
      </c>
      <c r="E32" s="100" t="s">
        <v>1027</v>
      </c>
      <c r="F32" s="35" t="s">
        <v>1021</v>
      </c>
      <c r="G32" s="35" t="s">
        <v>1020</v>
      </c>
      <c r="H32" s="136" t="str">
        <f>_xlfn.XLOOKUP(P_dh[[#This Row],[Main fuel]],$J$7:$J$21,$K$7:$K$21)</f>
        <v>Bio</v>
      </c>
      <c r="I32" s="131"/>
      <c r="J32" s="1" t="s">
        <v>167</v>
      </c>
      <c r="K32" s="24">
        <f>SUMIFS(P_dh[Capacity], P_dh[Unit type], K$23, P_dh[Region], P_chp_ind[[#This Row],[Region]])</f>
        <v>0</v>
      </c>
      <c r="L32" s="24">
        <f>SUMIFS(P_dh[Capacity], P_dh[Unit type], L$23, P_dh[Region], P_chp_ind[[#This Row],[Region]])</f>
        <v>76.5</v>
      </c>
      <c r="M32" s="24">
        <f>SUMIFS(P_dh[Capacity], P_dh[Unit type], M$23, P_dh[Region], P_chp_ind[[#This Row],[Region]])</f>
        <v>0</v>
      </c>
      <c r="N32" s="99">
        <f>SUM(P_chp_ind[[#This Row],[Gas]:[Waste]])</f>
        <v>76.5</v>
      </c>
      <c r="O32" s="99"/>
      <c r="P32" s="128" t="s">
        <v>88</v>
      </c>
      <c r="Q32" s="154">
        <f>Q8/Q20</f>
        <v>1.6876478939895883</v>
      </c>
      <c r="R32" s="154"/>
      <c r="S32" s="154">
        <f>S8/S20</f>
        <v>2.1725080611243515</v>
      </c>
      <c r="T32" s="154">
        <f>T8/T20</f>
        <v>3.047703180212014</v>
      </c>
      <c r="U32" s="10"/>
      <c r="V32" s="10"/>
      <c r="W32" s="14" t="s">
        <v>29</v>
      </c>
      <c r="X32" s="105">
        <f t="shared" si="5"/>
        <v>393.4560402155189</v>
      </c>
      <c r="Y32" s="105">
        <f t="shared" si="5"/>
        <v>0</v>
      </c>
      <c r="Z32" s="105">
        <f t="shared" si="5"/>
        <v>450.72385305181797</v>
      </c>
      <c r="AA32" s="105">
        <f t="shared" si="5"/>
        <v>0</v>
      </c>
      <c r="AB32" s="6">
        <f t="shared" ref="AB32:AB45" si="6">SUM(X32:AA32)</f>
        <v>844.17989326733687</v>
      </c>
    </row>
    <row r="33" spans="1:28">
      <c r="A33" s="35" t="s">
        <v>1073</v>
      </c>
      <c r="B33" s="1" t="s">
        <v>1117</v>
      </c>
      <c r="C33" s="108" t="s">
        <v>6</v>
      </c>
      <c r="D33" s="140">
        <v>19.600000000000001</v>
      </c>
      <c r="E33" s="100" t="s">
        <v>1031</v>
      </c>
      <c r="F33" s="35" t="s">
        <v>1022</v>
      </c>
      <c r="G33" s="35" t="s">
        <v>1025</v>
      </c>
      <c r="H33" s="136" t="str">
        <f>_xlfn.XLOOKUP(P_dh[[#This Row],[Main fuel]],$J$7:$J$21,$K$7:$K$21)</f>
        <v>Waste</v>
      </c>
      <c r="I33" s="131"/>
      <c r="J33" s="1" t="s">
        <v>166</v>
      </c>
      <c r="K33" s="24">
        <f>SUMIFS(P_dh[Capacity], P_dh[Unit type], K$23, P_dh[Region], P_chp_ind[[#This Row],[Region]])</f>
        <v>0</v>
      </c>
      <c r="L33" s="24">
        <f>SUMIFS(P_dh[Capacity], P_dh[Unit type], L$23, P_dh[Region], P_chp_ind[[#This Row],[Region]])</f>
        <v>224.9</v>
      </c>
      <c r="M33" s="24">
        <f>SUMIFS(P_dh[Capacity], P_dh[Unit type], M$23, P_dh[Region], P_chp_ind[[#This Row],[Region]])</f>
        <v>0</v>
      </c>
      <c r="N33" s="99">
        <f>SUM(P_chp_ind[[#This Row],[Gas]:[Waste]])</f>
        <v>224.9</v>
      </c>
      <c r="O33" s="99"/>
      <c r="P33" s="102" t="s">
        <v>87</v>
      </c>
      <c r="Q33" s="151"/>
      <c r="R33" s="151"/>
      <c r="S33" s="151">
        <f>S9/S21</f>
        <v>1.74</v>
      </c>
      <c r="T33" s="151"/>
      <c r="U33" s="22"/>
      <c r="V33" s="22"/>
      <c r="W33" s="14" t="s">
        <v>31</v>
      </c>
      <c r="X33" s="105">
        <f t="shared" si="5"/>
        <v>0</v>
      </c>
      <c r="Y33" s="105">
        <f t="shared" si="5"/>
        <v>0</v>
      </c>
      <c r="Z33" s="105">
        <f t="shared" si="5"/>
        <v>75.308834827632737</v>
      </c>
      <c r="AA33" s="105">
        <f t="shared" si="5"/>
        <v>61.70231634861485</v>
      </c>
      <c r="AB33" s="6">
        <f t="shared" si="6"/>
        <v>137.01115117624758</v>
      </c>
    </row>
    <row r="34" spans="1:28">
      <c r="A34" s="35" t="s">
        <v>928</v>
      </c>
      <c r="B34" s="1" t="s">
        <v>1103</v>
      </c>
      <c r="C34" s="108" t="s">
        <v>124</v>
      </c>
      <c r="D34" s="140">
        <v>19.5</v>
      </c>
      <c r="E34" s="100" t="s">
        <v>1021</v>
      </c>
      <c r="F34" s="35" t="s">
        <v>1027</v>
      </c>
      <c r="G34" s="35" t="s">
        <v>1020</v>
      </c>
      <c r="H34" s="136" t="str">
        <f>_xlfn.XLOOKUP(P_dh[[#This Row],[Main fuel]],$J$7:$J$21,$K$7:$K$21)</f>
        <v>Bio</v>
      </c>
      <c r="I34" s="131"/>
      <c r="J34" s="1" t="s">
        <v>123</v>
      </c>
      <c r="K34" s="24">
        <f>SUMIFS(P_dh[Capacity], P_dh[Unit type], K$23, P_dh[Region], P_chp_ind[[#This Row],[Region]])</f>
        <v>0</v>
      </c>
      <c r="L34" s="24">
        <f>SUMIFS(P_dh[Capacity], P_dh[Unit type], L$23, P_dh[Region], P_chp_ind[[#This Row],[Region]])</f>
        <v>47</v>
      </c>
      <c r="M34" s="24">
        <f>SUMIFS(P_dh[Capacity], P_dh[Unit type], M$23, P_dh[Region], P_chp_ind[[#This Row],[Region]])</f>
        <v>0</v>
      </c>
      <c r="N34" s="99">
        <f>SUM(P_chp_ind[[#This Row],[Gas]:[Waste]])</f>
        <v>47</v>
      </c>
      <c r="O34" s="99"/>
      <c r="P34" s="102" t="s">
        <v>84</v>
      </c>
      <c r="Q34" s="151"/>
      <c r="R34" s="151"/>
      <c r="S34" s="151">
        <f>S10/S22</f>
        <v>1.625</v>
      </c>
      <c r="T34" s="151"/>
      <c r="U34" s="10"/>
      <c r="V34" s="10"/>
      <c r="W34" s="14" t="s">
        <v>32</v>
      </c>
      <c r="X34" s="105">
        <f t="shared" si="5"/>
        <v>0</v>
      </c>
      <c r="Y34" s="105">
        <f t="shared" si="5"/>
        <v>0</v>
      </c>
      <c r="Z34" s="105">
        <f t="shared" si="5"/>
        <v>1028.3705985805723</v>
      </c>
      <c r="AA34" s="105">
        <f t="shared" si="5"/>
        <v>0</v>
      </c>
      <c r="AB34" s="6">
        <f t="shared" si="6"/>
        <v>1028.3705985805723</v>
      </c>
    </row>
    <row r="35" spans="1:28">
      <c r="A35" s="35" t="s">
        <v>1050</v>
      </c>
      <c r="B35" s="1" t="s">
        <v>1102</v>
      </c>
      <c r="C35" s="108" t="s">
        <v>3</v>
      </c>
      <c r="D35" s="140">
        <v>19.04</v>
      </c>
      <c r="E35" s="100" t="s">
        <v>1027</v>
      </c>
      <c r="F35" s="35" t="s">
        <v>1021</v>
      </c>
      <c r="G35" s="35" t="s">
        <v>1133</v>
      </c>
      <c r="H35" s="136" t="str">
        <f>_xlfn.XLOOKUP(P_dh[[#This Row],[Main fuel]],$J$7:$J$21,$K$7:$K$21)</f>
        <v>Bio</v>
      </c>
      <c r="I35" s="131"/>
      <c r="J35" s="1" t="s">
        <v>120</v>
      </c>
      <c r="K35" s="24">
        <f>SUMIFS(P_dh[Capacity], P_dh[Unit type], K$23, P_dh[Region], P_chp_ind[[#This Row],[Region]])</f>
        <v>0</v>
      </c>
      <c r="L35" s="24">
        <f>SUMIFS(P_dh[Capacity], P_dh[Unit type], L$23, P_dh[Region], P_chp_ind[[#This Row],[Region]])</f>
        <v>190</v>
      </c>
      <c r="M35" s="24">
        <f>SUMIFS(P_dh[Capacity], P_dh[Unit type], M$23, P_dh[Region], P_chp_ind[[#This Row],[Region]])</f>
        <v>0</v>
      </c>
      <c r="N35" s="99">
        <f>SUM(P_chp_ind[[#This Row],[Gas]:[Waste]])</f>
        <v>190</v>
      </c>
      <c r="O35" s="99"/>
      <c r="P35" s="102" t="s">
        <v>86</v>
      </c>
      <c r="Q35" s="151"/>
      <c r="R35" s="151"/>
      <c r="S35" s="151">
        <f>S11/S23</f>
        <v>2.5986842105263159</v>
      </c>
      <c r="T35" s="151"/>
      <c r="U35" s="10"/>
      <c r="V35" s="10"/>
      <c r="W35" s="14" t="s">
        <v>33</v>
      </c>
      <c r="X35" s="105">
        <f t="shared" si="5"/>
        <v>0</v>
      </c>
      <c r="Y35" s="105">
        <f t="shared" si="5"/>
        <v>0</v>
      </c>
      <c r="Z35" s="105">
        <f t="shared" si="5"/>
        <v>267.82715397455075</v>
      </c>
      <c r="AA35" s="105">
        <f t="shared" si="5"/>
        <v>156.60042182265991</v>
      </c>
      <c r="AB35" s="6">
        <f t="shared" si="6"/>
        <v>424.42757579721069</v>
      </c>
    </row>
    <row r="36" spans="1:28">
      <c r="A36" s="35" t="s">
        <v>1083</v>
      </c>
      <c r="B36" s="1" t="s">
        <v>1122</v>
      </c>
      <c r="C36" s="108" t="s">
        <v>3</v>
      </c>
      <c r="D36" s="140">
        <v>17.8</v>
      </c>
      <c r="E36" s="100" t="s">
        <v>1027</v>
      </c>
      <c r="F36" s="35" t="s">
        <v>1025</v>
      </c>
      <c r="G36" s="132" t="s">
        <v>1142</v>
      </c>
      <c r="H36" s="136" t="str">
        <f>_xlfn.XLOOKUP(P_dh[[#This Row],[Main fuel]],$J$7:$J$21,$K$7:$K$21)</f>
        <v>Bio</v>
      </c>
      <c r="I36" s="131"/>
      <c r="J36" s="1" t="s">
        <v>121</v>
      </c>
      <c r="K36" s="24">
        <f>SUMIFS(P_dh[Capacity], P_dh[Unit type], K$23, P_dh[Region], P_chp_ind[[#This Row],[Region]])</f>
        <v>0</v>
      </c>
      <c r="L36" s="24">
        <f>SUMIFS(P_dh[Capacity], P_dh[Unit type], L$23, P_dh[Region], P_chp_ind[[#This Row],[Region]])</f>
        <v>120</v>
      </c>
      <c r="M36" s="24">
        <f>SUMIFS(P_dh[Capacity], P_dh[Unit type], M$23, P_dh[Region], P_chp_ind[[#This Row],[Region]])</f>
        <v>0</v>
      </c>
      <c r="N36" s="99">
        <f>SUM(P_chp_ind[[#This Row],[Gas]:[Waste]])</f>
        <v>120</v>
      </c>
      <c r="O36" s="99"/>
      <c r="P36" s="102" t="s">
        <v>85</v>
      </c>
      <c r="Q36" s="151">
        <f>Q12/Q24</f>
        <v>1.1564625850340136</v>
      </c>
      <c r="R36" s="151"/>
      <c r="S36" s="151">
        <f>S12/S24</f>
        <v>2.9090909090909092</v>
      </c>
      <c r="T36" s="151">
        <f>T12/T24</f>
        <v>3.8333333333333335</v>
      </c>
      <c r="U36" s="6"/>
      <c r="V36" s="6"/>
      <c r="W36" s="14" t="s">
        <v>34</v>
      </c>
      <c r="X36" s="105">
        <f t="shared" si="5"/>
        <v>76.980529607384128</v>
      </c>
      <c r="Y36" s="105">
        <f t="shared" si="5"/>
        <v>0</v>
      </c>
      <c r="Z36" s="105">
        <f t="shared" si="5"/>
        <v>485.55385610362845</v>
      </c>
      <c r="AA36" s="105">
        <f t="shared" si="5"/>
        <v>359.5417847969232</v>
      </c>
      <c r="AB36" s="6">
        <f t="shared" si="6"/>
        <v>922.07617050793579</v>
      </c>
    </row>
    <row r="37" spans="1:28">
      <c r="A37" s="35" t="s">
        <v>1077</v>
      </c>
      <c r="B37" s="1" t="s">
        <v>1077</v>
      </c>
      <c r="C37" s="108" t="s">
        <v>167</v>
      </c>
      <c r="D37" s="140">
        <v>17.5</v>
      </c>
      <c r="E37" s="100" t="s">
        <v>1021</v>
      </c>
      <c r="F37" s="35" t="s">
        <v>1027</v>
      </c>
      <c r="G37" s="35" t="s">
        <v>1020</v>
      </c>
      <c r="H37" s="136" t="str">
        <f>_xlfn.XLOOKUP(P_dh[[#This Row],[Main fuel]],$J$7:$J$21,$K$7:$K$21)</f>
        <v>Bio</v>
      </c>
      <c r="I37" s="131"/>
      <c r="J37" s="1" t="s">
        <v>122</v>
      </c>
      <c r="K37" s="24">
        <f>SUMIFS(P_dh[Capacity], P_dh[Unit type], K$23, P_dh[Region], P_chp_ind[[#This Row],[Region]])</f>
        <v>230</v>
      </c>
      <c r="L37" s="24">
        <f>SUMIFS(P_dh[Capacity], P_dh[Unit type], L$23, P_dh[Region], P_chp_ind[[#This Row],[Region]])</f>
        <v>13.2</v>
      </c>
      <c r="M37" s="24">
        <f>SUMIFS(P_dh[Capacity], P_dh[Unit type], M$23, P_dh[Region], P_chp_ind[[#This Row],[Region]])</f>
        <v>0</v>
      </c>
      <c r="N37" s="99">
        <f>SUM(P_chp_ind[[#This Row],[Gas]:[Waste]])</f>
        <v>243.2</v>
      </c>
      <c r="O37" s="99"/>
      <c r="P37" s="102" t="s">
        <v>83</v>
      </c>
      <c r="Q37" s="151">
        <f>Q13/Q25</f>
        <v>1.0227272727272727</v>
      </c>
      <c r="R37" s="151"/>
      <c r="S37" s="151">
        <f>S13/S25</f>
        <v>3.75</v>
      </c>
      <c r="T37" s="151">
        <f>T13/T25</f>
        <v>1.9240837696335078</v>
      </c>
      <c r="U37" s="118"/>
      <c r="V37" s="118"/>
      <c r="W37" s="14" t="s">
        <v>3</v>
      </c>
      <c r="X37" s="105">
        <f t="shared" si="5"/>
        <v>0</v>
      </c>
      <c r="Y37" s="105">
        <f t="shared" si="5"/>
        <v>0</v>
      </c>
      <c r="Z37" s="105">
        <f t="shared" si="5"/>
        <v>547.63221743260306</v>
      </c>
      <c r="AA37" s="105">
        <f t="shared" si="5"/>
        <v>0</v>
      </c>
      <c r="AB37" s="6">
        <f t="shared" si="6"/>
        <v>547.63221743260306</v>
      </c>
    </row>
    <row r="38" spans="1:28">
      <c r="A38" s="35" t="s">
        <v>1094</v>
      </c>
      <c r="B38" s="1" t="s">
        <v>1131</v>
      </c>
      <c r="C38" s="108" t="s">
        <v>3</v>
      </c>
      <c r="D38" s="140">
        <v>15.700000000000001</v>
      </c>
      <c r="E38" s="100" t="s">
        <v>1038</v>
      </c>
      <c r="G38" s="35"/>
      <c r="H38" s="136" t="str">
        <f>_xlfn.XLOOKUP(P_dh[[#This Row],[Main fuel]],$J$7:$J$21,$K$7:$K$21)</f>
        <v>Bio</v>
      </c>
      <c r="I38" s="131"/>
      <c r="J38" s="1" t="s">
        <v>124</v>
      </c>
      <c r="K38" s="24">
        <f>SUMIFS(P_dh[Capacity], P_dh[Unit type], K$23, P_dh[Region], P_chp_ind[[#This Row],[Region]])</f>
        <v>0</v>
      </c>
      <c r="L38" s="24">
        <f>SUMIFS(P_dh[Capacity], P_dh[Unit type], L$23, P_dh[Region], P_chp_ind[[#This Row],[Region]])</f>
        <v>19.5</v>
      </c>
      <c r="M38" s="24">
        <f>SUMIFS(P_dh[Capacity], P_dh[Unit type], M$23, P_dh[Region], P_chp_ind[[#This Row],[Region]])</f>
        <v>0</v>
      </c>
      <c r="N38" s="99">
        <f>SUM(P_chp_ind[[#This Row],[Gas]:[Waste]])</f>
        <v>19.5</v>
      </c>
      <c r="O38" s="99"/>
      <c r="P38" s="102" t="s">
        <v>82</v>
      </c>
      <c r="Q38" s="151">
        <f>Q14/Q26</f>
        <v>0.91025641025641024</v>
      </c>
      <c r="R38" s="151">
        <f>R14/R26</f>
        <v>1.6326530612244898</v>
      </c>
      <c r="S38" s="151"/>
      <c r="T38" s="151"/>
      <c r="U38" s="137"/>
      <c r="V38" s="137"/>
      <c r="W38" s="14" t="s">
        <v>87</v>
      </c>
      <c r="X38" s="10">
        <v>435</v>
      </c>
      <c r="Y38" s="22"/>
      <c r="Z38" s="22"/>
      <c r="AA38" s="22"/>
      <c r="AB38" s="6">
        <f t="shared" si="6"/>
        <v>435</v>
      </c>
    </row>
    <row r="39" spans="1:28">
      <c r="A39" s="35" t="s">
        <v>1045</v>
      </c>
      <c r="B39" s="1" t="s">
        <v>1097</v>
      </c>
      <c r="C39" s="108" t="s">
        <v>166</v>
      </c>
      <c r="D39" s="140">
        <v>15</v>
      </c>
      <c r="E39" s="100" t="s">
        <v>1020</v>
      </c>
      <c r="F39" s="35" t="s">
        <v>1027</v>
      </c>
      <c r="G39" s="35" t="s">
        <v>1021</v>
      </c>
      <c r="H39" s="136" t="str">
        <f>_xlfn.XLOOKUP(P_dh[[#This Row],[Main fuel]],$J$7:$J$21,$K$7:$K$21)</f>
        <v>Bio</v>
      </c>
      <c r="I39" s="131"/>
      <c r="J39" s="1" t="s">
        <v>125</v>
      </c>
      <c r="K39" s="24">
        <f>SUMIFS(P_dh[Capacity], P_dh[Unit type], K$23, P_dh[Region], P_chp_ind[[#This Row],[Region]])</f>
        <v>0</v>
      </c>
      <c r="L39" s="24">
        <f>SUMIFS(P_dh[Capacity], P_dh[Unit type], L$23, P_dh[Region], P_chp_ind[[#This Row],[Region]])</f>
        <v>164.5</v>
      </c>
      <c r="M39" s="24">
        <f>SUMIFS(P_dh[Capacity], P_dh[Unit type], M$23, P_dh[Region], P_chp_ind[[#This Row],[Region]])</f>
        <v>0</v>
      </c>
      <c r="N39" s="99">
        <f>SUM(P_chp_ind[[#This Row],[Gas]:[Waste]])</f>
        <v>164.5</v>
      </c>
      <c r="O39" s="99"/>
      <c r="P39" s="102" t="s">
        <v>81</v>
      </c>
      <c r="Q39" s="151">
        <f>Q15/Q27</f>
        <v>0.93174603174603177</v>
      </c>
      <c r="R39" s="151"/>
      <c r="S39" s="151"/>
      <c r="T39" s="151"/>
      <c r="U39" s="10"/>
      <c r="V39" s="10"/>
      <c r="W39" s="14" t="s">
        <v>84</v>
      </c>
      <c r="X39" s="10">
        <v>260</v>
      </c>
      <c r="Y39" s="22"/>
      <c r="Z39" s="22"/>
      <c r="AA39" s="22"/>
      <c r="AB39" s="6">
        <f t="shared" si="6"/>
        <v>260</v>
      </c>
    </row>
    <row r="40" spans="1:28">
      <c r="A40" s="35" t="s">
        <v>1075</v>
      </c>
      <c r="B40" s="1" t="s">
        <v>1075</v>
      </c>
      <c r="C40" s="108" t="s">
        <v>168</v>
      </c>
      <c r="D40" s="140">
        <v>13.5</v>
      </c>
      <c r="E40" s="100" t="s">
        <v>1027</v>
      </c>
      <c r="F40" s="35" t="s">
        <v>1135</v>
      </c>
      <c r="G40" s="35" t="s">
        <v>1020</v>
      </c>
      <c r="H40" s="136" t="str">
        <f>_xlfn.XLOOKUP(P_dh[[#This Row],[Main fuel]],$J$7:$J$21,$K$7:$K$21)</f>
        <v>Bio</v>
      </c>
      <c r="I40" s="131"/>
      <c r="J40" s="2" t="s">
        <v>19</v>
      </c>
      <c r="K40" s="24">
        <f>SUMIFS(P_dh[Capacity], P_dh[Unit type], K$23, P_dh[Region], P_chp_ind[[#This Row],[Region]])</f>
        <v>0</v>
      </c>
      <c r="L40" s="24">
        <f>SUMIFS(P_dh[Capacity], P_dh[Unit type], L$23, P_dh[Region], P_chp_ind[[#This Row],[Region]])</f>
        <v>0</v>
      </c>
      <c r="M40" s="24">
        <f>SUMIFS(P_dh[Capacity], P_dh[Unit type], M$23, P_dh[Region], P_chp_ind[[#This Row],[Region]])</f>
        <v>0</v>
      </c>
      <c r="N40" s="99">
        <f>SUM(P_chp_ind[[#This Row],[Gas]:[Waste]])</f>
        <v>0</v>
      </c>
      <c r="O40" s="99"/>
      <c r="Q40" s="22"/>
      <c r="R40" s="22"/>
      <c r="S40" s="22"/>
      <c r="T40" s="22"/>
      <c r="U40" s="22"/>
      <c r="V40" s="22"/>
      <c r="W40" s="14" t="s">
        <v>86</v>
      </c>
      <c r="X40" s="10">
        <v>395</v>
      </c>
      <c r="Y40" s="22"/>
      <c r="Z40" s="22"/>
      <c r="AA40" s="22"/>
      <c r="AB40" s="6">
        <f t="shared" si="6"/>
        <v>395</v>
      </c>
    </row>
    <row r="41" spans="1:28">
      <c r="A41" s="35" t="s">
        <v>1092</v>
      </c>
      <c r="B41" s="1" t="s">
        <v>1129</v>
      </c>
      <c r="C41" s="108" t="s">
        <v>122</v>
      </c>
      <c r="D41" s="140">
        <v>13.2</v>
      </c>
      <c r="E41" s="100" t="s">
        <v>1024</v>
      </c>
      <c r="G41" s="35"/>
      <c r="H41" s="136" t="str">
        <f>_xlfn.XLOOKUP(P_dh[[#This Row],[Main fuel]],$J$7:$J$21,$K$7:$K$21)</f>
        <v>Bio</v>
      </c>
      <c r="I41" s="131"/>
      <c r="J41" s="107" t="s">
        <v>126</v>
      </c>
      <c r="K41" s="24">
        <f>SUMIFS(P_dh[Capacity], P_dh[Unit type], K$23, P_dh[Region], P_chp_ind[[#This Row],[Region]])</f>
        <v>0</v>
      </c>
      <c r="L41" s="24">
        <f>SUMIFS(P_dh[Capacity], P_dh[Unit type], L$23, P_dh[Region], P_chp_ind[[#This Row],[Region]])</f>
        <v>30</v>
      </c>
      <c r="M41" s="24">
        <f>SUMIFS(P_dh[Capacity], P_dh[Unit type], M$23, P_dh[Region], P_chp_ind[[#This Row],[Region]])</f>
        <v>0</v>
      </c>
      <c r="N41" s="99">
        <f>SUM(P_chp_ind[[#This Row],[Gas]:[Waste]])</f>
        <v>30</v>
      </c>
      <c r="O41" s="99"/>
      <c r="Q41" s="10"/>
      <c r="R41" s="10"/>
      <c r="S41" s="10"/>
      <c r="T41" s="10"/>
      <c r="U41" s="10"/>
      <c r="V41" s="10"/>
      <c r="W41" s="14" t="s">
        <v>85</v>
      </c>
      <c r="X41" s="10">
        <v>160</v>
      </c>
      <c r="Y41" s="10">
        <v>46</v>
      </c>
      <c r="Z41" s="10">
        <v>170</v>
      </c>
      <c r="AA41" s="22"/>
      <c r="AB41" s="6">
        <f t="shared" si="6"/>
        <v>376</v>
      </c>
    </row>
    <row r="42" spans="1:28">
      <c r="A42" s="35" t="s">
        <v>1081</v>
      </c>
      <c r="B42" s="1" t="s">
        <v>1121</v>
      </c>
      <c r="C42" s="108" t="s">
        <v>7</v>
      </c>
      <c r="D42" s="140">
        <v>12.3</v>
      </c>
      <c r="E42" s="100" t="s">
        <v>1031</v>
      </c>
      <c r="F42" s="35" t="s">
        <v>1025</v>
      </c>
      <c r="G42" s="35" t="s">
        <v>1038</v>
      </c>
      <c r="H42" s="136" t="str">
        <f>_xlfn.XLOOKUP(P_dh[[#This Row],[Main fuel]],$J$7:$J$21,$K$7:$K$21)</f>
        <v>Waste</v>
      </c>
      <c r="I42" s="131"/>
      <c r="K42" s="6">
        <f>SUM(P_chp_ind[Gas])</f>
        <v>1341</v>
      </c>
      <c r="L42" s="6">
        <f>SUM(P_chp_ind[Bio])</f>
        <v>1524.74</v>
      </c>
      <c r="M42" s="6">
        <f>SUM(P_chp_ind[Waste])</f>
        <v>76.900000000000006</v>
      </c>
      <c r="N42" s="6">
        <f>SUM(N24:N41)</f>
        <v>2942.64</v>
      </c>
      <c r="O42" s="6"/>
      <c r="W42" s="14" t="s">
        <v>83</v>
      </c>
      <c r="X42" s="10">
        <v>105</v>
      </c>
      <c r="Y42" s="10">
        <v>147</v>
      </c>
      <c r="Z42" s="10">
        <v>90</v>
      </c>
      <c r="AA42" s="22"/>
      <c r="AB42" s="6">
        <f t="shared" si="6"/>
        <v>342</v>
      </c>
    </row>
    <row r="43" spans="1:28">
      <c r="A43" s="35" t="s">
        <v>1074</v>
      </c>
      <c r="B43" s="1" t="s">
        <v>1074</v>
      </c>
      <c r="C43" s="108" t="s">
        <v>166</v>
      </c>
      <c r="D43" s="140">
        <v>11.8</v>
      </c>
      <c r="E43" s="100" t="s">
        <v>1024</v>
      </c>
      <c r="F43" s="35" t="s">
        <v>1025</v>
      </c>
      <c r="G43" s="35"/>
      <c r="H43" s="136" t="str">
        <f>_xlfn.XLOOKUP(P_dh[[#This Row],[Main fuel]],$J$7:$J$21,$K$7:$K$21)</f>
        <v>Bio</v>
      </c>
      <c r="I43" s="131"/>
      <c r="L43" s="131" t="s">
        <v>1142</v>
      </c>
      <c r="M43" s="131"/>
      <c r="W43" s="14" t="s">
        <v>82</v>
      </c>
      <c r="X43" s="22"/>
      <c r="Y43" s="22"/>
      <c r="Z43" s="10">
        <v>213</v>
      </c>
      <c r="AA43" s="10">
        <v>80</v>
      </c>
      <c r="AB43" s="6">
        <f t="shared" si="6"/>
        <v>293</v>
      </c>
    </row>
    <row r="44" spans="1:28">
      <c r="A44" s="35" t="s">
        <v>1040</v>
      </c>
      <c r="B44" s="1" t="s">
        <v>1040</v>
      </c>
      <c r="C44" s="108" t="s">
        <v>1136</v>
      </c>
      <c r="D44" s="140">
        <v>11.6</v>
      </c>
      <c r="E44" s="100" t="s">
        <v>1028</v>
      </c>
      <c r="G44" s="35"/>
      <c r="H44" s="136" t="str">
        <f>_xlfn.XLOOKUP(P_dh[[#This Row],[Main fuel]],$J$7:$J$21,$K$7:$K$21)</f>
        <v>Gas</v>
      </c>
      <c r="I44" s="131"/>
      <c r="W44" s="14" t="s">
        <v>81</v>
      </c>
      <c r="X44" s="22"/>
      <c r="Y44" s="22"/>
      <c r="Z44" s="10">
        <v>587</v>
      </c>
      <c r="AA44" s="22"/>
      <c r="AB44" s="6">
        <f t="shared" si="6"/>
        <v>587</v>
      </c>
    </row>
    <row r="45" spans="1:28">
      <c r="A45" s="35" t="s">
        <v>1084</v>
      </c>
      <c r="B45" s="1" t="s">
        <v>1084</v>
      </c>
      <c r="C45" s="108" t="s">
        <v>3</v>
      </c>
      <c r="D45" s="140">
        <v>11.3</v>
      </c>
      <c r="E45" s="100" t="s">
        <v>1027</v>
      </c>
      <c r="F45" s="35" t="s">
        <v>1021</v>
      </c>
      <c r="G45" s="35" t="s">
        <v>1020</v>
      </c>
      <c r="H45" s="136" t="str">
        <f>_xlfn.XLOOKUP(P_dh[[#This Row],[Main fuel]],$J$7:$J$21,$K$7:$K$21)</f>
        <v>Bio</v>
      </c>
      <c r="I45" s="131"/>
      <c r="J45" s="14" t="s">
        <v>24</v>
      </c>
      <c r="K45" s="1" t="s">
        <v>1175</v>
      </c>
      <c r="L45" s="1" t="s">
        <v>1177</v>
      </c>
      <c r="M45" s="14" t="s">
        <v>1176</v>
      </c>
      <c r="X45" s="6">
        <f>SUM(X38:X44)</f>
        <v>1355</v>
      </c>
      <c r="Y45" s="6">
        <f>SUM(Y38:Y44)</f>
        <v>193</v>
      </c>
      <c r="Z45" s="6">
        <f>SUM(Z38:Z44)</f>
        <v>1060</v>
      </c>
      <c r="AA45" s="6">
        <f>SUM(AA38:AA44)</f>
        <v>80</v>
      </c>
      <c r="AB45" s="6">
        <f t="shared" si="6"/>
        <v>2688</v>
      </c>
    </row>
    <row r="46" spans="1:28">
      <c r="A46" s="35" t="s">
        <v>1068</v>
      </c>
      <c r="B46" s="1" t="s">
        <v>1114</v>
      </c>
      <c r="C46" s="108" t="s">
        <v>167</v>
      </c>
      <c r="D46" s="140">
        <v>10</v>
      </c>
      <c r="E46" s="100" t="s">
        <v>1020</v>
      </c>
      <c r="F46" s="35" t="s">
        <v>1027</v>
      </c>
      <c r="G46" s="35" t="s">
        <v>1021</v>
      </c>
      <c r="H46" s="136" t="str">
        <f>_xlfn.XLOOKUP(P_dh[[#This Row],[Main fuel]],$J$7:$J$21,$K$7:$K$21)</f>
        <v>Bio</v>
      </c>
      <c r="I46" s="131"/>
      <c r="J46" s="1" t="s">
        <v>28</v>
      </c>
      <c r="K46" s="24" cm="1">
        <f t="array" ref="K46">SUM(_xlfn._xlws.FILTER(P_chp_ind[Gas],ISNUMBER(MATCH(P_chp_ind[Region],_xlfn._xlws.FILTER(Region[Administrative],Region[Model]=P_chp_ind2[[#This Row],[Region]]),0))))</f>
        <v>0</v>
      </c>
      <c r="L46" s="24" cm="1">
        <f t="array" ref="L46">SUM(_xlfn._xlws.FILTER(P_chp_ind[Bio],ISNUMBER(MATCH(P_chp_ind[Region],_xlfn._xlws.FILTER(Region[Administrative],Region[Model]=P_chp_ind2[[#This Row],[Region]]),0))))</f>
        <v>194.5</v>
      </c>
      <c r="M46" s="24" cm="1">
        <f t="array" ref="M46">SUM(_xlfn._xlws.FILTER(P_chp_ind[Waste],ISNUMBER(MATCH(P_chp_ind[Region],_xlfn._xlws.FILTER(Region[Administrative],Region[Model]=P_chp_ind2[[#This Row],[Region]]),0))))</f>
        <v>0</v>
      </c>
      <c r="N46" s="6">
        <f>SUM(P_chp_ind2[[#This Row],[Gas]:[Waste]])</f>
        <v>194.5</v>
      </c>
    </row>
    <row r="47" spans="1:28">
      <c r="A47" s="130" t="s">
        <v>1042</v>
      </c>
      <c r="B47" s="130" t="s">
        <v>1042</v>
      </c>
      <c r="C47" s="134" t="s">
        <v>1142</v>
      </c>
      <c r="D47" s="55">
        <v>9.6</v>
      </c>
      <c r="E47" s="100" t="s">
        <v>1028</v>
      </c>
      <c r="F47" s="35" t="s">
        <v>1025</v>
      </c>
      <c r="G47" s="35"/>
      <c r="H47" s="136" t="str">
        <f>_xlfn.XLOOKUP(P_dh[[#This Row],[Main fuel]],$J$7:$J$21,$K$7:$K$21)</f>
        <v>Gas</v>
      </c>
      <c r="I47" s="131"/>
      <c r="J47" s="1" t="s">
        <v>29</v>
      </c>
      <c r="K47" s="24" cm="1">
        <f t="array" ref="K47">SUM(_xlfn._xlws.FILTER(P_chp_ind[Gas],ISNUMBER(MATCH(P_chp_ind[Region],_xlfn._xlws.FILTER(Region[Administrative],Region[Model]=P_chp_ind2[[#This Row],[Region]]),0))))</f>
        <v>230</v>
      </c>
      <c r="L47" s="24" cm="1">
        <f t="array" ref="L47">SUM(_xlfn._xlws.FILTER(P_chp_ind[Bio],ISNUMBER(MATCH(P_chp_ind[Region],_xlfn._xlws.FILTER(Region[Administrative],Region[Model]=P_chp_ind2[[#This Row],[Region]]),0))))</f>
        <v>152.69999999999999</v>
      </c>
      <c r="M47" s="24" cm="1">
        <f t="array" ref="M47">SUM(_xlfn._xlws.FILTER(P_chp_ind[Waste],ISNUMBER(MATCH(P_chp_ind[Region],_xlfn._xlws.FILTER(Region[Administrative],Region[Model]=P_chp_ind2[[#This Row],[Region]]),0))))</f>
        <v>0</v>
      </c>
      <c r="N47" s="6">
        <f>SUM(P_chp_ind2[[#This Row],[Gas]:[Bio]])</f>
        <v>382.7</v>
      </c>
    </row>
    <row r="48" spans="1:28">
      <c r="A48" s="130" t="s">
        <v>1052</v>
      </c>
      <c r="B48" s="130" t="s">
        <v>1052</v>
      </c>
      <c r="C48" s="134" t="s">
        <v>1142</v>
      </c>
      <c r="D48" s="55">
        <v>9.6</v>
      </c>
      <c r="E48" s="100" t="s">
        <v>1031</v>
      </c>
      <c r="F48" s="35" t="s">
        <v>1025</v>
      </c>
      <c r="G48" s="35"/>
      <c r="H48" s="136" t="str">
        <f>_xlfn.XLOOKUP(P_dh[[#This Row],[Main fuel]],$J$7:$J$21,$K$7:$K$21)</f>
        <v>Waste</v>
      </c>
      <c r="I48" s="131"/>
      <c r="J48" s="1" t="s">
        <v>31</v>
      </c>
      <c r="K48" s="24" cm="1">
        <f t="array" ref="K48">SUM(_xlfn._xlws.FILTER(P_chp_ind[Gas],ISNUMBER(MATCH(P_chp_ind[Region],_xlfn._xlws.FILTER(Region[Administrative],Region[Model]=P_chp_ind2[[#This Row],[Region]]),0))))</f>
        <v>142</v>
      </c>
      <c r="L48" s="24" cm="1">
        <f t="array" ref="L48">SUM(_xlfn._xlws.FILTER(P_chp_ind[Bio],ISNUMBER(MATCH(P_chp_ind[Region],_xlfn._xlws.FILTER(Region[Administrative],Region[Model]=P_chp_ind2[[#This Row],[Region]]),0))))</f>
        <v>250</v>
      </c>
      <c r="M48" s="24" cm="1">
        <f t="array" ref="M48">SUM(_xlfn._xlws.FILTER(P_chp_ind[Waste],ISNUMBER(MATCH(P_chp_ind[Region],_xlfn._xlws.FILTER(Region[Administrative],Region[Model]=P_chp_ind2[[#This Row],[Region]]),0))))</f>
        <v>12.3</v>
      </c>
      <c r="N48" s="6">
        <f>SUM(P_chp_ind2[[#This Row],[Gas]:[Bio]])</f>
        <v>392</v>
      </c>
    </row>
    <row r="49" spans="1:40">
      <c r="A49" s="130" t="s">
        <v>1093</v>
      </c>
      <c r="B49" s="130" t="s">
        <v>1130</v>
      </c>
      <c r="C49" s="134" t="s">
        <v>1142</v>
      </c>
      <c r="D49" s="55">
        <v>6.2</v>
      </c>
      <c r="E49" s="100" t="s">
        <v>1020</v>
      </c>
      <c r="G49" s="35"/>
      <c r="H49" s="136" t="str">
        <f>_xlfn.XLOOKUP(P_dh[[#This Row],[Main fuel]],$J$7:$J$21,$K$7:$K$21)</f>
        <v>Bio</v>
      </c>
      <c r="I49" s="131"/>
      <c r="J49" s="1" t="s">
        <v>32</v>
      </c>
      <c r="K49" s="24" cm="1">
        <f t="array" ref="K49">SUM(_xlfn._xlws.FILTER(P_chp_ind[Gas],ISNUMBER(MATCH(P_chp_ind[Region],_xlfn._xlws.FILTER(Region[Administrative],Region[Model]=P_chp_ind2[[#This Row],[Region]]),0))))</f>
        <v>0</v>
      </c>
      <c r="L49" s="24" cm="1">
        <f t="array" ref="L49">SUM(_xlfn._xlws.FILTER(P_chp_ind[Bio],ISNUMBER(MATCH(P_chp_ind[Region],_xlfn._xlws.FILTER(Region[Administrative],Region[Model]=P_chp_ind2[[#This Row],[Region]]),0))))</f>
        <v>348.4</v>
      </c>
      <c r="M49" s="24" cm="1">
        <f t="array" ref="M49">SUM(_xlfn._xlws.FILTER(P_chp_ind[Waste],ISNUMBER(MATCH(P_chp_ind[Region],_xlfn._xlws.FILTER(Region[Administrative],Region[Model]=P_chp_ind2[[#This Row],[Region]]),0))))</f>
        <v>0</v>
      </c>
      <c r="N49" s="6">
        <f>SUM(P_chp_ind2[[#This Row],[Gas]:[Bio]])</f>
        <v>348.4</v>
      </c>
      <c r="AN49" s="152"/>
    </row>
    <row r="50" spans="1:40">
      <c r="A50" s="130" t="s">
        <v>1053</v>
      </c>
      <c r="B50" s="130" t="s">
        <v>1105</v>
      </c>
      <c r="C50" s="134" t="s">
        <v>1142</v>
      </c>
      <c r="D50" s="55">
        <v>6</v>
      </c>
      <c r="E50" s="100" t="s">
        <v>1021</v>
      </c>
      <c r="F50" s="35" t="s">
        <v>1020</v>
      </c>
      <c r="G50" s="35"/>
      <c r="H50" s="136" t="str">
        <f>_xlfn.XLOOKUP(P_dh[[#This Row],[Main fuel]],$J$7:$J$21,$K$7:$K$21)</f>
        <v>Bio</v>
      </c>
      <c r="I50" s="131"/>
      <c r="J50" s="1" t="s">
        <v>33</v>
      </c>
      <c r="K50" s="24" cm="1">
        <f t="array" ref="K50">SUM(_xlfn._xlws.FILTER(P_chp_ind[Gas],ISNUMBER(MATCH(P_chp_ind[Region],_xlfn._xlws.FILTER(Region[Administrative],Region[Model]=P_chp_ind2[[#This Row],[Region]]),0))))</f>
        <v>0</v>
      </c>
      <c r="L50" s="24" cm="1">
        <f t="array" ref="L50">SUM(_xlfn._xlws.FILTER(P_chp_ind[Bio],ISNUMBER(MATCH(P_chp_ind[Region],_xlfn._xlws.FILTER(Region[Administrative],Region[Model]=P_chp_ind2[[#This Row],[Region]]),0))))</f>
        <v>208.5</v>
      </c>
      <c r="M50" s="24" cm="1">
        <f t="array" ref="M50">SUM(_xlfn._xlws.FILTER(P_chp_ind[Waste],ISNUMBER(MATCH(P_chp_ind[Region],_xlfn._xlws.FILTER(Region[Administrative],Region[Model]=P_chp_ind2[[#This Row],[Region]]),0))))</f>
        <v>19.600000000000001</v>
      </c>
      <c r="N50" s="6">
        <f>SUM(P_chp_ind2[[#This Row],[Gas]:[Bio]])</f>
        <v>208.5</v>
      </c>
    </row>
    <row r="51" spans="1:40">
      <c r="A51" s="130" t="s">
        <v>1066</v>
      </c>
      <c r="B51" s="130" t="s">
        <v>1112</v>
      </c>
      <c r="C51" s="134" t="s">
        <v>1142</v>
      </c>
      <c r="D51" s="55">
        <v>5.4</v>
      </c>
      <c r="E51" s="100" t="s">
        <v>1028</v>
      </c>
      <c r="F51" s="35" t="s">
        <v>1025</v>
      </c>
      <c r="G51" s="35"/>
      <c r="H51" s="136" t="str">
        <f>_xlfn.XLOOKUP(P_dh[[#This Row],[Main fuel]],$J$7:$J$21,$K$7:$K$21)</f>
        <v>Gas</v>
      </c>
      <c r="I51" s="131"/>
      <c r="J51" s="1" t="s">
        <v>34</v>
      </c>
      <c r="K51" s="24" cm="1">
        <f t="array" ref="K51">SUM(_xlfn._xlws.FILTER(P_chp_ind[Gas],ISNUMBER(MATCH(P_chp_ind[Region],_xlfn._xlws.FILTER(Region[Administrative],Region[Model]=P_chp_ind2[[#This Row],[Region]]),0))))</f>
        <v>45</v>
      </c>
      <c r="L51" s="24" cm="1">
        <f t="array" ref="L51">SUM(_xlfn._xlws.FILTER(P_chp_ind[Bio],ISNUMBER(MATCH(P_chp_ind[Region],_xlfn._xlws.FILTER(Region[Administrative],Region[Model]=P_chp_ind2[[#This Row],[Region]]),0))))</f>
        <v>164.5</v>
      </c>
      <c r="M51" s="24" cm="1">
        <f t="array" ref="M51">SUM(_xlfn._xlws.FILTER(P_chp_ind[Waste],ISNUMBER(MATCH(P_chp_ind[Region],_xlfn._xlws.FILTER(Region[Administrative],Region[Model]=P_chp_ind2[[#This Row],[Region]]),0))))</f>
        <v>45</v>
      </c>
      <c r="N51" s="6">
        <f>SUM(P_chp_ind2[[#This Row],[Gas]:[Bio]])</f>
        <v>209.5</v>
      </c>
      <c r="P51" s="98" t="s">
        <v>1201</v>
      </c>
      <c r="Q51" s="45"/>
      <c r="R51" s="45"/>
      <c r="S51" s="45"/>
      <c r="T51" s="45"/>
      <c r="U51" s="45"/>
      <c r="V51" s="45"/>
      <c r="W51" s="45"/>
      <c r="X51" s="45"/>
      <c r="Y51" s="45"/>
      <c r="Z51" s="45"/>
      <c r="AA51" s="45"/>
      <c r="AB51" s="45"/>
    </row>
    <row r="52" spans="1:40">
      <c r="A52" s="130" t="s">
        <v>1067</v>
      </c>
      <c r="B52" s="130" t="s">
        <v>1113</v>
      </c>
      <c r="C52" s="134" t="s">
        <v>1142</v>
      </c>
      <c r="D52" s="55">
        <v>5.3</v>
      </c>
      <c r="E52" s="100" t="s">
        <v>1027</v>
      </c>
      <c r="F52" s="35" t="s">
        <v>1022</v>
      </c>
      <c r="G52" s="35"/>
      <c r="H52" s="136" t="str">
        <f>_xlfn.XLOOKUP(P_dh[[#This Row],[Main fuel]],$J$7:$J$21,$K$7:$K$21)</f>
        <v>Bio</v>
      </c>
      <c r="I52" s="131"/>
      <c r="J52" s="107" t="s">
        <v>3</v>
      </c>
      <c r="K52" s="24" cm="1">
        <f t="array" ref="K52">SUM(_xlfn._xlws.FILTER(P_chp_ind[Gas],ISNUMBER(MATCH(P_chp_ind[Region],_xlfn._xlws.FILTER(Region[Administrative],Region[Model]=P_chp_ind2[[#This Row],[Region]]),0))))</f>
        <v>924</v>
      </c>
      <c r="L52" s="24" cm="1">
        <f t="array" ref="L52">SUM(_xlfn._xlws.FILTER(P_chp_ind[Bio],ISNUMBER(MATCH(P_chp_ind[Region],_xlfn._xlws.FILTER(Region[Administrative],Region[Model]=P_chp_ind2[[#This Row],[Region]]),0))))</f>
        <v>206.14000000000001</v>
      </c>
      <c r="M52" s="24" cm="1">
        <f t="array" ref="M52">SUM(_xlfn._xlws.FILTER(P_chp_ind[Waste],ISNUMBER(MATCH(P_chp_ind[Region],_xlfn._xlws.FILTER(Region[Administrative],Region[Model]=P_chp_ind2[[#This Row],[Region]]),0))))</f>
        <v>0</v>
      </c>
      <c r="N52" s="6">
        <f>SUM(P_chp_ind2[[#This Row],[Gas]:[Bio]])</f>
        <v>1130.1400000000001</v>
      </c>
      <c r="P52" s="102"/>
      <c r="Q52" s="229" t="s">
        <v>1146</v>
      </c>
      <c r="R52" s="229" t="s">
        <v>1157</v>
      </c>
      <c r="S52" s="229" t="s">
        <v>1148</v>
      </c>
      <c r="T52" s="229" t="s">
        <v>1147</v>
      </c>
      <c r="U52" s="229" t="s">
        <v>1149</v>
      </c>
      <c r="V52" s="229" t="s">
        <v>1151</v>
      </c>
      <c r="W52" s="229" t="s">
        <v>1152</v>
      </c>
      <c r="X52" s="229" t="s">
        <v>1153</v>
      </c>
      <c r="Y52" s="229" t="s">
        <v>1154</v>
      </c>
      <c r="Z52" s="229" t="s">
        <v>1155</v>
      </c>
      <c r="AA52" s="229" t="s">
        <v>1160</v>
      </c>
      <c r="AB52" s="229" t="s">
        <v>1161</v>
      </c>
    </row>
    <row r="53" spans="1:40">
      <c r="A53" s="130" t="s">
        <v>1051</v>
      </c>
      <c r="B53" s="130" t="s">
        <v>1104</v>
      </c>
      <c r="C53" s="134" t="s">
        <v>1142</v>
      </c>
      <c r="D53" s="55">
        <v>4.5999999999999996</v>
      </c>
      <c r="E53" s="100" t="s">
        <v>1028</v>
      </c>
      <c r="F53" s="35" t="s">
        <v>1025</v>
      </c>
      <c r="G53" s="35"/>
      <c r="H53" s="136" t="str">
        <f>_xlfn.XLOOKUP(P_dh[[#This Row],[Main fuel]],$J$7:$J$21,$K$7:$K$21)</f>
        <v>Gas</v>
      </c>
      <c r="I53" s="131"/>
      <c r="K53" s="24">
        <f>SUM(P_chp_ind2[Gas])</f>
        <v>1341</v>
      </c>
      <c r="L53" s="24">
        <f>SUM(P_chp_ind2[Bio])</f>
        <v>1524.74</v>
      </c>
      <c r="M53" s="24">
        <f>SUM(P_chp_ind2[Waste])</f>
        <v>76.900000000000006</v>
      </c>
      <c r="N53" s="6">
        <f>SUM(K53:M53)</f>
        <v>2942.64</v>
      </c>
      <c r="P53" s="102"/>
      <c r="Q53" s="229"/>
      <c r="R53" s="229"/>
      <c r="S53" s="229"/>
      <c r="T53" s="229"/>
      <c r="U53" s="229"/>
      <c r="V53" s="229"/>
      <c r="W53" s="229"/>
      <c r="X53" s="229"/>
      <c r="Y53" s="229"/>
      <c r="Z53" s="229"/>
      <c r="AA53" s="229"/>
      <c r="AB53" s="229"/>
    </row>
    <row r="54" spans="1:40">
      <c r="A54" s="130" t="s">
        <v>1087</v>
      </c>
      <c r="B54" s="130" t="s">
        <v>1087</v>
      </c>
      <c r="C54" s="134" t="s">
        <v>1142</v>
      </c>
      <c r="D54" s="55">
        <v>4.5</v>
      </c>
      <c r="E54" s="100" t="s">
        <v>1027</v>
      </c>
      <c r="F54" s="35" t="s">
        <v>1020</v>
      </c>
      <c r="G54" s="35" t="s">
        <v>1025</v>
      </c>
      <c r="H54" s="136" t="str">
        <f>_xlfn.XLOOKUP(P_dh[[#This Row],[Main fuel]],$J$7:$J$21,$K$7:$K$21)</f>
        <v>Bio</v>
      </c>
      <c r="I54" s="131"/>
      <c r="P54" s="102"/>
      <c r="Q54" s="229"/>
      <c r="R54" s="229"/>
      <c r="S54" s="229"/>
      <c r="T54" s="229"/>
      <c r="U54" s="229"/>
      <c r="V54" s="229"/>
      <c r="W54" s="229"/>
      <c r="X54" s="229"/>
      <c r="Y54" s="229"/>
      <c r="Z54" s="229"/>
      <c r="AA54" s="229"/>
      <c r="AB54" s="229"/>
    </row>
    <row r="55" spans="1:40">
      <c r="A55" s="130" t="s">
        <v>1049</v>
      </c>
      <c r="B55" s="130" t="s">
        <v>1049</v>
      </c>
      <c r="C55" s="134" t="s">
        <v>1142</v>
      </c>
      <c r="D55" s="55">
        <v>4</v>
      </c>
      <c r="E55" s="100" t="s">
        <v>1027</v>
      </c>
      <c r="F55" s="35" t="s">
        <v>1020</v>
      </c>
      <c r="G55" s="35" t="s">
        <v>1021</v>
      </c>
      <c r="H55" s="136" t="str">
        <f>_xlfn.XLOOKUP(P_dh[[#This Row],[Main fuel]],$J$7:$J$21,$K$7:$K$21)</f>
        <v>Bio</v>
      </c>
      <c r="I55" s="131"/>
      <c r="P55" s="102"/>
      <c r="Q55" s="229"/>
      <c r="R55" s="229"/>
      <c r="S55" s="229"/>
      <c r="T55" s="229"/>
      <c r="U55" s="229"/>
      <c r="V55" s="229"/>
      <c r="W55" s="229"/>
      <c r="X55" s="229"/>
      <c r="Y55" s="229"/>
      <c r="Z55" s="229"/>
      <c r="AA55" s="229"/>
      <c r="AB55" s="229"/>
    </row>
    <row r="56" spans="1:40">
      <c r="A56" s="130" t="s">
        <v>1058</v>
      </c>
      <c r="B56" s="130" t="s">
        <v>1058</v>
      </c>
      <c r="C56" s="134" t="s">
        <v>1142</v>
      </c>
      <c r="D56" s="55">
        <v>4</v>
      </c>
      <c r="E56" s="100" t="s">
        <v>1020</v>
      </c>
      <c r="F56" s="35" t="s">
        <v>1027</v>
      </c>
      <c r="G56" s="35" t="s">
        <v>1021</v>
      </c>
      <c r="H56" s="136" t="str">
        <f>_xlfn.XLOOKUP(P_dh[[#This Row],[Main fuel]],$J$7:$J$21,$K$7:$K$21)</f>
        <v>Bio</v>
      </c>
      <c r="I56" s="131"/>
      <c r="P56" s="153" t="s">
        <v>88</v>
      </c>
      <c r="Q56" s="9">
        <v>3520.3000000000006</v>
      </c>
      <c r="R56" s="9">
        <v>10</v>
      </c>
      <c r="S56" s="9">
        <v>2701.9000000000005</v>
      </c>
      <c r="T56" s="9">
        <v>1849.9999999999998</v>
      </c>
      <c r="U56" s="9">
        <v>148.80000000000001</v>
      </c>
      <c r="V56" s="9">
        <v>1042.8999999999999</v>
      </c>
      <c r="W56" s="9">
        <v>625.5</v>
      </c>
      <c r="X56" s="9">
        <v>625.5</v>
      </c>
      <c r="Y56" s="9">
        <v>170</v>
      </c>
      <c r="Z56" s="9">
        <v>170</v>
      </c>
      <c r="AA56" s="150" t="s">
        <v>1142</v>
      </c>
      <c r="AB56" s="150" t="s">
        <v>1142</v>
      </c>
      <c r="AC56" s="6">
        <f t="shared" ref="AC56:AC63" si="7">SUM(Q8:AF8)</f>
        <v>3800.8999999999996</v>
      </c>
    </row>
    <row r="57" spans="1:40">
      <c r="A57" s="130" t="s">
        <v>1076</v>
      </c>
      <c r="B57" s="130" t="s">
        <v>1118</v>
      </c>
      <c r="C57" s="134" t="s">
        <v>1142</v>
      </c>
      <c r="D57" s="55">
        <v>3.9</v>
      </c>
      <c r="E57" s="100" t="s">
        <v>1028</v>
      </c>
      <c r="G57" s="35"/>
      <c r="H57" s="136" t="str">
        <f>_xlfn.XLOOKUP(P_dh[[#This Row],[Main fuel]],$J$7:$J$21,$K$7:$K$21)</f>
        <v>Gas</v>
      </c>
      <c r="I57" s="131"/>
      <c r="P57" s="153" t="s">
        <v>87</v>
      </c>
      <c r="Q57" s="9">
        <v>200</v>
      </c>
      <c r="R57" s="54"/>
      <c r="S57" s="9">
        <v>26.8</v>
      </c>
      <c r="T57" s="9">
        <v>3.1</v>
      </c>
      <c r="U57" s="9">
        <v>45</v>
      </c>
      <c r="V57" s="9">
        <v>120</v>
      </c>
      <c r="W57" s="9">
        <v>80</v>
      </c>
      <c r="X57" s="9">
        <v>80</v>
      </c>
      <c r="Y57" s="54"/>
      <c r="Z57" s="54"/>
      <c r="AA57" s="54"/>
      <c r="AB57" s="54"/>
      <c r="AC57" s="6">
        <f t="shared" si="7"/>
        <v>435</v>
      </c>
    </row>
    <row r="58" spans="1:40">
      <c r="A58" s="130" t="s">
        <v>1039</v>
      </c>
      <c r="B58" s="130" t="s">
        <v>1039</v>
      </c>
      <c r="C58" s="134" t="s">
        <v>1142</v>
      </c>
      <c r="D58" s="55">
        <v>3.7</v>
      </c>
      <c r="E58" s="145" t="s">
        <v>1142</v>
      </c>
      <c r="G58" s="35"/>
      <c r="H58" s="136" t="str">
        <f>_xlfn.XLOOKUP(P_dh[[#This Row],[Main fuel]],$J$7:$J$21,$K$7:$K$21)</f>
        <v>Bio</v>
      </c>
      <c r="I58" s="131"/>
      <c r="P58" s="153" t="s">
        <v>84</v>
      </c>
      <c r="Q58" s="9">
        <v>624</v>
      </c>
      <c r="R58" s="54"/>
      <c r="S58" s="9">
        <v>106.8</v>
      </c>
      <c r="T58" s="54"/>
      <c r="U58" s="9">
        <v>64.400000000000006</v>
      </c>
      <c r="V58" s="9">
        <v>50</v>
      </c>
      <c r="W58" s="9">
        <v>75</v>
      </c>
      <c r="X58" s="9">
        <v>75</v>
      </c>
      <c r="Y58" s="54"/>
      <c r="Z58" s="54"/>
      <c r="AA58" s="54"/>
      <c r="AB58" s="54"/>
      <c r="AC58" s="6">
        <f t="shared" si="7"/>
        <v>260</v>
      </c>
    </row>
    <row r="59" spans="1:40">
      <c r="A59" s="130" t="s">
        <v>1050</v>
      </c>
      <c r="B59" s="130" t="s">
        <v>1101</v>
      </c>
      <c r="C59" s="134" t="s">
        <v>1142</v>
      </c>
      <c r="D59" s="55">
        <v>3.7</v>
      </c>
      <c r="E59" s="100" t="s">
        <v>1028</v>
      </c>
      <c r="G59" s="35"/>
      <c r="H59" s="136" t="str">
        <f>_xlfn.XLOOKUP(P_dh[[#This Row],[Main fuel]],$J$7:$J$21,$K$7:$K$21)</f>
        <v>Gas</v>
      </c>
      <c r="I59" s="131"/>
      <c r="P59" s="153" t="s">
        <v>86</v>
      </c>
      <c r="Q59" s="9">
        <v>348</v>
      </c>
      <c r="R59" s="54"/>
      <c r="S59" s="54"/>
      <c r="T59" s="54"/>
      <c r="U59" s="9">
        <v>2.1</v>
      </c>
      <c r="V59" s="9">
        <v>140</v>
      </c>
      <c r="W59" s="9">
        <v>55</v>
      </c>
      <c r="X59" s="9">
        <v>55</v>
      </c>
      <c r="Y59" s="9">
        <v>80</v>
      </c>
      <c r="Z59" s="9">
        <v>80</v>
      </c>
      <c r="AA59" s="54"/>
      <c r="AB59" s="54"/>
      <c r="AC59" s="6">
        <f t="shared" si="7"/>
        <v>395</v>
      </c>
    </row>
    <row r="60" spans="1:40">
      <c r="A60" s="130" t="s">
        <v>1095</v>
      </c>
      <c r="B60" s="130" t="s">
        <v>1132</v>
      </c>
      <c r="C60" s="134" t="s">
        <v>1142</v>
      </c>
      <c r="D60" s="55">
        <v>3.125</v>
      </c>
      <c r="E60" s="100" t="s">
        <v>1038</v>
      </c>
      <c r="G60" s="35"/>
      <c r="H60" s="136" t="str">
        <f>_xlfn.XLOOKUP(P_dh[[#This Row],[Main fuel]],$J$7:$J$21,$K$7:$K$21)</f>
        <v>Bio</v>
      </c>
      <c r="I60" s="131"/>
      <c r="P60" s="153" t="s">
        <v>85</v>
      </c>
      <c r="Q60" s="9">
        <v>305</v>
      </c>
      <c r="R60" s="54"/>
      <c r="S60" s="9">
        <v>92</v>
      </c>
      <c r="T60" s="9">
        <v>235</v>
      </c>
      <c r="U60" s="54"/>
      <c r="V60" s="9">
        <v>145</v>
      </c>
      <c r="W60" s="9">
        <v>100</v>
      </c>
      <c r="X60" s="9">
        <v>100</v>
      </c>
      <c r="Y60" s="54"/>
      <c r="Z60" s="54"/>
      <c r="AA60" s="54"/>
      <c r="AB60" s="54"/>
      <c r="AC60" s="6">
        <f t="shared" si="7"/>
        <v>376</v>
      </c>
    </row>
    <row r="61" spans="1:40">
      <c r="A61" s="130" t="s">
        <v>1059</v>
      </c>
      <c r="B61" s="130" t="s">
        <v>1109</v>
      </c>
      <c r="C61" s="134" t="s">
        <v>1142</v>
      </c>
      <c r="D61" s="55">
        <v>3</v>
      </c>
      <c r="E61" s="100" t="s">
        <v>1028</v>
      </c>
      <c r="G61" s="35"/>
      <c r="H61" s="136" t="str">
        <f>_xlfn.XLOOKUP(P_dh[[#This Row],[Main fuel]],$J$7:$J$21,$K$7:$K$21)</f>
        <v>Gas</v>
      </c>
      <c r="I61" s="131"/>
      <c r="P61" s="153" t="s">
        <v>83</v>
      </c>
      <c r="Q61" s="9">
        <v>92</v>
      </c>
      <c r="R61" s="9">
        <v>80</v>
      </c>
      <c r="S61" s="9">
        <v>23</v>
      </c>
      <c r="T61" s="9">
        <v>427</v>
      </c>
      <c r="U61" s="9">
        <v>35</v>
      </c>
      <c r="V61" s="9">
        <v>180</v>
      </c>
      <c r="W61" s="9">
        <v>180</v>
      </c>
      <c r="X61" s="9">
        <v>180</v>
      </c>
      <c r="Y61" s="54"/>
      <c r="Z61" s="54"/>
      <c r="AA61" s="9">
        <v>200</v>
      </c>
      <c r="AB61" s="9">
        <v>200</v>
      </c>
      <c r="AC61" s="6">
        <f t="shared" si="7"/>
        <v>566.51791125044269</v>
      </c>
    </row>
    <row r="62" spans="1:40">
      <c r="A62" s="130" t="s">
        <v>1060</v>
      </c>
      <c r="B62" s="130" t="s">
        <v>1110</v>
      </c>
      <c r="C62" s="134" t="s">
        <v>1142</v>
      </c>
      <c r="D62" s="55">
        <v>2.4</v>
      </c>
      <c r="E62" s="100" t="s">
        <v>1028</v>
      </c>
      <c r="G62" s="35"/>
      <c r="H62" s="136" t="str">
        <f>_xlfn.XLOOKUP(P_dh[[#This Row],[Main fuel]],$J$7:$J$21,$K$7:$K$21)</f>
        <v>Gas</v>
      </c>
      <c r="I62" s="131"/>
      <c r="P62" s="153" t="s">
        <v>82</v>
      </c>
      <c r="Q62" s="9">
        <v>88</v>
      </c>
      <c r="R62" s="54"/>
      <c r="S62" s="9">
        <v>139</v>
      </c>
      <c r="T62" s="9">
        <v>757.4</v>
      </c>
      <c r="U62" s="9">
        <v>295</v>
      </c>
      <c r="V62" s="9">
        <v>150</v>
      </c>
      <c r="W62" s="9">
        <v>280</v>
      </c>
      <c r="X62" s="9">
        <v>280</v>
      </c>
      <c r="Y62" s="54"/>
      <c r="Z62" s="54"/>
      <c r="AA62" s="54"/>
      <c r="AB62" s="54"/>
      <c r="AC62" s="6">
        <f t="shared" si="7"/>
        <v>1174.2115182787315</v>
      </c>
    </row>
    <row r="63" spans="1:40">
      <c r="A63" s="130" t="s">
        <v>1082</v>
      </c>
      <c r="B63" s="130" t="s">
        <v>1082</v>
      </c>
      <c r="C63" s="134" t="s">
        <v>1142</v>
      </c>
      <c r="D63" s="55">
        <v>1.3</v>
      </c>
      <c r="E63" s="100" t="s">
        <v>1027</v>
      </c>
      <c r="F63" s="35" t="s">
        <v>1021</v>
      </c>
      <c r="G63" s="35" t="s">
        <v>1021</v>
      </c>
      <c r="H63" s="136" t="str">
        <f>_xlfn.XLOOKUP(P_dh[[#This Row],[Main fuel]],$J$7:$J$21,$K$7:$K$21)</f>
        <v>Bio</v>
      </c>
      <c r="I63" s="131"/>
      <c r="P63" s="153" t="s">
        <v>81</v>
      </c>
      <c r="Q63" s="9">
        <v>671</v>
      </c>
      <c r="R63" s="54"/>
      <c r="S63" s="9">
        <v>527</v>
      </c>
      <c r="T63" s="9">
        <v>912</v>
      </c>
      <c r="U63" s="9">
        <v>343.2</v>
      </c>
      <c r="V63" s="9">
        <v>540</v>
      </c>
      <c r="W63" s="9">
        <v>340</v>
      </c>
      <c r="X63" s="9">
        <v>340</v>
      </c>
      <c r="Y63" s="9">
        <v>120</v>
      </c>
      <c r="Z63" s="9">
        <v>120</v>
      </c>
      <c r="AA63" s="54"/>
      <c r="AB63" s="54"/>
      <c r="AC63" s="6">
        <f t="shared" si="7"/>
        <v>696.81996207739905</v>
      </c>
    </row>
    <row r="64" spans="1:40">
      <c r="A64" s="130" t="s">
        <v>1069</v>
      </c>
      <c r="B64" s="130" t="s">
        <v>1115</v>
      </c>
      <c r="C64" s="134" t="s">
        <v>1142</v>
      </c>
      <c r="D64" s="55">
        <v>0.6</v>
      </c>
      <c r="E64" s="100" t="s">
        <v>1027</v>
      </c>
      <c r="F64" s="35" t="s">
        <v>1027</v>
      </c>
      <c r="G64" s="132" t="s">
        <v>1142</v>
      </c>
      <c r="H64" s="136" t="str">
        <f>_xlfn.XLOOKUP(P_dh[[#This Row],[Main fuel]],$J$7:$J$21,$K$7:$K$21)</f>
        <v>Bio</v>
      </c>
      <c r="I64" s="131"/>
      <c r="Q64" s="6">
        <f t="shared" ref="Q64:AC64" si="8">SUM(Q56:Q63)</f>
        <v>5848.3000000000011</v>
      </c>
      <c r="R64" s="6">
        <f t="shared" si="8"/>
        <v>90</v>
      </c>
      <c r="S64" s="6">
        <f t="shared" si="8"/>
        <v>3616.5000000000009</v>
      </c>
      <c r="T64" s="6">
        <f t="shared" si="8"/>
        <v>4184.5</v>
      </c>
      <c r="U64" s="6">
        <f t="shared" si="8"/>
        <v>933.5</v>
      </c>
      <c r="V64" s="6">
        <f t="shared" si="8"/>
        <v>2367.8999999999996</v>
      </c>
      <c r="W64" s="6">
        <f t="shared" si="8"/>
        <v>1735.5</v>
      </c>
      <c r="X64" s="6">
        <f t="shared" si="8"/>
        <v>1735.5</v>
      </c>
      <c r="Y64" s="6">
        <f t="shared" si="8"/>
        <v>370</v>
      </c>
      <c r="Z64" s="6">
        <f t="shared" si="8"/>
        <v>370</v>
      </c>
      <c r="AA64" s="6">
        <f t="shared" si="8"/>
        <v>200</v>
      </c>
      <c r="AB64" s="6">
        <f t="shared" si="8"/>
        <v>200</v>
      </c>
      <c r="AC64" s="6">
        <f t="shared" si="8"/>
        <v>7704.449391606573</v>
      </c>
    </row>
    <row r="65" spans="1:15">
      <c r="A65" s="130" t="s">
        <v>1064</v>
      </c>
      <c r="B65" s="130" t="s">
        <v>1064</v>
      </c>
      <c r="C65" s="134" t="s">
        <v>1142</v>
      </c>
      <c r="D65" s="55">
        <v>0</v>
      </c>
      <c r="E65" s="100" t="s">
        <v>1028</v>
      </c>
      <c r="F65" s="35" t="s">
        <v>1025</v>
      </c>
      <c r="G65" s="35"/>
      <c r="H65" s="136" t="str">
        <f>_xlfn.XLOOKUP(P_dh[[#This Row],[Main fuel]],$J$7:$J$21,$K$7:$K$21)</f>
        <v>Gas</v>
      </c>
      <c r="I65" s="131"/>
    </row>
    <row r="66" spans="1:15">
      <c r="A66" s="141" t="s">
        <v>1089</v>
      </c>
      <c r="B66" s="141" t="s">
        <v>1126</v>
      </c>
      <c r="C66" s="142" t="s">
        <v>1142</v>
      </c>
      <c r="D66" s="143">
        <v>0</v>
      </c>
      <c r="E66" s="146" t="s">
        <v>1022</v>
      </c>
      <c r="F66" s="133"/>
      <c r="G66" s="133"/>
      <c r="H66" s="144" t="str">
        <f>_xlfn.XLOOKUP(P_dh[[#This Row],[Main fuel]],$J$7:$J$21,$K$7:$K$21)</f>
        <v>Gas</v>
      </c>
      <c r="I66" s="131"/>
    </row>
    <row r="67" spans="1:15">
      <c r="A67" s="35"/>
      <c r="C67" s="108"/>
      <c r="D67" s="140"/>
      <c r="G67" s="35"/>
      <c r="H67" s="136"/>
      <c r="I67" s="131"/>
    </row>
    <row r="68" spans="1:15">
      <c r="A68" s="35"/>
      <c r="B68" s="102"/>
      <c r="C68" s="102" t="s">
        <v>110</v>
      </c>
      <c r="D68" s="102" t="s">
        <v>58</v>
      </c>
      <c r="E68" s="102" t="s">
        <v>820</v>
      </c>
      <c r="H68" s="136"/>
      <c r="I68" s="131"/>
    </row>
    <row r="69" spans="1:15">
      <c r="A69" s="35"/>
      <c r="B69" s="102" t="s">
        <v>2</v>
      </c>
      <c r="C69" s="35">
        <f>COUNT(P_dh[Capacity])</f>
        <v>59</v>
      </c>
      <c r="D69" s="7">
        <f>SUM(P_dh[Capacity])</f>
        <v>3035.165</v>
      </c>
      <c r="H69" s="136"/>
      <c r="I69" s="131"/>
    </row>
    <row r="70" spans="1:15">
      <c r="A70" s="35"/>
      <c r="B70" s="102" t="s">
        <v>393</v>
      </c>
      <c r="C70" s="35">
        <f>COUNT(D8:D46)</f>
        <v>39</v>
      </c>
      <c r="D70" s="7">
        <f>SUM(D8:D46)</f>
        <v>2954.2400000000002</v>
      </c>
      <c r="E70" s="120">
        <f>D70/$D$69</f>
        <v>0.97333752860223421</v>
      </c>
      <c r="H70" s="136"/>
      <c r="I70" s="131"/>
    </row>
    <row r="71" spans="1:15">
      <c r="A71" s="35"/>
      <c r="B71" s="102" t="s">
        <v>822</v>
      </c>
      <c r="C71" s="35">
        <f>COUNT(D8:D34)</f>
        <v>27</v>
      </c>
      <c r="D71" s="7">
        <f>SUM(D8:D34)</f>
        <v>2785.5</v>
      </c>
      <c r="E71" s="120">
        <f>D71/$D$69</f>
        <v>0.91774252800094891</v>
      </c>
      <c r="H71" s="136"/>
      <c r="I71" s="131"/>
    </row>
    <row r="72" spans="1:15">
      <c r="A72" s="35"/>
      <c r="B72" s="102" t="s">
        <v>821</v>
      </c>
      <c r="C72" s="35">
        <f>COUNT(D8:D23)</f>
        <v>16</v>
      </c>
      <c r="D72" s="7">
        <f>SUM(D8:D23)</f>
        <v>2424</v>
      </c>
      <c r="E72" s="120">
        <f>D72/$D$69</f>
        <v>0.79863862425930721</v>
      </c>
      <c r="H72" s="136"/>
      <c r="I72" s="131"/>
      <c r="O72" s="24"/>
    </row>
    <row r="73" spans="1:15">
      <c r="A73" s="35"/>
      <c r="B73" s="102" t="s">
        <v>392</v>
      </c>
      <c r="C73" s="35">
        <f>COUNT(D8:D17)</f>
        <v>10</v>
      </c>
      <c r="D73" s="7">
        <f>SUM(D8:D17)</f>
        <v>1973.1</v>
      </c>
      <c r="E73" s="120">
        <f>D73/$D$69</f>
        <v>0.65007997917740878</v>
      </c>
      <c r="H73" s="136"/>
      <c r="I73" s="131"/>
      <c r="O73" s="24"/>
    </row>
    <row r="74" spans="1:15">
      <c r="A74" s="35"/>
      <c r="B74" s="102" t="s">
        <v>836</v>
      </c>
      <c r="C74" s="35">
        <f>COUNT(D8:D10)</f>
        <v>3</v>
      </c>
      <c r="D74" s="7">
        <f>SUM(D8:D10)</f>
        <v>991</v>
      </c>
      <c r="E74" s="120">
        <f>D74/$D$69</f>
        <v>0.32650613722812433</v>
      </c>
      <c r="H74" s="136"/>
      <c r="I74" s="131"/>
      <c r="O74" s="24"/>
    </row>
    <row r="75" spans="1:15">
      <c r="A75" s="35"/>
      <c r="B75" s="35"/>
      <c r="C75" s="35"/>
      <c r="H75" s="136"/>
      <c r="I75" s="131"/>
      <c r="O75" s="24"/>
    </row>
    <row r="76" spans="1:15">
      <c r="A76" s="35"/>
      <c r="B76" s="35"/>
      <c r="H76" s="136"/>
      <c r="I76" s="131"/>
      <c r="O76" s="24"/>
    </row>
    <row r="77" spans="1:15">
      <c r="A77" s="35"/>
      <c r="C77" s="108"/>
      <c r="D77" s="140"/>
      <c r="G77" s="35"/>
      <c r="H77" s="136"/>
      <c r="I77" s="131"/>
      <c r="O77" s="24"/>
    </row>
    <row r="78" spans="1:15">
      <c r="A78" s="35"/>
      <c r="C78" s="108"/>
      <c r="D78" s="140"/>
      <c r="G78" s="35"/>
      <c r="H78" s="136"/>
      <c r="I78" s="131"/>
      <c r="O78" s="24"/>
    </row>
    <row r="79" spans="1:15">
      <c r="A79" s="35"/>
      <c r="C79" s="108"/>
      <c r="D79" s="140"/>
      <c r="G79" s="35"/>
      <c r="H79" s="136"/>
      <c r="I79" s="131"/>
      <c r="O79" s="6"/>
    </row>
  </sheetData>
  <sortState xmlns:xlrd2="http://schemas.microsoft.com/office/spreadsheetml/2017/richdata2" ref="J24:L45">
    <sortCondition ref="K24:K45"/>
  </sortState>
  <mergeCells count="17">
    <mergeCell ref="T4:T7"/>
    <mergeCell ref="Q4:Q7"/>
    <mergeCell ref="Q52:Q55"/>
    <mergeCell ref="AB52:AB55"/>
    <mergeCell ref="R4:R7"/>
    <mergeCell ref="AA52:AA55"/>
    <mergeCell ref="Y52:Y55"/>
    <mergeCell ref="W52:W55"/>
    <mergeCell ref="U52:U55"/>
    <mergeCell ref="S52:S55"/>
    <mergeCell ref="W9:AB10"/>
    <mergeCell ref="S4:S7"/>
    <mergeCell ref="Z52:Z55"/>
    <mergeCell ref="X52:X55"/>
    <mergeCell ref="V52:V55"/>
    <mergeCell ref="T52:T55"/>
    <mergeCell ref="R52:R55"/>
  </mergeCells>
  <phoneticPr fontId="23" type="noConversion"/>
  <conditionalFormatting sqref="X13:AA26">
    <cfRule type="cellIs" dxfId="1" priority="1" operator="equal">
      <formula>0</formula>
    </cfRule>
  </conditionalFormatting>
  <conditionalFormatting sqref="X31:AA44">
    <cfRule type="cellIs" dxfId="0" priority="2" operator="equal">
      <formula>0</formula>
    </cfRule>
  </conditionalFormatting>
  <hyperlinks>
    <hyperlink ref="F1" r:id="rId1" display="https://energiavirasto.fi/toimitusvarmuus" xr:uid="{56FDD8F6-9096-4CEE-A416-5BC96C27D197}"/>
  </hyperlinks>
  <pageMargins left="0.7" right="0.7" top="0.75" bottom="0.75" header="0.3" footer="0.3"/>
  <tableParts count="3">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C9F93-E9FB-4A2D-8B6F-BA653DCC811E}">
  <sheetPr>
    <tabColor theme="9" tint="0.39997558519241921"/>
  </sheetPr>
  <dimension ref="A1:AK59"/>
  <sheetViews>
    <sheetView topLeftCell="A19" workbookViewId="0">
      <selection activeCell="Q41" sqref="Q41:R52"/>
    </sheetView>
  </sheetViews>
  <sheetFormatPr defaultColWidth="9.140625" defaultRowHeight="15"/>
  <cols>
    <col min="1" max="16384" width="9.140625" style="1"/>
  </cols>
  <sheetData>
    <row r="1" spans="1:37">
      <c r="A1" s="177" t="s">
        <v>1282</v>
      </c>
      <c r="B1" s="176"/>
      <c r="C1" s="176"/>
      <c r="D1" s="176"/>
      <c r="E1" s="176"/>
      <c r="F1" s="176"/>
      <c r="G1" s="176"/>
      <c r="H1" s="176"/>
      <c r="I1" s="176"/>
      <c r="J1" s="176"/>
      <c r="K1" s="176"/>
      <c r="L1" s="176"/>
      <c r="M1" s="176"/>
      <c r="N1" s="176"/>
      <c r="O1" s="176"/>
      <c r="P1" s="176"/>
      <c r="Q1" s="176"/>
      <c r="R1" s="176"/>
      <c r="S1" s="176"/>
      <c r="T1" s="176"/>
      <c r="U1" s="176"/>
      <c r="V1" s="176"/>
      <c r="W1" s="176"/>
      <c r="X1" s="176"/>
      <c r="Y1" s="176"/>
    </row>
    <row r="2" spans="1:37">
      <c r="A2" s="65" t="s">
        <v>1283</v>
      </c>
      <c r="B2" s="36"/>
      <c r="C2" s="36"/>
      <c r="D2" s="36"/>
      <c r="E2" s="36"/>
      <c r="F2" s="36"/>
      <c r="H2" s="65" t="s">
        <v>1284</v>
      </c>
      <c r="I2" s="65"/>
      <c r="J2" s="65"/>
      <c r="K2" s="65"/>
      <c r="L2" s="65"/>
      <c r="M2" s="65"/>
      <c r="N2" s="36"/>
      <c r="O2" s="36"/>
      <c r="P2" s="36"/>
      <c r="Q2" s="36"/>
      <c r="R2" s="36"/>
      <c r="S2" s="36"/>
      <c r="T2" s="36"/>
      <c r="U2" s="36"/>
      <c r="V2" s="36"/>
      <c r="W2" s="36"/>
      <c r="X2" s="36"/>
      <c r="Y2" s="36"/>
      <c r="AJ2" s="35"/>
      <c r="AK2" s="35"/>
    </row>
    <row r="3" spans="1:37">
      <c r="A3" s="45" t="s">
        <v>858</v>
      </c>
      <c r="B3" s="69" t="s">
        <v>1253</v>
      </c>
      <c r="C3" s="45"/>
      <c r="D3" s="45"/>
      <c r="E3" s="45"/>
      <c r="F3" s="45"/>
      <c r="H3" s="45" t="s">
        <v>1262</v>
      </c>
      <c r="I3" s="45"/>
      <c r="K3" s="45" t="s">
        <v>1263</v>
      </c>
      <c r="L3" s="45"/>
      <c r="M3" s="45"/>
      <c r="N3" s="45"/>
      <c r="O3" s="45"/>
      <c r="P3" s="45"/>
      <c r="Q3" s="45"/>
      <c r="R3" s="45"/>
      <c r="T3" s="45" t="s">
        <v>1265</v>
      </c>
      <c r="U3" s="45"/>
      <c r="V3" s="45"/>
      <c r="W3" s="45"/>
      <c r="X3" s="45"/>
      <c r="Y3" s="45"/>
      <c r="AJ3" s="35"/>
      <c r="AK3" s="35"/>
    </row>
    <row r="4" spans="1:37">
      <c r="A4" s="45"/>
      <c r="B4" s="69" t="s">
        <v>1260</v>
      </c>
      <c r="C4" s="45"/>
      <c r="D4" s="45"/>
      <c r="E4" s="45"/>
      <c r="F4" s="45"/>
      <c r="H4" s="45" t="s">
        <v>1229</v>
      </c>
      <c r="I4" s="45"/>
      <c r="K4" s="14" t="s">
        <v>1264</v>
      </c>
      <c r="L4" s="14"/>
      <c r="M4" s="218" t="s">
        <v>1244</v>
      </c>
      <c r="N4" s="218"/>
      <c r="O4" s="218" t="s">
        <v>862</v>
      </c>
      <c r="P4" s="218"/>
      <c r="Q4" s="14" t="s">
        <v>1261</v>
      </c>
      <c r="R4" s="14"/>
      <c r="T4" s="45" t="s">
        <v>1279</v>
      </c>
      <c r="U4" s="45"/>
      <c r="V4" s="69" t="s">
        <v>1280</v>
      </c>
      <c r="W4" s="45"/>
      <c r="X4" s="45"/>
      <c r="Y4" s="45"/>
      <c r="AJ4" s="35"/>
      <c r="AK4" s="35"/>
    </row>
    <row r="5" spans="1:37">
      <c r="A5" s="14"/>
      <c r="B5" s="14"/>
      <c r="C5" s="14" t="s">
        <v>1256</v>
      </c>
      <c r="D5" s="14" t="s">
        <v>1256</v>
      </c>
      <c r="E5" s="14" t="s">
        <v>1257</v>
      </c>
      <c r="F5" s="14"/>
      <c r="H5" s="1" t="s">
        <v>1240</v>
      </c>
      <c r="I5" s="1" t="s">
        <v>1241</v>
      </c>
      <c r="K5" s="1" t="s">
        <v>1235</v>
      </c>
      <c r="L5" s="1" t="s">
        <v>1234</v>
      </c>
      <c r="M5" s="10">
        <v>2000</v>
      </c>
      <c r="N5" s="9">
        <v>2000</v>
      </c>
      <c r="O5" s="10">
        <v>4400</v>
      </c>
      <c r="P5" s="10">
        <v>4500</v>
      </c>
      <c r="Q5" s="6">
        <f>O5-M5</f>
        <v>2400</v>
      </c>
      <c r="R5" s="6">
        <f>P5-N5</f>
        <v>2500</v>
      </c>
      <c r="T5" s="45"/>
      <c r="U5" s="45"/>
      <c r="V5" s="98" t="s">
        <v>1281</v>
      </c>
      <c r="W5" s="45"/>
      <c r="X5" s="45"/>
      <c r="Y5" s="45"/>
      <c r="AJ5" s="35"/>
      <c r="AK5" s="35"/>
    </row>
    <row r="6" spans="1:37">
      <c r="A6" s="1" t="s">
        <v>1240</v>
      </c>
      <c r="B6" s="1" t="s">
        <v>1241</v>
      </c>
      <c r="C6" s="1">
        <v>100</v>
      </c>
      <c r="E6" s="1">
        <v>220</v>
      </c>
      <c r="F6" s="35" t="s">
        <v>1254</v>
      </c>
      <c r="H6" s="1" t="s">
        <v>1240</v>
      </c>
      <c r="I6" s="1" t="s">
        <v>1234</v>
      </c>
      <c r="K6" s="1" t="s">
        <v>1235</v>
      </c>
      <c r="L6" s="1" t="s">
        <v>1239</v>
      </c>
      <c r="M6" s="10">
        <v>1200</v>
      </c>
      <c r="N6" s="9">
        <v>1200</v>
      </c>
      <c r="O6" s="10">
        <v>1700</v>
      </c>
      <c r="P6" s="9">
        <v>1700</v>
      </c>
      <c r="Q6" s="6">
        <f t="shared" ref="Q6:Q7" si="0">O6-M6</f>
        <v>500</v>
      </c>
      <c r="R6" s="6">
        <f t="shared" ref="R6:R7" si="1">P6-N6</f>
        <v>500</v>
      </c>
      <c r="T6" s="14" t="s">
        <v>1266</v>
      </c>
      <c r="U6" s="14" t="s">
        <v>1267</v>
      </c>
      <c r="V6" s="14"/>
      <c r="W6" s="230" t="s">
        <v>1268</v>
      </c>
      <c r="X6" s="230" t="s">
        <v>1277</v>
      </c>
      <c r="Y6" s="230" t="s">
        <v>1269</v>
      </c>
    </row>
    <row r="7" spans="1:37">
      <c r="A7" s="1" t="s">
        <v>1240</v>
      </c>
      <c r="B7" s="1" t="s">
        <v>1234</v>
      </c>
      <c r="C7" s="1">
        <v>1100</v>
      </c>
      <c r="D7" s="1">
        <v>1200</v>
      </c>
      <c r="E7" s="1" t="s">
        <v>1259</v>
      </c>
      <c r="F7" s="35" t="s">
        <v>1254</v>
      </c>
      <c r="H7" s="35" t="s">
        <v>1240</v>
      </c>
      <c r="I7" s="35" t="s">
        <v>1242</v>
      </c>
      <c r="K7" s="1" t="s">
        <v>1235</v>
      </c>
      <c r="L7" s="1" t="s">
        <v>1237</v>
      </c>
      <c r="M7" s="10">
        <v>1016</v>
      </c>
      <c r="N7" s="9">
        <v>1016</v>
      </c>
      <c r="O7" s="10">
        <v>1716</v>
      </c>
      <c r="P7" s="9">
        <v>1716</v>
      </c>
      <c r="Q7" s="6">
        <f t="shared" si="0"/>
        <v>700</v>
      </c>
      <c r="R7" s="6">
        <f t="shared" si="1"/>
        <v>700</v>
      </c>
      <c r="T7" s="14"/>
      <c r="U7" s="14"/>
      <c r="V7" s="14"/>
      <c r="W7" s="230"/>
      <c r="X7" s="230"/>
      <c r="Y7" s="230"/>
    </row>
    <row r="8" spans="1:37">
      <c r="A8" s="1" t="s">
        <v>1258</v>
      </c>
      <c r="B8" s="1" t="s">
        <v>1239</v>
      </c>
      <c r="C8" s="131">
        <v>400</v>
      </c>
      <c r="F8" s="35" t="s">
        <v>1255</v>
      </c>
      <c r="H8" s="35" t="s">
        <v>1230</v>
      </c>
      <c r="I8" s="35" t="s">
        <v>1234</v>
      </c>
      <c r="K8" s="14" t="s">
        <v>1251</v>
      </c>
      <c r="L8" s="14"/>
      <c r="M8" s="14"/>
      <c r="N8" s="14"/>
      <c r="O8" s="14"/>
      <c r="P8" s="14"/>
      <c r="T8" s="14"/>
      <c r="U8" s="14"/>
      <c r="V8" s="14"/>
      <c r="W8" s="174"/>
      <c r="X8" s="230"/>
      <c r="Y8" s="230"/>
    </row>
    <row r="9" spans="1:37">
      <c r="A9" s="1" t="s">
        <v>1258</v>
      </c>
      <c r="B9" s="1" t="s">
        <v>1239</v>
      </c>
      <c r="C9" s="1">
        <v>800</v>
      </c>
      <c r="F9" s="35" t="s">
        <v>1255</v>
      </c>
      <c r="H9" s="35" t="s">
        <v>1230</v>
      </c>
      <c r="I9" s="35" t="s">
        <v>1242</v>
      </c>
      <c r="K9" s="167" t="s">
        <v>1235</v>
      </c>
      <c r="L9" s="167" t="s">
        <v>1241</v>
      </c>
      <c r="M9" s="168" t="s">
        <v>1247</v>
      </c>
      <c r="N9" s="169">
        <v>2040</v>
      </c>
      <c r="O9" s="170">
        <v>500</v>
      </c>
      <c r="P9" s="171">
        <v>500</v>
      </c>
      <c r="T9" s="1" t="s">
        <v>1270</v>
      </c>
      <c r="U9" s="1" t="s">
        <v>1233</v>
      </c>
      <c r="V9" s="1" t="s">
        <v>1237</v>
      </c>
      <c r="W9" s="22" t="s">
        <v>1271</v>
      </c>
      <c r="X9" s="6">
        <f>R7</f>
        <v>700</v>
      </c>
      <c r="Y9" s="175" t="s">
        <v>394</v>
      </c>
    </row>
    <row r="10" spans="1:37">
      <c r="A10" s="1" t="s">
        <v>1233</v>
      </c>
      <c r="B10" s="1" t="s">
        <v>1237</v>
      </c>
      <c r="C10" s="1">
        <v>350</v>
      </c>
      <c r="F10" s="35" t="s">
        <v>1255</v>
      </c>
      <c r="H10" s="35" t="s">
        <v>1230</v>
      </c>
      <c r="I10" s="35" t="s">
        <v>1239</v>
      </c>
      <c r="K10" s="163" t="s">
        <v>1235</v>
      </c>
      <c r="L10" s="163" t="s">
        <v>1241</v>
      </c>
      <c r="M10" s="164" t="s">
        <v>1248</v>
      </c>
      <c r="N10" s="165">
        <v>2040</v>
      </c>
      <c r="O10" s="166">
        <v>500</v>
      </c>
      <c r="P10" s="172">
        <v>500</v>
      </c>
      <c r="T10" s="1" t="s">
        <v>1272</v>
      </c>
      <c r="U10" s="1" t="s">
        <v>1240</v>
      </c>
      <c r="V10" s="1" t="s">
        <v>1276</v>
      </c>
      <c r="W10" s="22" t="s">
        <v>1273</v>
      </c>
      <c r="X10" s="175"/>
      <c r="Y10" s="175" t="s">
        <v>394</v>
      </c>
    </row>
    <row r="11" spans="1:37">
      <c r="A11" s="1" t="s">
        <v>1233</v>
      </c>
      <c r="B11" s="1" t="s">
        <v>1237</v>
      </c>
      <c r="C11" s="1">
        <v>650</v>
      </c>
      <c r="F11" s="35" t="s">
        <v>1255</v>
      </c>
      <c r="H11" s="1" t="s">
        <v>1231</v>
      </c>
      <c r="I11" s="1" t="s">
        <v>1239</v>
      </c>
      <c r="K11" s="167" t="s">
        <v>1235</v>
      </c>
      <c r="L11" s="167" t="s">
        <v>1234</v>
      </c>
      <c r="M11" s="168" t="s">
        <v>1245</v>
      </c>
      <c r="N11" s="169">
        <v>2035</v>
      </c>
      <c r="O11" s="170">
        <v>800</v>
      </c>
      <c r="P11" s="171">
        <v>800</v>
      </c>
      <c r="T11" s="1" t="s">
        <v>1274</v>
      </c>
      <c r="U11" s="1" t="s">
        <v>1240</v>
      </c>
      <c r="V11" s="1" t="s">
        <v>1276</v>
      </c>
      <c r="W11" s="22" t="s">
        <v>1271</v>
      </c>
      <c r="X11" s="6">
        <f>Q5-800</f>
        <v>1600</v>
      </c>
      <c r="Y11" s="175" t="s">
        <v>395</v>
      </c>
    </row>
    <row r="12" spans="1:37">
      <c r="H12" s="35" t="s">
        <v>1231</v>
      </c>
      <c r="I12" s="35" t="s">
        <v>1236</v>
      </c>
      <c r="K12" s="167" t="s">
        <v>1235</v>
      </c>
      <c r="L12" s="167" t="s">
        <v>1234</v>
      </c>
      <c r="M12" s="168" t="s">
        <v>1246</v>
      </c>
      <c r="N12" s="169">
        <v>2030</v>
      </c>
      <c r="O12" s="170">
        <v>800</v>
      </c>
      <c r="P12" s="170">
        <v>900</v>
      </c>
      <c r="U12" s="1" t="s">
        <v>1240</v>
      </c>
      <c r="V12" s="1" t="s">
        <v>1241</v>
      </c>
      <c r="W12" s="22" t="s">
        <v>1275</v>
      </c>
      <c r="X12" s="175"/>
      <c r="Y12" s="175" t="s">
        <v>394</v>
      </c>
    </row>
    <row r="13" spans="1:37">
      <c r="H13" s="1" t="s">
        <v>1233</v>
      </c>
      <c r="I13" s="1" t="s">
        <v>1237</v>
      </c>
      <c r="K13" s="167" t="s">
        <v>1235</v>
      </c>
      <c r="L13" s="167" t="s">
        <v>1234</v>
      </c>
      <c r="M13" s="168" t="s">
        <v>1247</v>
      </c>
      <c r="N13" s="169">
        <v>2030</v>
      </c>
      <c r="O13" s="170">
        <v>800</v>
      </c>
      <c r="P13" s="171">
        <v>800</v>
      </c>
    </row>
    <row r="14" spans="1:37">
      <c r="H14" s="35" t="s">
        <v>1232</v>
      </c>
      <c r="I14" s="35" t="s">
        <v>1237</v>
      </c>
      <c r="K14" s="167" t="s">
        <v>1235</v>
      </c>
      <c r="L14" s="167" t="s">
        <v>1234</v>
      </c>
      <c r="M14" s="168" t="s">
        <v>1248</v>
      </c>
      <c r="N14" s="169">
        <v>2040</v>
      </c>
      <c r="O14" s="170">
        <v>800</v>
      </c>
      <c r="P14" s="171">
        <v>800</v>
      </c>
      <c r="T14" s="45" t="s">
        <v>1278</v>
      </c>
      <c r="U14" s="45"/>
      <c r="V14" s="45"/>
      <c r="W14" s="45"/>
      <c r="X14" s="45"/>
      <c r="Y14" s="45"/>
    </row>
    <row r="15" spans="1:37">
      <c r="K15" s="163" t="s">
        <v>1235</v>
      </c>
      <c r="L15" s="163" t="s">
        <v>1234</v>
      </c>
      <c r="M15" s="164" t="s">
        <v>1249</v>
      </c>
      <c r="N15" s="165">
        <v>2040</v>
      </c>
      <c r="O15" s="166">
        <v>800</v>
      </c>
      <c r="P15" s="172">
        <v>800</v>
      </c>
    </row>
    <row r="16" spans="1:37">
      <c r="K16" s="167" t="s">
        <v>1235</v>
      </c>
      <c r="L16" s="167" t="s">
        <v>1242</v>
      </c>
      <c r="M16" s="168" t="s">
        <v>1247</v>
      </c>
      <c r="N16" s="169">
        <v>2030</v>
      </c>
      <c r="O16" s="170">
        <v>500</v>
      </c>
      <c r="P16" s="171">
        <v>500</v>
      </c>
    </row>
    <row r="17" spans="11:16">
      <c r="K17" s="167" t="s">
        <v>1235</v>
      </c>
      <c r="L17" s="167" t="s">
        <v>1242</v>
      </c>
      <c r="M17" s="168" t="s">
        <v>1248</v>
      </c>
      <c r="N17" s="169">
        <v>2040</v>
      </c>
      <c r="O17" s="170">
        <v>500</v>
      </c>
      <c r="P17" s="171">
        <v>500</v>
      </c>
    </row>
    <row r="18" spans="11:16">
      <c r="K18" s="167" t="s">
        <v>1235</v>
      </c>
      <c r="L18" s="167" t="s">
        <v>1242</v>
      </c>
      <c r="M18" s="168" t="s">
        <v>1249</v>
      </c>
      <c r="N18" s="169">
        <v>2040</v>
      </c>
      <c r="O18" s="170">
        <v>500</v>
      </c>
      <c r="P18" s="171">
        <v>500</v>
      </c>
    </row>
    <row r="19" spans="11:16">
      <c r="K19" s="163" t="s">
        <v>1235</v>
      </c>
      <c r="L19" s="163" t="s">
        <v>1242</v>
      </c>
      <c r="M19" s="164" t="s">
        <v>1250</v>
      </c>
      <c r="N19" s="165">
        <v>2040</v>
      </c>
      <c r="O19" s="166">
        <v>500</v>
      </c>
      <c r="P19" s="172">
        <v>500</v>
      </c>
    </row>
    <row r="20" spans="11:16">
      <c r="K20" s="167" t="s">
        <v>1235</v>
      </c>
      <c r="L20" s="167" t="s">
        <v>1239</v>
      </c>
      <c r="M20" s="168" t="s">
        <v>1245</v>
      </c>
      <c r="N20" s="169">
        <v>2040</v>
      </c>
      <c r="O20" s="170">
        <v>800</v>
      </c>
      <c r="P20" s="171">
        <v>800</v>
      </c>
    </row>
    <row r="21" spans="11:16">
      <c r="K21" s="167" t="s">
        <v>1235</v>
      </c>
      <c r="L21" s="167" t="s">
        <v>1239</v>
      </c>
      <c r="M21" s="168" t="s">
        <v>1247</v>
      </c>
      <c r="N21" s="169">
        <v>2030</v>
      </c>
      <c r="O21" s="170">
        <v>500</v>
      </c>
      <c r="P21" s="171">
        <v>500</v>
      </c>
    </row>
    <row r="22" spans="11:16">
      <c r="K22" s="167" t="s">
        <v>1235</v>
      </c>
      <c r="L22" s="167" t="s">
        <v>1239</v>
      </c>
      <c r="M22" s="168" t="s">
        <v>1248</v>
      </c>
      <c r="N22" s="169">
        <v>2040</v>
      </c>
      <c r="O22" s="170">
        <v>500</v>
      </c>
      <c r="P22" s="171">
        <v>500</v>
      </c>
    </row>
    <row r="23" spans="11:16">
      <c r="K23" s="167" t="s">
        <v>1235</v>
      </c>
      <c r="L23" s="167" t="s">
        <v>1239</v>
      </c>
      <c r="M23" s="168" t="s">
        <v>1249</v>
      </c>
      <c r="N23" s="169">
        <v>2040</v>
      </c>
      <c r="O23" s="170">
        <v>500</v>
      </c>
      <c r="P23" s="171">
        <v>500</v>
      </c>
    </row>
    <row r="24" spans="11:16">
      <c r="K24" s="163" t="s">
        <v>1235</v>
      </c>
      <c r="L24" s="163" t="s">
        <v>1239</v>
      </c>
      <c r="M24" s="164" t="s">
        <v>1250</v>
      </c>
      <c r="N24" s="165">
        <v>2040</v>
      </c>
      <c r="O24" s="166">
        <v>500</v>
      </c>
      <c r="P24" s="172">
        <v>500</v>
      </c>
    </row>
    <row r="25" spans="11:16">
      <c r="K25" s="167" t="s">
        <v>1235</v>
      </c>
      <c r="L25" s="167" t="s">
        <v>1237</v>
      </c>
      <c r="M25" s="168" t="s">
        <v>1245</v>
      </c>
      <c r="N25" s="169">
        <v>2035</v>
      </c>
      <c r="O25" s="170">
        <v>700</v>
      </c>
      <c r="P25" s="171">
        <v>700</v>
      </c>
    </row>
    <row r="26" spans="11:16">
      <c r="K26" s="167" t="s">
        <v>1235</v>
      </c>
      <c r="L26" s="167" t="s">
        <v>1237</v>
      </c>
      <c r="M26" s="168" t="s">
        <v>1247</v>
      </c>
      <c r="N26" s="169">
        <v>2030</v>
      </c>
      <c r="O26" s="170">
        <v>700</v>
      </c>
      <c r="P26" s="171">
        <v>700</v>
      </c>
    </row>
    <row r="27" spans="11:16">
      <c r="K27" s="163" t="s">
        <v>1235</v>
      </c>
      <c r="L27" s="163" t="s">
        <v>1237</v>
      </c>
      <c r="M27" s="164" t="s">
        <v>1248</v>
      </c>
      <c r="N27" s="165">
        <v>2040</v>
      </c>
      <c r="O27" s="166">
        <v>700</v>
      </c>
      <c r="P27" s="172">
        <v>700</v>
      </c>
    </row>
    <row r="28" spans="11:16">
      <c r="K28" s="14" t="s">
        <v>1252</v>
      </c>
      <c r="L28" s="14"/>
      <c r="M28" s="14"/>
      <c r="N28" s="14"/>
      <c r="O28" s="14"/>
      <c r="P28" s="14"/>
    </row>
    <row r="29" spans="11:16">
      <c r="K29" s="167" t="s">
        <v>1235</v>
      </c>
      <c r="L29" s="167" t="s">
        <v>1241</v>
      </c>
      <c r="O29" s="6">
        <f>SUM(O9:O10)</f>
        <v>1000</v>
      </c>
      <c r="P29" s="173">
        <f>SUM(P9:P10)</f>
        <v>1000</v>
      </c>
    </row>
    <row r="30" spans="11:16">
      <c r="K30" s="167" t="s">
        <v>1235</v>
      </c>
      <c r="L30" s="167" t="s">
        <v>1234</v>
      </c>
      <c r="O30" s="6">
        <f>SUM(O11:O15)</f>
        <v>4000</v>
      </c>
      <c r="P30" s="6">
        <f>SUM(P11:P15)</f>
        <v>4100</v>
      </c>
    </row>
    <row r="31" spans="11:16">
      <c r="K31" s="167" t="s">
        <v>1235</v>
      </c>
      <c r="L31" s="167" t="s">
        <v>1242</v>
      </c>
      <c r="O31" s="6">
        <f>SUM(O16:O19)</f>
        <v>2000</v>
      </c>
      <c r="P31" s="173">
        <f>SUM(P16:P19)</f>
        <v>2000</v>
      </c>
    </row>
    <row r="32" spans="11:16">
      <c r="K32" s="167" t="s">
        <v>1235</v>
      </c>
      <c r="L32" s="167" t="s">
        <v>1239</v>
      </c>
      <c r="O32" s="6">
        <f>SUM(O20:O24)</f>
        <v>2800</v>
      </c>
      <c r="P32" s="173">
        <f>SUM(P20:P24)</f>
        <v>2800</v>
      </c>
    </row>
    <row r="33" spans="1:25">
      <c r="K33" s="167" t="s">
        <v>1235</v>
      </c>
      <c r="L33" s="167" t="s">
        <v>1237</v>
      </c>
      <c r="O33" s="6">
        <f>SUM(O25:O27)</f>
        <v>2100</v>
      </c>
      <c r="P33" s="173">
        <f>SUM(P25:P27)</f>
        <v>2100</v>
      </c>
    </row>
    <row r="35" spans="1:25">
      <c r="A35" s="177" t="s">
        <v>1243</v>
      </c>
      <c r="B35" s="176"/>
      <c r="C35" s="176"/>
      <c r="D35" s="176"/>
      <c r="E35" s="176"/>
      <c r="F35" s="176"/>
      <c r="G35" s="176"/>
      <c r="H35" s="176"/>
      <c r="I35" s="176"/>
      <c r="J35" s="176"/>
      <c r="K35" s="176"/>
      <c r="L35" s="176"/>
      <c r="M35" s="176"/>
      <c r="N35" s="176"/>
      <c r="O35" s="176"/>
      <c r="P35" s="176"/>
      <c r="Q35" s="176"/>
      <c r="R35" s="176"/>
      <c r="S35" s="176"/>
      <c r="T35" s="176"/>
      <c r="U35" s="176"/>
      <c r="V35" s="176"/>
      <c r="W35" s="176"/>
      <c r="X35" s="176"/>
      <c r="Y35" s="176"/>
    </row>
    <row r="36" spans="1:25">
      <c r="A36" s="45" t="s">
        <v>71</v>
      </c>
      <c r="B36" s="69" t="s">
        <v>1302</v>
      </c>
      <c r="C36" s="45"/>
      <c r="D36" s="45"/>
      <c r="E36" s="45"/>
      <c r="F36" s="45"/>
      <c r="G36" s="45"/>
      <c r="H36" s="45"/>
      <c r="I36" s="45"/>
      <c r="J36" s="45"/>
      <c r="K36" s="45"/>
      <c r="L36" s="45"/>
      <c r="M36" s="45"/>
      <c r="N36" s="45"/>
      <c r="O36" s="45"/>
      <c r="Q36" s="98" t="s">
        <v>1324</v>
      </c>
      <c r="R36" s="45"/>
      <c r="S36" s="45"/>
      <c r="T36" s="45"/>
      <c r="U36" s="45"/>
      <c r="V36" s="45"/>
    </row>
    <row r="37" spans="1:25">
      <c r="A37" s="14"/>
      <c r="B37" s="14"/>
      <c r="C37" s="179" t="s">
        <v>1308</v>
      </c>
      <c r="D37" s="14"/>
      <c r="E37" s="14"/>
      <c r="F37" s="14"/>
      <c r="G37" s="179" t="s">
        <v>1309</v>
      </c>
      <c r="H37" s="14"/>
      <c r="I37" s="14"/>
      <c r="J37" s="179" t="s">
        <v>1316</v>
      </c>
      <c r="K37" s="14"/>
      <c r="L37" s="179" t="s">
        <v>1284</v>
      </c>
      <c r="M37" s="14"/>
      <c r="N37" s="14"/>
      <c r="O37" s="14"/>
      <c r="Q37" s="98" t="s">
        <v>1299</v>
      </c>
      <c r="R37" s="98"/>
      <c r="S37" s="98"/>
      <c r="T37" s="98"/>
      <c r="U37" s="98"/>
      <c r="V37" s="45"/>
    </row>
    <row r="38" spans="1:25">
      <c r="A38" s="14"/>
      <c r="B38" s="14"/>
      <c r="C38" s="179" t="s">
        <v>1303</v>
      </c>
      <c r="D38" s="14" t="s">
        <v>1304</v>
      </c>
      <c r="E38" s="14" t="s">
        <v>1305</v>
      </c>
      <c r="F38" s="14" t="s">
        <v>411</v>
      </c>
      <c r="G38" s="179" t="s">
        <v>1318</v>
      </c>
      <c r="H38" s="14"/>
      <c r="I38" s="14" t="s">
        <v>1319</v>
      </c>
      <c r="J38" s="179"/>
      <c r="K38" s="14"/>
      <c r="L38" s="179" t="s">
        <v>1303</v>
      </c>
      <c r="M38" s="14" t="s">
        <v>1304</v>
      </c>
      <c r="N38" s="14" t="s">
        <v>1305</v>
      </c>
      <c r="O38" s="14" t="s">
        <v>411</v>
      </c>
      <c r="Q38" s="98" t="s">
        <v>1300</v>
      </c>
      <c r="R38" s="98"/>
      <c r="S38" s="98"/>
      <c r="T38" s="98"/>
      <c r="U38" s="98"/>
      <c r="V38" s="45"/>
    </row>
    <row r="39" spans="1:25">
      <c r="A39" s="1" t="s">
        <v>1286</v>
      </c>
      <c r="B39" s="35" t="s">
        <v>1291</v>
      </c>
      <c r="C39" s="180">
        <v>2</v>
      </c>
      <c r="D39" s="22">
        <v>1</v>
      </c>
      <c r="E39" s="22"/>
      <c r="F39" s="6">
        <f t="shared" ref="F39:F50" si="2">C39*$C$59+D39*$D$59+E39*$E$59</f>
        <v>2300</v>
      </c>
      <c r="G39" s="180" t="s">
        <v>1311</v>
      </c>
      <c r="H39" s="22"/>
      <c r="I39" s="22"/>
      <c r="J39" s="178"/>
      <c r="L39" s="184">
        <v>3</v>
      </c>
      <c r="M39" s="108"/>
      <c r="N39" s="108"/>
      <c r="O39" s="24">
        <f t="shared" ref="O39:O50" si="3">L39*$C$59+M39*$D$59+N39*$E$59</f>
        <v>3000</v>
      </c>
      <c r="Q39" s="98" t="s">
        <v>1301</v>
      </c>
      <c r="R39" s="98"/>
      <c r="S39" s="98"/>
      <c r="T39" s="98"/>
      <c r="U39" s="98"/>
      <c r="V39" s="45"/>
    </row>
    <row r="40" spans="1:25">
      <c r="A40" s="1" t="s">
        <v>1286</v>
      </c>
      <c r="B40" s="35" t="s">
        <v>1292</v>
      </c>
      <c r="C40" s="180">
        <v>1</v>
      </c>
      <c r="D40" s="22"/>
      <c r="E40" s="22"/>
      <c r="F40" s="6">
        <f t="shared" si="2"/>
        <v>1000</v>
      </c>
      <c r="G40" s="182" t="s">
        <v>1312</v>
      </c>
      <c r="H40" s="22"/>
      <c r="I40" s="139" t="s">
        <v>1310</v>
      </c>
      <c r="J40" s="178"/>
      <c r="L40" s="184">
        <v>2</v>
      </c>
      <c r="M40" s="108"/>
      <c r="N40" s="108"/>
      <c r="O40" s="24">
        <f t="shared" si="3"/>
        <v>2000</v>
      </c>
      <c r="Q40" s="14"/>
      <c r="R40" s="14"/>
      <c r="S40" s="102">
        <v>2025</v>
      </c>
      <c r="T40" s="102">
        <v>2035</v>
      </c>
      <c r="U40" s="185" t="s">
        <v>1298</v>
      </c>
      <c r="V40" s="14"/>
    </row>
    <row r="41" spans="1:25">
      <c r="A41" s="1" t="s">
        <v>1286</v>
      </c>
      <c r="B41" s="35" t="s">
        <v>1293</v>
      </c>
      <c r="C41" s="180">
        <v>1</v>
      </c>
      <c r="D41" s="22">
        <v>1</v>
      </c>
      <c r="E41" s="22">
        <v>1</v>
      </c>
      <c r="F41" s="6">
        <f t="shared" si="2"/>
        <v>1400</v>
      </c>
      <c r="G41" s="182" t="s">
        <v>1313</v>
      </c>
      <c r="H41" s="22"/>
      <c r="I41" s="22"/>
      <c r="J41" s="178"/>
      <c r="L41" s="184">
        <v>1</v>
      </c>
      <c r="M41" s="108">
        <v>1</v>
      </c>
      <c r="N41" s="108">
        <v>1</v>
      </c>
      <c r="O41" s="24">
        <f t="shared" si="3"/>
        <v>1400</v>
      </c>
      <c r="Q41" s="1" t="s">
        <v>1286</v>
      </c>
      <c r="R41" s="35" t="s">
        <v>1291</v>
      </c>
      <c r="S41" s="9">
        <v>1200</v>
      </c>
      <c r="T41" s="9">
        <v>1600</v>
      </c>
      <c r="U41" s="9">
        <f>T41-S41</f>
        <v>400</v>
      </c>
    </row>
    <row r="42" spans="1:25">
      <c r="A42" s="1" t="s">
        <v>1285</v>
      </c>
      <c r="B42" s="35" t="s">
        <v>1292</v>
      </c>
      <c r="C42" s="180">
        <v>4</v>
      </c>
      <c r="D42" s="22">
        <v>3</v>
      </c>
      <c r="E42" s="22"/>
      <c r="F42" s="6">
        <f t="shared" si="2"/>
        <v>4900</v>
      </c>
      <c r="G42" s="180" t="s">
        <v>1314</v>
      </c>
      <c r="H42" s="22"/>
      <c r="I42" s="139" t="s">
        <v>1310</v>
      </c>
      <c r="J42" s="178"/>
      <c r="L42" s="184">
        <v>6</v>
      </c>
      <c r="M42" s="108">
        <v>2</v>
      </c>
      <c r="N42" s="108">
        <v>1</v>
      </c>
      <c r="O42" s="24">
        <f t="shared" si="3"/>
        <v>6700</v>
      </c>
      <c r="Q42" s="1" t="s">
        <v>1286</v>
      </c>
      <c r="R42" s="35" t="s">
        <v>1292</v>
      </c>
      <c r="S42" s="9">
        <v>1800</v>
      </c>
      <c r="T42" s="9">
        <v>3000</v>
      </c>
      <c r="U42" s="9">
        <f t="shared" ref="U42:U50" si="4">T42-S42</f>
        <v>1200</v>
      </c>
    </row>
    <row r="43" spans="1:25">
      <c r="A43" s="1" t="s">
        <v>1285</v>
      </c>
      <c r="B43" s="35" t="s">
        <v>1294</v>
      </c>
      <c r="C43" s="180">
        <v>2</v>
      </c>
      <c r="D43" s="22">
        <v>1</v>
      </c>
      <c r="E43" s="22"/>
      <c r="F43" s="6">
        <f t="shared" si="2"/>
        <v>2300</v>
      </c>
      <c r="G43" s="180"/>
      <c r="H43" s="22"/>
      <c r="I43" s="22"/>
      <c r="J43" s="178"/>
      <c r="L43" s="184">
        <v>2</v>
      </c>
      <c r="M43" s="108">
        <v>1</v>
      </c>
      <c r="N43" s="108"/>
      <c r="O43" s="24">
        <f t="shared" si="3"/>
        <v>2300</v>
      </c>
      <c r="Q43" s="1" t="s">
        <v>1286</v>
      </c>
      <c r="R43" s="35" t="s">
        <v>1293</v>
      </c>
      <c r="S43" s="9">
        <v>1200</v>
      </c>
      <c r="T43" s="9">
        <v>2400</v>
      </c>
      <c r="U43" s="9">
        <f t="shared" si="4"/>
        <v>1200</v>
      </c>
    </row>
    <row r="44" spans="1:25">
      <c r="A44" s="1" t="s">
        <v>1287</v>
      </c>
      <c r="B44" s="35" t="s">
        <v>1294</v>
      </c>
      <c r="C44" s="180">
        <v>1</v>
      </c>
      <c r="D44" s="22">
        <v>1</v>
      </c>
      <c r="E44" s="22"/>
      <c r="F44" s="6">
        <f t="shared" si="2"/>
        <v>1300</v>
      </c>
      <c r="G44" s="180" t="s">
        <v>1315</v>
      </c>
      <c r="H44" s="22"/>
      <c r="I44" s="22"/>
      <c r="J44" s="178"/>
      <c r="L44" s="184">
        <v>3</v>
      </c>
      <c r="M44" s="108"/>
      <c r="N44" s="108">
        <v>1</v>
      </c>
      <c r="O44" s="24">
        <f t="shared" si="3"/>
        <v>3100</v>
      </c>
      <c r="Q44" s="1" t="s">
        <v>1285</v>
      </c>
      <c r="R44" s="35" t="s">
        <v>1292</v>
      </c>
      <c r="S44" s="9">
        <v>1200</v>
      </c>
      <c r="T44" s="9">
        <v>2400</v>
      </c>
      <c r="U44" s="9">
        <f t="shared" si="4"/>
        <v>1200</v>
      </c>
    </row>
    <row r="45" spans="1:25">
      <c r="A45" s="1" t="s">
        <v>1287</v>
      </c>
      <c r="B45" s="35" t="s">
        <v>1295</v>
      </c>
      <c r="C45" s="180"/>
      <c r="D45" s="22"/>
      <c r="E45" s="22"/>
      <c r="F45" s="6">
        <f t="shared" si="2"/>
        <v>0</v>
      </c>
      <c r="G45" s="180"/>
      <c r="H45" s="22"/>
      <c r="I45" s="22"/>
      <c r="J45" s="178"/>
      <c r="L45" s="184"/>
      <c r="M45" s="108"/>
      <c r="N45" s="108"/>
      <c r="O45" s="24">
        <f t="shared" si="3"/>
        <v>0</v>
      </c>
      <c r="Q45" s="1" t="s">
        <v>1285</v>
      </c>
      <c r="R45" s="35" t="s">
        <v>1294</v>
      </c>
      <c r="S45" s="9">
        <v>1500</v>
      </c>
      <c r="T45" s="9">
        <v>1800</v>
      </c>
      <c r="U45" s="9">
        <f t="shared" si="4"/>
        <v>300</v>
      </c>
    </row>
    <row r="46" spans="1:25">
      <c r="A46" s="1" t="s">
        <v>1287</v>
      </c>
      <c r="B46" s="35" t="s">
        <v>1296</v>
      </c>
      <c r="C46" s="180">
        <v>1</v>
      </c>
      <c r="D46" s="22">
        <v>1</v>
      </c>
      <c r="E46" s="22"/>
      <c r="F46" s="6">
        <f t="shared" si="2"/>
        <v>1300</v>
      </c>
      <c r="G46" s="181"/>
      <c r="H46" s="22"/>
      <c r="I46" s="22"/>
      <c r="J46" s="183" t="s">
        <v>1317</v>
      </c>
      <c r="L46" s="184">
        <v>1</v>
      </c>
      <c r="M46" s="108">
        <v>1</v>
      </c>
      <c r="N46" s="108"/>
      <c r="O46" s="24">
        <f t="shared" si="3"/>
        <v>1300</v>
      </c>
      <c r="Q46" s="1" t="s">
        <v>1287</v>
      </c>
      <c r="R46" s="35" t="s">
        <v>1294</v>
      </c>
      <c r="S46" s="9">
        <v>1500</v>
      </c>
      <c r="T46" s="9">
        <v>1800</v>
      </c>
      <c r="U46" s="9">
        <f t="shared" si="4"/>
        <v>300</v>
      </c>
    </row>
    <row r="47" spans="1:25">
      <c r="A47" s="1" t="s">
        <v>1288</v>
      </c>
      <c r="B47" s="35" t="s">
        <v>1295</v>
      </c>
      <c r="C47" s="180">
        <v>1</v>
      </c>
      <c r="D47" s="22">
        <v>3</v>
      </c>
      <c r="E47" s="22"/>
      <c r="F47" s="6">
        <f t="shared" si="2"/>
        <v>1900</v>
      </c>
      <c r="G47" s="180"/>
      <c r="H47" s="22"/>
      <c r="I47" s="22"/>
      <c r="J47" s="178"/>
      <c r="L47" s="184">
        <v>1</v>
      </c>
      <c r="M47" s="108">
        <v>3</v>
      </c>
      <c r="N47" s="108"/>
      <c r="O47" s="24">
        <f t="shared" si="3"/>
        <v>1900</v>
      </c>
      <c r="Q47" s="1" t="s">
        <v>1287</v>
      </c>
      <c r="R47" s="35" t="s">
        <v>1295</v>
      </c>
      <c r="S47" s="9">
        <v>1200</v>
      </c>
      <c r="T47" s="9">
        <v>2000</v>
      </c>
      <c r="U47" s="9">
        <f t="shared" si="4"/>
        <v>800</v>
      </c>
    </row>
    <row r="48" spans="1:25">
      <c r="A48" s="1" t="s">
        <v>1289</v>
      </c>
      <c r="B48" s="35" t="s">
        <v>1295</v>
      </c>
      <c r="C48" s="180"/>
      <c r="D48" s="22">
        <v>1</v>
      </c>
      <c r="E48" s="22"/>
      <c r="F48" s="6">
        <f t="shared" si="2"/>
        <v>300</v>
      </c>
      <c r="G48" s="180"/>
      <c r="H48" s="22"/>
      <c r="I48" s="22"/>
      <c r="J48" s="178"/>
      <c r="L48" s="184"/>
      <c r="M48" s="108">
        <v>1</v>
      </c>
      <c r="N48" s="108"/>
      <c r="O48" s="24">
        <f t="shared" si="3"/>
        <v>300</v>
      </c>
      <c r="Q48" s="1" t="s">
        <v>1287</v>
      </c>
      <c r="R48" s="35" t="s">
        <v>1296</v>
      </c>
      <c r="S48" s="9">
        <v>1200</v>
      </c>
      <c r="T48" s="9">
        <v>1800</v>
      </c>
      <c r="U48" s="9">
        <f t="shared" si="4"/>
        <v>600</v>
      </c>
    </row>
    <row r="49" spans="1:21">
      <c r="A49" s="1" t="s">
        <v>1289</v>
      </c>
      <c r="B49" s="35" t="s">
        <v>1297</v>
      </c>
      <c r="C49" s="180">
        <v>4</v>
      </c>
      <c r="D49" s="22">
        <v>3</v>
      </c>
      <c r="E49" s="22"/>
      <c r="F49" s="6">
        <f t="shared" si="2"/>
        <v>4900</v>
      </c>
      <c r="G49" s="181"/>
      <c r="H49" s="22"/>
      <c r="I49" s="22" t="s">
        <v>1310</v>
      </c>
      <c r="J49" s="183" t="s">
        <v>1317</v>
      </c>
      <c r="L49" s="184">
        <v>5</v>
      </c>
      <c r="M49" s="108">
        <v>3</v>
      </c>
      <c r="N49" s="108"/>
      <c r="O49" s="24">
        <f t="shared" si="3"/>
        <v>5900</v>
      </c>
      <c r="Q49" s="1" t="s">
        <v>1288</v>
      </c>
      <c r="R49" s="35" t="s">
        <v>1295</v>
      </c>
      <c r="S49" s="9">
        <v>1200</v>
      </c>
      <c r="T49" s="9">
        <v>1800</v>
      </c>
      <c r="U49" s="9">
        <f t="shared" si="4"/>
        <v>600</v>
      </c>
    </row>
    <row r="50" spans="1:21">
      <c r="A50" s="1" t="s">
        <v>1290</v>
      </c>
      <c r="B50" s="35" t="s">
        <v>1297</v>
      </c>
      <c r="C50" s="180">
        <v>2</v>
      </c>
      <c r="D50" s="22">
        <v>1</v>
      </c>
      <c r="E50" s="22"/>
      <c r="F50" s="6">
        <f t="shared" si="2"/>
        <v>2300</v>
      </c>
      <c r="G50" s="180"/>
      <c r="H50" s="22"/>
      <c r="I50" s="22"/>
      <c r="J50" s="178"/>
      <c r="L50" s="184">
        <v>2</v>
      </c>
      <c r="M50" s="108">
        <v>1</v>
      </c>
      <c r="N50" s="108"/>
      <c r="O50" s="24">
        <f t="shared" si="3"/>
        <v>2300</v>
      </c>
      <c r="Q50" s="1" t="s">
        <v>1289</v>
      </c>
      <c r="R50" s="35" t="s">
        <v>1297</v>
      </c>
      <c r="S50" s="9">
        <v>1800</v>
      </c>
      <c r="T50" s="9">
        <v>2200</v>
      </c>
      <c r="U50" s="9">
        <f t="shared" si="4"/>
        <v>400</v>
      </c>
    </row>
    <row r="51" spans="1:21">
      <c r="C51" s="22"/>
      <c r="D51" s="22"/>
      <c r="E51" s="22"/>
      <c r="F51" s="6">
        <f>SUM(F39:F50)</f>
        <v>23900</v>
      </c>
      <c r="M51" s="6"/>
      <c r="O51" s="6">
        <f>SUM(O39:O50)</f>
        <v>30200</v>
      </c>
      <c r="Q51" s="1" t="s">
        <v>1290</v>
      </c>
      <c r="R51" s="35" t="s">
        <v>1297</v>
      </c>
      <c r="S51" s="9">
        <v>1200</v>
      </c>
      <c r="T51" s="9">
        <v>1500</v>
      </c>
      <c r="U51" s="9">
        <f>T51-S51</f>
        <v>300</v>
      </c>
    </row>
    <row r="52" spans="1:21">
      <c r="Q52" s="1" t="s">
        <v>1289</v>
      </c>
      <c r="R52" s="35" t="s">
        <v>1295</v>
      </c>
      <c r="S52" s="9">
        <v>700</v>
      </c>
      <c r="T52" s="9">
        <v>1000</v>
      </c>
      <c r="U52" s="9">
        <f>T52-S52</f>
        <v>300</v>
      </c>
    </row>
    <row r="53" spans="1:21">
      <c r="A53" s="45" t="s">
        <v>1321</v>
      </c>
      <c r="B53" s="45"/>
      <c r="C53" s="45"/>
      <c r="D53" s="45"/>
      <c r="E53" s="45"/>
      <c r="F53" s="45"/>
      <c r="S53" s="9">
        <f>SUM(S41:S52)</f>
        <v>15700</v>
      </c>
      <c r="T53" s="9">
        <f t="shared" ref="T53:U53" si="5">SUM(T41:T52)</f>
        <v>23300</v>
      </c>
      <c r="U53" s="9">
        <f t="shared" si="5"/>
        <v>7600</v>
      </c>
    </row>
    <row r="54" spans="1:21">
      <c r="A54" s="45" t="s">
        <v>71</v>
      </c>
      <c r="B54" s="45" t="s">
        <v>1323</v>
      </c>
      <c r="C54" s="45"/>
      <c r="D54" s="45"/>
      <c r="E54" s="45"/>
      <c r="F54" s="45"/>
    </row>
    <row r="55" spans="1:21">
      <c r="A55" s="45"/>
      <c r="B55" s="69" t="s">
        <v>1322</v>
      </c>
      <c r="C55" s="45"/>
      <c r="D55" s="45"/>
      <c r="E55" s="45"/>
      <c r="F55" s="45"/>
    </row>
    <row r="56" spans="1:21">
      <c r="A56" s="14" t="s">
        <v>1321</v>
      </c>
      <c r="B56" s="14"/>
      <c r="C56" s="14" t="s">
        <v>1303</v>
      </c>
      <c r="D56" s="14" t="s">
        <v>1304</v>
      </c>
      <c r="E56" s="14" t="s">
        <v>1305</v>
      </c>
    </row>
    <row r="57" spans="1:21">
      <c r="A57" s="102" t="s">
        <v>1306</v>
      </c>
      <c r="B57" s="14"/>
      <c r="C57" s="54">
        <v>700</v>
      </c>
      <c r="D57" s="54">
        <v>230</v>
      </c>
      <c r="E57" s="54">
        <v>60</v>
      </c>
    </row>
    <row r="58" spans="1:21">
      <c r="A58" s="102" t="s">
        <v>1307</v>
      </c>
      <c r="B58" s="14"/>
      <c r="C58" s="54">
        <v>1030</v>
      </c>
      <c r="D58" s="54">
        <v>320</v>
      </c>
      <c r="E58" s="54">
        <v>95</v>
      </c>
    </row>
    <row r="59" spans="1:21">
      <c r="A59" s="14" t="s">
        <v>1320</v>
      </c>
      <c r="B59" s="14"/>
      <c r="C59" s="108">
        <v>1000</v>
      </c>
      <c r="D59" s="108">
        <v>300</v>
      </c>
      <c r="E59" s="108">
        <v>100</v>
      </c>
    </row>
  </sheetData>
  <mergeCells count="5">
    <mergeCell ref="M4:N4"/>
    <mergeCell ref="O4:P4"/>
    <mergeCell ref="W6:W7"/>
    <mergeCell ref="X6:X8"/>
    <mergeCell ref="Y6:Y8"/>
  </mergeCells>
  <hyperlinks>
    <hyperlink ref="B3" r:id="rId1" display="https://www.fingrid.fi/en/grid/development/part-of-the-nordic-power-system/" xr:uid="{A856FD75-3492-42EF-81A7-4D0F912A1179}"/>
    <hyperlink ref="B4" r:id="rId2" display="https://www.fingrid.fi/globalassets/dokumentit/fi/kantaverkko/kantaverkon-kehittaminen/fingrid_kehittamissuunnitelma_syksy23_en.pdf" xr:uid="{3C899368-2B38-43B5-9F68-3F6A327D98B5}"/>
    <hyperlink ref="V4" r:id="rId3" xr:uid="{7C4A4BC1-CD48-44A3-AC42-E8F12BB27758}"/>
    <hyperlink ref="B55" r:id="rId4" display="https://www.e-cigre.org/publications/detail/207-thermal-behaviour-of-overhead-conductors.html" xr:uid="{02EF5042-0E7E-4349-A5D8-5B532D8169AE}"/>
    <hyperlink ref="B36" r:id="rId5" display="https://karttapalaute.fingrid.fi/?link=hDzo" xr:uid="{CC4B8EB2-20C5-4E74-BE33-47C2E674F72C}"/>
  </hyperlinks>
  <pageMargins left="0.7" right="0.7" top="0.75" bottom="0.75" header="0.3" footer="0.3"/>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D1318-F233-4884-A016-B3428AE5C910}">
  <sheetPr>
    <tabColor theme="9" tint="-0.499984740745262"/>
  </sheetPr>
  <dimension ref="A1:P54"/>
  <sheetViews>
    <sheetView workbookViewId="0">
      <selection activeCell="B31" sqref="B31"/>
    </sheetView>
  </sheetViews>
  <sheetFormatPr defaultColWidth="9.140625" defaultRowHeight="15"/>
  <cols>
    <col min="1" max="1" width="11.140625" style="1" customWidth="1"/>
    <col min="2" max="2" width="9.140625" style="1"/>
    <col min="3" max="3" width="9.42578125" style="1" customWidth="1"/>
    <col min="4" max="6" width="9.140625" style="1"/>
    <col min="7" max="7" width="9.85546875" style="1" customWidth="1"/>
    <col min="8" max="16384" width="9.140625" style="1"/>
  </cols>
  <sheetData>
    <row r="1" spans="1:16">
      <c r="A1" s="65" t="s">
        <v>57</v>
      </c>
      <c r="B1" s="36"/>
      <c r="C1" s="36"/>
      <c r="D1" s="36"/>
      <c r="E1" s="36"/>
      <c r="F1" s="36"/>
      <c r="G1" s="36"/>
      <c r="H1" s="36"/>
      <c r="I1" s="36"/>
      <c r="J1" s="36"/>
      <c r="L1" s="36" t="s">
        <v>1347</v>
      </c>
      <c r="M1" s="36"/>
      <c r="N1" s="36"/>
      <c r="O1" s="36"/>
      <c r="P1" s="36"/>
    </row>
    <row r="2" spans="1:16">
      <c r="A2" s="37" t="s">
        <v>71</v>
      </c>
      <c r="B2" s="45"/>
      <c r="C2" s="37" t="s">
        <v>1210</v>
      </c>
      <c r="D2" s="37"/>
      <c r="E2" s="37"/>
      <c r="F2" s="37"/>
      <c r="G2" s="37"/>
      <c r="H2" s="45"/>
      <c r="I2" s="45"/>
      <c r="J2" s="45"/>
      <c r="L2" s="14" t="s">
        <v>1238</v>
      </c>
      <c r="M2" s="14"/>
      <c r="N2" s="35"/>
      <c r="O2" s="35"/>
    </row>
    <row r="3" spans="1:16">
      <c r="A3" s="37"/>
      <c r="B3" s="45"/>
      <c r="C3" s="37" t="s">
        <v>1211</v>
      </c>
      <c r="D3" s="37"/>
      <c r="E3" s="37"/>
      <c r="F3" s="37"/>
      <c r="G3" s="37"/>
      <c r="H3" s="45"/>
      <c r="I3" s="45"/>
      <c r="J3" s="45"/>
      <c r="L3" s="1" t="s">
        <v>1240</v>
      </c>
      <c r="M3" s="1" t="s">
        <v>1234</v>
      </c>
      <c r="N3" s="35">
        <v>7899</v>
      </c>
      <c r="O3" s="35">
        <v>7546</v>
      </c>
    </row>
    <row r="4" spans="1:16">
      <c r="A4" s="46" t="s">
        <v>72</v>
      </c>
      <c r="B4" s="47"/>
      <c r="C4" s="232" t="s">
        <v>76</v>
      </c>
      <c r="D4" s="232"/>
      <c r="E4" s="232"/>
      <c r="F4" s="232"/>
      <c r="G4" s="232"/>
      <c r="H4" s="232"/>
      <c r="I4" s="232"/>
      <c r="J4" s="232"/>
      <c r="L4" s="1" t="s">
        <v>1231</v>
      </c>
      <c r="M4" s="1" t="s">
        <v>1236</v>
      </c>
      <c r="N4" s="35">
        <v>21000</v>
      </c>
      <c r="O4" s="35">
        <v>21000</v>
      </c>
    </row>
    <row r="5" spans="1:16">
      <c r="A5" s="46"/>
      <c r="B5" s="47"/>
      <c r="C5" s="232"/>
      <c r="D5" s="232"/>
      <c r="E5" s="232"/>
      <c r="F5" s="232"/>
      <c r="G5" s="232"/>
      <c r="H5" s="232"/>
      <c r="I5" s="232"/>
      <c r="J5" s="232"/>
      <c r="L5" s="1" t="s">
        <v>1233</v>
      </c>
      <c r="M5" s="1" t="s">
        <v>1237</v>
      </c>
      <c r="N5" s="35">
        <v>8330</v>
      </c>
      <c r="O5" s="35">
        <v>4205</v>
      </c>
    </row>
    <row r="6" spans="1:16">
      <c r="A6" s="37"/>
      <c r="B6" s="37"/>
      <c r="C6" s="48" t="s">
        <v>73</v>
      </c>
      <c r="D6" s="37"/>
      <c r="E6" s="37"/>
      <c r="F6" s="37"/>
      <c r="G6" s="37"/>
      <c r="H6" s="45"/>
      <c r="I6" s="45"/>
      <c r="J6" s="45"/>
    </row>
    <row r="7" spans="1:16">
      <c r="A7" s="62"/>
      <c r="B7" s="62"/>
      <c r="C7" s="63"/>
      <c r="D7" s="64"/>
      <c r="E7" s="64" t="s">
        <v>74</v>
      </c>
      <c r="F7" s="64" t="s">
        <v>75</v>
      </c>
      <c r="G7" s="39"/>
      <c r="L7" s="1" t="s">
        <v>1325</v>
      </c>
    </row>
    <row r="8" spans="1:16">
      <c r="A8" s="233" t="s">
        <v>1212</v>
      </c>
      <c r="B8" s="38" t="s">
        <v>52</v>
      </c>
      <c r="D8" s="239" t="s">
        <v>70</v>
      </c>
      <c r="E8" s="10">
        <v>15300</v>
      </c>
      <c r="F8" s="9">
        <v>146690</v>
      </c>
      <c r="L8" s="1" t="s">
        <v>1240</v>
      </c>
      <c r="M8" s="1" t="s">
        <v>1258</v>
      </c>
      <c r="N8" s="1">
        <v>8000</v>
      </c>
    </row>
    <row r="9" spans="1:16">
      <c r="A9" s="234"/>
      <c r="B9" s="39" t="s">
        <v>59</v>
      </c>
      <c r="D9" s="239"/>
      <c r="E9" s="9">
        <v>55310</v>
      </c>
      <c r="F9" s="9">
        <v>326130</v>
      </c>
      <c r="L9" s="1" t="s">
        <v>1258</v>
      </c>
      <c r="M9" s="1" t="s">
        <v>1231</v>
      </c>
      <c r="N9" s="1">
        <v>8000</v>
      </c>
    </row>
    <row r="10" spans="1:16">
      <c r="A10" s="235"/>
      <c r="B10" s="40" t="s">
        <v>60</v>
      </c>
      <c r="C10" s="44"/>
      <c r="D10" s="240"/>
      <c r="E10" s="66">
        <v>500</v>
      </c>
      <c r="F10" s="66">
        <v>21860</v>
      </c>
      <c r="L10" s="1" t="s">
        <v>1258</v>
      </c>
      <c r="M10" s="1" t="s">
        <v>1326</v>
      </c>
      <c r="N10" s="1">
        <v>8000</v>
      </c>
    </row>
    <row r="11" spans="1:16">
      <c r="A11" s="233" t="s">
        <v>1213</v>
      </c>
      <c r="B11" s="38" t="s">
        <v>52</v>
      </c>
      <c r="C11" s="50"/>
      <c r="D11" s="241" t="s">
        <v>69</v>
      </c>
      <c r="E11" s="60">
        <v>50.48</v>
      </c>
      <c r="F11" s="51">
        <v>397.6</v>
      </c>
      <c r="L11" s="1" t="s">
        <v>1326</v>
      </c>
      <c r="M11" s="1" t="s">
        <v>1232</v>
      </c>
      <c r="N11" s="1">
        <v>8000</v>
      </c>
    </row>
    <row r="12" spans="1:16">
      <c r="A12" s="234"/>
      <c r="B12" s="52" t="s">
        <v>59</v>
      </c>
      <c r="D12" s="239"/>
      <c r="E12" s="53">
        <v>-28.74</v>
      </c>
      <c r="F12" s="54">
        <v>175.80000000000004</v>
      </c>
      <c r="L12" s="1" t="s">
        <v>1232</v>
      </c>
      <c r="M12" s="1" t="s">
        <v>1233</v>
      </c>
      <c r="N12" s="1">
        <v>8000</v>
      </c>
    </row>
    <row r="13" spans="1:16">
      <c r="A13" s="234"/>
      <c r="B13" s="52" t="s">
        <v>60</v>
      </c>
      <c r="D13" s="239"/>
      <c r="E13" s="53">
        <v>2.2000000000000002</v>
      </c>
      <c r="F13" s="55">
        <v>156.96</v>
      </c>
    </row>
    <row r="14" spans="1:16">
      <c r="A14" s="235"/>
      <c r="B14" s="41" t="s">
        <v>2</v>
      </c>
      <c r="C14" s="44"/>
      <c r="D14" s="240"/>
      <c r="E14" s="56">
        <f>SUMIF(E11:E13,"&gt;0",E11:E13)</f>
        <v>52.68</v>
      </c>
      <c r="F14" s="57">
        <f>SUM(F11:F13)</f>
        <v>730.36000000000013</v>
      </c>
    </row>
    <row r="15" spans="1:16">
      <c r="A15" s="233" t="s">
        <v>1214</v>
      </c>
      <c r="B15" s="59" t="s">
        <v>63</v>
      </c>
      <c r="C15" s="50"/>
      <c r="D15" s="236" t="s">
        <v>78</v>
      </c>
      <c r="E15" s="60">
        <v>3.2</v>
      </c>
      <c r="F15" s="61">
        <v>108.9</v>
      </c>
    </row>
    <row r="16" spans="1:16">
      <c r="A16" s="234"/>
      <c r="B16" s="158" t="s">
        <v>64</v>
      </c>
      <c r="D16" s="237"/>
      <c r="E16" s="53">
        <v>3.18</v>
      </c>
      <c r="F16" s="55">
        <v>108.27000000000001</v>
      </c>
    </row>
    <row r="17" spans="1:10">
      <c r="A17" s="234"/>
      <c r="B17" s="158" t="s">
        <v>65</v>
      </c>
      <c r="D17" s="237"/>
      <c r="E17" s="53"/>
      <c r="F17" s="55">
        <v>7.1399999999999988</v>
      </c>
    </row>
    <row r="18" spans="1:10">
      <c r="A18" s="234"/>
      <c r="B18" s="158" t="s">
        <v>66</v>
      </c>
      <c r="D18" s="237"/>
      <c r="E18" s="53"/>
      <c r="F18" s="55">
        <v>3.5299999999999994</v>
      </c>
    </row>
    <row r="19" spans="1:10">
      <c r="A19" s="234"/>
      <c r="B19" s="158" t="s">
        <v>51</v>
      </c>
      <c r="D19" s="237"/>
      <c r="E19" s="53">
        <v>14.91</v>
      </c>
      <c r="F19" s="55">
        <v>588</v>
      </c>
    </row>
    <row r="20" spans="1:10">
      <c r="A20" s="234"/>
      <c r="B20" s="158" t="s">
        <v>67</v>
      </c>
      <c r="D20" s="237"/>
      <c r="E20" s="53">
        <v>2.66</v>
      </c>
      <c r="F20" s="55">
        <v>93.92</v>
      </c>
    </row>
    <row r="21" spans="1:10">
      <c r="A21" s="234"/>
      <c r="B21" s="52" t="s">
        <v>2</v>
      </c>
      <c r="D21" s="237"/>
      <c r="E21" s="43">
        <f>SUM(E15:E20)</f>
        <v>23.95</v>
      </c>
      <c r="F21" s="43">
        <f>SUM(F15:F20)</f>
        <v>909.76</v>
      </c>
    </row>
    <row r="22" spans="1:10">
      <c r="A22" s="234"/>
      <c r="B22" s="158" t="s">
        <v>68</v>
      </c>
      <c r="D22" s="237"/>
      <c r="E22" s="49">
        <f>E19/E21</f>
        <v>0.62254697286012528</v>
      </c>
      <c r="F22" s="49">
        <f>F19/F21</f>
        <v>0.64632430531129093</v>
      </c>
    </row>
    <row r="23" spans="1:10">
      <c r="A23" s="235"/>
      <c r="B23" s="159" t="s">
        <v>77</v>
      </c>
      <c r="C23" s="159"/>
      <c r="D23" s="238"/>
      <c r="E23" s="160">
        <f>E21*$F$11/$F$21</f>
        <v>10.467068237776997</v>
      </c>
      <c r="F23" s="161"/>
    </row>
    <row r="24" spans="1:10">
      <c r="A24" s="147" t="s">
        <v>1215</v>
      </c>
      <c r="B24" s="58" t="s">
        <v>1207</v>
      </c>
      <c r="C24" s="58"/>
      <c r="D24" s="236" t="s">
        <v>1216</v>
      </c>
      <c r="E24" s="162">
        <v>266.71679999999998</v>
      </c>
      <c r="F24" s="9">
        <v>8048.5536899999988</v>
      </c>
    </row>
    <row r="25" spans="1:10">
      <c r="A25" s="147"/>
      <c r="B25" s="58" t="s">
        <v>1208</v>
      </c>
      <c r="C25" s="58"/>
      <c r="D25" s="237"/>
      <c r="E25" s="24">
        <v>3129.4252076910821</v>
      </c>
      <c r="F25" s="6">
        <v>56360.978208333341</v>
      </c>
    </row>
    <row r="26" spans="1:10">
      <c r="A26" s="147"/>
      <c r="B26" s="58" t="s">
        <v>1209</v>
      </c>
      <c r="C26" s="58"/>
      <c r="D26" s="237"/>
      <c r="E26" s="24">
        <v>1659.0323663429911</v>
      </c>
      <c r="F26" s="6">
        <v>29879.188937499996</v>
      </c>
    </row>
    <row r="28" spans="1:10">
      <c r="A28" s="65" t="s">
        <v>79</v>
      </c>
      <c r="B28" s="36"/>
      <c r="C28" s="36"/>
      <c r="D28" s="36"/>
      <c r="E28" s="36"/>
      <c r="F28" s="36"/>
      <c r="G28" s="36"/>
      <c r="H28" s="36"/>
      <c r="I28" s="36"/>
      <c r="J28" s="36"/>
    </row>
    <row r="29" spans="1:10">
      <c r="A29" s="45" t="s">
        <v>1205</v>
      </c>
      <c r="B29" s="242" t="s">
        <v>1206</v>
      </c>
      <c r="C29" s="242"/>
      <c r="D29" s="242"/>
      <c r="E29" s="242"/>
      <c r="F29" s="242"/>
      <c r="G29" s="242"/>
      <c r="H29" s="242"/>
      <c r="I29" s="242"/>
      <c r="J29" s="242"/>
    </row>
    <row r="30" spans="1:10">
      <c r="A30" s="45"/>
      <c r="B30" s="242"/>
      <c r="C30" s="242"/>
      <c r="D30" s="242"/>
      <c r="E30" s="242"/>
      <c r="F30" s="242"/>
      <c r="G30" s="242"/>
      <c r="H30" s="242"/>
      <c r="I30" s="242"/>
      <c r="J30" s="242"/>
    </row>
    <row r="31" spans="1:10">
      <c r="A31" s="45"/>
      <c r="B31" s="45" t="s">
        <v>1221</v>
      </c>
      <c r="C31" s="45"/>
      <c r="D31" s="45"/>
      <c r="E31" s="45"/>
      <c r="F31" s="45"/>
      <c r="G31" s="45"/>
      <c r="H31" s="45"/>
      <c r="I31" s="45"/>
      <c r="J31" s="45"/>
    </row>
    <row r="32" spans="1:10">
      <c r="A32" s="45"/>
      <c r="B32" s="45" t="s">
        <v>1350</v>
      </c>
      <c r="C32" s="45"/>
      <c r="D32" s="45"/>
      <c r="E32" s="45"/>
      <c r="F32" s="45"/>
      <c r="G32" s="45"/>
      <c r="H32" s="45"/>
      <c r="I32" s="45"/>
      <c r="J32" s="45"/>
    </row>
    <row r="33" spans="1:6">
      <c r="A33" s="14"/>
      <c r="B33" s="231" t="s">
        <v>1204</v>
      </c>
      <c r="C33" s="231" t="s">
        <v>80</v>
      </c>
      <c r="D33" s="218" t="s">
        <v>1217</v>
      </c>
      <c r="E33" s="218"/>
      <c r="F33" s="218"/>
    </row>
    <row r="34" spans="1:6">
      <c r="A34" s="14"/>
      <c r="B34" s="231"/>
      <c r="C34" s="231"/>
      <c r="D34" s="14" t="s">
        <v>1218</v>
      </c>
      <c r="E34" s="14" t="s">
        <v>1219</v>
      </c>
      <c r="F34" s="14" t="s">
        <v>1220</v>
      </c>
    </row>
    <row r="35" spans="1:6">
      <c r="A35" s="1" t="s">
        <v>28</v>
      </c>
      <c r="B35" s="24">
        <f>$E$8*B46/$B$54</f>
        <v>5878.5239145713213</v>
      </c>
      <c r="C35" s="157">
        <f>$E$23*D_el!$K88/(D_el!$K$95-D_el!$K$91)</f>
        <v>2.5101670203782152</v>
      </c>
      <c r="D35" s="157">
        <f>$E$24*D_el!$K88/(D_el!$K$95-D_el!$K$91)</f>
        <v>63.962869060553864</v>
      </c>
      <c r="E35" s="157">
        <f>$E$25*D_el!$K88/(D_el!$K$95-D_el!$K$91)</f>
        <v>750.48521425849913</v>
      </c>
      <c r="F35" s="157">
        <f>$E$26*D_el!$K88/(D_el!$K$95-D_el!$K$91)</f>
        <v>397.86196450923813</v>
      </c>
    </row>
    <row r="36" spans="1:6">
      <c r="A36" s="1" t="s">
        <v>29</v>
      </c>
      <c r="B36" s="24">
        <f>$E$8*B47/$B$54</f>
        <v>6753.5638450219503</v>
      </c>
      <c r="C36" s="157">
        <f>$E$23*D_el!$K89/(D_el!$K$95-D_el!$K$91)</f>
        <v>2.0446249632499329</v>
      </c>
      <c r="D36" s="157">
        <f>$E$24*D_el!$K89/(D_el!$K$95-D_el!$K$91)</f>
        <v>52.10015020537962</v>
      </c>
      <c r="E36" s="157">
        <f>$E$25*D_el!$K89/(D_el!$K$95-D_el!$K$91)</f>
        <v>611.29828858627081</v>
      </c>
      <c r="F36" s="157">
        <f>$E$26*D_el!$K89/(D_el!$K$95-D_el!$K$91)</f>
        <v>324.07345724774825</v>
      </c>
    </row>
    <row r="37" spans="1:6">
      <c r="A37" s="1" t="s">
        <v>31</v>
      </c>
      <c r="B37" s="24">
        <f>$E$8*B48/$B$54</f>
        <v>571.70859111089987</v>
      </c>
      <c r="C37" s="157">
        <f>$E$23*D_el!$K90/(D_el!$K$95-D_el!$K$91)</f>
        <v>1.8003733377787885</v>
      </c>
      <c r="D37" s="157">
        <f>$E$24*D_el!$K90/(D_el!$K$95-D_el!$K$91)</f>
        <v>45.876247727573862</v>
      </c>
      <c r="E37" s="157">
        <f>$E$25*D_el!$K90/(D_el!$K$95-D_el!$K$91)</f>
        <v>538.27237756658144</v>
      </c>
      <c r="F37" s="157">
        <f>$E$26*D_el!$K90/(D_el!$K$95-D_el!$K$91)</f>
        <v>285.35952675802253</v>
      </c>
    </row>
    <row r="38" spans="1:6">
      <c r="A38" s="1" t="s">
        <v>32</v>
      </c>
      <c r="B38" s="24"/>
      <c r="C38" s="157"/>
      <c r="D38" s="157"/>
      <c r="E38" s="157"/>
      <c r="F38" s="157"/>
    </row>
    <row r="39" spans="1:6">
      <c r="A39" s="1" t="s">
        <v>33</v>
      </c>
      <c r="B39" s="24">
        <f>$E$8*B50/$B$54</f>
        <v>831.6552720464091</v>
      </c>
      <c r="C39" s="157">
        <f>$E$23*D_el!$K92/(D_el!$K$95-D_el!$K$91)</f>
        <v>0.43472166274706514</v>
      </c>
      <c r="D39" s="157">
        <f>$E$24*D_el!$K92/(D_el!$K$95-D_el!$K$91)</f>
        <v>11.077368384788656</v>
      </c>
      <c r="E39" s="157">
        <f>$E$25*D_el!$K92/(D_el!$K$95-D_el!$K$91)</f>
        <v>129.9722996760529</v>
      </c>
      <c r="F39" s="157">
        <f>$E$26*D_el!$K92/(D_el!$K$95-D_el!$K$91)</f>
        <v>68.903468713890391</v>
      </c>
    </row>
    <row r="40" spans="1:6">
      <c r="A40" s="1" t="s">
        <v>34</v>
      </c>
      <c r="B40" s="24">
        <f>$E$8*B51/$B$54</f>
        <v>828.01814760303364</v>
      </c>
      <c r="C40" s="157">
        <f>$E$23*D_el!$K93/(D_el!$K$95-D_el!$K$91)</f>
        <v>3.6771812536229955</v>
      </c>
      <c r="D40" s="157">
        <f>$E$24*D_el!$K93/(D_el!$K$95-D_el!$K$91)</f>
        <v>93.700164621703991</v>
      </c>
      <c r="E40" s="157">
        <f>$E$25*D_el!$K93/(D_el!$K$95-D_el!$K$91)</f>
        <v>1099.3970276036775</v>
      </c>
      <c r="F40" s="157">
        <f>$E$26*D_el!$K93/(D_el!$K$95-D_el!$K$91)</f>
        <v>582.83394911409175</v>
      </c>
    </row>
    <row r="41" spans="1:6">
      <c r="A41" s="1" t="s">
        <v>3</v>
      </c>
      <c r="B41" s="24">
        <f>$E$8*B52/$B$54</f>
        <v>436.53022964638456</v>
      </c>
      <c r="C41" s="157">
        <f>$E$23*D_el!$K94/(D_el!$K$95-D_el!$K$91)</f>
        <v>2.5793588057640471</v>
      </c>
      <c r="D41" s="157">
        <f>$E$24*D_el!$K94/(D_el!$K$95-D_el!$K$91)</f>
        <v>65.725980866569486</v>
      </c>
      <c r="E41" s="157">
        <f>$E$25*D_el!$K94/(D_el!$K$95-D_el!$K$91)</f>
        <v>771.17204961991263</v>
      </c>
      <c r="F41" s="157">
        <f>$E$26*D_el!$K94/(D_el!$K$95-D_el!$K$91)</f>
        <v>408.82887604859889</v>
      </c>
    </row>
    <row r="42" spans="1:6">
      <c r="B42" s="6">
        <f>SUM(B35:B41)</f>
        <v>15300.000000000002</v>
      </c>
      <c r="C42" s="156">
        <f>SUM(C35:C41)</f>
        <v>13.046427043541042</v>
      </c>
      <c r="D42" s="6">
        <f t="shared" ref="D42:F42" si="0">SUM(D35:D41)</f>
        <v>332.44278086656948</v>
      </c>
      <c r="E42" s="6">
        <f t="shared" si="0"/>
        <v>3900.5972573109943</v>
      </c>
      <c r="F42" s="6">
        <f t="shared" si="0"/>
        <v>2067.8612423915902</v>
      </c>
    </row>
    <row r="44" spans="1:6">
      <c r="A44" s="45" t="s">
        <v>1203</v>
      </c>
      <c r="B44" s="45"/>
      <c r="C44" s="45"/>
      <c r="D44" s="45"/>
    </row>
    <row r="45" spans="1:6">
      <c r="A45" s="14" t="s">
        <v>24</v>
      </c>
      <c r="B45" s="14" t="s">
        <v>58</v>
      </c>
    </row>
    <row r="46" spans="1:6">
      <c r="A46" s="1" t="s">
        <v>28</v>
      </c>
      <c r="B46" s="24">
        <f>P_hydro!K11+P_el!AM15</f>
        <v>28516.7675475287</v>
      </c>
      <c r="C46" s="2"/>
    </row>
    <row r="47" spans="1:6">
      <c r="A47" s="1" t="s">
        <v>29</v>
      </c>
      <c r="B47" s="24">
        <f>P_hydro!K12+P_el!AM16</f>
        <v>32761.59340076943</v>
      </c>
      <c r="C47" s="2"/>
    </row>
    <row r="48" spans="1:6">
      <c r="A48" s="1" t="s">
        <v>31</v>
      </c>
      <c r="B48" s="24">
        <f>P_hydro!K13+P_el!AM17</f>
        <v>2773.3630473498802</v>
      </c>
      <c r="C48" s="2"/>
    </row>
    <row r="49" spans="1:3">
      <c r="A49" s="1" t="s">
        <v>32</v>
      </c>
      <c r="B49" s="24">
        <f>P_hydro!K14+P_el!AM18</f>
        <v>4788.6249719246043</v>
      </c>
      <c r="C49" s="2"/>
    </row>
    <row r="50" spans="1:3">
      <c r="A50" s="1" t="s">
        <v>33</v>
      </c>
      <c r="B50" s="24">
        <f>P_hydro!K15+P_el!AM19</f>
        <v>4034.3665207924291</v>
      </c>
      <c r="C50" s="2"/>
    </row>
    <row r="51" spans="1:3">
      <c r="A51" s="1" t="s">
        <v>34</v>
      </c>
      <c r="B51" s="24">
        <f>P_hydro!K16+P_el!AM20</f>
        <v>4016.7228003958717</v>
      </c>
      <c r="C51" s="2"/>
    </row>
    <row r="52" spans="1:3">
      <c r="A52" s="1" t="s">
        <v>3</v>
      </c>
      <c r="B52" s="24">
        <f>P_hydro!K17+P_el!AM21</f>
        <v>2117.6117112390866</v>
      </c>
      <c r="C52" s="2"/>
    </row>
    <row r="53" spans="1:3">
      <c r="A53" s="1" t="s">
        <v>2</v>
      </c>
      <c r="B53" s="6">
        <f>SUM(B46:B52)</f>
        <v>79009.050000000017</v>
      </c>
      <c r="C53" s="2"/>
    </row>
    <row r="54" spans="1:3">
      <c r="A54" s="1" t="s">
        <v>1349</v>
      </c>
      <c r="B54" s="2">
        <f>SUM(B46:B48,B50:B52)</f>
        <v>74220.425028075406</v>
      </c>
    </row>
  </sheetData>
  <mergeCells count="12">
    <mergeCell ref="C33:C34"/>
    <mergeCell ref="D33:F33"/>
    <mergeCell ref="C4:J5"/>
    <mergeCell ref="A15:A23"/>
    <mergeCell ref="D15:D23"/>
    <mergeCell ref="A8:A10"/>
    <mergeCell ref="D8:D10"/>
    <mergeCell ref="A11:A14"/>
    <mergeCell ref="D11:D14"/>
    <mergeCell ref="B33:B34"/>
    <mergeCell ref="B29:J30"/>
    <mergeCell ref="D24:D2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3089D-9B6C-4792-ACAD-0037950CA586}">
  <sheetPr>
    <tabColor theme="8" tint="-0.499984740745262"/>
  </sheetPr>
  <dimension ref="A1:G9"/>
  <sheetViews>
    <sheetView tabSelected="1" workbookViewId="0">
      <selection activeCell="E9" sqref="E9"/>
    </sheetView>
  </sheetViews>
  <sheetFormatPr defaultRowHeight="15"/>
  <cols>
    <col min="1" max="4" width="9.140625" style="1"/>
    <col min="5" max="5" width="9.85546875" style="1" bestFit="1" customWidth="1"/>
    <col min="6" max="6" width="15" style="1" bestFit="1" customWidth="1"/>
    <col min="7" max="16384" width="9.140625" style="1"/>
  </cols>
  <sheetData>
    <row r="1" spans="1:7">
      <c r="A1" s="204" t="s">
        <v>1371</v>
      </c>
      <c r="B1" s="204" t="s">
        <v>159</v>
      </c>
      <c r="C1" s="204" t="s">
        <v>1372</v>
      </c>
      <c r="D1" s="204" t="s">
        <v>1373</v>
      </c>
      <c r="E1" s="204" t="s">
        <v>1374</v>
      </c>
      <c r="F1" s="205" t="s">
        <v>1375</v>
      </c>
      <c r="G1" s="205" t="s">
        <v>1393</v>
      </c>
    </row>
    <row r="2" spans="1:7">
      <c r="A2" s="1" t="s">
        <v>1388</v>
      </c>
      <c r="B2" s="1" t="s">
        <v>1376</v>
      </c>
      <c r="C2" s="1" t="s">
        <v>1377</v>
      </c>
      <c r="D2" s="1">
        <v>2035</v>
      </c>
      <c r="E2" s="39">
        <f>D_el!O88/1000</f>
        <v>21.316642708811258</v>
      </c>
    </row>
    <row r="3" spans="1:7">
      <c r="A3" s="1" t="s">
        <v>1230</v>
      </c>
      <c r="B3" s="1" t="s">
        <v>1376</v>
      </c>
      <c r="C3" s="1" t="s">
        <v>1377</v>
      </c>
      <c r="D3" s="1">
        <v>2035</v>
      </c>
      <c r="E3" s="39">
        <f>D_el!O89/1000</f>
        <v>20.268354776241612</v>
      </c>
    </row>
    <row r="4" spans="1:7">
      <c r="A4" s="1" t="s">
        <v>1390</v>
      </c>
      <c r="B4" s="1" t="s">
        <v>1376</v>
      </c>
      <c r="C4" s="1" t="s">
        <v>1377</v>
      </c>
      <c r="D4" s="1">
        <v>2035</v>
      </c>
      <c r="E4" s="39">
        <f>D_el!O90/1000</f>
        <v>17.24336299621908</v>
      </c>
    </row>
    <row r="5" spans="1:7">
      <c r="A5" s="1" t="s">
        <v>1389</v>
      </c>
      <c r="B5" s="1" t="s">
        <v>1376</v>
      </c>
      <c r="C5" s="1" t="s">
        <v>1377</v>
      </c>
      <c r="D5" s="1">
        <v>2035</v>
      </c>
      <c r="E5" s="39">
        <f>D_el!O91/1000</f>
        <v>12.918619449746208</v>
      </c>
    </row>
    <row r="6" spans="1:7">
      <c r="A6" s="1" t="s">
        <v>1231</v>
      </c>
      <c r="B6" s="1" t="s">
        <v>1376</v>
      </c>
      <c r="C6" s="1" t="s">
        <v>1377</v>
      </c>
      <c r="D6" s="1">
        <v>2035</v>
      </c>
      <c r="E6" s="39">
        <f>D_el!O92/1000</f>
        <v>9.2379832337915033</v>
      </c>
    </row>
    <row r="7" spans="1:7">
      <c r="A7" s="1" t="s">
        <v>1232</v>
      </c>
      <c r="B7" s="1" t="s">
        <v>1376</v>
      </c>
      <c r="C7" s="1" t="s">
        <v>1377</v>
      </c>
      <c r="D7" s="1">
        <v>2035</v>
      </c>
      <c r="E7" s="39">
        <f>D_el!O93/1000</f>
        <v>24.32943316399226</v>
      </c>
    </row>
    <row r="8" spans="1:7">
      <c r="A8" s="1" t="s">
        <v>1233</v>
      </c>
      <c r="B8" s="1" t="s">
        <v>1376</v>
      </c>
      <c r="C8" s="1" t="s">
        <v>1377</v>
      </c>
      <c r="D8" s="1">
        <v>2035</v>
      </c>
      <c r="E8" s="39">
        <f>D_el!O94/1000</f>
        <v>26.561478720603613</v>
      </c>
    </row>
    <row r="9" spans="1:7">
      <c r="A9" s="1" t="s">
        <v>1235</v>
      </c>
      <c r="B9" s="1" t="s">
        <v>1376</v>
      </c>
      <c r="C9" s="1" t="s">
        <v>1377</v>
      </c>
      <c r="D9" s="1">
        <v>2035</v>
      </c>
      <c r="E9" s="21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174D7-2A14-4134-9AA3-2BCEBD68C535}">
  <sheetPr>
    <tabColor theme="8" tint="-0.499984740745262"/>
  </sheetPr>
  <dimension ref="A1:J14"/>
  <sheetViews>
    <sheetView workbookViewId="0">
      <selection activeCell="H9" sqref="H9"/>
    </sheetView>
  </sheetViews>
  <sheetFormatPr defaultRowHeight="15"/>
  <cols>
    <col min="1" max="5" width="9.140625" style="1"/>
    <col min="6" max="6" width="15.140625" style="1" bestFit="1" customWidth="1"/>
    <col min="7" max="7" width="15.28515625" style="1" bestFit="1" customWidth="1"/>
    <col min="8" max="8" width="10" style="1" bestFit="1" customWidth="1"/>
    <col min="9" max="16384" width="9.140625" style="1"/>
  </cols>
  <sheetData>
    <row r="1" spans="1:10">
      <c r="A1" s="206" t="s">
        <v>1379</v>
      </c>
      <c r="B1" s="206" t="s">
        <v>1380</v>
      </c>
      <c r="C1" s="207" t="s">
        <v>1381</v>
      </c>
      <c r="D1" s="207" t="s">
        <v>1382</v>
      </c>
      <c r="E1" s="208" t="s">
        <v>1373</v>
      </c>
      <c r="F1" s="208" t="s">
        <v>1383</v>
      </c>
      <c r="G1" s="208" t="s">
        <v>1384</v>
      </c>
      <c r="H1" s="208" t="s">
        <v>1385</v>
      </c>
      <c r="I1" s="208" t="s">
        <v>1386</v>
      </c>
      <c r="J1" s="208" t="s">
        <v>1387</v>
      </c>
    </row>
    <row r="2" spans="1:10">
      <c r="A2" s="1" t="s">
        <v>1286</v>
      </c>
      <c r="B2" s="35" t="s">
        <v>1291</v>
      </c>
      <c r="C2" s="1" t="s">
        <v>1376</v>
      </c>
      <c r="D2" s="1" t="s">
        <v>1377</v>
      </c>
      <c r="E2" s="1">
        <v>2035</v>
      </c>
      <c r="F2" s="1">
        <v>20000</v>
      </c>
      <c r="G2" s="1">
        <v>10000</v>
      </c>
      <c r="H2" s="1">
        <v>6.6670000000000002E-3</v>
      </c>
      <c r="I2" s="1">
        <v>1</v>
      </c>
      <c r="J2" s="1">
        <v>0.01</v>
      </c>
    </row>
    <row r="3" spans="1:10">
      <c r="A3" s="1" t="s">
        <v>1286</v>
      </c>
      <c r="B3" s="35" t="s">
        <v>1292</v>
      </c>
      <c r="C3" s="1" t="s">
        <v>1376</v>
      </c>
      <c r="D3" s="1" t="s">
        <v>1377</v>
      </c>
      <c r="E3" s="1">
        <v>2035</v>
      </c>
      <c r="F3" s="1">
        <v>20000</v>
      </c>
      <c r="G3" s="1">
        <v>10000</v>
      </c>
      <c r="H3" s="1">
        <v>6.6670000000000002E-3</v>
      </c>
      <c r="I3" s="1">
        <v>1</v>
      </c>
      <c r="J3" s="1">
        <v>0.01</v>
      </c>
    </row>
    <row r="4" spans="1:10">
      <c r="A4" s="1" t="s">
        <v>1286</v>
      </c>
      <c r="B4" s="35" t="s">
        <v>1293</v>
      </c>
      <c r="C4" s="1" t="s">
        <v>1376</v>
      </c>
      <c r="D4" s="1" t="s">
        <v>1377</v>
      </c>
      <c r="E4" s="1">
        <v>2035</v>
      </c>
      <c r="F4" s="1">
        <v>20000</v>
      </c>
      <c r="G4" s="1">
        <v>10000</v>
      </c>
      <c r="H4" s="1">
        <v>6.6670000000000002E-3</v>
      </c>
      <c r="I4" s="1">
        <v>1</v>
      </c>
      <c r="J4" s="1">
        <v>0.01</v>
      </c>
    </row>
    <row r="5" spans="1:10">
      <c r="A5" s="1" t="s">
        <v>1285</v>
      </c>
      <c r="B5" s="35" t="s">
        <v>1292</v>
      </c>
      <c r="C5" s="1" t="s">
        <v>1376</v>
      </c>
      <c r="D5" s="1" t="s">
        <v>1377</v>
      </c>
      <c r="E5" s="1">
        <v>2035</v>
      </c>
      <c r="F5" s="1">
        <v>20000</v>
      </c>
      <c r="G5" s="1">
        <v>10000</v>
      </c>
      <c r="H5" s="1">
        <v>6.6670000000000002E-3</v>
      </c>
      <c r="I5" s="1">
        <v>1</v>
      </c>
      <c r="J5" s="1">
        <v>0.01</v>
      </c>
    </row>
    <row r="6" spans="1:10">
      <c r="A6" s="1" t="s">
        <v>1285</v>
      </c>
      <c r="B6" s="35" t="s">
        <v>1294</v>
      </c>
      <c r="C6" s="1" t="s">
        <v>1376</v>
      </c>
      <c r="D6" s="1" t="s">
        <v>1377</v>
      </c>
      <c r="E6" s="1">
        <v>2035</v>
      </c>
      <c r="F6" s="1">
        <v>20000</v>
      </c>
      <c r="G6" s="1">
        <v>10000</v>
      </c>
      <c r="H6" s="1">
        <v>6.6670000000000002E-3</v>
      </c>
      <c r="I6" s="1">
        <v>1</v>
      </c>
      <c r="J6" s="1">
        <v>0.01</v>
      </c>
    </row>
    <row r="7" spans="1:10">
      <c r="A7" s="1" t="s">
        <v>1287</v>
      </c>
      <c r="B7" s="35" t="s">
        <v>1294</v>
      </c>
      <c r="C7" s="1" t="s">
        <v>1376</v>
      </c>
      <c r="D7" s="1" t="s">
        <v>1377</v>
      </c>
      <c r="E7" s="1">
        <v>2035</v>
      </c>
      <c r="F7" s="1">
        <v>20000</v>
      </c>
      <c r="G7" s="1">
        <v>10000</v>
      </c>
      <c r="H7" s="1">
        <v>6.6670000000000002E-3</v>
      </c>
      <c r="I7" s="1">
        <v>1</v>
      </c>
      <c r="J7" s="1">
        <v>0.01</v>
      </c>
    </row>
    <row r="8" spans="1:10">
      <c r="A8" s="1" t="s">
        <v>1287</v>
      </c>
      <c r="B8" s="35" t="s">
        <v>1295</v>
      </c>
      <c r="C8" s="1" t="s">
        <v>1376</v>
      </c>
      <c r="D8" s="1" t="s">
        <v>1377</v>
      </c>
      <c r="E8" s="1">
        <v>2035</v>
      </c>
      <c r="F8" s="1">
        <v>20000</v>
      </c>
      <c r="G8" s="1">
        <v>10000</v>
      </c>
      <c r="H8" s="1">
        <v>6.6670000000000002E-3</v>
      </c>
      <c r="I8" s="1">
        <v>1</v>
      </c>
      <c r="J8" s="1">
        <v>0.01</v>
      </c>
    </row>
    <row r="9" spans="1:10">
      <c r="A9" s="1" t="s">
        <v>1287</v>
      </c>
      <c r="B9" s="35" t="s">
        <v>1296</v>
      </c>
      <c r="C9" s="1" t="s">
        <v>1376</v>
      </c>
      <c r="D9" s="1" t="s">
        <v>1377</v>
      </c>
      <c r="E9" s="1">
        <v>2035</v>
      </c>
      <c r="F9" s="1">
        <v>20000</v>
      </c>
      <c r="G9" s="1">
        <v>10000</v>
      </c>
      <c r="H9" s="1">
        <v>6.6670000000000002E-3</v>
      </c>
      <c r="I9" s="1">
        <v>1</v>
      </c>
      <c r="J9" s="1">
        <v>0.01</v>
      </c>
    </row>
    <row r="10" spans="1:10">
      <c r="A10" s="1" t="s">
        <v>1288</v>
      </c>
      <c r="B10" s="35" t="s">
        <v>1295</v>
      </c>
      <c r="C10" s="1" t="s">
        <v>1376</v>
      </c>
      <c r="D10" s="1" t="s">
        <v>1377</v>
      </c>
      <c r="E10" s="1">
        <v>2035</v>
      </c>
      <c r="F10" s="1">
        <v>20000</v>
      </c>
      <c r="G10" s="1">
        <v>10000</v>
      </c>
      <c r="H10" s="1">
        <v>6.6670000000000002E-3</v>
      </c>
      <c r="I10" s="1">
        <v>1</v>
      </c>
      <c r="J10" s="1">
        <v>0.01</v>
      </c>
    </row>
    <row r="11" spans="1:10">
      <c r="A11" s="1" t="s">
        <v>1289</v>
      </c>
      <c r="B11" s="35" t="s">
        <v>1297</v>
      </c>
      <c r="C11" s="1" t="s">
        <v>1376</v>
      </c>
      <c r="D11" s="1" t="s">
        <v>1377</v>
      </c>
      <c r="E11" s="1">
        <v>2035</v>
      </c>
      <c r="F11" s="1">
        <v>20000</v>
      </c>
      <c r="G11" s="1">
        <v>10000</v>
      </c>
      <c r="H11" s="1">
        <v>6.6670000000000002E-3</v>
      </c>
      <c r="I11" s="1">
        <v>1</v>
      </c>
      <c r="J11" s="1">
        <v>0.01</v>
      </c>
    </row>
    <row r="12" spans="1:10">
      <c r="A12" s="1" t="s">
        <v>1290</v>
      </c>
      <c r="B12" s="35" t="s">
        <v>1297</v>
      </c>
      <c r="C12" s="1" t="s">
        <v>1376</v>
      </c>
      <c r="D12" s="1" t="s">
        <v>1377</v>
      </c>
      <c r="E12" s="1">
        <v>2035</v>
      </c>
      <c r="F12" s="1">
        <v>20000</v>
      </c>
      <c r="G12" s="1">
        <v>10000</v>
      </c>
      <c r="H12" s="1">
        <v>6.6670000000000002E-3</v>
      </c>
      <c r="I12" s="1">
        <v>1</v>
      </c>
      <c r="J12" s="1">
        <v>0.01</v>
      </c>
    </row>
    <row r="13" spans="1:10">
      <c r="A13" s="1" t="s">
        <v>1289</v>
      </c>
      <c r="B13" s="35" t="s">
        <v>1295</v>
      </c>
      <c r="C13" s="1" t="s">
        <v>1376</v>
      </c>
      <c r="D13" s="1" t="s">
        <v>1377</v>
      </c>
      <c r="E13" s="1">
        <v>2035</v>
      </c>
      <c r="F13" s="1">
        <v>20000</v>
      </c>
      <c r="G13" s="1">
        <v>10000</v>
      </c>
      <c r="H13" s="1">
        <v>6.6670000000000002E-3</v>
      </c>
      <c r="I13" s="1">
        <v>1</v>
      </c>
      <c r="J13" s="1">
        <v>0.01</v>
      </c>
    </row>
    <row r="14" spans="1:10">
      <c r="A14" s="1" t="s">
        <v>1233</v>
      </c>
      <c r="B14" s="1" t="s">
        <v>1235</v>
      </c>
      <c r="C14" s="1" t="s">
        <v>1376</v>
      </c>
      <c r="D14" s="1" t="s">
        <v>1377</v>
      </c>
      <c r="E14" s="1">
        <v>2035</v>
      </c>
      <c r="F14" s="1">
        <v>20000</v>
      </c>
      <c r="G14" s="1">
        <v>10000</v>
      </c>
      <c r="H14" s="1">
        <v>6.6670000000000002E-3</v>
      </c>
      <c r="I14" s="1">
        <v>1</v>
      </c>
      <c r="J14" s="1">
        <v>0.01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19944-4B02-4275-A1AB-DCF31E709186}">
  <sheetPr>
    <tabColor theme="8" tint="-0.499984740745262"/>
  </sheetPr>
  <dimension ref="A1:G12"/>
  <sheetViews>
    <sheetView workbookViewId="0">
      <selection activeCell="A2" sqref="A2:E9"/>
    </sheetView>
  </sheetViews>
  <sheetFormatPr defaultRowHeight="15"/>
  <cols>
    <col min="1" max="5" width="9.140625" style="1"/>
    <col min="6" max="6" width="15" style="1" bestFit="1" customWidth="1"/>
    <col min="7" max="16384" width="9.140625" style="1"/>
  </cols>
  <sheetData>
    <row r="1" spans="1:7">
      <c r="A1" s="204" t="s">
        <v>1371</v>
      </c>
      <c r="B1" s="204" t="s">
        <v>159</v>
      </c>
      <c r="C1" s="204" t="s">
        <v>1372</v>
      </c>
      <c r="D1" s="204" t="s">
        <v>1373</v>
      </c>
      <c r="E1" s="204" t="s">
        <v>1374</v>
      </c>
      <c r="F1" s="205" t="s">
        <v>1375</v>
      </c>
      <c r="G1" s="1" t="s">
        <v>1392</v>
      </c>
    </row>
    <row r="2" spans="1:7">
      <c r="A2" s="1" t="s">
        <v>1388</v>
      </c>
      <c r="B2" s="1" t="s">
        <v>1376</v>
      </c>
      <c r="C2" s="1" t="s">
        <v>1377</v>
      </c>
      <c r="D2" s="1">
        <v>2035</v>
      </c>
      <c r="E2" s="39">
        <f>D_el!O88/1000</f>
        <v>21.316642708811258</v>
      </c>
    </row>
    <row r="3" spans="1:7">
      <c r="A3" s="1" t="s">
        <v>1230</v>
      </c>
      <c r="B3" s="1" t="s">
        <v>1376</v>
      </c>
      <c r="C3" s="1" t="s">
        <v>1377</v>
      </c>
      <c r="D3" s="1">
        <v>2035</v>
      </c>
      <c r="E3" s="39">
        <f>D_el!O89/1000</f>
        <v>20.268354776241612</v>
      </c>
    </row>
    <row r="4" spans="1:7">
      <c r="A4" s="1" t="s">
        <v>1390</v>
      </c>
      <c r="B4" s="1" t="s">
        <v>1376</v>
      </c>
      <c r="C4" s="1" t="s">
        <v>1377</v>
      </c>
      <c r="D4" s="1">
        <v>2035</v>
      </c>
      <c r="E4" s="39">
        <f>D_el!O90/1000</f>
        <v>17.24336299621908</v>
      </c>
    </row>
    <row r="5" spans="1:7">
      <c r="A5" s="1" t="s">
        <v>1389</v>
      </c>
      <c r="B5" s="1" t="s">
        <v>1376</v>
      </c>
      <c r="C5" s="1" t="s">
        <v>1377</v>
      </c>
      <c r="D5" s="1">
        <v>2035</v>
      </c>
      <c r="E5" s="39">
        <f>D_el!O91/1000</f>
        <v>12.918619449746208</v>
      </c>
    </row>
    <row r="6" spans="1:7">
      <c r="A6" s="1" t="s">
        <v>1231</v>
      </c>
      <c r="B6" s="1" t="s">
        <v>1376</v>
      </c>
      <c r="C6" s="1" t="s">
        <v>1377</v>
      </c>
      <c r="D6" s="1">
        <v>2035</v>
      </c>
      <c r="E6" s="39">
        <f>D_el!O92/1000</f>
        <v>9.2379832337915033</v>
      </c>
    </row>
    <row r="7" spans="1:7">
      <c r="A7" s="1" t="s">
        <v>1232</v>
      </c>
      <c r="B7" s="1" t="s">
        <v>1376</v>
      </c>
      <c r="C7" s="1" t="s">
        <v>1377</v>
      </c>
      <c r="D7" s="1">
        <v>2035</v>
      </c>
      <c r="E7" s="39">
        <f>D_el!O93/1000</f>
        <v>24.32943316399226</v>
      </c>
    </row>
    <row r="8" spans="1:7">
      <c r="A8" s="1" t="s">
        <v>1233</v>
      </c>
      <c r="B8" s="1" t="s">
        <v>1376</v>
      </c>
      <c r="C8" s="1" t="s">
        <v>1377</v>
      </c>
      <c r="D8" s="1">
        <v>2035</v>
      </c>
      <c r="E8" s="39">
        <f>D_el!O94/1000</f>
        <v>26.561478720603613</v>
      </c>
    </row>
    <row r="9" spans="1:7">
      <c r="A9" s="1" t="s">
        <v>1235</v>
      </c>
      <c r="B9" s="1" t="s">
        <v>1376</v>
      </c>
      <c r="C9" s="1" t="s">
        <v>1377</v>
      </c>
      <c r="G9" s="1" t="s">
        <v>1391</v>
      </c>
    </row>
    <row r="11" spans="1:7">
      <c r="A11" s="1" t="s">
        <v>1235</v>
      </c>
      <c r="B11" s="1" t="s">
        <v>1376</v>
      </c>
      <c r="C11" s="1" t="s">
        <v>1377</v>
      </c>
      <c r="D11" s="1">
        <v>2035</v>
      </c>
      <c r="E11" s="2">
        <f>SUM(D_el!O97:O102)/1000</f>
        <v>0</v>
      </c>
    </row>
    <row r="12" spans="1:7">
      <c r="A12" s="1" t="s">
        <v>1233</v>
      </c>
      <c r="B12" s="1" t="s">
        <v>1376</v>
      </c>
      <c r="C12" s="1" t="s">
        <v>1377</v>
      </c>
      <c r="D12" s="1">
        <v>2035</v>
      </c>
      <c r="E12" s="2">
        <f>D_el!O103/1000</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Overview</vt:lpstr>
      <vt:lpstr>Regions</vt:lpstr>
      <vt:lpstr>D_el</vt:lpstr>
      <vt:lpstr>D_heat</vt:lpstr>
      <vt:lpstr>P_hydro</vt:lpstr>
      <vt:lpstr>P_el</vt:lpstr>
      <vt:lpstr>P_ind_chp</vt:lpstr>
      <vt:lpstr>P_dh_chp</vt:lpstr>
      <vt:lpstr>Tr_el</vt:lpstr>
      <vt:lpstr>H2</vt:lpstr>
      <vt:lpstr>demanddata</vt:lpstr>
      <vt:lpstr>transferdata</vt:lpstr>
      <vt:lpstr>2demanddata2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Jasiunas Justinas</dc:creator>
  <cp:lastModifiedBy>Jasiunas Justinas</cp:lastModifiedBy>
  <dcterms:created xsi:type="dcterms:W3CDTF">2015-06-05T18:17:20Z</dcterms:created>
  <dcterms:modified xsi:type="dcterms:W3CDTF">2026-04-10T12:59:27Z</dcterms:modified>
</cp:coreProperties>
</file>