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i\vtcstuff\year3\semester2\Statistics\generalsheets\"/>
    </mc:Choice>
  </mc:AlternateContent>
  <xr:revisionPtr revIDLastSave="0" documentId="13_ncr:1_{01DEA73B-2FCB-400C-9F9A-96AD707F52FD}" xr6:coauthVersionLast="47" xr6:coauthVersionMax="47" xr10:uidLastSave="{00000000-0000-0000-0000-000000000000}"/>
  <bookViews>
    <workbookView xWindow="-120" yWindow="480" windowWidth="29040" windowHeight="15840" tabRatio="779" firstSheet="6" activeTab="12" xr2:uid="{39AF0160-09EB-474A-B9F4-D425E77E3081}"/>
  </bookViews>
  <sheets>
    <sheet name="Scratch Sheet" sheetId="6" r:id="rId1"/>
    <sheet name="Frequency Sheet" sheetId="4" r:id="rId2"/>
    <sheet name="MeanMedianMode" sheetId="1" r:id="rId3"/>
    <sheet name="Variance" sheetId="3" r:id="rId4"/>
    <sheet name="StandardDevOfNormalData" sheetId="5" r:id="rId5"/>
    <sheet name="StandardDevOfGroupedData" sheetId="2" r:id="rId6"/>
    <sheet name="zscores" sheetId="7" r:id="rId7"/>
    <sheet name="ProbRules" sheetId="8" r:id="rId8"/>
    <sheet name="ExpVal&amp;DiscreteRandDev" sheetId="9" r:id="rId9"/>
    <sheet name="BinomalDistrib" sheetId="10" r:id="rId10"/>
    <sheet name="StandardNormalDist" sheetId="11" r:id="rId11"/>
    <sheet name="CentralLimitTheorem" sheetId="12" r:id="rId12"/>
    <sheet name="EstimatePopMean" sheetId="13" r:id="rId13"/>
    <sheet name="TestStatistic" sheetId="14" r:id="rId14"/>
    <sheet name="Correlation" sheetId="15" r:id="rId15"/>
    <sheet name="Regression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2" l="1"/>
  <c r="J26" i="12"/>
  <c r="J30" i="12" s="1"/>
  <c r="J18" i="12"/>
  <c r="J17" i="12"/>
  <c r="J22" i="12"/>
  <c r="J14" i="12"/>
  <c r="J7" i="12"/>
  <c r="J31" i="12"/>
  <c r="J21" i="12"/>
  <c r="E20" i="11"/>
  <c r="E19" i="11"/>
  <c r="E29" i="11"/>
  <c r="E28" i="11"/>
  <c r="E32" i="11" s="1"/>
  <c r="I29" i="11"/>
  <c r="I22" i="11"/>
  <c r="E33" i="11"/>
  <c r="E24" i="11"/>
  <c r="E23" i="11"/>
  <c r="E8" i="16"/>
  <c r="L11" i="16" s="1"/>
  <c r="E7" i="16"/>
  <c r="L10" i="16" s="1"/>
  <c r="L9" i="16" s="1"/>
  <c r="E3" i="16"/>
  <c r="I11" i="16" s="1"/>
  <c r="E2" i="16"/>
  <c r="I10" i="16" s="1"/>
  <c r="I2" i="16"/>
  <c r="L1" i="16"/>
  <c r="E4" i="15"/>
  <c r="I12" i="15"/>
  <c r="E3" i="15"/>
  <c r="I1" i="15"/>
  <c r="I4" i="15"/>
  <c r="E1" i="15"/>
  <c r="I7" i="15" s="1"/>
  <c r="I15" i="15" s="1"/>
  <c r="B7" i="14"/>
  <c r="H17" i="8"/>
  <c r="E17" i="8"/>
  <c r="B17" i="8"/>
  <c r="E9" i="8"/>
  <c r="B10" i="8"/>
  <c r="B1" i="8"/>
  <c r="E5" i="13"/>
  <c r="E11" i="13"/>
  <c r="E15" i="13" s="1"/>
  <c r="E19" i="13" s="1"/>
  <c r="B30" i="13"/>
  <c r="B14" i="13"/>
  <c r="B19" i="13" s="1"/>
  <c r="B22" i="13" s="1"/>
  <c r="B6" i="13"/>
  <c r="B5" i="13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2" i="5"/>
  <c r="C2" i="5" s="1"/>
  <c r="G2" i="5"/>
  <c r="G6" i="5"/>
  <c r="F31" i="12"/>
  <c r="F30" i="12"/>
  <c r="F22" i="12"/>
  <c r="F21" i="12"/>
  <c r="B12" i="11"/>
  <c r="B13" i="11" s="1"/>
  <c r="B12" i="12"/>
  <c r="F12" i="12" s="1"/>
  <c r="F13" i="12" s="1"/>
  <c r="F14" i="12" s="1"/>
  <c r="B5" i="11"/>
  <c r="B6" i="11" s="1"/>
  <c r="E7" i="11"/>
  <c r="E8" i="11" s="1"/>
  <c r="B4" i="12"/>
  <c r="J36" i="6"/>
  <c r="I36" i="6"/>
  <c r="G5" i="1"/>
  <c r="G3" i="1"/>
  <c r="G4" i="1"/>
  <c r="R2" i="4"/>
  <c r="S2" i="4" s="1"/>
  <c r="X2" i="4" s="1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J34" i="6"/>
  <c r="I34" i="6"/>
  <c r="I31" i="6"/>
  <c r="I28" i="6"/>
  <c r="I25" i="6"/>
  <c r="G3" i="5"/>
  <c r="G5" i="5" s="1"/>
  <c r="G4" i="5"/>
  <c r="G7" i="5" s="1"/>
  <c r="G1" i="5"/>
  <c r="B21" i="11"/>
  <c r="E14" i="11"/>
  <c r="E15" i="11" s="1"/>
  <c r="B20" i="11"/>
  <c r="B30" i="11"/>
  <c r="B29" i="11"/>
  <c r="N5" i="7"/>
  <c r="K5" i="7"/>
  <c r="H5" i="7"/>
  <c r="J5" i="11"/>
  <c r="B3" i="3"/>
  <c r="B4" i="3"/>
  <c r="C4" i="3" s="1"/>
  <c r="B5" i="3"/>
  <c r="B6" i="3"/>
  <c r="B2" i="3"/>
  <c r="F3" i="3"/>
  <c r="B11" i="10"/>
  <c r="B12" i="10" s="1"/>
  <c r="B14" i="10" s="1"/>
  <c r="B8" i="10"/>
  <c r="C4" i="1"/>
  <c r="C3" i="1"/>
  <c r="C2" i="1"/>
  <c r="C1" i="1"/>
  <c r="B5" i="10"/>
  <c r="B6" i="10" s="1"/>
  <c r="B7" i="10" s="1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H2" i="9"/>
  <c r="L6" i="9"/>
  <c r="L5" i="9"/>
  <c r="L4" i="9"/>
  <c r="L3" i="9"/>
  <c r="L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2" i="9"/>
  <c r="B21" i="8"/>
  <c r="E21" i="8"/>
  <c r="B4" i="4"/>
  <c r="G7" i="4" s="1"/>
  <c r="M3" i="5"/>
  <c r="M4" i="5"/>
  <c r="M5" i="5"/>
  <c r="M6" i="5"/>
  <c r="M2" i="5"/>
  <c r="P3" i="5" s="1"/>
  <c r="P2" i="5"/>
  <c r="P1" i="5"/>
  <c r="T6" i="2"/>
  <c r="T5" i="2"/>
  <c r="T4" i="2"/>
  <c r="T3" i="2"/>
  <c r="T2" i="2"/>
  <c r="T1" i="2"/>
  <c r="Q3" i="2"/>
  <c r="Q4" i="2"/>
  <c r="Q5" i="2"/>
  <c r="Q6" i="2"/>
  <c r="Q7" i="2"/>
  <c r="Q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P2" i="2" s="1"/>
  <c r="B5" i="7"/>
  <c r="C5" i="7"/>
  <c r="D5" i="7"/>
  <c r="E5" i="7"/>
  <c r="I2" i="2"/>
  <c r="F4" i="3"/>
  <c r="B2" i="4"/>
  <c r="I7" i="4" s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H4" i="4"/>
  <c r="H5" i="4"/>
  <c r="H6" i="4"/>
  <c r="H7" i="4"/>
  <c r="H2" i="4"/>
  <c r="F20" i="2"/>
  <c r="F8" i="2"/>
  <c r="F9" i="2"/>
  <c r="F10" i="2"/>
  <c r="F11" i="2"/>
  <c r="F12" i="2"/>
  <c r="F13" i="2"/>
  <c r="F14" i="2"/>
  <c r="F15" i="2"/>
  <c r="F16" i="2"/>
  <c r="F17" i="2"/>
  <c r="F18" i="2"/>
  <c r="F19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F3" i="2" s="1"/>
  <c r="D4" i="2"/>
  <c r="F4" i="2" s="1"/>
  <c r="D5" i="2"/>
  <c r="F5" i="2" s="1"/>
  <c r="D6" i="2"/>
  <c r="E6" i="2" s="1"/>
  <c r="D7" i="2"/>
  <c r="E7" i="2" s="1"/>
  <c r="D2" i="2"/>
  <c r="F2" i="2" s="1"/>
  <c r="J32" i="12" l="1"/>
  <c r="J23" i="12"/>
  <c r="E25" i="11"/>
  <c r="E34" i="11"/>
  <c r="I9" i="16"/>
  <c r="I8" i="15"/>
  <c r="I9" i="15" s="1"/>
  <c r="M2" i="9"/>
  <c r="N2" i="9" s="1"/>
  <c r="O2" i="9" s="1"/>
  <c r="E22" i="13"/>
  <c r="E21" i="13"/>
  <c r="B21" i="13"/>
  <c r="V2" i="4"/>
  <c r="Q3" i="4"/>
  <c r="R3" i="4" s="1"/>
  <c r="E14" i="5"/>
  <c r="F32" i="12"/>
  <c r="F23" i="12"/>
  <c r="F5" i="12"/>
  <c r="F6" i="12" s="1"/>
  <c r="F7" i="12" s="1"/>
  <c r="I35" i="6"/>
  <c r="P4" i="5"/>
  <c r="P5" i="5" s="1"/>
  <c r="P6" i="5" s="1"/>
  <c r="I2" i="4"/>
  <c r="J2" i="4" s="1"/>
  <c r="I3" i="4"/>
  <c r="I4" i="4"/>
  <c r="I5" i="4"/>
  <c r="I6" i="4"/>
  <c r="F6" i="4"/>
  <c r="F7" i="4"/>
  <c r="F3" i="4"/>
  <c r="F4" i="4"/>
  <c r="F5" i="4"/>
  <c r="G2" i="4"/>
  <c r="G3" i="4"/>
  <c r="F2" i="4"/>
  <c r="G4" i="4"/>
  <c r="G5" i="4"/>
  <c r="G6" i="4"/>
  <c r="B13" i="10"/>
  <c r="B22" i="11"/>
  <c r="B31" i="11"/>
  <c r="M9" i="9"/>
  <c r="N9" i="9" s="1"/>
  <c r="O9" i="9" s="1"/>
  <c r="M15" i="9"/>
  <c r="N15" i="9" s="1"/>
  <c r="O15" i="9" s="1"/>
  <c r="M14" i="9"/>
  <c r="N14" i="9" s="1"/>
  <c r="O14" i="9" s="1"/>
  <c r="M8" i="9"/>
  <c r="N8" i="9" s="1"/>
  <c r="O8" i="9" s="1"/>
  <c r="M7" i="9"/>
  <c r="N7" i="9" s="1"/>
  <c r="O7" i="9" s="1"/>
  <c r="M13" i="9"/>
  <c r="N13" i="9" s="1"/>
  <c r="O13" i="9" s="1"/>
  <c r="M20" i="9"/>
  <c r="N20" i="9" s="1"/>
  <c r="O20" i="9" s="1"/>
  <c r="M12" i="9"/>
  <c r="N12" i="9" s="1"/>
  <c r="O12" i="9" s="1"/>
  <c r="M19" i="9"/>
  <c r="N19" i="9" s="1"/>
  <c r="O19" i="9" s="1"/>
  <c r="M18" i="9"/>
  <c r="N18" i="9" s="1"/>
  <c r="O18" i="9" s="1"/>
  <c r="M10" i="9"/>
  <c r="N10" i="9" s="1"/>
  <c r="O10" i="9" s="1"/>
  <c r="M16" i="9"/>
  <c r="N16" i="9" s="1"/>
  <c r="O16" i="9" s="1"/>
  <c r="M11" i="9"/>
  <c r="N11" i="9" s="1"/>
  <c r="O11" i="9" s="1"/>
  <c r="M17" i="9"/>
  <c r="N17" i="9" s="1"/>
  <c r="O17" i="9" s="1"/>
  <c r="H3" i="9"/>
  <c r="M3" i="9"/>
  <c r="N3" i="9" s="1"/>
  <c r="O3" i="9" s="1"/>
  <c r="M6" i="9"/>
  <c r="N6" i="9" s="1"/>
  <c r="O6" i="9" s="1"/>
  <c r="M5" i="9"/>
  <c r="N5" i="9" s="1"/>
  <c r="O5" i="9" s="1"/>
  <c r="M4" i="9"/>
  <c r="N4" i="9" s="1"/>
  <c r="O4" i="9" s="1"/>
  <c r="E2" i="9"/>
  <c r="E3" i="2"/>
  <c r="F7" i="2"/>
  <c r="F6" i="2"/>
  <c r="E5" i="2"/>
  <c r="E4" i="2"/>
  <c r="E2" i="2"/>
  <c r="C3" i="3"/>
  <c r="C2" i="3"/>
  <c r="C6" i="3"/>
  <c r="C5" i="3"/>
  <c r="I6" i="15" l="1"/>
  <c r="Q4" i="4"/>
  <c r="V3" i="4"/>
  <c r="R4" i="4"/>
  <c r="V4" i="4" s="1"/>
  <c r="S4" i="4"/>
  <c r="P4" i="4"/>
  <c r="S3" i="4"/>
  <c r="E16" i="5"/>
  <c r="E18" i="5" s="1"/>
  <c r="E15" i="5"/>
  <c r="E17" i="5" s="1"/>
  <c r="J3" i="4"/>
  <c r="J4" i="4" s="1"/>
  <c r="J5" i="4" s="1"/>
  <c r="J6" i="4" s="1"/>
  <c r="J7" i="4" s="1"/>
  <c r="J33" i="6"/>
  <c r="J25" i="6"/>
  <c r="J32" i="6"/>
  <c r="J24" i="6"/>
  <c r="J31" i="6"/>
  <c r="J23" i="6"/>
  <c r="J30" i="6"/>
  <c r="J29" i="6"/>
  <c r="J27" i="6"/>
  <c r="J28" i="6"/>
  <c r="J26" i="6"/>
  <c r="F1" i="3"/>
  <c r="F2" i="3" s="1"/>
  <c r="H4" i="9"/>
  <c r="H5" i="9" s="1"/>
  <c r="I4" i="2"/>
  <c r="I3" i="2"/>
  <c r="I6" i="2"/>
  <c r="T3" i="4" l="1"/>
  <c r="T4" i="4"/>
  <c r="T2" i="4"/>
  <c r="U3" i="4"/>
  <c r="U2" i="4"/>
  <c r="X3" i="4"/>
  <c r="X4" i="4" s="1"/>
  <c r="Q5" i="4"/>
  <c r="U4" i="4"/>
  <c r="R5" i="4" l="1"/>
  <c r="S5" i="4" s="1"/>
  <c r="T5" i="4"/>
  <c r="V5" i="4" l="1"/>
  <c r="Q6" i="4"/>
  <c r="U5" i="4"/>
  <c r="X5" i="4"/>
  <c r="T6" i="4" l="1"/>
  <c r="R6" i="4"/>
  <c r="V6" i="4" s="1"/>
  <c r="S6" i="4" l="1"/>
  <c r="X6" i="4" s="1"/>
  <c r="Q7" i="4"/>
  <c r="U6" i="4"/>
  <c r="R7" i="4" l="1"/>
  <c r="U7" i="4" s="1"/>
  <c r="T7" i="4"/>
  <c r="S7" i="4" l="1"/>
  <c r="X7" i="4" s="1"/>
  <c r="V7" i="4"/>
  <c r="P2" i="4" l="1"/>
  <c r="W2" i="4" s="1"/>
  <c r="W6" i="4" l="1"/>
  <c r="W7" i="4"/>
  <c r="W5" i="4"/>
  <c r="W3" i="4"/>
  <c r="W4" i="4"/>
</calcChain>
</file>

<file path=xl/sharedStrings.xml><?xml version="1.0" encoding="utf-8"?>
<sst xmlns="http://schemas.openxmlformats.org/spreadsheetml/2006/main" count="452" uniqueCount="257">
  <si>
    <t>Median</t>
  </si>
  <si>
    <t>Mode</t>
  </si>
  <si>
    <t>Sum</t>
  </si>
  <si>
    <t>Avg (Arith Mean)</t>
  </si>
  <si>
    <t>Data</t>
  </si>
  <si>
    <t>Freq</t>
  </si>
  <si>
    <t>Midpoint</t>
  </si>
  <si>
    <t>fi*xi</t>
  </si>
  <si>
    <t>fi*xi^2</t>
  </si>
  <si>
    <t>Lower Limit</t>
  </si>
  <si>
    <t>Upper Limit</t>
  </si>
  <si>
    <t>Freq Sum:</t>
  </si>
  <si>
    <t>fi*xi Sum:</t>
  </si>
  <si>
    <t>fi*xi^2 Sum:</t>
  </si>
  <si>
    <t xml:space="preserve">Standard Deviation: </t>
  </si>
  <si>
    <t>Mean:</t>
  </si>
  <si>
    <t>Frequency</t>
  </si>
  <si>
    <t>Relative Frequency</t>
  </si>
  <si>
    <t>Class Lower</t>
  </si>
  <si>
    <t>Class Upper</t>
  </si>
  <si>
    <t>Cumulative Frequency</t>
  </si>
  <si>
    <t>Data:</t>
  </si>
  <si>
    <t>Upper Boundary</t>
  </si>
  <si>
    <t>Lower Boundary</t>
  </si>
  <si>
    <t>Total Cumulative Frequency</t>
  </si>
  <si>
    <t>xi-avg</t>
  </si>
  <si>
    <t>Sample Variance:</t>
  </si>
  <si>
    <t>Sample StdDev:</t>
  </si>
  <si>
    <t>Sum of xi-avg^2:</t>
  </si>
  <si>
    <t>Calc SampVar:</t>
  </si>
  <si>
    <t>(xi-avg)^2</t>
  </si>
  <si>
    <t>StdDev</t>
  </si>
  <si>
    <t>Weights of Newborn Babies</t>
  </si>
  <si>
    <t>Score</t>
  </si>
  <si>
    <t>Mean</t>
  </si>
  <si>
    <t>z-score</t>
  </si>
  <si>
    <t>Midpoint (L1)</t>
  </si>
  <si>
    <t>Freq (L2)</t>
  </si>
  <si>
    <t>x*f (L3)</t>
  </si>
  <si>
    <t>x^2*f (L4)</t>
  </si>
  <si>
    <t>n: sum(L2)</t>
  </si>
  <si>
    <t>sum(L3)</t>
  </si>
  <si>
    <t>sum(L4)</t>
  </si>
  <si>
    <t>SS(x)</t>
  </si>
  <si>
    <t>Count:</t>
  </si>
  <si>
    <t>(Sum x)^2</t>
  </si>
  <si>
    <t>Sum x^2</t>
  </si>
  <si>
    <t>x^2</t>
  </si>
  <si>
    <t>Sum of Squares Formula</t>
  </si>
  <si>
    <t>Mean Formula</t>
  </si>
  <si>
    <t>Sum of Squares</t>
  </si>
  <si>
    <t>s (StdDev)</t>
  </si>
  <si>
    <t>s^2 (Variance)</t>
  </si>
  <si>
    <t>Class Margin</t>
  </si>
  <si>
    <t>Total Objects (n)</t>
  </si>
  <si>
    <t>Selected Objects (r)</t>
  </si>
  <si>
    <t>Combinations:</t>
  </si>
  <si>
    <t>Permutations:</t>
  </si>
  <si>
    <t>Value</t>
  </si>
  <si>
    <t>Probability</t>
  </si>
  <si>
    <t>Value*Probability</t>
  </si>
  <si>
    <t>Expected Value</t>
  </si>
  <si>
    <t>Probability Total (should be 1)</t>
  </si>
  <si>
    <t>Discrete Random Variance and Deviation</t>
  </si>
  <si>
    <t>Probability Total (should be 0):</t>
  </si>
  <si>
    <t>Distance from Expected Value</t>
  </si>
  <si>
    <t>Distance From ExpVal^2</t>
  </si>
  <si>
    <t>Expected Value:</t>
  </si>
  <si>
    <t>(Distance From ExpVal^2)*(Probability)</t>
  </si>
  <si>
    <t>Variance:</t>
  </si>
  <si>
    <t>Standard Deviation:</t>
  </si>
  <si>
    <t>HHH</t>
  </si>
  <si>
    <t>HHT</t>
  </si>
  <si>
    <t>HTH</t>
  </si>
  <si>
    <t>HTT</t>
  </si>
  <si>
    <t>THH</t>
  </si>
  <si>
    <t>THT</t>
  </si>
  <si>
    <t>TTH</t>
  </si>
  <si>
    <t>TTT</t>
  </si>
  <si>
    <t>Calculated Probability:</t>
  </si>
  <si>
    <t>Calculated Probability (%):</t>
  </si>
  <si>
    <t>Probability of Success on Trial (p):</t>
  </si>
  <si>
    <t>Num Trials (n):</t>
  </si>
  <si>
    <t>Num Successes (x):</t>
  </si>
  <si>
    <t>Combination(nCx):</t>
  </si>
  <si>
    <t>Single Binomial Distribution Probability</t>
  </si>
  <si>
    <t>Cumulative Binomial Distribution Probability</t>
  </si>
  <si>
    <t>Excel Calc Probability:</t>
  </si>
  <si>
    <t>Excel Calc Probability (%):</t>
  </si>
  <si>
    <t>Compliment of Probability (might be useful):</t>
  </si>
  <si>
    <t>Compliment of Probability (%):</t>
  </si>
  <si>
    <t>Standard Normal Distribution Area</t>
  </si>
  <si>
    <t>Area:</t>
  </si>
  <si>
    <t>Area (rounded to 4 digits):</t>
  </si>
  <si>
    <t>z2area-z1area</t>
  </si>
  <si>
    <t>z1 value:</t>
  </si>
  <si>
    <t>Area To The Left:</t>
  </si>
  <si>
    <t>Area To The Right:</t>
  </si>
  <si>
    <t>Area In Between:</t>
  </si>
  <si>
    <t>Area To The Tails:</t>
  </si>
  <si>
    <t>z2 value:</t>
  </si>
  <si>
    <t>Area Left of z2:</t>
  </si>
  <si>
    <t>Area Left of z1:</t>
  </si>
  <si>
    <t>Area Left of -z2:</t>
  </si>
  <si>
    <t>z1area+-z2area:</t>
  </si>
  <si>
    <t>z-Score</t>
  </si>
  <si>
    <t>z:</t>
  </si>
  <si>
    <t>StdDev:</t>
  </si>
  <si>
    <t>Score:</t>
  </si>
  <si>
    <t>Score Given z</t>
  </si>
  <si>
    <t>Find Mean Given z</t>
  </si>
  <si>
    <t>Find StdDev</t>
  </si>
  <si>
    <t>Minimum</t>
  </si>
  <si>
    <t>Q1</t>
  </si>
  <si>
    <t>Q2 (Median)</t>
  </si>
  <si>
    <t>Q3</t>
  </si>
  <si>
    <t>Maximum</t>
  </si>
  <si>
    <t>Range:</t>
  </si>
  <si>
    <t>Pop Variance:</t>
  </si>
  <si>
    <t>Pop StdDev:</t>
  </si>
  <si>
    <t>Excel Sample StvDev:</t>
  </si>
  <si>
    <t>Total Rows</t>
  </si>
  <si>
    <t>Name</t>
  </si>
  <si>
    <t xml:space="preserve"># </t>
  </si>
  <si>
    <t>%</t>
  </si>
  <si>
    <t>NS No Cont</t>
  </si>
  <si>
    <t>NS Cont</t>
  </si>
  <si>
    <t>SPC No Cont</t>
  </si>
  <si>
    <t>NS Total</t>
  </si>
  <si>
    <t>SPC Cont</t>
  </si>
  <si>
    <t>SPC Total</t>
  </si>
  <si>
    <t>SRS No Cont</t>
  </si>
  <si>
    <t>SRS Cont</t>
  </si>
  <si>
    <t>SW No Cont</t>
  </si>
  <si>
    <t>SW Cont</t>
  </si>
  <si>
    <t>Total</t>
  </si>
  <si>
    <t>SRS Total</t>
  </si>
  <si>
    <t>SW Total</t>
  </si>
  <si>
    <t>Class Count</t>
  </si>
  <si>
    <t>Class Width</t>
  </si>
  <si>
    <t>Manual</t>
  </si>
  <si>
    <t>Automatic</t>
  </si>
  <si>
    <t>Quartiles</t>
  </si>
  <si>
    <t>n:</t>
  </si>
  <si>
    <t>1st</t>
  </si>
  <si>
    <t>2nd</t>
  </si>
  <si>
    <t>3rd</t>
  </si>
  <si>
    <t>% with Cont</t>
  </si>
  <si>
    <t>StdDev of Population:</t>
  </si>
  <si>
    <t>Sample Size:</t>
  </si>
  <si>
    <t>StdDev of Sampling Distribution of Sample Means:</t>
  </si>
  <si>
    <t>Standard Score for Sample Mean:</t>
  </si>
  <si>
    <t>Std of Distribution:</t>
  </si>
  <si>
    <t>Given Sample Mean (x-bar):</t>
  </si>
  <si>
    <t>Population Mean (mu):</t>
  </si>
  <si>
    <t>Population StdDev:</t>
  </si>
  <si>
    <t>Sample Size used for Sampling Distribution (n):</t>
  </si>
  <si>
    <t>Standard Score (z):</t>
  </si>
  <si>
    <t>z-score:</t>
  </si>
  <si>
    <t>Area To The Tails (Symmetrical):</t>
  </si>
  <si>
    <t>s (</t>
  </si>
  <si>
    <t>sum(x-xbar)^2:</t>
  </si>
  <si>
    <t>Chebyshev's Theorem</t>
  </si>
  <si>
    <t>High #:</t>
  </si>
  <si>
    <t>Low #:</t>
  </si>
  <si>
    <t>% of data</t>
  </si>
  <si>
    <t>High k-score:</t>
  </si>
  <si>
    <t>Low k-score:</t>
  </si>
  <si>
    <t>Confidentiality</t>
  </si>
  <si>
    <t>Integrity</t>
  </si>
  <si>
    <t>Availability</t>
  </si>
  <si>
    <t>Confidence Interval</t>
  </si>
  <si>
    <t>Point Estimate:</t>
  </si>
  <si>
    <t>Margin of Error:</t>
  </si>
  <si>
    <t>Upper Endpoint:</t>
  </si>
  <si>
    <t>Lower Endpoint:</t>
  </si>
  <si>
    <t>Margin Of Error</t>
  </si>
  <si>
    <t>Pop Standard Deviation:</t>
  </si>
  <si>
    <t>Critical Value (za/2):</t>
  </si>
  <si>
    <t>Sample Size (n):</t>
  </si>
  <si>
    <t>Margin of Error (E):</t>
  </si>
  <si>
    <t>Confidence Interval for Population Mean</t>
  </si>
  <si>
    <t>Margin of Error (from alpha)</t>
  </si>
  <si>
    <t>Alpha (1-c)</t>
  </si>
  <si>
    <t>Min Sample Size for Estimating Pop Mean</t>
  </si>
  <si>
    <t>Desired Max Margin of Error (E):</t>
  </si>
  <si>
    <t>Min Sample Size (n):</t>
  </si>
  <si>
    <t>Level of Confidence, c</t>
  </si>
  <si>
    <t>α = 1 - c</t>
  </si>
  <si>
    <t>zα</t>
  </si>
  <si>
    <t>zα/2</t>
  </si>
  <si>
    <t>±1.28</t>
  </si>
  <si>
    <t>±1.44</t>
  </si>
  <si>
    <t>±1.645</t>
  </si>
  <si>
    <t>±1.96</t>
  </si>
  <si>
    <t>±2.05</t>
  </si>
  <si>
    <t>±2.33</t>
  </si>
  <si>
    <t>±2.575</t>
  </si>
  <si>
    <t>Level of Confidence (c):</t>
  </si>
  <si>
    <t>Confidence Endpoints to E</t>
  </si>
  <si>
    <t>Point Estimate (sample mean):</t>
  </si>
  <si>
    <t>Complement:</t>
  </si>
  <si>
    <t>Probability of Event:</t>
  </si>
  <si>
    <t>Prob of E</t>
  </si>
  <si>
    <t>Prob of F</t>
  </si>
  <si>
    <r>
      <t xml:space="preserve">Prob of E </t>
    </r>
    <r>
      <rPr>
        <u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F</t>
    </r>
  </si>
  <si>
    <t>Additon Rule:  P(E or F)</t>
  </si>
  <si>
    <r>
      <t xml:space="preserve">Prob of E </t>
    </r>
    <r>
      <rPr>
        <b/>
        <u/>
        <sz val="11"/>
        <color theme="1"/>
        <rFont val="Calibri"/>
        <family val="2"/>
        <scheme val="minor"/>
      </rPr>
      <t>or</t>
    </r>
    <r>
      <rPr>
        <b/>
        <sz val="11"/>
        <color theme="1"/>
        <rFont val="Calibri"/>
        <family val="2"/>
        <scheme val="minor"/>
      </rPr>
      <t xml:space="preserve"> F</t>
    </r>
  </si>
  <si>
    <t>Addition Rule for Mutually Exclusive Events:  P(E or F)</t>
  </si>
  <si>
    <r>
      <t xml:space="preserve">Prob of E </t>
    </r>
    <r>
      <rPr>
        <b/>
        <u/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F</t>
    </r>
  </si>
  <si>
    <t>Multiplication Rule for Independent Events: P(E and F)</t>
  </si>
  <si>
    <t>Multiplication Rule for Dependent Events: P(E and F)</t>
  </si>
  <si>
    <t>Conditional Probability: P(F|E)</t>
  </si>
  <si>
    <t>Prob of F|E</t>
  </si>
  <si>
    <r>
      <t xml:space="preserve">Prob of E </t>
    </r>
    <r>
      <rPr>
        <u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F</t>
    </r>
  </si>
  <si>
    <t>Prob of F Given E</t>
  </si>
  <si>
    <r>
      <t>Test Statistic for a Hypothesis Test for a Population Mean (</t>
    </r>
    <r>
      <rPr>
        <b/>
        <sz val="13.6"/>
        <color theme="1"/>
        <rFont val="STIXMathJax_Main-italic"/>
      </rPr>
      <t>σ</t>
    </r>
    <r>
      <rPr>
        <b/>
        <sz val="11"/>
        <color theme="1"/>
        <rFont val="Calibri"/>
        <family val="2"/>
        <scheme val="minor"/>
      </rPr>
      <t xml:space="preserve"> Known)</t>
    </r>
  </si>
  <si>
    <t>Sample Mean (x-bar):</t>
  </si>
  <si>
    <t>Presumed Pop Mean (mu):</t>
  </si>
  <si>
    <t>Test Statistic (z):</t>
  </si>
  <si>
    <t>Y-Values</t>
  </si>
  <si>
    <t>X-Values</t>
  </si>
  <si>
    <t># of Data (n):</t>
  </si>
  <si>
    <t>Correlational Coefficient (r):</t>
  </si>
  <si>
    <t>Degrees of Freedom (n-2)</t>
  </si>
  <si>
    <t>Num X-Values:</t>
  </si>
  <si>
    <t>Num Y-Values:</t>
  </si>
  <si>
    <t>Correlational Test Statistic (Manual):</t>
  </si>
  <si>
    <t>Correlational Test Statistic (Automatic):</t>
  </si>
  <si>
    <t>Coefficient of Determination (Manual):</t>
  </si>
  <si>
    <t>Coefficient of Determination (Automatic):</t>
  </si>
  <si>
    <t>Slope:</t>
  </si>
  <si>
    <t>y-Intercept:</t>
  </si>
  <si>
    <t>Correlation Coefficient (r):</t>
  </si>
  <si>
    <t>Predicted y value (y-hat):</t>
  </si>
  <si>
    <t>Predictions (Manual)</t>
  </si>
  <si>
    <t>Slope (b1):</t>
  </si>
  <si>
    <t>y-Intercept (b0):</t>
  </si>
  <si>
    <t xml:space="preserve">x value: </t>
  </si>
  <si>
    <t>Solving For X:</t>
  </si>
  <si>
    <t>Least-Squares Regression Line (Vertical)</t>
  </si>
  <si>
    <t>Least-Squares Regression Line (Horizontal)</t>
  </si>
  <si>
    <t>Predictions (Vert Automatic)</t>
  </si>
  <si>
    <t>Predictions (Horiz Automatic)</t>
  </si>
  <si>
    <t>Avery’s Gas Fill Up Log</t>
  </si>
  <si>
    <t>Miles Driven, x</t>
  </si>
  <si>
    <t>Cost to Fill up ($), y</t>
  </si>
  <si>
    <t>z1-score</t>
  </si>
  <si>
    <t>z2-score</t>
  </si>
  <si>
    <t>Area In Between (automatic):</t>
  </si>
  <si>
    <t>Area To The Tails (automatic):</t>
  </si>
  <si>
    <t>Area In Between (auto):</t>
  </si>
  <si>
    <t>Area To The Tails (Symmetrical)(auto):</t>
  </si>
  <si>
    <t>Standard Score (z2):</t>
  </si>
  <si>
    <t>Standard Score (z1):</t>
  </si>
  <si>
    <t>Standard Score for Sample Mean (z1):</t>
  </si>
  <si>
    <t>Standard Score for Sample Mean (z2):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</si>
</sst>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.6"/>
      <color theme="1"/>
      <name val="STIXMathJax_Main-italic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3" fontId="0" fillId="0" borderId="0" xfId="0" applyNumberFormat="1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5" fontId="0" fillId="0" borderId="0" xfId="0" applyNumberFormat="1"/>
    <xf numFmtId="13" fontId="0" fillId="0" borderId="0" xfId="0" applyNumberFormat="1" applyAlignment="1">
      <alignment horizontal="right"/>
    </xf>
    <xf numFmtId="0" fontId="0" fillId="3" borderId="0" xfId="0" applyFill="1"/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73CD-F1F4-4783-A1F8-65BD64E50297}">
  <dimension ref="A1:AF36"/>
  <sheetViews>
    <sheetView workbookViewId="0">
      <selection activeCell="S17" sqref="S17"/>
    </sheetView>
  </sheetViews>
  <sheetFormatPr defaultRowHeight="15"/>
  <cols>
    <col min="7" max="7" width="10.42578125" customWidth="1"/>
    <col min="8" max="8" width="23.28515625" customWidth="1"/>
    <col min="10" max="10" width="12.140625" bestFit="1" customWidth="1"/>
    <col min="13" max="13" width="14.7109375" customWidth="1"/>
    <col min="22" max="22" width="11.42578125" customWidth="1"/>
    <col min="31" max="31" width="11.28515625" customWidth="1"/>
  </cols>
  <sheetData>
    <row r="1" spans="1:32">
      <c r="A1">
        <v>5.2</v>
      </c>
      <c r="C1">
        <v>5.2</v>
      </c>
      <c r="E1" t="s">
        <v>32</v>
      </c>
      <c r="L1" t="s">
        <v>71</v>
      </c>
      <c r="M1">
        <v>0</v>
      </c>
      <c r="P1">
        <v>5</v>
      </c>
      <c r="T1">
        <v>45</v>
      </c>
      <c r="V1" t="s">
        <v>112</v>
      </c>
      <c r="W1">
        <v>45</v>
      </c>
      <c r="Z1">
        <v>1091</v>
      </c>
      <c r="AC1">
        <v>46</v>
      </c>
      <c r="AE1" t="s">
        <v>112</v>
      </c>
      <c r="AF1">
        <v>46</v>
      </c>
    </row>
    <row r="2" spans="1:32">
      <c r="A2">
        <v>5.4</v>
      </c>
      <c r="C2">
        <v>5.4</v>
      </c>
      <c r="E2">
        <v>5.5</v>
      </c>
      <c r="L2" t="s">
        <v>72</v>
      </c>
      <c r="M2">
        <v>1</v>
      </c>
      <c r="P2">
        <v>6</v>
      </c>
      <c r="T2">
        <v>48</v>
      </c>
      <c r="V2" t="s">
        <v>113</v>
      </c>
      <c r="W2">
        <v>50</v>
      </c>
      <c r="Z2">
        <v>1095</v>
      </c>
      <c r="AC2">
        <v>65</v>
      </c>
      <c r="AE2" t="s">
        <v>113</v>
      </c>
      <c r="AF2">
        <v>68</v>
      </c>
    </row>
    <row r="3" spans="1:32">
      <c r="A3">
        <v>5.4</v>
      </c>
      <c r="C3">
        <v>5.5</v>
      </c>
      <c r="E3">
        <v>6.3</v>
      </c>
      <c r="L3" t="s">
        <v>73</v>
      </c>
      <c r="M3">
        <v>1</v>
      </c>
      <c r="P3">
        <v>8</v>
      </c>
      <c r="T3">
        <v>50</v>
      </c>
      <c r="V3" t="s">
        <v>114</v>
      </c>
      <c r="W3">
        <v>74.5</v>
      </c>
      <c r="Z3">
        <v>1126</v>
      </c>
      <c r="AC3">
        <v>68</v>
      </c>
      <c r="AE3" t="s">
        <v>114</v>
      </c>
      <c r="AF3">
        <v>73</v>
      </c>
    </row>
    <row r="4" spans="1:32">
      <c r="A4">
        <v>5.4</v>
      </c>
      <c r="C4">
        <v>5.6</v>
      </c>
      <c r="E4">
        <v>6.4</v>
      </c>
      <c r="L4" t="s">
        <v>75</v>
      </c>
      <c r="M4">
        <v>1</v>
      </c>
      <c r="P4">
        <v>10</v>
      </c>
      <c r="T4">
        <v>56</v>
      </c>
      <c r="V4" t="s">
        <v>115</v>
      </c>
      <c r="W4">
        <v>86</v>
      </c>
      <c r="Z4">
        <v>1135</v>
      </c>
      <c r="AC4">
        <v>69</v>
      </c>
      <c r="AE4" t="s">
        <v>115</v>
      </c>
      <c r="AF4">
        <v>81</v>
      </c>
    </row>
    <row r="5" spans="1:32">
      <c r="A5">
        <v>5.5</v>
      </c>
      <c r="C5">
        <v>5.6</v>
      </c>
      <c r="E5">
        <v>6.5</v>
      </c>
      <c r="L5" t="s">
        <v>74</v>
      </c>
      <c r="M5">
        <v>2</v>
      </c>
      <c r="T5">
        <v>70</v>
      </c>
      <c r="V5" t="s">
        <v>116</v>
      </c>
      <c r="W5">
        <v>91</v>
      </c>
      <c r="Z5">
        <v>1143</v>
      </c>
      <c r="AC5">
        <v>72</v>
      </c>
      <c r="AE5" t="s">
        <v>116</v>
      </c>
      <c r="AF5">
        <v>85</v>
      </c>
    </row>
    <row r="6" spans="1:32">
      <c r="A6">
        <v>5.6</v>
      </c>
      <c r="C6">
        <v>5.7</v>
      </c>
      <c r="E6">
        <v>6.7</v>
      </c>
      <c r="L6" t="s">
        <v>76</v>
      </c>
      <c r="M6">
        <v>2</v>
      </c>
      <c r="T6">
        <v>79</v>
      </c>
      <c r="Z6">
        <v>1161</v>
      </c>
      <c r="AC6">
        <v>74</v>
      </c>
    </row>
    <row r="7" spans="1:32">
      <c r="A7">
        <v>5.6</v>
      </c>
      <c r="C7">
        <v>5.7</v>
      </c>
      <c r="E7">
        <v>7.2</v>
      </c>
      <c r="L7" t="s">
        <v>77</v>
      </c>
      <c r="M7">
        <v>2</v>
      </c>
      <c r="T7">
        <v>81</v>
      </c>
      <c r="Z7">
        <v>1231</v>
      </c>
      <c r="AC7">
        <v>80</v>
      </c>
    </row>
    <row r="8" spans="1:32">
      <c r="A8">
        <v>5.8</v>
      </c>
      <c r="C8">
        <v>5.7</v>
      </c>
      <c r="E8">
        <v>7.7</v>
      </c>
      <c r="L8" t="s">
        <v>78</v>
      </c>
      <c r="M8">
        <v>3</v>
      </c>
      <c r="T8">
        <v>86</v>
      </c>
      <c r="Z8">
        <v>1241</v>
      </c>
      <c r="AC8">
        <v>81</v>
      </c>
    </row>
    <row r="9" spans="1:32">
      <c r="A9">
        <v>5.8</v>
      </c>
      <c r="C9">
        <v>5.9</v>
      </c>
      <c r="E9">
        <v>7.7</v>
      </c>
      <c r="T9">
        <v>89</v>
      </c>
      <c r="Z9">
        <v>1251</v>
      </c>
      <c r="AC9">
        <v>83</v>
      </c>
    </row>
    <row r="10" spans="1:32">
      <c r="E10">
        <v>7.7</v>
      </c>
      <c r="T10">
        <v>91</v>
      </c>
      <c r="Z10">
        <v>1262</v>
      </c>
      <c r="AC10">
        <v>85</v>
      </c>
    </row>
    <row r="11" spans="1:32">
      <c r="E11">
        <v>7.7</v>
      </c>
      <c r="M11">
        <v>3</v>
      </c>
      <c r="P11">
        <v>60</v>
      </c>
      <c r="Z11">
        <v>1264</v>
      </c>
    </row>
    <row r="12" spans="1:32">
      <c r="E12">
        <v>7.7</v>
      </c>
      <c r="M12">
        <v>3</v>
      </c>
      <c r="P12">
        <v>63</v>
      </c>
      <c r="Z12">
        <v>1276</v>
      </c>
    </row>
    <row r="13" spans="1:32">
      <c r="E13">
        <v>8</v>
      </c>
      <c r="M13">
        <v>4</v>
      </c>
      <c r="P13">
        <v>70</v>
      </c>
      <c r="Z13">
        <v>1297</v>
      </c>
    </row>
    <row r="14" spans="1:32">
      <c r="E14">
        <v>8.1</v>
      </c>
      <c r="M14" s="12">
        <v>5</v>
      </c>
      <c r="P14">
        <v>71</v>
      </c>
      <c r="Z14">
        <v>1300</v>
      </c>
    </row>
    <row r="15" spans="1:32">
      <c r="E15">
        <v>8.6</v>
      </c>
      <c r="M15">
        <v>8</v>
      </c>
      <c r="P15">
        <v>73</v>
      </c>
      <c r="Z15">
        <v>1300</v>
      </c>
    </row>
    <row r="16" spans="1:32">
      <c r="E16">
        <v>9.3000000000000007</v>
      </c>
      <c r="M16">
        <v>10</v>
      </c>
      <c r="P16">
        <v>84</v>
      </c>
      <c r="S16" t="s">
        <v>71</v>
      </c>
      <c r="Z16">
        <v>1308</v>
      </c>
    </row>
    <row r="17" spans="7:26">
      <c r="M17" s="12">
        <v>11</v>
      </c>
      <c r="P17">
        <v>84</v>
      </c>
      <c r="S17" t="s">
        <v>72</v>
      </c>
      <c r="Z17">
        <v>1335</v>
      </c>
    </row>
    <row r="18" spans="7:26">
      <c r="M18" s="12">
        <v>13</v>
      </c>
      <c r="P18">
        <v>88</v>
      </c>
      <c r="S18" t="s">
        <v>73</v>
      </c>
      <c r="Z18">
        <v>1340</v>
      </c>
    </row>
    <row r="19" spans="7:26">
      <c r="M19">
        <v>17</v>
      </c>
      <c r="P19">
        <v>89</v>
      </c>
      <c r="S19" t="s">
        <v>74</v>
      </c>
      <c r="Z19">
        <v>1351</v>
      </c>
    </row>
    <row r="20" spans="7:26">
      <c r="M20">
        <v>19</v>
      </c>
      <c r="P20">
        <v>89</v>
      </c>
      <c r="S20" t="s">
        <v>75</v>
      </c>
      <c r="Z20">
        <v>1371</v>
      </c>
    </row>
    <row r="21" spans="7:26">
      <c r="M21" s="12">
        <v>20</v>
      </c>
      <c r="S21" t="s">
        <v>76</v>
      </c>
      <c r="Z21">
        <v>1384</v>
      </c>
    </row>
    <row r="22" spans="7:26">
      <c r="G22" t="s">
        <v>121</v>
      </c>
      <c r="H22" t="s">
        <v>122</v>
      </c>
      <c r="I22" t="s">
        <v>123</v>
      </c>
      <c r="J22" t="s">
        <v>124</v>
      </c>
      <c r="M22">
        <v>23</v>
      </c>
      <c r="S22" t="s">
        <v>77</v>
      </c>
    </row>
    <row r="23" spans="7:26">
      <c r="G23">
        <v>40984</v>
      </c>
      <c r="H23" t="s">
        <v>125</v>
      </c>
      <c r="I23">
        <v>35230</v>
      </c>
      <c r="J23" s="10">
        <f>I23/I35</f>
        <v>0.98070873813434289</v>
      </c>
      <c r="M23">
        <v>23</v>
      </c>
      <c r="S23" t="s">
        <v>78</v>
      </c>
    </row>
    <row r="24" spans="7:26">
      <c r="H24" t="s">
        <v>126</v>
      </c>
      <c r="I24">
        <v>27</v>
      </c>
      <c r="J24" s="10">
        <f>I24/I35</f>
        <v>7.5160760515547147E-4</v>
      </c>
      <c r="M24">
        <v>24</v>
      </c>
    </row>
    <row r="25" spans="7:26">
      <c r="H25" t="s">
        <v>128</v>
      </c>
      <c r="I25">
        <f>I23+I24</f>
        <v>35257</v>
      </c>
      <c r="J25" s="10">
        <f>I25/I35</f>
        <v>0.98146034573949836</v>
      </c>
    </row>
    <row r="26" spans="7:26">
      <c r="H26" t="s">
        <v>127</v>
      </c>
      <c r="I26">
        <v>105</v>
      </c>
      <c r="J26" s="10">
        <f>I26/I35</f>
        <v>2.9229184644935001E-3</v>
      </c>
    </row>
    <row r="27" spans="7:26">
      <c r="H27" t="s">
        <v>129</v>
      </c>
      <c r="I27">
        <v>368</v>
      </c>
      <c r="J27" s="10">
        <f>I27/I35</f>
        <v>1.0244133285081981E-2</v>
      </c>
    </row>
    <row r="28" spans="7:26">
      <c r="H28" t="s">
        <v>130</v>
      </c>
      <c r="I28">
        <f>I26+I27</f>
        <v>473</v>
      </c>
      <c r="J28" s="10">
        <f>I28/I35</f>
        <v>1.3167051749575481E-2</v>
      </c>
    </row>
    <row r="29" spans="7:26">
      <c r="H29" t="s">
        <v>131</v>
      </c>
      <c r="I29">
        <v>69</v>
      </c>
      <c r="J29" s="10">
        <f>I29/I35</f>
        <v>1.9207749909528715E-3</v>
      </c>
    </row>
    <row r="30" spans="7:26">
      <c r="H30" t="s">
        <v>132</v>
      </c>
      <c r="I30">
        <v>84</v>
      </c>
      <c r="J30" s="10">
        <f>I30/I35</f>
        <v>2.3383347715947998E-3</v>
      </c>
    </row>
    <row r="31" spans="7:26">
      <c r="H31" t="s">
        <v>136</v>
      </c>
      <c r="I31">
        <f>I29+I30</f>
        <v>153</v>
      </c>
      <c r="J31" s="10">
        <f>I31/I35</f>
        <v>4.2591097625476713E-3</v>
      </c>
    </row>
    <row r="32" spans="7:26">
      <c r="H32" t="s">
        <v>133</v>
      </c>
      <c r="I32">
        <v>3</v>
      </c>
      <c r="J32" s="10">
        <f>I32/I35</f>
        <v>8.3511956128385715E-5</v>
      </c>
      <c r="M32" t="s">
        <v>168</v>
      </c>
      <c r="N32">
        <v>2</v>
      </c>
      <c r="O32">
        <v>4</v>
      </c>
      <c r="P32">
        <v>0</v>
      </c>
    </row>
    <row r="33" spans="8:16">
      <c r="H33" t="s">
        <v>134</v>
      </c>
      <c r="I33">
        <v>37</v>
      </c>
      <c r="J33" s="10">
        <f>I33/I35</f>
        <v>1.0299807922500904E-3</v>
      </c>
      <c r="M33" t="s">
        <v>169</v>
      </c>
      <c r="N33">
        <v>3</v>
      </c>
      <c r="O33">
        <v>2</v>
      </c>
      <c r="P33">
        <v>2</v>
      </c>
    </row>
    <row r="34" spans="8:16">
      <c r="H34" t="s">
        <v>137</v>
      </c>
      <c r="I34">
        <f>I32+I33</f>
        <v>40</v>
      </c>
      <c r="J34" s="5">
        <f>I34/I35</f>
        <v>1.1134927483784762E-3</v>
      </c>
      <c r="M34" t="s">
        <v>170</v>
      </c>
      <c r="N34">
        <v>4</v>
      </c>
      <c r="O34">
        <v>4</v>
      </c>
      <c r="P34">
        <v>2</v>
      </c>
    </row>
    <row r="35" spans="8:16">
      <c r="H35" t="s">
        <v>135</v>
      </c>
      <c r="I35">
        <f>I25+I28+I31+I34</f>
        <v>35923</v>
      </c>
      <c r="J35" s="5"/>
    </row>
    <row r="36" spans="8:16">
      <c r="H36" t="s">
        <v>147</v>
      </c>
      <c r="I36">
        <f>SUM(I24,I27,I30,I33)</f>
        <v>516</v>
      </c>
      <c r="J36" s="10">
        <f>I36/I35</f>
        <v>1.4364056454082343E-2</v>
      </c>
    </row>
  </sheetData>
  <sortState xmlns:xlrd2="http://schemas.microsoft.com/office/spreadsheetml/2017/richdata2" ref="M11:M24">
    <sortCondition ref="M11:M2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7CA4-6AE4-46D0-8DAF-DCE5B28A5254}">
  <dimension ref="A1:H14"/>
  <sheetViews>
    <sheetView workbookViewId="0">
      <selection activeCell="B4" sqref="B4"/>
    </sheetView>
  </sheetViews>
  <sheetFormatPr defaultRowHeight="15"/>
  <cols>
    <col min="1" max="1" width="41" customWidth="1"/>
    <col min="2" max="2" width="34.5703125" customWidth="1"/>
    <col min="5" max="5" width="42.5703125" customWidth="1"/>
    <col min="6" max="6" width="19.42578125" customWidth="1"/>
    <col min="7" max="7" width="14" customWidth="1"/>
    <col min="8" max="8" width="9.140625" hidden="1" customWidth="1"/>
    <col min="9" max="9" width="30.5703125" customWidth="1"/>
    <col min="10" max="10" width="31.28515625" customWidth="1"/>
  </cols>
  <sheetData>
    <row r="1" spans="1:5">
      <c r="A1" s="4" t="s">
        <v>85</v>
      </c>
      <c r="E1" s="4"/>
    </row>
    <row r="2" spans="1:5">
      <c r="A2" s="1" t="s">
        <v>83</v>
      </c>
      <c r="B2" s="8">
        <v>2</v>
      </c>
    </row>
    <row r="3" spans="1:5">
      <c r="A3" s="1" t="s">
        <v>82</v>
      </c>
      <c r="B3" s="8">
        <v>12</v>
      </c>
    </row>
    <row r="4" spans="1:5">
      <c r="A4" s="1" t="s">
        <v>81</v>
      </c>
      <c r="B4" s="9">
        <v>0.3</v>
      </c>
    </row>
    <row r="5" spans="1:5">
      <c r="A5" s="1" t="s">
        <v>84</v>
      </c>
      <c r="B5">
        <f>FACT(B3)/(FACT(B2)*FACT(B3-B2))</f>
        <v>66</v>
      </c>
    </row>
    <row r="6" spans="1:5">
      <c r="A6" s="1" t="s">
        <v>79</v>
      </c>
      <c r="B6">
        <f>B5*(B4^B2)*(1-B4)^(B3-B2)</f>
        <v>0.16779029790599986</v>
      </c>
    </row>
    <row r="7" spans="1:5">
      <c r="A7" s="1" t="s">
        <v>80</v>
      </c>
      <c r="B7" s="5">
        <f>B6</f>
        <v>0.16779029790599986</v>
      </c>
    </row>
    <row r="8" spans="1:5">
      <c r="A8" s="1" t="s">
        <v>87</v>
      </c>
      <c r="B8">
        <f>_xlfn.BINOM.DIST(B2, B3, B4, 0)</f>
        <v>0.167790297906</v>
      </c>
    </row>
    <row r="10" spans="1:5">
      <c r="A10" s="4" t="s">
        <v>86</v>
      </c>
    </row>
    <row r="11" spans="1:5">
      <c r="A11" s="1" t="s">
        <v>87</v>
      </c>
      <c r="B11">
        <f>_xlfn.BINOM.DIST(B2, B3, B4, 1)</f>
        <v>0.25281534785499998</v>
      </c>
    </row>
    <row r="12" spans="1:5">
      <c r="A12" s="1" t="s">
        <v>88</v>
      </c>
      <c r="B12" s="5">
        <f>B11</f>
        <v>0.25281534785499998</v>
      </c>
    </row>
    <row r="13" spans="1:5">
      <c r="A13" s="1" t="s">
        <v>89</v>
      </c>
      <c r="B13">
        <f>1-B11</f>
        <v>0.74718465214500007</v>
      </c>
    </row>
    <row r="14" spans="1:5">
      <c r="A14" s="1" t="s">
        <v>90</v>
      </c>
      <c r="B14" s="5">
        <f>1-B12</f>
        <v>0.74718465214500007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BDFE-D551-4CB2-B096-D9444070D586}">
  <dimension ref="A1:J34"/>
  <sheetViews>
    <sheetView workbookViewId="0">
      <selection activeCell="C8" sqref="C8"/>
    </sheetView>
  </sheetViews>
  <sheetFormatPr defaultRowHeight="15"/>
  <cols>
    <col min="1" max="1" width="33" style="1" customWidth="1"/>
    <col min="2" max="2" width="12" bestFit="1" customWidth="1"/>
    <col min="4" max="4" width="27.7109375" customWidth="1"/>
  </cols>
  <sheetData>
    <row r="1" spans="1:10">
      <c r="A1" s="6" t="s">
        <v>91</v>
      </c>
      <c r="I1" s="4" t="s">
        <v>35</v>
      </c>
    </row>
    <row r="2" spans="1:10">
      <c r="I2" t="s">
        <v>33</v>
      </c>
      <c r="J2" s="8">
        <v>2.2000000000000002</v>
      </c>
    </row>
    <row r="3" spans="1:10">
      <c r="A3" s="6" t="s">
        <v>96</v>
      </c>
      <c r="D3" s="6" t="s">
        <v>96</v>
      </c>
      <c r="I3" t="s">
        <v>34</v>
      </c>
      <c r="J3" s="8">
        <v>2.5</v>
      </c>
    </row>
    <row r="4" spans="1:10">
      <c r="A4" s="1" t="s">
        <v>158</v>
      </c>
      <c r="B4" s="8">
        <v>-0.6</v>
      </c>
      <c r="D4" s="1" t="s">
        <v>108</v>
      </c>
      <c r="E4" s="8">
        <v>183</v>
      </c>
      <c r="I4" t="s">
        <v>31</v>
      </c>
      <c r="J4" s="8">
        <v>0.5</v>
      </c>
    </row>
    <row r="5" spans="1:10">
      <c r="A5" s="1" t="s">
        <v>92</v>
      </c>
      <c r="B5">
        <f>_xlfn.NORM.DIST(B4,0, 1, TRUE)</f>
        <v>0.27425311775007355</v>
      </c>
      <c r="D5" s="1" t="s">
        <v>15</v>
      </c>
      <c r="E5" s="8">
        <v>197</v>
      </c>
      <c r="I5" t="s">
        <v>35</v>
      </c>
      <c r="J5">
        <f>(J2-J3)/J4</f>
        <v>-0.59999999999999964</v>
      </c>
    </row>
    <row r="6" spans="1:10">
      <c r="A6" s="1" t="s">
        <v>93</v>
      </c>
      <c r="B6" s="7">
        <f>B5</f>
        <v>0.27425311775007355</v>
      </c>
      <c r="D6" s="1" t="s">
        <v>107</v>
      </c>
      <c r="E6" s="8">
        <v>35</v>
      </c>
    </row>
    <row r="7" spans="1:10">
      <c r="A7"/>
      <c r="D7" s="1" t="s">
        <v>92</v>
      </c>
      <c r="E7">
        <f>_xlfn.NORM.DIST(E4, E5, E6, TRUE)</f>
        <v>0.34457825838967576</v>
      </c>
    </row>
    <row r="8" spans="1:10">
      <c r="A8"/>
      <c r="D8" s="1" t="s">
        <v>93</v>
      </c>
      <c r="E8" s="7">
        <f>E7</f>
        <v>0.34457825838967576</v>
      </c>
    </row>
    <row r="9" spans="1:10">
      <c r="A9"/>
      <c r="D9" s="1"/>
    </row>
    <row r="10" spans="1:10">
      <c r="A10" s="6" t="s">
        <v>97</v>
      </c>
      <c r="D10" s="6" t="s">
        <v>97</v>
      </c>
    </row>
    <row r="11" spans="1:10">
      <c r="A11" s="1" t="s">
        <v>35</v>
      </c>
      <c r="B11" s="8">
        <v>-2.3310599999999999</v>
      </c>
      <c r="D11" s="1" t="s">
        <v>33</v>
      </c>
      <c r="E11" s="8">
        <v>200</v>
      </c>
    </row>
    <row r="12" spans="1:10">
      <c r="A12" s="1" t="s">
        <v>92</v>
      </c>
      <c r="B12" s="7">
        <f>_xlfn.NORM.DIST(B11*-1,0,1, TRUE)</f>
        <v>0.99012490194657687</v>
      </c>
      <c r="D12" s="1" t="s">
        <v>15</v>
      </c>
      <c r="E12" s="8">
        <v>194.7</v>
      </c>
    </row>
    <row r="13" spans="1:10">
      <c r="A13" s="1" t="s">
        <v>93</v>
      </c>
      <c r="B13" s="7">
        <f>B12</f>
        <v>0.99012490194657687</v>
      </c>
      <c r="D13" s="1" t="s">
        <v>107</v>
      </c>
      <c r="E13" s="8">
        <v>32</v>
      </c>
    </row>
    <row r="14" spans="1:10">
      <c r="D14" s="1" t="s">
        <v>92</v>
      </c>
      <c r="E14" s="7">
        <f>_xlfn.NORM.DIST(E11*-1, E12, E13, TRUE)</f>
        <v>2.9573037407195732E-35</v>
      </c>
    </row>
    <row r="15" spans="1:10">
      <c r="A15" s="6" t="s">
        <v>98</v>
      </c>
      <c r="D15" s="1" t="s">
        <v>93</v>
      </c>
      <c r="E15" s="7">
        <f>E14</f>
        <v>2.9573037407195732E-35</v>
      </c>
    </row>
    <row r="16" spans="1:10">
      <c r="A16" s="1" t="s">
        <v>95</v>
      </c>
      <c r="B16" s="8">
        <v>-0.84160000000000001</v>
      </c>
    </row>
    <row r="17" spans="1:9">
      <c r="A17" s="1" t="s">
        <v>100</v>
      </c>
      <c r="B17" s="8">
        <v>0.84160000000000001</v>
      </c>
    </row>
    <row r="18" spans="1:9">
      <c r="A18" s="1" t="s">
        <v>15</v>
      </c>
      <c r="B18" s="8">
        <v>0</v>
      </c>
      <c r="D18" s="6" t="s">
        <v>249</v>
      </c>
      <c r="H18" s="4" t="s">
        <v>247</v>
      </c>
    </row>
    <row r="19" spans="1:9">
      <c r="A19" s="1" t="s">
        <v>107</v>
      </c>
      <c r="B19" s="8">
        <v>1</v>
      </c>
      <c r="D19" s="1" t="s">
        <v>95</v>
      </c>
      <c r="E19" s="8">
        <f>I22</f>
        <v>-0.59999999999999964</v>
      </c>
      <c r="H19" t="s">
        <v>33</v>
      </c>
      <c r="I19" s="8">
        <v>2.2000000000000002</v>
      </c>
    </row>
    <row r="20" spans="1:9">
      <c r="A20" s="1" t="s">
        <v>101</v>
      </c>
      <c r="B20">
        <f>_xlfn.NORM.DIST(B17, B18, B19, TRUE)</f>
        <v>0.79999405535503321</v>
      </c>
      <c r="D20" s="1" t="s">
        <v>100</v>
      </c>
      <c r="E20" s="8">
        <f>I29</f>
        <v>-0.59999999999999964</v>
      </c>
      <c r="H20" t="s">
        <v>34</v>
      </c>
      <c r="I20" s="8">
        <v>2.5</v>
      </c>
    </row>
    <row r="21" spans="1:9">
      <c r="A21" s="1" t="s">
        <v>102</v>
      </c>
      <c r="B21">
        <f>_xlfn.NORM.DIST(B16, B18, B19, TRUE)</f>
        <v>0.20000594464496677</v>
      </c>
      <c r="D21" s="1" t="s">
        <v>15</v>
      </c>
      <c r="E21" s="8">
        <v>0</v>
      </c>
      <c r="H21" t="s">
        <v>31</v>
      </c>
      <c r="I21" s="8">
        <v>0.5</v>
      </c>
    </row>
    <row r="22" spans="1:9">
      <c r="A22" s="1" t="s">
        <v>94</v>
      </c>
      <c r="B22">
        <f>B20-B21</f>
        <v>0.59998811071006641</v>
      </c>
      <c r="D22" s="1" t="s">
        <v>107</v>
      </c>
      <c r="E22" s="8">
        <v>1</v>
      </c>
      <c r="H22" t="s">
        <v>35</v>
      </c>
      <c r="I22">
        <f>(I19-I20)/I21</f>
        <v>-0.59999999999999964</v>
      </c>
    </row>
    <row r="23" spans="1:9">
      <c r="D23" s="1" t="s">
        <v>101</v>
      </c>
      <c r="E23">
        <f>_xlfn.NORM.DIST(E20, E21, E22, TRUE)</f>
        <v>0.27425311775007366</v>
      </c>
    </row>
    <row r="24" spans="1:9">
      <c r="A24" s="6" t="s">
        <v>99</v>
      </c>
      <c r="D24" s="1" t="s">
        <v>102</v>
      </c>
      <c r="E24">
        <f>_xlfn.NORM.DIST(E19, E21, E22, TRUE)</f>
        <v>0.27425311775007366</v>
      </c>
    </row>
    <row r="25" spans="1:9">
      <c r="A25" s="1" t="s">
        <v>95</v>
      </c>
      <c r="B25" s="8">
        <v>-2.83</v>
      </c>
      <c r="D25" s="1" t="s">
        <v>94</v>
      </c>
      <c r="E25">
        <f>E23-E24</f>
        <v>0</v>
      </c>
      <c r="H25" s="4" t="s">
        <v>248</v>
      </c>
    </row>
    <row r="26" spans="1:9">
      <c r="A26" s="1" t="s">
        <v>100</v>
      </c>
      <c r="B26" s="8">
        <v>2.83</v>
      </c>
      <c r="D26" s="1"/>
      <c r="H26" t="s">
        <v>33</v>
      </c>
      <c r="I26" s="8">
        <v>2.2000000000000002</v>
      </c>
    </row>
    <row r="27" spans="1:9">
      <c r="A27" s="1" t="s">
        <v>15</v>
      </c>
      <c r="B27" s="8">
        <v>0</v>
      </c>
      <c r="D27" s="6" t="s">
        <v>250</v>
      </c>
      <c r="H27" t="s">
        <v>34</v>
      </c>
      <c r="I27" s="8">
        <v>2.5</v>
      </c>
    </row>
    <row r="28" spans="1:9">
      <c r="A28" s="1" t="s">
        <v>107</v>
      </c>
      <c r="B28" s="8">
        <v>1</v>
      </c>
      <c r="D28" s="1" t="s">
        <v>95</v>
      </c>
      <c r="E28" s="8">
        <f>I22</f>
        <v>-0.59999999999999964</v>
      </c>
      <c r="H28" t="s">
        <v>31</v>
      </c>
      <c r="I28" s="8">
        <v>0.5</v>
      </c>
    </row>
    <row r="29" spans="1:9">
      <c r="A29" s="1" t="s">
        <v>102</v>
      </c>
      <c r="B29">
        <f>_xlfn.NORM.DIST(B25, B27, B28, TRUE)</f>
        <v>2.3274002067315515E-3</v>
      </c>
      <c r="D29" s="1" t="s">
        <v>100</v>
      </c>
      <c r="E29" s="8">
        <f>I29</f>
        <v>-0.59999999999999964</v>
      </c>
      <c r="H29" t="s">
        <v>35</v>
      </c>
      <c r="I29">
        <f>(I26-I27)/I28</f>
        <v>-0.59999999999999964</v>
      </c>
    </row>
    <row r="30" spans="1:9">
      <c r="A30" s="1" t="s">
        <v>103</v>
      </c>
      <c r="B30">
        <f>_xlfn.NORM.DIST(B26*-1, B27, B28, TRUE)</f>
        <v>2.3274002067315515E-3</v>
      </c>
      <c r="D30" s="1" t="s">
        <v>15</v>
      </c>
      <c r="E30" s="8">
        <v>0</v>
      </c>
    </row>
    <row r="31" spans="1:9">
      <c r="A31" s="1" t="s">
        <v>104</v>
      </c>
      <c r="B31">
        <f>B29+B30</f>
        <v>4.6548004134631029E-3</v>
      </c>
      <c r="D31" s="1" t="s">
        <v>107</v>
      </c>
      <c r="E31" s="8">
        <v>1</v>
      </c>
    </row>
    <row r="32" spans="1:9">
      <c r="D32" s="1" t="s">
        <v>102</v>
      </c>
      <c r="E32">
        <f>_xlfn.NORM.DIST(E28, E30, E31, TRUE)</f>
        <v>0.27425311775007366</v>
      </c>
    </row>
    <row r="33" spans="4:5">
      <c r="D33" s="1" t="s">
        <v>103</v>
      </c>
      <c r="E33">
        <f>_xlfn.NORM.DIST(E29*-1, E30, E31, TRUE)</f>
        <v>0.72574688224992634</v>
      </c>
    </row>
    <row r="34" spans="4:5">
      <c r="D34" s="1" t="s">
        <v>104</v>
      </c>
      <c r="E34">
        <f>E32+E33</f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88A6-CAC7-4F53-81E6-EC0E120EFDE5}">
  <dimension ref="A1:J32"/>
  <sheetViews>
    <sheetView workbookViewId="0">
      <selection activeCell="J28" sqref="J28"/>
    </sheetView>
  </sheetViews>
  <sheetFormatPr defaultRowHeight="15"/>
  <cols>
    <col min="1" max="1" width="45.85546875" customWidth="1"/>
    <col min="5" max="5" width="33.85546875" customWidth="1"/>
    <col min="9" max="9" width="44.85546875" customWidth="1"/>
  </cols>
  <sheetData>
    <row r="1" spans="1:10">
      <c r="A1" s="13" t="s">
        <v>150</v>
      </c>
    </row>
    <row r="2" spans="1:10">
      <c r="A2" s="1" t="s">
        <v>148</v>
      </c>
      <c r="B2" s="8"/>
      <c r="E2" s="6" t="s">
        <v>91</v>
      </c>
      <c r="I2" s="13" t="s">
        <v>255</v>
      </c>
    </row>
    <row r="3" spans="1:10">
      <c r="A3" s="1" t="s">
        <v>149</v>
      </c>
      <c r="B3" s="8"/>
      <c r="E3" s="1"/>
      <c r="I3" s="1" t="s">
        <v>154</v>
      </c>
      <c r="J3" s="8">
        <v>2.5</v>
      </c>
    </row>
    <row r="4" spans="1:10">
      <c r="A4" s="1" t="s">
        <v>152</v>
      </c>
      <c r="B4" t="e">
        <f>B2/SQRT(B3)</f>
        <v>#DIV/0!</v>
      </c>
      <c r="E4" s="6" t="s">
        <v>96</v>
      </c>
      <c r="I4" s="1" t="s">
        <v>155</v>
      </c>
      <c r="J4" s="8">
        <v>0.5</v>
      </c>
    </row>
    <row r="5" spans="1:10">
      <c r="E5" s="1" t="s">
        <v>158</v>
      </c>
      <c r="F5" s="8">
        <f>B12</f>
        <v>-4.2848570571257074</v>
      </c>
      <c r="I5" s="1" t="s">
        <v>156</v>
      </c>
      <c r="J5" s="8">
        <v>51</v>
      </c>
    </row>
    <row r="6" spans="1:10">
      <c r="E6" s="1" t="s">
        <v>92</v>
      </c>
      <c r="F6">
        <f>_xlfn.NORM.DIST(F5,0, 1, TRUE)</f>
        <v>9.1428358754234967E-6</v>
      </c>
      <c r="I6" s="1" t="s">
        <v>153</v>
      </c>
      <c r="J6" s="8">
        <v>2.2000000000000002</v>
      </c>
    </row>
    <row r="7" spans="1:10">
      <c r="A7" s="13" t="s">
        <v>151</v>
      </c>
      <c r="E7" s="1" t="s">
        <v>93</v>
      </c>
      <c r="F7" s="7">
        <f>F6</f>
        <v>9.1428358754234967E-6</v>
      </c>
      <c r="I7" s="1" t="s">
        <v>254</v>
      </c>
      <c r="J7">
        <f>(J6-J3)/(J4/SQRT(J5))</f>
        <v>-4.2848570571257074</v>
      </c>
    </row>
    <row r="8" spans="1:10">
      <c r="A8" s="1" t="s">
        <v>154</v>
      </c>
      <c r="B8" s="8">
        <v>2.5</v>
      </c>
    </row>
    <row r="9" spans="1:10">
      <c r="A9" s="1" t="s">
        <v>155</v>
      </c>
      <c r="B9" s="8">
        <v>0.5</v>
      </c>
      <c r="I9" s="13" t="s">
        <v>256</v>
      </c>
    </row>
    <row r="10" spans="1:10">
      <c r="A10" s="1" t="s">
        <v>156</v>
      </c>
      <c r="B10" s="8">
        <v>51</v>
      </c>
      <c r="I10" s="1" t="s">
        <v>154</v>
      </c>
      <c r="J10" s="8">
        <v>2.5</v>
      </c>
    </row>
    <row r="11" spans="1:10">
      <c r="A11" s="1" t="s">
        <v>153</v>
      </c>
      <c r="B11" s="8">
        <v>2.2000000000000002</v>
      </c>
      <c r="E11" s="6" t="s">
        <v>97</v>
      </c>
      <c r="I11" s="1" t="s">
        <v>155</v>
      </c>
      <c r="J11" s="8">
        <v>0.5</v>
      </c>
    </row>
    <row r="12" spans="1:10">
      <c r="A12" s="1" t="s">
        <v>157</v>
      </c>
      <c r="B12">
        <f>(B11-B8)/(B9/SQRT(B10))</f>
        <v>-4.2848570571257074</v>
      </c>
      <c r="E12" s="1" t="s">
        <v>35</v>
      </c>
      <c r="F12" s="8">
        <f>B12</f>
        <v>-4.2848570571257074</v>
      </c>
      <c r="I12" s="1" t="s">
        <v>156</v>
      </c>
      <c r="J12" s="8">
        <v>51</v>
      </c>
    </row>
    <row r="13" spans="1:10">
      <c r="E13" s="1" t="s">
        <v>92</v>
      </c>
      <c r="F13" s="7">
        <f>_xlfn.NORM.DIST(F12*-1,0,1, TRUE)</f>
        <v>0.99999085716412461</v>
      </c>
      <c r="I13" s="1" t="s">
        <v>153</v>
      </c>
      <c r="J13" s="8">
        <v>2.2000000000000002</v>
      </c>
    </row>
    <row r="14" spans="1:10">
      <c r="E14" s="1" t="s">
        <v>93</v>
      </c>
      <c r="F14" s="7">
        <f>F13</f>
        <v>0.99999085716412461</v>
      </c>
      <c r="I14" s="1" t="s">
        <v>253</v>
      </c>
      <c r="J14">
        <f>(J13-J10)/(J11/SQRT(J12))</f>
        <v>-4.2848570571257074</v>
      </c>
    </row>
    <row r="15" spans="1:10">
      <c r="E15" s="1"/>
    </row>
    <row r="16" spans="1:10">
      <c r="E16" s="6" t="s">
        <v>98</v>
      </c>
      <c r="I16" s="6" t="s">
        <v>251</v>
      </c>
    </row>
    <row r="17" spans="5:10">
      <c r="E17" s="1" t="s">
        <v>95</v>
      </c>
      <c r="F17" s="8">
        <v>-0.98198099999999999</v>
      </c>
      <c r="I17" s="1" t="s">
        <v>95</v>
      </c>
      <c r="J17" s="8">
        <f>J7</f>
        <v>-4.2848570571257074</v>
      </c>
    </row>
    <row r="18" spans="5:10">
      <c r="E18" s="1" t="s">
        <v>100</v>
      </c>
      <c r="F18" s="8">
        <v>0.98198099999999999</v>
      </c>
      <c r="I18" s="1" t="s">
        <v>100</v>
      </c>
      <c r="J18" s="8">
        <f>J14</f>
        <v>-4.2848570571257074</v>
      </c>
    </row>
    <row r="19" spans="5:10">
      <c r="E19" s="1" t="s">
        <v>15</v>
      </c>
      <c r="F19" s="8">
        <v>0</v>
      </c>
      <c r="I19" s="1" t="s">
        <v>15</v>
      </c>
      <c r="J19" s="8">
        <v>0</v>
      </c>
    </row>
    <row r="20" spans="5:10">
      <c r="E20" s="1" t="s">
        <v>107</v>
      </c>
      <c r="F20" s="8">
        <v>1</v>
      </c>
      <c r="I20" s="1" t="s">
        <v>107</v>
      </c>
      <c r="J20" s="8">
        <v>1</v>
      </c>
    </row>
    <row r="21" spans="5:10">
      <c r="E21" s="1" t="s">
        <v>101</v>
      </c>
      <c r="F21">
        <f>_xlfn.NORM.DIST(F18, F19, F20, TRUE)</f>
        <v>0.83694539566169956</v>
      </c>
      <c r="I21" s="1" t="s">
        <v>101</v>
      </c>
      <c r="J21">
        <f>_xlfn.NORM.DIST(J18, J19, J20, TRUE)</f>
        <v>9.1428358754234967E-6</v>
      </c>
    </row>
    <row r="22" spans="5:10">
      <c r="E22" s="1" t="s">
        <v>102</v>
      </c>
      <c r="F22">
        <f>_xlfn.NORM.DIST(F17, F19, F20, TRUE)</f>
        <v>0.16305460433830044</v>
      </c>
      <c r="I22" s="1" t="s">
        <v>102</v>
      </c>
      <c r="J22">
        <f>_xlfn.NORM.DIST(J17, J19, J20, TRUE)</f>
        <v>9.1428358754234967E-6</v>
      </c>
    </row>
    <row r="23" spans="5:10">
      <c r="E23" s="1" t="s">
        <v>94</v>
      </c>
      <c r="F23">
        <f>F21-F22</f>
        <v>0.67389079132339913</v>
      </c>
      <c r="I23" s="1" t="s">
        <v>94</v>
      </c>
      <c r="J23">
        <f>J21-J22</f>
        <v>0</v>
      </c>
    </row>
    <row r="24" spans="5:10">
      <c r="E24" s="1"/>
      <c r="I24" s="1"/>
    </row>
    <row r="25" spans="5:10">
      <c r="E25" s="6" t="s">
        <v>159</v>
      </c>
      <c r="I25" s="6" t="s">
        <v>252</v>
      </c>
    </row>
    <row r="26" spans="5:10">
      <c r="E26" s="1" t="s">
        <v>95</v>
      </c>
      <c r="F26" s="8">
        <v>-1.351866</v>
      </c>
      <c r="I26" s="1" t="s">
        <v>95</v>
      </c>
      <c r="J26" s="8">
        <f>J7</f>
        <v>-4.2848570571257074</v>
      </c>
    </row>
    <row r="27" spans="5:10">
      <c r="E27" s="1" t="s">
        <v>100</v>
      </c>
      <c r="F27" s="8">
        <v>1.351866</v>
      </c>
      <c r="I27" s="1" t="s">
        <v>100</v>
      </c>
      <c r="J27" s="8">
        <f>J14</f>
        <v>-4.2848570571257074</v>
      </c>
    </row>
    <row r="28" spans="5:10">
      <c r="E28" s="1" t="s">
        <v>15</v>
      </c>
      <c r="F28" s="8">
        <v>0</v>
      </c>
      <c r="I28" s="1" t="s">
        <v>15</v>
      </c>
      <c r="J28" s="8">
        <v>0</v>
      </c>
    </row>
    <row r="29" spans="5:10">
      <c r="E29" s="1" t="s">
        <v>107</v>
      </c>
      <c r="F29" s="8">
        <v>1</v>
      </c>
      <c r="I29" s="1" t="s">
        <v>107</v>
      </c>
      <c r="J29" s="8">
        <v>1</v>
      </c>
    </row>
    <row r="30" spans="5:10">
      <c r="E30" s="1" t="s">
        <v>102</v>
      </c>
      <c r="F30">
        <f>_xlfn.NORM.DIST(F26, F28, F29, TRUE)</f>
        <v>8.8209092957793847E-2</v>
      </c>
      <c r="I30" s="1" t="s">
        <v>102</v>
      </c>
      <c r="J30">
        <f>_xlfn.NORM.DIST(J26, J28, J29, TRUE)</f>
        <v>9.1428358754234967E-6</v>
      </c>
    </row>
    <row r="31" spans="5:10">
      <c r="E31" s="1" t="s">
        <v>103</v>
      </c>
      <c r="F31">
        <f>_xlfn.NORM.DIST(F27*-1, F28, F29, TRUE)</f>
        <v>8.8209092957793847E-2</v>
      </c>
      <c r="I31" s="1" t="s">
        <v>103</v>
      </c>
      <c r="J31">
        <f>_xlfn.NORM.DIST(J27*-1, J28, J29, TRUE)</f>
        <v>0.99999085716412461</v>
      </c>
    </row>
    <row r="32" spans="5:10">
      <c r="E32" s="1" t="s">
        <v>104</v>
      </c>
      <c r="F32">
        <f>F30+F31</f>
        <v>0.17641818591558769</v>
      </c>
      <c r="I32" s="1" t="s">
        <v>104</v>
      </c>
      <c r="J32">
        <f>J30+J31</f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2933-EC54-4EC9-A264-DD2B0B4C216A}">
  <dimension ref="A1:K30"/>
  <sheetViews>
    <sheetView tabSelected="1" workbookViewId="0">
      <selection activeCell="E3" sqref="E3"/>
    </sheetView>
  </sheetViews>
  <sheetFormatPr defaultRowHeight="15"/>
  <cols>
    <col min="1" max="1" width="28.85546875" customWidth="1"/>
    <col min="4" max="4" width="28.5703125" customWidth="1"/>
    <col min="8" max="8" width="21.85546875" customWidth="1"/>
    <col min="10" max="10" width="10" customWidth="1"/>
    <col min="11" max="11" width="9.85546875" customWidth="1"/>
  </cols>
  <sheetData>
    <row r="1" spans="1:11">
      <c r="A1" s="4" t="s">
        <v>171</v>
      </c>
      <c r="D1" t="s">
        <v>199</v>
      </c>
    </row>
    <row r="2" spans="1:11">
      <c r="A2" s="1" t="s">
        <v>172</v>
      </c>
      <c r="B2" s="8">
        <v>42</v>
      </c>
      <c r="D2" s="1" t="s">
        <v>175</v>
      </c>
      <c r="E2" s="8">
        <v>9.6</v>
      </c>
    </row>
    <row r="3" spans="1:11">
      <c r="A3" s="1" t="s">
        <v>173</v>
      </c>
      <c r="B3" s="8">
        <v>0.6</v>
      </c>
      <c r="D3" s="1" t="s">
        <v>174</v>
      </c>
      <c r="E3" s="8">
        <v>13.26</v>
      </c>
      <c r="H3" s="14" t="s">
        <v>187</v>
      </c>
      <c r="I3" s="14" t="s">
        <v>188</v>
      </c>
      <c r="J3" s="14" t="s">
        <v>189</v>
      </c>
      <c r="K3" s="14" t="s">
        <v>190</v>
      </c>
    </row>
    <row r="4" spans="1:11">
      <c r="H4" s="14">
        <v>0.8</v>
      </c>
      <c r="I4">
        <v>0.2</v>
      </c>
      <c r="J4">
        <v>0.84</v>
      </c>
      <c r="K4" s="15" t="s">
        <v>191</v>
      </c>
    </row>
    <row r="5" spans="1:11">
      <c r="A5" s="1" t="s">
        <v>175</v>
      </c>
      <c r="B5">
        <f>B2-B3</f>
        <v>41.4</v>
      </c>
      <c r="D5" s="1" t="s">
        <v>180</v>
      </c>
      <c r="E5">
        <f>(E3-E2)/2</f>
        <v>1.83</v>
      </c>
      <c r="H5" s="14">
        <v>0.85</v>
      </c>
      <c r="I5">
        <v>0.15</v>
      </c>
      <c r="J5">
        <v>1.04</v>
      </c>
      <c r="K5" s="15" t="s">
        <v>192</v>
      </c>
    </row>
    <row r="6" spans="1:11">
      <c r="A6" s="1" t="s">
        <v>174</v>
      </c>
      <c r="B6">
        <f>B2+B3</f>
        <v>42.6</v>
      </c>
      <c r="H6" s="14">
        <v>0.9</v>
      </c>
      <c r="I6">
        <v>0.1</v>
      </c>
      <c r="J6">
        <v>1.28</v>
      </c>
      <c r="K6" s="15" t="s">
        <v>193</v>
      </c>
    </row>
    <row r="7" spans="1:11">
      <c r="H7" s="14">
        <v>0.95</v>
      </c>
      <c r="I7">
        <v>0.05</v>
      </c>
      <c r="J7">
        <v>1.645</v>
      </c>
      <c r="K7" s="15" t="s">
        <v>194</v>
      </c>
    </row>
    <row r="8" spans="1:11">
      <c r="H8" s="14">
        <v>0.96</v>
      </c>
      <c r="I8">
        <v>0.04</v>
      </c>
      <c r="J8">
        <v>1.75</v>
      </c>
      <c r="K8" s="15" t="s">
        <v>195</v>
      </c>
    </row>
    <row r="9" spans="1:11">
      <c r="A9" s="13" t="s">
        <v>176</v>
      </c>
      <c r="D9" s="4" t="s">
        <v>182</v>
      </c>
      <c r="H9" s="14">
        <v>0.98</v>
      </c>
      <c r="I9">
        <v>0.02</v>
      </c>
      <c r="J9">
        <v>2.0499999999999998</v>
      </c>
      <c r="K9" s="15" t="s">
        <v>196</v>
      </c>
    </row>
    <row r="10" spans="1:11">
      <c r="A10" s="1" t="s">
        <v>178</v>
      </c>
      <c r="B10" s="8">
        <v>1.44</v>
      </c>
      <c r="D10" s="1" t="s">
        <v>198</v>
      </c>
      <c r="E10" s="8">
        <v>0.8</v>
      </c>
      <c r="H10" s="14">
        <v>0.99</v>
      </c>
      <c r="I10">
        <v>0.01</v>
      </c>
      <c r="J10">
        <v>2.33</v>
      </c>
      <c r="K10" s="15" t="s">
        <v>197</v>
      </c>
    </row>
    <row r="11" spans="1:11">
      <c r="A11" t="s">
        <v>177</v>
      </c>
      <c r="B11" s="8">
        <v>2.7</v>
      </c>
      <c r="D11" s="1" t="s">
        <v>183</v>
      </c>
      <c r="E11">
        <f>1-E10</f>
        <v>0.19999999999999996</v>
      </c>
    </row>
    <row r="12" spans="1:11">
      <c r="A12" s="1" t="s">
        <v>179</v>
      </c>
      <c r="B12" s="8">
        <v>576</v>
      </c>
      <c r="D12" s="1" t="s">
        <v>177</v>
      </c>
      <c r="E12" s="8">
        <v>1.5</v>
      </c>
    </row>
    <row r="13" spans="1:11">
      <c r="D13" s="1" t="s">
        <v>179</v>
      </c>
      <c r="E13" s="8">
        <v>164</v>
      </c>
    </row>
    <row r="14" spans="1:11">
      <c r="A14" s="1" t="s">
        <v>180</v>
      </c>
      <c r="B14">
        <f>B10*(B11/SQRT(B12))</f>
        <v>0.16200000000000001</v>
      </c>
    </row>
    <row r="15" spans="1:11">
      <c r="D15" s="1" t="s">
        <v>180</v>
      </c>
      <c r="E15">
        <f>_xlfn.CONFIDENCE.NORM(E11,E12,E13)</f>
        <v>0.1501085467839996</v>
      </c>
    </row>
    <row r="17" spans="1:5">
      <c r="A17" s="4" t="s">
        <v>181</v>
      </c>
      <c r="D17" s="4" t="s">
        <v>181</v>
      </c>
    </row>
    <row r="18" spans="1:5">
      <c r="A18" s="1" t="s">
        <v>172</v>
      </c>
      <c r="B18" s="8">
        <v>14.9</v>
      </c>
      <c r="D18" s="1" t="s">
        <v>200</v>
      </c>
      <c r="E18" s="8">
        <v>7.8</v>
      </c>
    </row>
    <row r="19" spans="1:5">
      <c r="A19" s="1" t="s">
        <v>173</v>
      </c>
      <c r="B19">
        <f>B14</f>
        <v>0.16200000000000001</v>
      </c>
      <c r="D19" s="1" t="s">
        <v>173</v>
      </c>
      <c r="E19">
        <f>E15</f>
        <v>0.1501085467839996</v>
      </c>
    </row>
    <row r="21" spans="1:5">
      <c r="A21" s="1" t="s">
        <v>175</v>
      </c>
      <c r="B21">
        <f>B18-B19</f>
        <v>14.738</v>
      </c>
      <c r="D21" s="1" t="s">
        <v>175</v>
      </c>
      <c r="E21">
        <f>E18-E19</f>
        <v>7.6498914532160001</v>
      </c>
    </row>
    <row r="22" spans="1:5">
      <c r="A22" s="1" t="s">
        <v>174</v>
      </c>
      <c r="B22">
        <f>B18+B19</f>
        <v>15.062000000000001</v>
      </c>
      <c r="D22" s="1" t="s">
        <v>174</v>
      </c>
      <c r="E22">
        <f>E18+E19</f>
        <v>7.9501085467839996</v>
      </c>
    </row>
    <row r="25" spans="1:5">
      <c r="A25" s="4" t="s">
        <v>184</v>
      </c>
    </row>
    <row r="26" spans="1:5">
      <c r="A26" s="1" t="s">
        <v>178</v>
      </c>
      <c r="B26" s="8">
        <v>1.645</v>
      </c>
    </row>
    <row r="27" spans="1:5">
      <c r="A27" s="1" t="s">
        <v>177</v>
      </c>
      <c r="B27" s="8">
        <v>0.9</v>
      </c>
    </row>
    <row r="28" spans="1:5">
      <c r="A28" t="s">
        <v>185</v>
      </c>
      <c r="B28" s="8">
        <v>0.08</v>
      </c>
    </row>
    <row r="30" spans="1:5">
      <c r="A30" s="1" t="s">
        <v>186</v>
      </c>
      <c r="B30">
        <f>((B26*B27)/B28)^2</f>
        <v>342.48128906250003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FF99-A650-4203-AC64-E32B16DB8E07}">
  <dimension ref="A1:B7"/>
  <sheetViews>
    <sheetView workbookViewId="0">
      <selection activeCell="B6" sqref="B6"/>
    </sheetView>
  </sheetViews>
  <sheetFormatPr defaultRowHeight="15"/>
  <cols>
    <col min="1" max="1" width="24.5703125" customWidth="1"/>
  </cols>
  <sheetData>
    <row r="1" spans="1:2" ht="17.25">
      <c r="A1" s="4" t="s">
        <v>216</v>
      </c>
    </row>
    <row r="2" spans="1:2">
      <c r="A2" s="1" t="s">
        <v>217</v>
      </c>
      <c r="B2" s="8">
        <v>63.4</v>
      </c>
    </row>
    <row r="3" spans="1:2">
      <c r="A3" s="1" t="s">
        <v>218</v>
      </c>
      <c r="B3" s="8">
        <v>62.4</v>
      </c>
    </row>
    <row r="4" spans="1:2">
      <c r="A4" s="1" t="s">
        <v>119</v>
      </c>
      <c r="B4" s="8">
        <v>4.7</v>
      </c>
    </row>
    <row r="5" spans="1:2">
      <c r="A5" s="1" t="s">
        <v>179</v>
      </c>
      <c r="B5" s="8">
        <v>89</v>
      </c>
    </row>
    <row r="7" spans="1:2">
      <c r="A7" s="1" t="s">
        <v>219</v>
      </c>
      <c r="B7">
        <f>(B2-B3)/(B4/SQRT(B5))</f>
        <v>2.0072300280971493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F211-6D1A-4678-A9DD-C0425D1B6B46}">
  <dimension ref="A1:I15"/>
  <sheetViews>
    <sheetView workbookViewId="0">
      <selection activeCell="A2" sqref="A2"/>
    </sheetView>
  </sheetViews>
  <sheetFormatPr defaultRowHeight="15"/>
  <cols>
    <col min="1" max="2" width="9.140625" style="8"/>
    <col min="4" max="4" width="26.42578125" customWidth="1"/>
    <col min="8" max="8" width="37.28515625" customWidth="1"/>
  </cols>
  <sheetData>
    <row r="1" spans="1:9">
      <c r="A1" t="s">
        <v>221</v>
      </c>
      <c r="B1" t="s">
        <v>220</v>
      </c>
      <c r="D1" t="s">
        <v>233</v>
      </c>
      <c r="E1">
        <f>CORREL(A:A, B:B)</f>
        <v>0.95546980208543819</v>
      </c>
      <c r="H1" s="4" t="s">
        <v>227</v>
      </c>
      <c r="I1">
        <f>I2/SQRT((1-(I2^2))/(I3-2))</f>
        <v>-2.6116574910571995</v>
      </c>
    </row>
    <row r="2" spans="1:9">
      <c r="A2" s="8">
        <v>26</v>
      </c>
      <c r="B2" s="8">
        <v>11</v>
      </c>
      <c r="H2" t="s">
        <v>223</v>
      </c>
      <c r="I2" s="8">
        <v>-0.586619</v>
      </c>
    </row>
    <row r="3" spans="1:9">
      <c r="A3" s="8">
        <v>29</v>
      </c>
      <c r="B3" s="8">
        <v>14</v>
      </c>
      <c r="D3" t="s">
        <v>225</v>
      </c>
      <c r="E3">
        <f>COUNT(A:A)</f>
        <v>5</v>
      </c>
      <c r="H3" t="s">
        <v>222</v>
      </c>
      <c r="I3" s="8">
        <v>15</v>
      </c>
    </row>
    <row r="4" spans="1:9">
      <c r="A4" s="8">
        <v>35</v>
      </c>
      <c r="B4" s="8">
        <v>15</v>
      </c>
      <c r="D4" t="s">
        <v>226</v>
      </c>
      <c r="E4">
        <f>COUNT(B:B)</f>
        <v>5</v>
      </c>
      <c r="H4" t="s">
        <v>224</v>
      </c>
      <c r="I4" s="8">
        <f>I3-2</f>
        <v>13</v>
      </c>
    </row>
    <row r="5" spans="1:9">
      <c r="A5" s="8">
        <v>41</v>
      </c>
      <c r="B5" s="8">
        <v>19</v>
      </c>
    </row>
    <row r="6" spans="1:9">
      <c r="A6" s="8">
        <v>50</v>
      </c>
      <c r="B6" s="8">
        <v>20</v>
      </c>
      <c r="H6" s="4" t="s">
        <v>228</v>
      </c>
      <c r="I6">
        <f>I7/SQRT((1-(I7^2))/(I8-2))</f>
        <v>5.6082158885599043</v>
      </c>
    </row>
    <row r="7" spans="1:9">
      <c r="H7" t="s">
        <v>223</v>
      </c>
      <c r="I7" s="8">
        <f>E1</f>
        <v>0.95546980208543819</v>
      </c>
    </row>
    <row r="8" spans="1:9">
      <c r="H8" t="s">
        <v>222</v>
      </c>
      <c r="I8" s="8">
        <f>IF(E3=E4, E3, 0)</f>
        <v>5</v>
      </c>
    </row>
    <row r="9" spans="1:9">
      <c r="H9" t="s">
        <v>224</v>
      </c>
      <c r="I9" s="8">
        <f>I8-2</f>
        <v>3</v>
      </c>
    </row>
    <row r="12" spans="1:9">
      <c r="H12" s="4" t="s">
        <v>229</v>
      </c>
      <c r="I12">
        <f>I13^2</f>
        <v>0.42250000000000004</v>
      </c>
    </row>
    <row r="13" spans="1:9">
      <c r="H13" t="s">
        <v>223</v>
      </c>
      <c r="I13" s="8">
        <v>-0.65</v>
      </c>
    </row>
    <row r="15" spans="1:9">
      <c r="H15" s="4" t="s">
        <v>230</v>
      </c>
      <c r="I15">
        <f>I7^2</f>
        <v>0.91292254269718642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8A5-FC0C-4AD6-84FA-13DE098AE1BE}">
  <dimension ref="A1:W16"/>
  <sheetViews>
    <sheetView workbookViewId="0">
      <selection activeCell="L13" sqref="L13"/>
    </sheetView>
  </sheetViews>
  <sheetFormatPr defaultRowHeight="15"/>
  <cols>
    <col min="1" max="2" width="9.140625" style="8"/>
    <col min="4" max="4" width="37.85546875" customWidth="1"/>
    <col min="8" max="8" width="22.85546875" customWidth="1"/>
    <col min="11" max="11" width="23.42578125" customWidth="1"/>
  </cols>
  <sheetData>
    <row r="1" spans="1:23">
      <c r="A1" s="16"/>
      <c r="B1"/>
      <c r="D1" s="4" t="s">
        <v>240</v>
      </c>
      <c r="H1" s="4" t="s">
        <v>235</v>
      </c>
      <c r="K1" s="4" t="s">
        <v>239</v>
      </c>
      <c r="L1">
        <f>(L2-L3)/L4</f>
        <v>270.61702127659578</v>
      </c>
    </row>
    <row r="2" spans="1:23">
      <c r="A2" s="8">
        <v>343</v>
      </c>
      <c r="B2" s="8">
        <v>26.74</v>
      </c>
      <c r="D2" s="1" t="s">
        <v>232</v>
      </c>
      <c r="E2">
        <f>INTERCEPT(B:B, A:A)</f>
        <v>1.0621474376246205</v>
      </c>
      <c r="H2" t="s">
        <v>234</v>
      </c>
      <c r="I2">
        <f>I3+(I4*I5)</f>
        <v>59356.009999999995</v>
      </c>
      <c r="K2" t="s">
        <v>234</v>
      </c>
      <c r="L2" s="8">
        <v>175</v>
      </c>
    </row>
    <row r="3" spans="1:23">
      <c r="A3" s="8">
        <v>278</v>
      </c>
      <c r="B3" s="8">
        <v>22.16</v>
      </c>
      <c r="D3" s="1" t="s">
        <v>231</v>
      </c>
      <c r="E3">
        <f>SLOPE(B:B, A:A)</f>
        <v>7.5069784986797408E-2</v>
      </c>
      <c r="H3" t="s">
        <v>237</v>
      </c>
      <c r="I3" s="8">
        <v>24466.41</v>
      </c>
      <c r="K3" t="s">
        <v>237</v>
      </c>
      <c r="L3" s="8">
        <v>47.81</v>
      </c>
    </row>
    <row r="4" spans="1:23">
      <c r="A4" s="8">
        <v>276</v>
      </c>
      <c r="B4" s="8">
        <v>21.64</v>
      </c>
      <c r="H4" t="s">
        <v>236</v>
      </c>
      <c r="I4" s="8">
        <v>2180.6</v>
      </c>
      <c r="K4" t="s">
        <v>236</v>
      </c>
      <c r="L4" s="8">
        <v>0.47</v>
      </c>
    </row>
    <row r="5" spans="1:23">
      <c r="A5" s="8">
        <v>316</v>
      </c>
      <c r="B5" s="8">
        <v>24.44</v>
      </c>
      <c r="H5" t="s">
        <v>238</v>
      </c>
      <c r="I5" s="8">
        <v>16</v>
      </c>
    </row>
    <row r="6" spans="1:23">
      <c r="A6" s="8">
        <v>344</v>
      </c>
      <c r="B6" s="8">
        <v>27.29</v>
      </c>
      <c r="D6" s="4" t="s">
        <v>241</v>
      </c>
    </row>
    <row r="7" spans="1:23">
      <c r="A7" s="8">
        <v>280</v>
      </c>
      <c r="B7" s="8">
        <v>22.29</v>
      </c>
      <c r="D7" s="1" t="s">
        <v>232</v>
      </c>
      <c r="E7">
        <f>INTERCEPT(C16:W16, C15:W15)</f>
        <v>0.28995599559956631</v>
      </c>
    </row>
    <row r="8" spans="1:23">
      <c r="A8" s="8">
        <v>312</v>
      </c>
      <c r="B8" s="8">
        <v>24.2</v>
      </c>
      <c r="D8" s="1" t="s">
        <v>231</v>
      </c>
      <c r="E8">
        <f>SLOPE(C16:W16, C15:W15)</f>
        <v>7.5108635863586348E-2</v>
      </c>
      <c r="H8" s="4" t="s">
        <v>242</v>
      </c>
      <c r="K8" s="4" t="s">
        <v>243</v>
      </c>
    </row>
    <row r="9" spans="1:23">
      <c r="H9" t="s">
        <v>234</v>
      </c>
      <c r="I9">
        <f>I10+(I11*I12)</f>
        <v>25.459827558333778</v>
      </c>
      <c r="K9" t="s">
        <v>234</v>
      </c>
      <c r="L9">
        <f>L10+(L11*L12)</f>
        <v>22.447003575357538</v>
      </c>
    </row>
    <row r="10" spans="1:23">
      <c r="H10" t="s">
        <v>237</v>
      </c>
      <c r="I10">
        <f>E2</f>
        <v>1.0621474376246205</v>
      </c>
      <c r="K10" t="s">
        <v>237</v>
      </c>
      <c r="L10">
        <f>E7</f>
        <v>0.28995599559956631</v>
      </c>
    </row>
    <row r="11" spans="1:23">
      <c r="H11" t="s">
        <v>236</v>
      </c>
      <c r="I11">
        <f>E3</f>
        <v>7.5069784986797408E-2</v>
      </c>
      <c r="K11" t="s">
        <v>236</v>
      </c>
      <c r="L11">
        <f>E8</f>
        <v>7.5108635863586348E-2</v>
      </c>
    </row>
    <row r="12" spans="1:23">
      <c r="H12" t="s">
        <v>238</v>
      </c>
      <c r="I12" s="8">
        <v>325</v>
      </c>
      <c r="K12" t="s">
        <v>238</v>
      </c>
      <c r="L12" s="8">
        <v>295</v>
      </c>
    </row>
    <row r="14" spans="1:23">
      <c r="C14" s="16" t="s">
        <v>244</v>
      </c>
    </row>
    <row r="15" spans="1:23">
      <c r="C15" t="s">
        <v>245</v>
      </c>
      <c r="D15" s="8">
        <v>298</v>
      </c>
      <c r="E15" s="8">
        <v>323</v>
      </c>
      <c r="F15" s="8">
        <v>311</v>
      </c>
      <c r="G15" s="8">
        <v>283</v>
      </c>
      <c r="H15" s="8">
        <v>292</v>
      </c>
      <c r="I15" s="8">
        <v>308</v>
      </c>
      <c r="J15" s="8">
        <v>305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>
      <c r="C16" t="s">
        <v>246</v>
      </c>
      <c r="D16" s="8">
        <v>22.91</v>
      </c>
      <c r="E16" s="8">
        <v>24.57</v>
      </c>
      <c r="F16" s="8">
        <v>23.91</v>
      </c>
      <c r="G16" s="8">
        <v>21.66</v>
      </c>
      <c r="H16" s="8">
        <v>21.96</v>
      </c>
      <c r="I16" s="8">
        <v>23.04</v>
      </c>
      <c r="J16" s="8">
        <v>23.21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3053-3DD7-4AD9-A6B1-DCF8DA6235FB}">
  <dimension ref="A1:X22"/>
  <sheetViews>
    <sheetView topLeftCell="H1" workbookViewId="0">
      <selection activeCell="Q2" sqref="Q2"/>
    </sheetView>
  </sheetViews>
  <sheetFormatPr defaultRowHeight="15"/>
  <cols>
    <col min="1" max="1" width="17.7109375" customWidth="1"/>
    <col min="2" max="2" width="30.5703125" customWidth="1"/>
    <col min="3" max="3" width="18.7109375" customWidth="1"/>
    <col min="4" max="4" width="16.5703125" customWidth="1"/>
    <col min="5" max="5" width="12.5703125" customWidth="1"/>
    <col min="6" max="6" width="19.85546875" customWidth="1"/>
    <col min="7" max="7" width="22.140625" customWidth="1"/>
    <col min="8" max="8" width="19.140625" customWidth="1"/>
    <col min="9" max="9" width="21" customWidth="1"/>
    <col min="10" max="10" width="21.5703125" customWidth="1"/>
    <col min="16" max="16" width="28.7109375" customWidth="1"/>
    <col min="17" max="17" width="18.28515625" customWidth="1"/>
    <col min="18" max="18" width="14.42578125" customWidth="1"/>
    <col min="19" max="19" width="14.5703125" customWidth="1"/>
    <col min="20" max="20" width="17.5703125" customWidth="1"/>
    <col min="21" max="21" width="17.7109375" customWidth="1"/>
    <col min="22" max="22" width="12.5703125" customWidth="1"/>
    <col min="23" max="23" width="18.85546875" customWidth="1"/>
    <col min="24" max="24" width="20.42578125" customWidth="1"/>
  </cols>
  <sheetData>
    <row r="1" spans="1:24">
      <c r="A1" t="s">
        <v>21</v>
      </c>
      <c r="B1" t="s">
        <v>24</v>
      </c>
      <c r="C1" t="s">
        <v>18</v>
      </c>
      <c r="D1" t="s">
        <v>19</v>
      </c>
      <c r="E1" t="s">
        <v>16</v>
      </c>
      <c r="F1" t="s">
        <v>23</v>
      </c>
      <c r="G1" t="s">
        <v>22</v>
      </c>
      <c r="H1" t="s">
        <v>6</v>
      </c>
      <c r="I1" t="s">
        <v>17</v>
      </c>
      <c r="J1" t="s">
        <v>20</v>
      </c>
      <c r="O1" t="s">
        <v>21</v>
      </c>
      <c r="P1" t="s">
        <v>24</v>
      </c>
      <c r="Q1" t="s">
        <v>18</v>
      </c>
      <c r="R1" t="s">
        <v>19</v>
      </c>
      <c r="S1" t="s">
        <v>16</v>
      </c>
      <c r="T1" t="s">
        <v>23</v>
      </c>
      <c r="U1" t="s">
        <v>22</v>
      </c>
      <c r="V1" t="s">
        <v>6</v>
      </c>
      <c r="W1" t="s">
        <v>17</v>
      </c>
      <c r="X1" t="s">
        <v>20</v>
      </c>
    </row>
    <row r="2" spans="1:24">
      <c r="A2" s="8">
        <v>1100</v>
      </c>
      <c r="B2">
        <f>SUM(E2:E20)</f>
        <v>21</v>
      </c>
      <c r="C2" s="8">
        <v>1064</v>
      </c>
      <c r="D2" s="8">
        <v>1133</v>
      </c>
      <c r="E2" s="8">
        <v>3</v>
      </c>
      <c r="F2">
        <f>C2-B4</f>
        <v>1063.5</v>
      </c>
      <c r="G2">
        <f>D2+B4</f>
        <v>1133.5</v>
      </c>
      <c r="H2">
        <f t="shared" ref="H2:H20" si="0">SUM(C2,D2)/2</f>
        <v>1098.5</v>
      </c>
      <c r="I2" s="3">
        <f>(E2/B2)</f>
        <v>0.14285714285714285</v>
      </c>
      <c r="J2" s="3">
        <f>I2*21</f>
        <v>3</v>
      </c>
      <c r="O2" s="8">
        <v>1045</v>
      </c>
      <c r="P2">
        <f>SUM(S2:S20)</f>
        <v>21</v>
      </c>
      <c r="Q2" s="8">
        <v>1041</v>
      </c>
      <c r="R2">
        <f>Q2+(P8-1)</f>
        <v>1110</v>
      </c>
      <c r="S2">
        <f>COUNTIFS(O:O,"&gt;=" &amp; Q2,O:O,"&lt;"&amp;R2)</f>
        <v>3</v>
      </c>
      <c r="T2">
        <f>Q2-P4</f>
        <v>1040.5</v>
      </c>
      <c r="U2">
        <f>R2+P4</f>
        <v>1110.5</v>
      </c>
      <c r="V2">
        <f t="shared" ref="V2:V20" si="1">SUM(Q2,R2)/2</f>
        <v>1075.5</v>
      </c>
      <c r="W2" s="3">
        <f>(S2/P2)</f>
        <v>0.14285714285714285</v>
      </c>
      <c r="X2" s="11">
        <f>S2</f>
        <v>3</v>
      </c>
    </row>
    <row r="3" spans="1:24">
      <c r="A3" s="8">
        <v>1126</v>
      </c>
      <c r="B3" t="s">
        <v>53</v>
      </c>
      <c r="C3" s="8">
        <v>1134</v>
      </c>
      <c r="D3" s="8">
        <v>1203</v>
      </c>
      <c r="E3" s="8">
        <v>3</v>
      </c>
      <c r="F3">
        <f>C3-B4</f>
        <v>1133.5</v>
      </c>
      <c r="G3">
        <f>D3+B4</f>
        <v>1203.5</v>
      </c>
      <c r="H3">
        <f t="shared" si="0"/>
        <v>1168.5</v>
      </c>
      <c r="I3" s="3">
        <f>(E3/B2)</f>
        <v>0.14285714285714285</v>
      </c>
      <c r="J3" s="3">
        <f>(I3*21)+J2</f>
        <v>6</v>
      </c>
      <c r="O3" s="8">
        <v>1074</v>
      </c>
      <c r="P3" t="s">
        <v>53</v>
      </c>
      <c r="Q3">
        <f>R2+1</f>
        <v>1111</v>
      </c>
      <c r="R3">
        <f>Q3+(P8-1)</f>
        <v>1180</v>
      </c>
      <c r="S3">
        <f t="shared" ref="S3:S7" si="2">COUNTIFS(O:O,"&gt;=" &amp; Q3,O:O,"&lt;"&amp;R3)</f>
        <v>4</v>
      </c>
      <c r="T3">
        <f>Q3-P4</f>
        <v>1110.5</v>
      </c>
      <c r="U3">
        <f>R3+P4</f>
        <v>1180.5</v>
      </c>
      <c r="V3">
        <f t="shared" si="1"/>
        <v>1145.5</v>
      </c>
      <c r="W3" s="3">
        <f>(S3/P2)</f>
        <v>0.19047619047619047</v>
      </c>
      <c r="X3" s="11">
        <f>S3+X2</f>
        <v>7</v>
      </c>
    </row>
    <row r="4" spans="1:24">
      <c r="A4" s="8">
        <v>1132</v>
      </c>
      <c r="B4">
        <f>(C3-D2)/2</f>
        <v>0.5</v>
      </c>
      <c r="C4" s="8">
        <v>1204</v>
      </c>
      <c r="D4" s="8">
        <v>1273</v>
      </c>
      <c r="E4" s="8">
        <v>1</v>
      </c>
      <c r="F4">
        <f>C4-B4</f>
        <v>1203.5</v>
      </c>
      <c r="G4">
        <f>D4+B4</f>
        <v>1273.5</v>
      </c>
      <c r="H4">
        <f t="shared" si="0"/>
        <v>1238.5</v>
      </c>
      <c r="I4" s="3">
        <f>(E4/B2)</f>
        <v>4.7619047619047616E-2</v>
      </c>
      <c r="J4" s="3">
        <f t="shared" ref="J4:J7" si="3">(I4*21)+J3</f>
        <v>7</v>
      </c>
      <c r="O4" s="8">
        <v>1089</v>
      </c>
      <c r="P4">
        <f>(Q3-R2)/2</f>
        <v>0.5</v>
      </c>
      <c r="Q4">
        <f t="shared" ref="Q4:Q7" si="4">R3+1</f>
        <v>1181</v>
      </c>
      <c r="R4">
        <f>Q4+(P8-1)</f>
        <v>1250</v>
      </c>
      <c r="S4">
        <f t="shared" si="2"/>
        <v>4</v>
      </c>
      <c r="T4">
        <f>Q4-P4</f>
        <v>1180.5</v>
      </c>
      <c r="U4">
        <f>R4+P4</f>
        <v>1250.5</v>
      </c>
      <c r="V4">
        <f t="shared" si="1"/>
        <v>1215.5</v>
      </c>
      <c r="W4" s="3">
        <f>(S4/P2)</f>
        <v>0.19047619047619047</v>
      </c>
      <c r="X4" s="11">
        <f t="shared" ref="X4:X7" si="5">S4+X3</f>
        <v>11</v>
      </c>
    </row>
    <row r="5" spans="1:24">
      <c r="A5" s="8">
        <v>1145</v>
      </c>
      <c r="C5" s="8">
        <v>1274</v>
      </c>
      <c r="D5" s="8">
        <v>1343</v>
      </c>
      <c r="E5" s="8">
        <v>6</v>
      </c>
      <c r="F5">
        <f>C5-B4</f>
        <v>1273.5</v>
      </c>
      <c r="G5">
        <f>D5+B4</f>
        <v>1343.5</v>
      </c>
      <c r="H5">
        <f t="shared" si="0"/>
        <v>1308.5</v>
      </c>
      <c r="I5" s="3">
        <f>(E5/B2)</f>
        <v>0.2857142857142857</v>
      </c>
      <c r="J5" s="3">
        <f t="shared" si="3"/>
        <v>13</v>
      </c>
      <c r="O5" s="8">
        <v>1120</v>
      </c>
      <c r="P5" t="s">
        <v>138</v>
      </c>
      <c r="Q5">
        <f t="shared" si="4"/>
        <v>1251</v>
      </c>
      <c r="R5">
        <f>Q5+(P8-1)</f>
        <v>1320</v>
      </c>
      <c r="S5">
        <f t="shared" si="2"/>
        <v>5</v>
      </c>
      <c r="T5">
        <f>Q5-P4</f>
        <v>1250.5</v>
      </c>
      <c r="U5">
        <f>R5+P4</f>
        <v>1320.5</v>
      </c>
      <c r="V5">
        <f t="shared" si="1"/>
        <v>1285.5</v>
      </c>
      <c r="W5" s="3">
        <f>(S5/P2)</f>
        <v>0.23809523809523808</v>
      </c>
      <c r="X5" s="11">
        <f t="shared" si="5"/>
        <v>16</v>
      </c>
    </row>
    <row r="6" spans="1:24">
      <c r="A6" s="8">
        <v>1149</v>
      </c>
      <c r="C6" s="8">
        <v>1344</v>
      </c>
      <c r="D6" s="8">
        <v>1413</v>
      </c>
      <c r="E6" s="8">
        <v>2</v>
      </c>
      <c r="F6">
        <f>C6-B4</f>
        <v>1343.5</v>
      </c>
      <c r="G6">
        <f>D6+B4</f>
        <v>1413.5</v>
      </c>
      <c r="H6">
        <f t="shared" si="0"/>
        <v>1378.5</v>
      </c>
      <c r="I6" s="3">
        <f>(E6/B2)</f>
        <v>9.5238095238095233E-2</v>
      </c>
      <c r="J6" s="3">
        <f t="shared" si="3"/>
        <v>15</v>
      </c>
      <c r="O6" s="8">
        <v>1129</v>
      </c>
      <c r="P6">
        <v>6</v>
      </c>
      <c r="Q6">
        <f t="shared" si="4"/>
        <v>1321</v>
      </c>
      <c r="R6">
        <f>Q6+(P8-1)</f>
        <v>1390</v>
      </c>
      <c r="S6">
        <f t="shared" si="2"/>
        <v>1</v>
      </c>
      <c r="T6">
        <f>Q6-P4</f>
        <v>1320.5</v>
      </c>
      <c r="U6">
        <f>R6+P4</f>
        <v>1390.5</v>
      </c>
      <c r="V6">
        <f t="shared" si="1"/>
        <v>1355.5</v>
      </c>
      <c r="W6" s="3">
        <f>(S6/P2)</f>
        <v>4.7619047619047616E-2</v>
      </c>
      <c r="X6" s="11">
        <f t="shared" si="5"/>
        <v>17</v>
      </c>
    </row>
    <row r="7" spans="1:24">
      <c r="A7" s="8">
        <v>1150</v>
      </c>
      <c r="C7" s="8">
        <v>1414</v>
      </c>
      <c r="D7" s="8">
        <v>1483</v>
      </c>
      <c r="E7" s="8">
        <v>6</v>
      </c>
      <c r="F7">
        <f>C7-B4</f>
        <v>1413.5</v>
      </c>
      <c r="G7">
        <f>D7+B4</f>
        <v>1483.5</v>
      </c>
      <c r="H7">
        <f t="shared" si="0"/>
        <v>1448.5</v>
      </c>
      <c r="I7" s="3">
        <f>(E7/B2)</f>
        <v>0.2857142857142857</v>
      </c>
      <c r="J7" s="3">
        <f t="shared" si="3"/>
        <v>21</v>
      </c>
      <c r="O7" s="8">
        <v>1167</v>
      </c>
      <c r="P7" t="s">
        <v>139</v>
      </c>
      <c r="Q7">
        <f t="shared" si="4"/>
        <v>1391</v>
      </c>
      <c r="R7">
        <f>Q7+(P8-1)</f>
        <v>1460</v>
      </c>
      <c r="S7">
        <f t="shared" si="2"/>
        <v>4</v>
      </c>
      <c r="T7">
        <f>Q7-P4</f>
        <v>1390.5</v>
      </c>
      <c r="U7">
        <f>R7+P4</f>
        <v>1460.5</v>
      </c>
      <c r="V7">
        <f t="shared" si="1"/>
        <v>1425.5</v>
      </c>
      <c r="W7" s="3">
        <f>(S7/P2)</f>
        <v>0.19047619047619047</v>
      </c>
      <c r="X7" s="11">
        <f t="shared" si="5"/>
        <v>21</v>
      </c>
    </row>
    <row r="8" spans="1:24">
      <c r="A8" s="8">
        <v>1239</v>
      </c>
      <c r="H8">
        <f t="shared" si="0"/>
        <v>0</v>
      </c>
      <c r="I8" s="3"/>
      <c r="O8" s="8">
        <v>1177</v>
      </c>
      <c r="P8" s="8">
        <v>70</v>
      </c>
      <c r="V8">
        <f t="shared" si="1"/>
        <v>0</v>
      </c>
      <c r="W8" s="3"/>
    </row>
    <row r="9" spans="1:24">
      <c r="A9" s="8">
        <v>1274</v>
      </c>
      <c r="H9">
        <f t="shared" si="0"/>
        <v>0</v>
      </c>
      <c r="I9" s="3"/>
      <c r="O9" s="8">
        <v>1200</v>
      </c>
      <c r="V9">
        <f t="shared" si="1"/>
        <v>0</v>
      </c>
      <c r="W9" s="3"/>
    </row>
    <row r="10" spans="1:24">
      <c r="A10" s="8">
        <v>1289</v>
      </c>
      <c r="H10">
        <f t="shared" si="0"/>
        <v>0</v>
      </c>
      <c r="I10" s="3"/>
      <c r="O10" s="8">
        <v>1212</v>
      </c>
      <c r="V10">
        <f t="shared" si="1"/>
        <v>0</v>
      </c>
      <c r="W10" s="3"/>
    </row>
    <row r="11" spans="1:24">
      <c r="A11" s="8">
        <v>1292</v>
      </c>
      <c r="C11" t="s">
        <v>140</v>
      </c>
      <c r="H11">
        <f t="shared" si="0"/>
        <v>0</v>
      </c>
      <c r="I11" s="3"/>
      <c r="O11" s="8">
        <v>1234</v>
      </c>
      <c r="V11">
        <f t="shared" si="1"/>
        <v>0</v>
      </c>
      <c r="W11" s="3"/>
    </row>
    <row r="12" spans="1:24">
      <c r="A12" s="8">
        <v>1318</v>
      </c>
      <c r="H12">
        <f t="shared" si="0"/>
        <v>0</v>
      </c>
      <c r="I12" s="3"/>
      <c r="O12" s="8">
        <v>1246</v>
      </c>
      <c r="Q12" t="s">
        <v>141</v>
      </c>
      <c r="V12">
        <f t="shared" si="1"/>
        <v>0</v>
      </c>
      <c r="W12" s="3"/>
    </row>
    <row r="13" spans="1:24">
      <c r="A13" s="8">
        <v>1337</v>
      </c>
      <c r="H13">
        <f t="shared" si="0"/>
        <v>0</v>
      </c>
      <c r="I13" s="3"/>
      <c r="O13" s="8">
        <v>1253</v>
      </c>
      <c r="V13">
        <f t="shared" si="1"/>
        <v>0</v>
      </c>
      <c r="W13" s="3"/>
    </row>
    <row r="14" spans="1:24">
      <c r="A14" s="8">
        <v>1341</v>
      </c>
      <c r="H14">
        <f t="shared" si="0"/>
        <v>0</v>
      </c>
      <c r="I14" s="3"/>
      <c r="O14" s="8">
        <v>1257</v>
      </c>
      <c r="V14">
        <f t="shared" si="1"/>
        <v>0</v>
      </c>
      <c r="W14" s="3"/>
    </row>
    <row r="15" spans="1:24">
      <c r="A15" s="8">
        <v>1347</v>
      </c>
      <c r="H15">
        <f t="shared" si="0"/>
        <v>0</v>
      </c>
      <c r="I15" s="3"/>
      <c r="O15" s="8">
        <v>1292</v>
      </c>
      <c r="V15">
        <f t="shared" si="1"/>
        <v>0</v>
      </c>
      <c r="W15" s="3"/>
    </row>
    <row r="16" spans="1:24">
      <c r="A16" s="8">
        <v>1404</v>
      </c>
      <c r="H16">
        <f t="shared" si="0"/>
        <v>0</v>
      </c>
      <c r="I16" s="3"/>
      <c r="O16" s="8">
        <v>1308</v>
      </c>
      <c r="V16">
        <f t="shared" si="1"/>
        <v>0</v>
      </c>
      <c r="W16" s="3"/>
    </row>
    <row r="17" spans="1:23">
      <c r="A17" s="8">
        <v>1418</v>
      </c>
      <c r="H17">
        <f t="shared" si="0"/>
        <v>0</v>
      </c>
      <c r="I17" s="3"/>
      <c r="O17" s="8">
        <v>1316</v>
      </c>
      <c r="V17">
        <f t="shared" si="1"/>
        <v>0</v>
      </c>
      <c r="W17" s="3"/>
    </row>
    <row r="18" spans="1:23">
      <c r="A18" s="8">
        <v>1431</v>
      </c>
      <c r="H18">
        <f t="shared" si="0"/>
        <v>0</v>
      </c>
      <c r="I18" s="3"/>
      <c r="O18" s="8">
        <v>1321</v>
      </c>
      <c r="V18">
        <f t="shared" si="1"/>
        <v>0</v>
      </c>
      <c r="W18" s="3"/>
    </row>
    <row r="19" spans="1:23">
      <c r="A19" s="8">
        <v>1452</v>
      </c>
      <c r="H19">
        <f t="shared" si="0"/>
        <v>0</v>
      </c>
      <c r="I19" s="3"/>
      <c r="O19" s="8">
        <v>1401</v>
      </c>
      <c r="V19">
        <f t="shared" si="1"/>
        <v>0</v>
      </c>
      <c r="W19" s="3"/>
    </row>
    <row r="20" spans="1:23">
      <c r="A20" s="8">
        <v>1461</v>
      </c>
      <c r="H20">
        <f t="shared" si="0"/>
        <v>0</v>
      </c>
      <c r="I20" s="3"/>
      <c r="O20" s="8">
        <v>1414</v>
      </c>
      <c r="V20">
        <f t="shared" si="1"/>
        <v>0</v>
      </c>
      <c r="W20" s="3"/>
    </row>
    <row r="21" spans="1:23">
      <c r="A21" s="8">
        <v>1462</v>
      </c>
      <c r="O21" s="8">
        <v>1449</v>
      </c>
    </row>
    <row r="22" spans="1:23">
      <c r="A22" s="8">
        <v>1466</v>
      </c>
      <c r="O22" s="8">
        <v>1452</v>
      </c>
    </row>
  </sheetData>
  <sortState xmlns:xlrd2="http://schemas.microsoft.com/office/spreadsheetml/2017/richdata2" ref="O2:O22">
    <sortCondition ref="O2:O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6DF7-8827-44A3-B288-FFE274DBB829}">
  <dimension ref="A1:G6"/>
  <sheetViews>
    <sheetView workbookViewId="0">
      <selection activeCell="C3" sqref="C3"/>
    </sheetView>
  </sheetViews>
  <sheetFormatPr defaultRowHeight="15"/>
  <cols>
    <col min="1" max="1" width="9.140625" style="8"/>
    <col min="2" max="2" width="18.28515625" customWidth="1"/>
  </cols>
  <sheetData>
    <row r="1" spans="1:7">
      <c r="A1" s="8">
        <v>-9</v>
      </c>
      <c r="B1" s="1" t="s">
        <v>3</v>
      </c>
      <c r="C1">
        <f>AVERAGE(A:A)</f>
        <v>2</v>
      </c>
      <c r="F1" t="s">
        <v>142</v>
      </c>
    </row>
    <row r="2" spans="1:7">
      <c r="A2" s="8">
        <v>-9</v>
      </c>
      <c r="B2" s="1" t="s">
        <v>0</v>
      </c>
      <c r="C2">
        <f>MEDIAN(A:A)</f>
        <v>2</v>
      </c>
      <c r="F2" t="s">
        <v>143</v>
      </c>
      <c r="G2" s="8">
        <v>50</v>
      </c>
    </row>
    <row r="3" spans="1:7">
      <c r="A3" s="8">
        <v>-9</v>
      </c>
      <c r="B3" s="1" t="s">
        <v>2</v>
      </c>
      <c r="C3">
        <f>SUM(A:A)</f>
        <v>12</v>
      </c>
      <c r="F3" t="s">
        <v>144</v>
      </c>
      <c r="G3">
        <f>G2*0.25</f>
        <v>12.5</v>
      </c>
    </row>
    <row r="4" spans="1:7">
      <c r="A4" s="8">
        <v>13</v>
      </c>
      <c r="B4" s="1" t="s">
        <v>1</v>
      </c>
      <c r="C4">
        <f>_xlfn.MODE.SNGL(A:A)</f>
        <v>-9</v>
      </c>
      <c r="F4" t="s">
        <v>145</v>
      </c>
      <c r="G4">
        <f>(G2+1)/2</f>
        <v>25.5</v>
      </c>
    </row>
    <row r="5" spans="1:7">
      <c r="A5" s="8">
        <v>13</v>
      </c>
      <c r="F5" t="s">
        <v>146</v>
      </c>
      <c r="G5">
        <f>G2*0.75</f>
        <v>37.5</v>
      </c>
    </row>
    <row r="6" spans="1:7">
      <c r="A6" s="8">
        <v>13</v>
      </c>
    </row>
  </sheetData>
  <sortState xmlns:xlrd2="http://schemas.microsoft.com/office/spreadsheetml/2017/richdata2" ref="A1:A6">
    <sortCondition ref="A1:A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4CA7-DA6F-4206-B266-73D4D30B2255}">
  <dimension ref="A1:F6"/>
  <sheetViews>
    <sheetView workbookViewId="0"/>
  </sheetViews>
  <sheetFormatPr defaultRowHeight="15"/>
  <cols>
    <col min="1" max="1" width="9.140625" style="8"/>
    <col min="3" max="3" width="17.140625" customWidth="1"/>
    <col min="4" max="4" width="17.42578125" customWidth="1"/>
    <col min="5" max="5" width="16.5703125" customWidth="1"/>
    <col min="6" max="6" width="16.140625" customWidth="1"/>
  </cols>
  <sheetData>
    <row r="1" spans="1:6">
      <c r="A1" t="s">
        <v>4</v>
      </c>
      <c r="B1" t="s">
        <v>25</v>
      </c>
      <c r="C1" t="s">
        <v>30</v>
      </c>
      <c r="E1" t="s">
        <v>28</v>
      </c>
      <c r="F1">
        <f>SUM(C2:C20)</f>
        <v>10</v>
      </c>
    </row>
    <row r="2" spans="1:6">
      <c r="A2" s="8">
        <v>3</v>
      </c>
      <c r="B2">
        <f>A2-AVERAGE(A:A)</f>
        <v>-1</v>
      </c>
      <c r="C2">
        <f>B2^2</f>
        <v>1</v>
      </c>
      <c r="E2" t="s">
        <v>29</v>
      </c>
      <c r="F2">
        <f>(F1/(COUNT(A2:A20)-1))</f>
        <v>2.5</v>
      </c>
    </row>
    <row r="3" spans="1:6">
      <c r="A3" s="8">
        <v>2</v>
      </c>
      <c r="B3">
        <f t="shared" ref="B3:B6" si="0">A3-AVERAGE(A:A)</f>
        <v>-2</v>
      </c>
      <c r="C3">
        <f t="shared" ref="C3:C6" si="1">B3^2</f>
        <v>4</v>
      </c>
      <c r="E3" t="s">
        <v>15</v>
      </c>
      <c r="F3">
        <f>AVERAGE(A:A)</f>
        <v>4</v>
      </c>
    </row>
    <row r="4" spans="1:6">
      <c r="A4" s="8">
        <v>5</v>
      </c>
      <c r="B4">
        <f t="shared" si="0"/>
        <v>1</v>
      </c>
      <c r="C4">
        <f t="shared" si="1"/>
        <v>1</v>
      </c>
      <c r="E4" t="s">
        <v>26</v>
      </c>
      <c r="F4">
        <f>_xlfn.VAR.S(A2:A20)</f>
        <v>2.5</v>
      </c>
    </row>
    <row r="5" spans="1:6">
      <c r="A5" s="8">
        <v>6</v>
      </c>
      <c r="B5">
        <f t="shared" si="0"/>
        <v>2</v>
      </c>
      <c r="C5">
        <f t="shared" si="1"/>
        <v>4</v>
      </c>
    </row>
    <row r="6" spans="1:6">
      <c r="A6" s="8">
        <v>4</v>
      </c>
      <c r="B6">
        <f t="shared" si="0"/>
        <v>0</v>
      </c>
      <c r="C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8A18-443B-4E77-ADFC-B7C069505894}">
  <dimension ref="A1:P18"/>
  <sheetViews>
    <sheetView workbookViewId="0">
      <selection activeCell="J10" sqref="J10"/>
    </sheetView>
  </sheetViews>
  <sheetFormatPr defaultRowHeight="15"/>
  <cols>
    <col min="1" max="1" width="9.140625" style="8"/>
    <col min="3" max="3" width="9.85546875" customWidth="1"/>
    <col min="4" max="4" width="14.28515625" customWidth="1"/>
    <col min="5" max="5" width="7.28515625" customWidth="1"/>
    <col min="6" max="6" width="19.85546875" customWidth="1"/>
    <col min="7" max="7" width="12.5703125" customWidth="1"/>
    <col min="10" max="10" width="12.5703125" customWidth="1"/>
    <col min="11" max="11" width="23.7109375" customWidth="1"/>
    <col min="12" max="12" width="9.140625" style="8"/>
    <col min="15" max="15" width="14.140625" customWidth="1"/>
  </cols>
  <sheetData>
    <row r="1" spans="1:16">
      <c r="A1" t="s">
        <v>4</v>
      </c>
      <c r="B1" t="s">
        <v>25</v>
      </c>
      <c r="C1" t="s">
        <v>30</v>
      </c>
      <c r="F1" t="s">
        <v>117</v>
      </c>
      <c r="G1">
        <f>MAX(A:A)-MIN(A:A)</f>
        <v>26</v>
      </c>
      <c r="K1" s="4" t="s">
        <v>48</v>
      </c>
      <c r="L1" t="s">
        <v>4</v>
      </c>
      <c r="M1" t="s">
        <v>47</v>
      </c>
      <c r="O1" t="s">
        <v>44</v>
      </c>
      <c r="P1">
        <f>COUNT(L2:L50)</f>
        <v>5</v>
      </c>
    </row>
    <row r="2" spans="1:16">
      <c r="A2" s="8">
        <v>-12</v>
      </c>
      <c r="B2">
        <f>(A2-AVERAGE(A:A))</f>
        <v>-5</v>
      </c>
      <c r="C2">
        <f>B2^2</f>
        <v>25</v>
      </c>
      <c r="F2" t="s">
        <v>15</v>
      </c>
      <c r="G2">
        <f>AVERAGE(A:A)</f>
        <v>-7</v>
      </c>
      <c r="L2" s="8">
        <v>6</v>
      </c>
      <c r="M2">
        <f>L2^2</f>
        <v>36</v>
      </c>
      <c r="O2" t="s">
        <v>45</v>
      </c>
      <c r="P2">
        <f>SUM(L2:L50)^2</f>
        <v>576</v>
      </c>
    </row>
    <row r="3" spans="1:16">
      <c r="A3" s="8">
        <v>-9</v>
      </c>
      <c r="B3">
        <f t="shared" ref="B3:B8" si="0">(A3-AVERAGE(A:A))</f>
        <v>-2</v>
      </c>
      <c r="C3">
        <f t="shared" ref="C3:C8" si="1">B3^2</f>
        <v>4</v>
      </c>
      <c r="F3" t="s">
        <v>26</v>
      </c>
      <c r="G3">
        <f>_xlfn.VAR.S(A:A)</f>
        <v>88</v>
      </c>
      <c r="L3" s="8">
        <v>3</v>
      </c>
      <c r="M3">
        <f t="shared" ref="M3:M6" si="2">L3^2</f>
        <v>9</v>
      </c>
      <c r="O3" t="s">
        <v>46</v>
      </c>
      <c r="P3">
        <f>SUM(M2:M50)</f>
        <v>138</v>
      </c>
    </row>
    <row r="4" spans="1:16">
      <c r="A4" s="8">
        <v>-12</v>
      </c>
      <c r="B4">
        <f t="shared" si="0"/>
        <v>-5</v>
      </c>
      <c r="C4">
        <f t="shared" si="1"/>
        <v>25</v>
      </c>
      <c r="F4" t="s">
        <v>118</v>
      </c>
      <c r="G4">
        <f>_xlfn.VAR.P(A:A)</f>
        <v>75.428571428571431</v>
      </c>
      <c r="L4" s="8">
        <v>8</v>
      </c>
      <c r="M4">
        <f t="shared" si="2"/>
        <v>64</v>
      </c>
      <c r="O4" t="s">
        <v>43</v>
      </c>
      <c r="P4">
        <f>P3-(P2/P1)</f>
        <v>22.799999999999997</v>
      </c>
    </row>
    <row r="5" spans="1:16">
      <c r="A5" s="8">
        <v>-12</v>
      </c>
      <c r="B5">
        <f t="shared" si="0"/>
        <v>-5</v>
      </c>
      <c r="C5">
        <f t="shared" si="1"/>
        <v>25</v>
      </c>
      <c r="F5" t="s">
        <v>27</v>
      </c>
      <c r="G5">
        <f>SQRT(G3)</f>
        <v>9.3808315196468595</v>
      </c>
      <c r="L5" s="8">
        <v>5</v>
      </c>
      <c r="M5">
        <f t="shared" si="2"/>
        <v>25</v>
      </c>
      <c r="O5" t="s">
        <v>52</v>
      </c>
      <c r="P5">
        <f>P4/(P1-1)</f>
        <v>5.6999999999999993</v>
      </c>
    </row>
    <row r="6" spans="1:16">
      <c r="A6" s="8">
        <v>14</v>
      </c>
      <c r="B6">
        <f t="shared" si="0"/>
        <v>21</v>
      </c>
      <c r="C6">
        <f t="shared" si="1"/>
        <v>441</v>
      </c>
      <c r="F6" t="s">
        <v>120</v>
      </c>
      <c r="G6">
        <f>_xlfn.STDEV.S(A:A)</f>
        <v>9.3808315196468595</v>
      </c>
      <c r="L6" s="8">
        <v>2</v>
      </c>
      <c r="M6">
        <f t="shared" si="2"/>
        <v>4</v>
      </c>
      <c r="O6" t="s">
        <v>160</v>
      </c>
      <c r="P6">
        <f>SQRT(P5)</f>
        <v>2.3874672772626644</v>
      </c>
    </row>
    <row r="7" spans="1:16">
      <c r="A7" s="8">
        <v>-9</v>
      </c>
      <c r="B7">
        <f t="shared" si="0"/>
        <v>-2</v>
      </c>
      <c r="C7">
        <f t="shared" si="1"/>
        <v>4</v>
      </c>
      <c r="F7" t="s">
        <v>119</v>
      </c>
      <c r="G7">
        <f>SQRT(G4)</f>
        <v>8.6849623734689505</v>
      </c>
    </row>
    <row r="8" spans="1:16">
      <c r="A8" s="8">
        <v>-9</v>
      </c>
      <c r="B8">
        <f t="shared" si="0"/>
        <v>-2</v>
      </c>
      <c r="C8">
        <f t="shared" si="1"/>
        <v>4</v>
      </c>
    </row>
    <row r="11" spans="1:16">
      <c r="F11" s="4" t="s">
        <v>49</v>
      </c>
    </row>
    <row r="14" spans="1:16">
      <c r="D14" t="s">
        <v>161</v>
      </c>
      <c r="E14">
        <f>SUM(C:C)</f>
        <v>528</v>
      </c>
    </row>
    <row r="15" spans="1:16">
      <c r="D15" t="s">
        <v>26</v>
      </c>
      <c r="E15">
        <f>E14/(COUNT(A:A)-1)</f>
        <v>88</v>
      </c>
    </row>
    <row r="16" spans="1:16">
      <c r="D16" t="s">
        <v>118</v>
      </c>
      <c r="E16">
        <f>E14/COUNT(A:A)</f>
        <v>75.428571428571431</v>
      </c>
    </row>
    <row r="17" spans="4:5">
      <c r="D17" t="s">
        <v>27</v>
      </c>
      <c r="E17">
        <f>SQRT(E15)</f>
        <v>9.3808315196468595</v>
      </c>
    </row>
    <row r="18" spans="4:5">
      <c r="D18" t="s">
        <v>119</v>
      </c>
      <c r="E18">
        <f>SQRT(E16)</f>
        <v>8.6849623734689505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62B6-6846-49B4-A8F1-87515D5EC8F3}">
  <dimension ref="A1:T23"/>
  <sheetViews>
    <sheetView workbookViewId="0">
      <selection activeCell="A3" sqref="A3"/>
    </sheetView>
  </sheetViews>
  <sheetFormatPr defaultRowHeight="15"/>
  <cols>
    <col min="1" max="1" width="14.28515625" customWidth="1"/>
    <col min="2" max="2" width="12.42578125" customWidth="1"/>
    <col min="8" max="8" width="18.5703125" customWidth="1"/>
    <col min="9" max="9" width="14.28515625" customWidth="1"/>
    <col min="12" max="12" width="13.7109375" customWidth="1"/>
    <col min="13" max="14" width="15" customWidth="1"/>
    <col min="15" max="15" width="17.7109375" customWidth="1"/>
    <col min="19" max="19" width="13.28515625" customWidth="1"/>
  </cols>
  <sheetData>
    <row r="1" spans="1:20">
      <c r="A1" t="s">
        <v>9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L1" t="s">
        <v>9</v>
      </c>
      <c r="M1" t="s">
        <v>10</v>
      </c>
      <c r="N1" t="s">
        <v>36</v>
      </c>
      <c r="O1" t="s">
        <v>37</v>
      </c>
      <c r="P1" t="s">
        <v>38</v>
      </c>
      <c r="Q1" t="s">
        <v>39</v>
      </c>
      <c r="S1" t="s">
        <v>40</v>
      </c>
      <c r="T1">
        <f>SUM(O2:O20)</f>
        <v>50</v>
      </c>
    </row>
    <row r="2" spans="1:20">
      <c r="A2" s="9">
        <v>92</v>
      </c>
      <c r="B2" s="8">
        <v>100</v>
      </c>
      <c r="C2" s="8">
        <v>4</v>
      </c>
      <c r="D2">
        <f>SUM(A2, B2)/2</f>
        <v>96</v>
      </c>
      <c r="E2">
        <f>PRODUCT(C2, D2)</f>
        <v>384</v>
      </c>
      <c r="F2">
        <f>PRODUCT(C2,D2^2)</f>
        <v>36864</v>
      </c>
      <c r="H2" t="s">
        <v>11</v>
      </c>
      <c r="I2">
        <f>SUM(C2:C20)</f>
        <v>41</v>
      </c>
      <c r="L2" s="9">
        <v>35</v>
      </c>
      <c r="M2" s="8">
        <v>45</v>
      </c>
      <c r="N2">
        <f t="shared" ref="N2:N20" si="0">SUM(L2, M2)/2</f>
        <v>40</v>
      </c>
      <c r="O2" s="8">
        <v>2</v>
      </c>
      <c r="P2">
        <f>N2*O2</f>
        <v>80</v>
      </c>
      <c r="Q2">
        <f>(N2^2)*O2</f>
        <v>3200</v>
      </c>
      <c r="S2" t="s">
        <v>41</v>
      </c>
      <c r="T2">
        <f>SUM(P2:P20)</f>
        <v>3780</v>
      </c>
    </row>
    <row r="3" spans="1:20">
      <c r="A3" s="9">
        <v>83</v>
      </c>
      <c r="B3" s="8">
        <v>91</v>
      </c>
      <c r="C3" s="8">
        <v>12</v>
      </c>
      <c r="D3">
        <f t="shared" ref="D3:D20" si="1">SUM(A3, B3)/2</f>
        <v>87</v>
      </c>
      <c r="E3">
        <f t="shared" ref="E3:E20" si="2">PRODUCT(C3, D3)</f>
        <v>1044</v>
      </c>
      <c r="F3">
        <f t="shared" ref="F3:F20" si="3">PRODUCT(C3,D3^2)</f>
        <v>90828</v>
      </c>
      <c r="H3" t="s">
        <v>12</v>
      </c>
      <c r="I3">
        <f>SUM(E2:E20)</f>
        <v>3270</v>
      </c>
      <c r="L3" s="9">
        <v>45</v>
      </c>
      <c r="M3" s="8">
        <v>55</v>
      </c>
      <c r="N3">
        <f t="shared" si="0"/>
        <v>50</v>
      </c>
      <c r="O3" s="8">
        <v>2</v>
      </c>
      <c r="P3">
        <f t="shared" ref="P3:P20" si="4">N3*O3</f>
        <v>100</v>
      </c>
      <c r="Q3">
        <f t="shared" ref="Q3:Q8" si="5">(N3^2)*O3</f>
        <v>5000</v>
      </c>
      <c r="S3" t="s">
        <v>42</v>
      </c>
      <c r="T3">
        <f>SUM(Q2:Q20)</f>
        <v>296600</v>
      </c>
    </row>
    <row r="4" spans="1:20">
      <c r="A4" s="9">
        <v>74</v>
      </c>
      <c r="B4" s="8">
        <v>82</v>
      </c>
      <c r="C4" s="8">
        <v>15</v>
      </c>
      <c r="D4">
        <f t="shared" si="1"/>
        <v>78</v>
      </c>
      <c r="E4">
        <f t="shared" si="2"/>
        <v>1170</v>
      </c>
      <c r="F4">
        <f t="shared" si="3"/>
        <v>91260</v>
      </c>
      <c r="H4" t="s">
        <v>13</v>
      </c>
      <c r="I4">
        <f>SUM(F2:F20)</f>
        <v>264240</v>
      </c>
      <c r="L4" s="9">
        <v>55</v>
      </c>
      <c r="M4" s="8">
        <v>65</v>
      </c>
      <c r="N4">
        <f t="shared" si="0"/>
        <v>60</v>
      </c>
      <c r="O4" s="8">
        <v>7</v>
      </c>
      <c r="P4">
        <f t="shared" si="4"/>
        <v>420</v>
      </c>
      <c r="Q4">
        <f t="shared" si="5"/>
        <v>25200</v>
      </c>
      <c r="S4" t="s">
        <v>43</v>
      </c>
      <c r="T4">
        <f>T3-(T2^2)/(T1)</f>
        <v>10832</v>
      </c>
    </row>
    <row r="5" spans="1:20">
      <c r="A5" s="9">
        <v>65</v>
      </c>
      <c r="B5" s="8">
        <v>73</v>
      </c>
      <c r="C5" s="8">
        <v>8</v>
      </c>
      <c r="D5">
        <f t="shared" si="1"/>
        <v>69</v>
      </c>
      <c r="E5">
        <f t="shared" si="2"/>
        <v>552</v>
      </c>
      <c r="F5">
        <f t="shared" si="3"/>
        <v>38088</v>
      </c>
      <c r="L5" s="9">
        <v>65</v>
      </c>
      <c r="M5" s="8">
        <v>75</v>
      </c>
      <c r="N5">
        <f t="shared" si="0"/>
        <v>70</v>
      </c>
      <c r="O5" s="8">
        <v>13</v>
      </c>
      <c r="P5">
        <f t="shared" si="4"/>
        <v>910</v>
      </c>
      <c r="Q5">
        <f t="shared" si="5"/>
        <v>63700</v>
      </c>
      <c r="S5" t="s">
        <v>52</v>
      </c>
      <c r="T5">
        <f>T4/(T1-1)</f>
        <v>221.0612244897959</v>
      </c>
    </row>
    <row r="6" spans="1:20">
      <c r="A6" s="9">
        <v>56</v>
      </c>
      <c r="B6" s="8">
        <v>64</v>
      </c>
      <c r="C6" s="8">
        <v>2</v>
      </c>
      <c r="D6">
        <f t="shared" si="1"/>
        <v>60</v>
      </c>
      <c r="E6">
        <f t="shared" si="2"/>
        <v>120</v>
      </c>
      <c r="F6">
        <f t="shared" si="3"/>
        <v>7200</v>
      </c>
      <c r="H6" t="s">
        <v>14</v>
      </c>
      <c r="I6">
        <f>SQRT((PRODUCT(I2,I4)-I3^2)/(PRODUCT(I2,(I2-1))))</f>
        <v>9.2703303280003944</v>
      </c>
      <c r="L6" s="9">
        <v>75</v>
      </c>
      <c r="M6" s="8">
        <v>85</v>
      </c>
      <c r="N6">
        <f t="shared" si="0"/>
        <v>80</v>
      </c>
      <c r="O6" s="8">
        <v>11</v>
      </c>
      <c r="P6">
        <f t="shared" si="4"/>
        <v>880</v>
      </c>
      <c r="Q6">
        <f t="shared" si="5"/>
        <v>70400</v>
      </c>
      <c r="S6" t="s">
        <v>51</v>
      </c>
      <c r="T6">
        <f>SQRT(T5)</f>
        <v>14.868127807151643</v>
      </c>
    </row>
    <row r="7" spans="1:20">
      <c r="A7" s="9"/>
      <c r="B7" s="8"/>
      <c r="C7" s="8"/>
      <c r="D7">
        <f t="shared" si="1"/>
        <v>0</v>
      </c>
      <c r="E7">
        <f t="shared" si="2"/>
        <v>0</v>
      </c>
      <c r="F7">
        <f t="shared" si="3"/>
        <v>0</v>
      </c>
      <c r="L7" s="9">
        <v>85</v>
      </c>
      <c r="M7" s="8">
        <v>95</v>
      </c>
      <c r="N7">
        <f t="shared" si="0"/>
        <v>90</v>
      </c>
      <c r="O7" s="8">
        <v>11</v>
      </c>
      <c r="P7">
        <f t="shared" si="4"/>
        <v>990</v>
      </c>
      <c r="Q7">
        <f t="shared" si="5"/>
        <v>89100</v>
      </c>
    </row>
    <row r="8" spans="1:20">
      <c r="A8" s="9"/>
      <c r="B8" s="8"/>
      <c r="C8" s="8"/>
      <c r="D8">
        <f t="shared" si="1"/>
        <v>0</v>
      </c>
      <c r="E8">
        <f t="shared" si="2"/>
        <v>0</v>
      </c>
      <c r="F8">
        <f t="shared" si="3"/>
        <v>0</v>
      </c>
      <c r="L8" s="9">
        <v>95</v>
      </c>
      <c r="M8" s="8">
        <v>105</v>
      </c>
      <c r="N8">
        <f t="shared" si="0"/>
        <v>100</v>
      </c>
      <c r="O8" s="8">
        <v>4</v>
      </c>
      <c r="P8">
        <f t="shared" si="4"/>
        <v>400</v>
      </c>
      <c r="Q8">
        <f t="shared" si="5"/>
        <v>40000</v>
      </c>
    </row>
    <row r="9" spans="1:20">
      <c r="A9" s="9"/>
      <c r="B9" s="8"/>
      <c r="C9" s="8"/>
      <c r="D9">
        <f t="shared" si="1"/>
        <v>0</v>
      </c>
      <c r="E9">
        <f t="shared" si="2"/>
        <v>0</v>
      </c>
      <c r="F9">
        <f t="shared" si="3"/>
        <v>0</v>
      </c>
      <c r="H9" t="s">
        <v>49</v>
      </c>
      <c r="L9" s="9"/>
      <c r="M9" s="8"/>
      <c r="N9">
        <f t="shared" si="0"/>
        <v>0</v>
      </c>
      <c r="O9" s="8"/>
      <c r="P9">
        <f t="shared" si="4"/>
        <v>0</v>
      </c>
      <c r="S9" t="s">
        <v>50</v>
      </c>
    </row>
    <row r="10" spans="1:20">
      <c r="A10" s="9"/>
      <c r="B10" s="8"/>
      <c r="C10" s="8"/>
      <c r="D10">
        <f t="shared" si="1"/>
        <v>0</v>
      </c>
      <c r="E10">
        <f t="shared" si="2"/>
        <v>0</v>
      </c>
      <c r="F10">
        <f t="shared" si="3"/>
        <v>0</v>
      </c>
      <c r="L10" s="9"/>
      <c r="M10" s="8"/>
      <c r="N10">
        <f t="shared" si="0"/>
        <v>0</v>
      </c>
      <c r="O10" s="8"/>
      <c r="P10">
        <f t="shared" si="4"/>
        <v>0</v>
      </c>
    </row>
    <row r="11" spans="1:20">
      <c r="A11" s="9"/>
      <c r="B11" s="8"/>
      <c r="C11" s="8"/>
      <c r="D11">
        <f t="shared" si="1"/>
        <v>0</v>
      </c>
      <c r="E11">
        <f t="shared" si="2"/>
        <v>0</v>
      </c>
      <c r="F11">
        <f t="shared" si="3"/>
        <v>0</v>
      </c>
      <c r="L11" s="9"/>
      <c r="M11" s="8"/>
      <c r="N11">
        <f t="shared" si="0"/>
        <v>0</v>
      </c>
      <c r="O11" s="8"/>
      <c r="P11">
        <f t="shared" si="4"/>
        <v>0</v>
      </c>
    </row>
    <row r="12" spans="1:20">
      <c r="A12" s="9"/>
      <c r="B12" s="8"/>
      <c r="C12" s="8"/>
      <c r="D12">
        <f t="shared" si="1"/>
        <v>0</v>
      </c>
      <c r="E12">
        <f t="shared" si="2"/>
        <v>0</v>
      </c>
      <c r="F12">
        <f t="shared" si="3"/>
        <v>0</v>
      </c>
      <c r="L12" s="9"/>
      <c r="M12" s="8"/>
      <c r="N12">
        <f t="shared" si="0"/>
        <v>0</v>
      </c>
      <c r="O12" s="8"/>
      <c r="P12">
        <f t="shared" si="4"/>
        <v>0</v>
      </c>
    </row>
    <row r="13" spans="1:20">
      <c r="A13" s="9"/>
      <c r="B13" s="8"/>
      <c r="C13" s="8"/>
      <c r="D13">
        <f t="shared" si="1"/>
        <v>0</v>
      </c>
      <c r="E13">
        <f t="shared" si="2"/>
        <v>0</v>
      </c>
      <c r="F13">
        <f t="shared" si="3"/>
        <v>0</v>
      </c>
      <c r="L13" s="9"/>
      <c r="M13" s="8"/>
      <c r="N13">
        <f t="shared" si="0"/>
        <v>0</v>
      </c>
      <c r="O13" s="8"/>
      <c r="P13">
        <f t="shared" si="4"/>
        <v>0</v>
      </c>
    </row>
    <row r="14" spans="1:20">
      <c r="A14" s="9"/>
      <c r="B14" s="8"/>
      <c r="C14" s="8"/>
      <c r="D14">
        <f t="shared" si="1"/>
        <v>0</v>
      </c>
      <c r="E14">
        <f t="shared" si="2"/>
        <v>0</v>
      </c>
      <c r="F14">
        <f t="shared" si="3"/>
        <v>0</v>
      </c>
      <c r="L14" s="9"/>
      <c r="M14" s="8"/>
      <c r="N14">
        <f t="shared" si="0"/>
        <v>0</v>
      </c>
      <c r="O14" s="8"/>
      <c r="P14">
        <f t="shared" si="4"/>
        <v>0</v>
      </c>
    </row>
    <row r="15" spans="1:20">
      <c r="A15" s="9"/>
      <c r="B15" s="8"/>
      <c r="C15" s="8"/>
      <c r="D15">
        <f t="shared" si="1"/>
        <v>0</v>
      </c>
      <c r="E15">
        <f t="shared" si="2"/>
        <v>0</v>
      </c>
      <c r="F15">
        <f t="shared" si="3"/>
        <v>0</v>
      </c>
      <c r="L15" s="9"/>
      <c r="M15" s="8"/>
      <c r="N15">
        <f t="shared" si="0"/>
        <v>0</v>
      </c>
      <c r="O15" s="8"/>
      <c r="P15">
        <f t="shared" si="4"/>
        <v>0</v>
      </c>
    </row>
    <row r="16" spans="1:20">
      <c r="A16" s="9"/>
      <c r="B16" s="8"/>
      <c r="C16" s="8"/>
      <c r="D16">
        <f t="shared" si="1"/>
        <v>0</v>
      </c>
      <c r="E16">
        <f t="shared" si="2"/>
        <v>0</v>
      </c>
      <c r="F16">
        <f t="shared" si="3"/>
        <v>0</v>
      </c>
      <c r="L16" s="9"/>
      <c r="M16" s="8"/>
      <c r="N16">
        <f t="shared" si="0"/>
        <v>0</v>
      </c>
      <c r="O16" s="8"/>
      <c r="P16">
        <f t="shared" si="4"/>
        <v>0</v>
      </c>
    </row>
    <row r="17" spans="1:16">
      <c r="A17" s="9"/>
      <c r="B17" s="8"/>
      <c r="C17" s="8"/>
      <c r="D17">
        <f t="shared" si="1"/>
        <v>0</v>
      </c>
      <c r="E17">
        <f t="shared" si="2"/>
        <v>0</v>
      </c>
      <c r="F17">
        <f t="shared" si="3"/>
        <v>0</v>
      </c>
      <c r="L17" s="9"/>
      <c r="M17" s="8"/>
      <c r="N17">
        <f t="shared" si="0"/>
        <v>0</v>
      </c>
      <c r="O17" s="8"/>
      <c r="P17">
        <f t="shared" si="4"/>
        <v>0</v>
      </c>
    </row>
    <row r="18" spans="1:16">
      <c r="A18" s="9"/>
      <c r="B18" s="8"/>
      <c r="C18" s="8"/>
      <c r="D18">
        <f t="shared" si="1"/>
        <v>0</v>
      </c>
      <c r="E18">
        <f t="shared" si="2"/>
        <v>0</v>
      </c>
      <c r="F18">
        <f t="shared" si="3"/>
        <v>0</v>
      </c>
      <c r="L18" s="9"/>
      <c r="M18" s="8"/>
      <c r="N18">
        <f t="shared" si="0"/>
        <v>0</v>
      </c>
      <c r="O18" s="8"/>
      <c r="P18">
        <f t="shared" si="4"/>
        <v>0</v>
      </c>
    </row>
    <row r="19" spans="1:16">
      <c r="A19" s="9"/>
      <c r="B19" s="8"/>
      <c r="C19" s="8"/>
      <c r="D19">
        <f t="shared" si="1"/>
        <v>0</v>
      </c>
      <c r="E19">
        <f t="shared" si="2"/>
        <v>0</v>
      </c>
      <c r="F19">
        <f t="shared" si="3"/>
        <v>0</v>
      </c>
      <c r="L19" s="9"/>
      <c r="M19" s="8"/>
      <c r="N19">
        <f t="shared" si="0"/>
        <v>0</v>
      </c>
      <c r="O19" s="8"/>
      <c r="P19">
        <f t="shared" si="4"/>
        <v>0</v>
      </c>
    </row>
    <row r="20" spans="1:16">
      <c r="A20" s="9"/>
      <c r="B20" s="8"/>
      <c r="C20" s="8"/>
      <c r="D20">
        <f t="shared" si="1"/>
        <v>0</v>
      </c>
      <c r="E20">
        <f t="shared" si="2"/>
        <v>0</v>
      </c>
      <c r="F20">
        <f t="shared" si="3"/>
        <v>0</v>
      </c>
      <c r="L20" s="9"/>
      <c r="M20" s="8"/>
      <c r="N20">
        <f t="shared" si="0"/>
        <v>0</v>
      </c>
      <c r="O20" s="8"/>
      <c r="P20">
        <f t="shared" si="4"/>
        <v>0</v>
      </c>
    </row>
    <row r="21" spans="1:16">
      <c r="A21" s="2"/>
    </row>
    <row r="22" spans="1:16">
      <c r="A22" s="2"/>
    </row>
    <row r="23" spans="1:16">
      <c r="A2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C135-F29D-4F60-A5CE-A01F3DDFEC4F}">
  <dimension ref="A1:N18"/>
  <sheetViews>
    <sheetView workbookViewId="0">
      <selection activeCell="B7" sqref="B7"/>
    </sheetView>
  </sheetViews>
  <sheetFormatPr defaultRowHeight="15"/>
  <cols>
    <col min="7" max="7" width="14.7109375" customWidth="1"/>
    <col min="10" max="10" width="20.140625" customWidth="1"/>
    <col min="13" max="13" width="15.5703125" customWidth="1"/>
  </cols>
  <sheetData>
    <row r="1" spans="1:14">
      <c r="A1" s="4" t="s">
        <v>105</v>
      </c>
      <c r="G1" s="4" t="s">
        <v>109</v>
      </c>
      <c r="J1" s="4" t="s">
        <v>110</v>
      </c>
      <c r="M1" s="4" t="s">
        <v>111</v>
      </c>
    </row>
    <row r="2" spans="1:14">
      <c r="A2" t="s">
        <v>33</v>
      </c>
      <c r="B2" s="8">
        <v>3.76</v>
      </c>
      <c r="G2" t="s">
        <v>106</v>
      </c>
      <c r="H2" s="8">
        <v>1.55</v>
      </c>
      <c r="J2" t="s">
        <v>108</v>
      </c>
      <c r="K2" s="8">
        <v>24.2</v>
      </c>
      <c r="M2" t="s">
        <v>108</v>
      </c>
      <c r="N2" s="8">
        <v>88</v>
      </c>
    </row>
    <row r="3" spans="1:14">
      <c r="A3" t="s">
        <v>34</v>
      </c>
      <c r="B3" s="8">
        <v>2.5299999999999998</v>
      </c>
      <c r="G3" t="s">
        <v>15</v>
      </c>
      <c r="H3" s="8">
        <v>498</v>
      </c>
      <c r="J3" t="s">
        <v>107</v>
      </c>
      <c r="K3" s="8">
        <v>5.2</v>
      </c>
      <c r="M3" t="s">
        <v>34</v>
      </c>
      <c r="N3" s="8">
        <v>78</v>
      </c>
    </row>
    <row r="4" spans="1:14">
      <c r="A4" t="s">
        <v>31</v>
      </c>
      <c r="B4" s="8">
        <v>0.41</v>
      </c>
      <c r="G4" t="s">
        <v>107</v>
      </c>
      <c r="H4" s="8">
        <v>114</v>
      </c>
      <c r="J4" t="s">
        <v>106</v>
      </c>
      <c r="K4" s="8">
        <v>1.25</v>
      </c>
      <c r="M4" t="s">
        <v>106</v>
      </c>
      <c r="N4" s="8">
        <v>1.4</v>
      </c>
    </row>
    <row r="5" spans="1:14">
      <c r="A5" t="s">
        <v>35</v>
      </c>
      <c r="B5">
        <f>(B2-B3)/B4</f>
        <v>3</v>
      </c>
      <c r="C5" t="e">
        <f t="shared" ref="C5:E5" si="0">(C2-C3)/C4</f>
        <v>#DIV/0!</v>
      </c>
      <c r="D5" t="e">
        <f t="shared" si="0"/>
        <v>#DIV/0!</v>
      </c>
      <c r="E5" t="e">
        <f t="shared" si="0"/>
        <v>#DIV/0!</v>
      </c>
      <c r="G5" t="s">
        <v>108</v>
      </c>
      <c r="H5">
        <f>(H2*H4)+H3</f>
        <v>674.7</v>
      </c>
      <c r="J5" t="s">
        <v>15</v>
      </c>
      <c r="K5">
        <f>K2-(K4*K3)</f>
        <v>17.7</v>
      </c>
      <c r="M5" t="s">
        <v>107</v>
      </c>
      <c r="N5">
        <f>(N2-N3)/N4</f>
        <v>7.1428571428571432</v>
      </c>
    </row>
    <row r="11" spans="1:14">
      <c r="J11" s="4" t="s">
        <v>162</v>
      </c>
    </row>
    <row r="12" spans="1:14">
      <c r="J12" t="s">
        <v>15</v>
      </c>
    </row>
    <row r="13" spans="1:14">
      <c r="J13" t="s">
        <v>107</v>
      </c>
    </row>
    <row r="14" spans="1:14">
      <c r="J14" t="s">
        <v>163</v>
      </c>
    </row>
    <row r="15" spans="1:14">
      <c r="J15" t="s">
        <v>164</v>
      </c>
    </row>
    <row r="16" spans="1:14">
      <c r="J16" t="s">
        <v>166</v>
      </c>
    </row>
    <row r="17" spans="10:10">
      <c r="J17" t="s">
        <v>167</v>
      </c>
    </row>
    <row r="18" spans="10:10">
      <c r="J18" t="s">
        <v>165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52E-DEAF-46DA-813E-2B0159D63840}">
  <dimension ref="A1:H24"/>
  <sheetViews>
    <sheetView workbookViewId="0">
      <selection activeCell="E17" sqref="E17"/>
    </sheetView>
  </sheetViews>
  <sheetFormatPr defaultRowHeight="15"/>
  <cols>
    <col min="1" max="1" width="23.28515625" customWidth="1"/>
    <col min="2" max="2" width="9.7109375" customWidth="1"/>
    <col min="3" max="3" width="18.7109375" customWidth="1"/>
    <col min="4" max="4" width="22.140625" customWidth="1"/>
    <col min="5" max="5" width="16" customWidth="1"/>
    <col min="6" max="6" width="18" customWidth="1"/>
    <col min="7" max="7" width="16.85546875" customWidth="1"/>
    <col min="9" max="9" width="13.28515625" customWidth="1"/>
  </cols>
  <sheetData>
    <row r="1" spans="1:8">
      <c r="A1" s="4" t="s">
        <v>201</v>
      </c>
      <c r="B1">
        <f>1-B2</f>
        <v>1</v>
      </c>
    </row>
    <row r="2" spans="1:8">
      <c r="A2" t="s">
        <v>202</v>
      </c>
      <c r="B2" s="8"/>
    </row>
    <row r="6" spans="1:8">
      <c r="A6" s="4" t="s">
        <v>206</v>
      </c>
      <c r="D6" s="4" t="s">
        <v>208</v>
      </c>
      <c r="E6" s="4"/>
      <c r="F6" s="4"/>
      <c r="G6" s="4"/>
    </row>
    <row r="7" spans="1:8">
      <c r="A7" t="s">
        <v>203</v>
      </c>
      <c r="B7" s="8">
        <v>50</v>
      </c>
      <c r="D7" t="s">
        <v>203</v>
      </c>
      <c r="E7" s="8">
        <v>0.4</v>
      </c>
    </row>
    <row r="8" spans="1:8">
      <c r="A8" t="s">
        <v>204</v>
      </c>
      <c r="B8" s="8">
        <v>32</v>
      </c>
      <c r="D8" t="s">
        <v>204</v>
      </c>
      <c r="E8" s="8">
        <v>0.35</v>
      </c>
    </row>
    <row r="9" spans="1:8">
      <c r="A9" t="s">
        <v>205</v>
      </c>
      <c r="B9" s="8">
        <v>7</v>
      </c>
      <c r="D9" s="4" t="s">
        <v>207</v>
      </c>
      <c r="E9">
        <f>E7+E8</f>
        <v>0.75</v>
      </c>
    </row>
    <row r="10" spans="1:8">
      <c r="A10" s="4" t="s">
        <v>207</v>
      </c>
      <c r="B10">
        <f>(B7+B8)-B9</f>
        <v>75</v>
      </c>
    </row>
    <row r="14" spans="1:8">
      <c r="A14" s="4" t="s">
        <v>211</v>
      </c>
      <c r="B14" s="4"/>
      <c r="C14" s="4"/>
      <c r="D14" s="4" t="s">
        <v>210</v>
      </c>
      <c r="E14" s="4"/>
      <c r="G14" s="4" t="s">
        <v>212</v>
      </c>
    </row>
    <row r="15" spans="1:8">
      <c r="A15" t="s">
        <v>203</v>
      </c>
      <c r="B15" s="8">
        <v>0.06</v>
      </c>
      <c r="D15" t="s">
        <v>203</v>
      </c>
      <c r="E15" s="8">
        <v>0.06</v>
      </c>
      <c r="G15" t="s">
        <v>214</v>
      </c>
      <c r="H15" s="8">
        <v>110</v>
      </c>
    </row>
    <row r="16" spans="1:8">
      <c r="A16" t="s">
        <v>204</v>
      </c>
      <c r="B16" s="8">
        <v>0.06</v>
      </c>
      <c r="D16" t="s">
        <v>213</v>
      </c>
      <c r="E16" s="8">
        <v>0.06</v>
      </c>
      <c r="G16" t="s">
        <v>203</v>
      </c>
      <c r="H16" s="8">
        <v>152</v>
      </c>
    </row>
    <row r="17" spans="1:8">
      <c r="A17" s="4" t="s">
        <v>209</v>
      </c>
      <c r="B17">
        <f>B15*B16</f>
        <v>3.5999999999999999E-3</v>
      </c>
      <c r="D17" s="4" t="s">
        <v>209</v>
      </c>
      <c r="E17">
        <f>E15*E16</f>
        <v>3.5999999999999999E-3</v>
      </c>
      <c r="G17" t="s">
        <v>215</v>
      </c>
      <c r="H17">
        <f>H15/H16</f>
        <v>0.72368421052631582</v>
      </c>
    </row>
    <row r="21" spans="1:8">
      <c r="A21" s="4" t="s">
        <v>56</v>
      </c>
      <c r="B21">
        <f>FACT(B23)/(FACT(B24)*FACT(B23-B24))</f>
        <v>364</v>
      </c>
      <c r="D21" s="4" t="s">
        <v>57</v>
      </c>
      <c r="E21">
        <f>FACT(E23)/(FACT(E23-E24))</f>
        <v>3628800</v>
      </c>
    </row>
    <row r="23" spans="1:8">
      <c r="A23" t="s">
        <v>54</v>
      </c>
      <c r="B23" s="8">
        <v>14</v>
      </c>
      <c r="D23" t="s">
        <v>54</v>
      </c>
      <c r="E23" s="8">
        <v>10</v>
      </c>
    </row>
    <row r="24" spans="1:8">
      <c r="A24" t="s">
        <v>55</v>
      </c>
      <c r="B24" s="8">
        <v>3</v>
      </c>
      <c r="D24" t="s">
        <v>55</v>
      </c>
      <c r="E24" s="8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1A0C-9F98-490D-9597-C66703B1C9D0}">
  <dimension ref="A1:O36"/>
  <sheetViews>
    <sheetView workbookViewId="0">
      <selection activeCell="L2" sqref="L2"/>
    </sheetView>
  </sheetViews>
  <sheetFormatPr defaultRowHeight="15"/>
  <cols>
    <col min="1" max="1" width="9.140625" style="8"/>
    <col min="2" max="2" width="13.85546875" style="8" customWidth="1"/>
    <col min="3" max="3" width="18" customWidth="1"/>
    <col min="4" max="4" width="28.140625" customWidth="1"/>
    <col min="5" max="5" width="20" customWidth="1"/>
    <col min="7" max="7" width="37.140625" customWidth="1"/>
    <col min="8" max="8" width="12.140625" customWidth="1"/>
    <col min="10" max="10" width="14" customWidth="1"/>
    <col min="11" max="11" width="24" customWidth="1"/>
    <col min="12" max="12" width="23.85546875" customWidth="1"/>
    <col min="13" max="13" width="29.7109375" customWidth="1"/>
    <col min="14" max="14" width="23.42578125" customWidth="1"/>
    <col min="15" max="15" width="36.28515625" customWidth="1"/>
  </cols>
  <sheetData>
    <row r="1" spans="1:15">
      <c r="A1" t="s">
        <v>58</v>
      </c>
      <c r="B1" t="s">
        <v>59</v>
      </c>
      <c r="C1" t="s">
        <v>60</v>
      </c>
      <c r="D1" t="s">
        <v>62</v>
      </c>
      <c r="E1" t="s">
        <v>61</v>
      </c>
      <c r="G1" t="s">
        <v>63</v>
      </c>
      <c r="J1" t="s">
        <v>58</v>
      </c>
      <c r="K1" t="s">
        <v>59</v>
      </c>
      <c r="L1" t="s">
        <v>60</v>
      </c>
      <c r="M1" t="s">
        <v>65</v>
      </c>
      <c r="N1" t="s">
        <v>66</v>
      </c>
      <c r="O1" t="s">
        <v>68</v>
      </c>
    </row>
    <row r="2" spans="1:15">
      <c r="A2" s="8">
        <v>3</v>
      </c>
      <c r="B2" s="8">
        <v>0.2</v>
      </c>
      <c r="C2">
        <f>A2*B2</f>
        <v>0.60000000000000009</v>
      </c>
      <c r="D2">
        <f>SUM(B:B)</f>
        <v>1</v>
      </c>
      <c r="E2">
        <f>SUM(C:C)</f>
        <v>5.2000000000000011</v>
      </c>
      <c r="G2" s="1" t="s">
        <v>64</v>
      </c>
      <c r="H2">
        <f>SUM(K:K)</f>
        <v>1</v>
      </c>
      <c r="J2" s="8">
        <v>-6</v>
      </c>
      <c r="K2" s="8">
        <v>0.2</v>
      </c>
      <c r="L2">
        <f>J2*K2</f>
        <v>-1.2000000000000002</v>
      </c>
      <c r="M2">
        <f>J2-SUM(L:L)</f>
        <v>-2</v>
      </c>
      <c r="N2">
        <f>M2^2</f>
        <v>4</v>
      </c>
      <c r="O2">
        <f>N2*K2</f>
        <v>0.8</v>
      </c>
    </row>
    <row r="3" spans="1:15">
      <c r="A3" s="8">
        <v>4</v>
      </c>
      <c r="B3" s="8">
        <v>0.2</v>
      </c>
      <c r="C3">
        <f t="shared" ref="C3:C36" si="0">A3*B3</f>
        <v>0.8</v>
      </c>
      <c r="G3" s="1" t="s">
        <v>67</v>
      </c>
      <c r="H3">
        <f>SUM(L:L)</f>
        <v>-4</v>
      </c>
      <c r="J3" s="8">
        <v>-5</v>
      </c>
      <c r="K3" s="8">
        <v>0.2</v>
      </c>
      <c r="L3">
        <f t="shared" ref="L3:L20" si="1">J3*K3</f>
        <v>-1</v>
      </c>
      <c r="M3">
        <f t="shared" ref="M3:M20" si="2">J3-SUM(L:L)</f>
        <v>-1</v>
      </c>
      <c r="N3">
        <f t="shared" ref="N3:N20" si="3">M3^2</f>
        <v>1</v>
      </c>
      <c r="O3">
        <f t="shared" ref="O3:O20" si="4">N3*K3</f>
        <v>0.2</v>
      </c>
    </row>
    <row r="4" spans="1:15">
      <c r="A4" s="8">
        <v>5</v>
      </c>
      <c r="B4" s="8">
        <v>0.1</v>
      </c>
      <c r="C4">
        <f t="shared" si="0"/>
        <v>0.5</v>
      </c>
      <c r="G4" s="1" t="s">
        <v>69</v>
      </c>
      <c r="H4">
        <f>SUM(O:O)</f>
        <v>2</v>
      </c>
      <c r="J4" s="8">
        <v>-4</v>
      </c>
      <c r="K4" s="8">
        <v>0.2</v>
      </c>
      <c r="L4">
        <f t="shared" si="1"/>
        <v>-0.8</v>
      </c>
      <c r="M4">
        <f t="shared" si="2"/>
        <v>0</v>
      </c>
      <c r="N4">
        <f t="shared" si="3"/>
        <v>0</v>
      </c>
      <c r="O4">
        <f t="shared" si="4"/>
        <v>0</v>
      </c>
    </row>
    <row r="5" spans="1:15">
      <c r="A5" s="8">
        <v>6</v>
      </c>
      <c r="B5" s="8">
        <v>0.2</v>
      </c>
      <c r="C5">
        <f t="shared" si="0"/>
        <v>1.2000000000000002</v>
      </c>
      <c r="G5" s="1" t="s">
        <v>70</v>
      </c>
      <c r="H5" s="1">
        <f>SQRT(H4)</f>
        <v>1.4142135623730951</v>
      </c>
      <c r="J5" s="8">
        <v>-3</v>
      </c>
      <c r="K5" s="8">
        <v>0.2</v>
      </c>
      <c r="L5">
        <f t="shared" si="1"/>
        <v>-0.60000000000000009</v>
      </c>
      <c r="M5">
        <f t="shared" si="2"/>
        <v>1</v>
      </c>
      <c r="N5">
        <f t="shared" si="3"/>
        <v>1</v>
      </c>
      <c r="O5">
        <f t="shared" si="4"/>
        <v>0.2</v>
      </c>
    </row>
    <row r="6" spans="1:15">
      <c r="A6" s="8">
        <v>7</v>
      </c>
      <c r="B6" s="8">
        <v>0.3</v>
      </c>
      <c r="C6">
        <f t="shared" si="0"/>
        <v>2.1</v>
      </c>
      <c r="J6" s="8">
        <v>-2</v>
      </c>
      <c r="K6" s="8">
        <v>0.2</v>
      </c>
      <c r="L6">
        <f t="shared" si="1"/>
        <v>-0.4</v>
      </c>
      <c r="M6">
        <f t="shared" si="2"/>
        <v>2</v>
      </c>
      <c r="N6">
        <f t="shared" si="3"/>
        <v>4</v>
      </c>
      <c r="O6">
        <f t="shared" si="4"/>
        <v>0.8</v>
      </c>
    </row>
    <row r="7" spans="1:15">
      <c r="C7">
        <f t="shared" si="0"/>
        <v>0</v>
      </c>
      <c r="J7" s="8"/>
      <c r="K7" s="8"/>
      <c r="L7">
        <f t="shared" si="1"/>
        <v>0</v>
      </c>
      <c r="M7">
        <f t="shared" si="2"/>
        <v>4</v>
      </c>
      <c r="N7">
        <f t="shared" si="3"/>
        <v>16</v>
      </c>
      <c r="O7">
        <f t="shared" si="4"/>
        <v>0</v>
      </c>
    </row>
    <row r="8" spans="1:15">
      <c r="C8">
        <f t="shared" si="0"/>
        <v>0</v>
      </c>
      <c r="J8" s="8"/>
      <c r="K8" s="8"/>
      <c r="L8">
        <f t="shared" si="1"/>
        <v>0</v>
      </c>
      <c r="M8">
        <f t="shared" si="2"/>
        <v>4</v>
      </c>
      <c r="N8">
        <f t="shared" si="3"/>
        <v>16</v>
      </c>
      <c r="O8">
        <f t="shared" si="4"/>
        <v>0</v>
      </c>
    </row>
    <row r="9" spans="1:15">
      <c r="C9">
        <f t="shared" si="0"/>
        <v>0</v>
      </c>
      <c r="J9" s="8"/>
      <c r="K9" s="8"/>
      <c r="L9">
        <f t="shared" si="1"/>
        <v>0</v>
      </c>
      <c r="M9">
        <f t="shared" si="2"/>
        <v>4</v>
      </c>
      <c r="N9">
        <f t="shared" si="3"/>
        <v>16</v>
      </c>
      <c r="O9">
        <f t="shared" si="4"/>
        <v>0</v>
      </c>
    </row>
    <row r="10" spans="1:15">
      <c r="C10">
        <f t="shared" si="0"/>
        <v>0</v>
      </c>
      <c r="J10" s="8"/>
      <c r="K10" s="8"/>
      <c r="L10">
        <f t="shared" si="1"/>
        <v>0</v>
      </c>
      <c r="M10">
        <f t="shared" si="2"/>
        <v>4</v>
      </c>
      <c r="N10">
        <f t="shared" si="3"/>
        <v>16</v>
      </c>
      <c r="O10">
        <f t="shared" si="4"/>
        <v>0</v>
      </c>
    </row>
    <row r="11" spans="1:15">
      <c r="C11">
        <f t="shared" si="0"/>
        <v>0</v>
      </c>
      <c r="J11" s="8"/>
      <c r="K11" s="8"/>
      <c r="L11">
        <f t="shared" si="1"/>
        <v>0</v>
      </c>
      <c r="M11">
        <f t="shared" si="2"/>
        <v>4</v>
      </c>
      <c r="N11">
        <f t="shared" si="3"/>
        <v>16</v>
      </c>
      <c r="O11">
        <f t="shared" si="4"/>
        <v>0</v>
      </c>
    </row>
    <row r="12" spans="1:15">
      <c r="C12">
        <f t="shared" si="0"/>
        <v>0</v>
      </c>
      <c r="J12" s="8"/>
      <c r="K12" s="8"/>
      <c r="L12">
        <f t="shared" si="1"/>
        <v>0</v>
      </c>
      <c r="M12">
        <f t="shared" si="2"/>
        <v>4</v>
      </c>
      <c r="N12">
        <f t="shared" si="3"/>
        <v>16</v>
      </c>
      <c r="O12">
        <f t="shared" si="4"/>
        <v>0</v>
      </c>
    </row>
    <row r="13" spans="1:15">
      <c r="C13">
        <f t="shared" si="0"/>
        <v>0</v>
      </c>
      <c r="J13" s="8"/>
      <c r="K13" s="8"/>
      <c r="L13">
        <f t="shared" si="1"/>
        <v>0</v>
      </c>
      <c r="M13">
        <f t="shared" si="2"/>
        <v>4</v>
      </c>
      <c r="N13">
        <f t="shared" si="3"/>
        <v>16</v>
      </c>
      <c r="O13">
        <f t="shared" si="4"/>
        <v>0</v>
      </c>
    </row>
    <row r="14" spans="1:15">
      <c r="C14">
        <f t="shared" si="0"/>
        <v>0</v>
      </c>
      <c r="J14" s="8"/>
      <c r="K14" s="8"/>
      <c r="L14">
        <f t="shared" si="1"/>
        <v>0</v>
      </c>
      <c r="M14">
        <f t="shared" si="2"/>
        <v>4</v>
      </c>
      <c r="N14">
        <f t="shared" si="3"/>
        <v>16</v>
      </c>
      <c r="O14">
        <f t="shared" si="4"/>
        <v>0</v>
      </c>
    </row>
    <row r="15" spans="1:15">
      <c r="C15">
        <f t="shared" si="0"/>
        <v>0</v>
      </c>
      <c r="J15" s="8"/>
      <c r="K15" s="8"/>
      <c r="L15">
        <f t="shared" si="1"/>
        <v>0</v>
      </c>
      <c r="M15">
        <f t="shared" si="2"/>
        <v>4</v>
      </c>
      <c r="N15">
        <f t="shared" si="3"/>
        <v>16</v>
      </c>
      <c r="O15">
        <f t="shared" si="4"/>
        <v>0</v>
      </c>
    </row>
    <row r="16" spans="1:15">
      <c r="C16">
        <f t="shared" si="0"/>
        <v>0</v>
      </c>
      <c r="J16" s="8"/>
      <c r="K16" s="8"/>
      <c r="L16">
        <f t="shared" si="1"/>
        <v>0</v>
      </c>
      <c r="M16">
        <f t="shared" si="2"/>
        <v>4</v>
      </c>
      <c r="N16">
        <f t="shared" si="3"/>
        <v>16</v>
      </c>
      <c r="O16">
        <f t="shared" si="4"/>
        <v>0</v>
      </c>
    </row>
    <row r="17" spans="3:15">
      <c r="C17">
        <f t="shared" si="0"/>
        <v>0</v>
      </c>
      <c r="J17" s="8"/>
      <c r="K17" s="8"/>
      <c r="L17">
        <f t="shared" si="1"/>
        <v>0</v>
      </c>
      <c r="M17">
        <f t="shared" si="2"/>
        <v>4</v>
      </c>
      <c r="N17">
        <f t="shared" si="3"/>
        <v>16</v>
      </c>
      <c r="O17">
        <f t="shared" si="4"/>
        <v>0</v>
      </c>
    </row>
    <row r="18" spans="3:15">
      <c r="C18">
        <f t="shared" si="0"/>
        <v>0</v>
      </c>
      <c r="J18" s="8"/>
      <c r="K18" s="8"/>
      <c r="L18">
        <f t="shared" si="1"/>
        <v>0</v>
      </c>
      <c r="M18">
        <f t="shared" si="2"/>
        <v>4</v>
      </c>
      <c r="N18">
        <f t="shared" si="3"/>
        <v>16</v>
      </c>
      <c r="O18">
        <f t="shared" si="4"/>
        <v>0</v>
      </c>
    </row>
    <row r="19" spans="3:15">
      <c r="C19">
        <f t="shared" si="0"/>
        <v>0</v>
      </c>
      <c r="J19" s="8"/>
      <c r="K19" s="8"/>
      <c r="L19">
        <f t="shared" si="1"/>
        <v>0</v>
      </c>
      <c r="M19">
        <f t="shared" si="2"/>
        <v>4</v>
      </c>
      <c r="N19">
        <f t="shared" si="3"/>
        <v>16</v>
      </c>
      <c r="O19">
        <f t="shared" si="4"/>
        <v>0</v>
      </c>
    </row>
    <row r="20" spans="3:15">
      <c r="C20">
        <f t="shared" si="0"/>
        <v>0</v>
      </c>
      <c r="J20" s="8"/>
      <c r="K20" s="8"/>
      <c r="L20">
        <f t="shared" si="1"/>
        <v>0</v>
      </c>
      <c r="M20">
        <f t="shared" si="2"/>
        <v>4</v>
      </c>
      <c r="N20">
        <f t="shared" si="3"/>
        <v>16</v>
      </c>
      <c r="O20">
        <f t="shared" si="4"/>
        <v>0</v>
      </c>
    </row>
    <row r="21" spans="3:15">
      <c r="C21">
        <f t="shared" si="0"/>
        <v>0</v>
      </c>
    </row>
    <row r="22" spans="3:15">
      <c r="C22">
        <f t="shared" si="0"/>
        <v>0</v>
      </c>
    </row>
    <row r="23" spans="3:15">
      <c r="C23">
        <f t="shared" si="0"/>
        <v>0</v>
      </c>
    </row>
    <row r="24" spans="3:15">
      <c r="C24">
        <f t="shared" si="0"/>
        <v>0</v>
      </c>
    </row>
    <row r="25" spans="3:15">
      <c r="C25">
        <f t="shared" si="0"/>
        <v>0</v>
      </c>
    </row>
    <row r="26" spans="3:15">
      <c r="C26">
        <f t="shared" si="0"/>
        <v>0</v>
      </c>
    </row>
    <row r="27" spans="3:15">
      <c r="C27">
        <f t="shared" si="0"/>
        <v>0</v>
      </c>
    </row>
    <row r="28" spans="3:15">
      <c r="C28">
        <f t="shared" si="0"/>
        <v>0</v>
      </c>
    </row>
    <row r="29" spans="3:15">
      <c r="C29">
        <f t="shared" si="0"/>
        <v>0</v>
      </c>
    </row>
    <row r="30" spans="3:15">
      <c r="C30">
        <f t="shared" si="0"/>
        <v>0</v>
      </c>
    </row>
    <row r="31" spans="3:15">
      <c r="C31">
        <f t="shared" si="0"/>
        <v>0</v>
      </c>
    </row>
    <row r="32" spans="3:15">
      <c r="C32">
        <f t="shared" si="0"/>
        <v>0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V 4 3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1 V 4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e N 1 Y o i k e 4 D g A A A B E A A A A T A B w A R m 9 y b X V s Y X M v U 2 V j d G l v b j E u b S C i G A A o o B Q A A A A A A A A A A A A A A A A A A A A A A A A A A A A r T k 0 u y c z P U w i G 0 I b W A F B L A Q I t A B Q A A g A I A N V e N 1 a N m H I o p A A A A P Y A A A A S A A A A A A A A A A A A A A A A A A A A A A B D b 2 5 m a W c v U G F j a 2 F n Z S 5 4 b W x Q S w E C L Q A U A A I A C A D V X j d W D 8 r p q 6 Q A A A D p A A A A E w A A A A A A A A A A A A A A A A D w A A A A W 0 N v b n R l b n R f V H l w Z X N d L n h t b F B L A Q I t A B Q A A g A I A N V e N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t w a 2 3 q E r Q Y i L l I j Z J Y r 8 A A A A A A I A A A A A A B B m A A A A A Q A A I A A A A L a R o A v e 6 R p f H F 1 j 7 w x 8 J l W 9 Q 2 9 + h 2 O 9 2 W R / z y N p C F I J A A A A A A 6 A A A A A A g A A I A A A A B 3 b P i w p u c 1 I A y I P T Z c u B 7 X Y s Y I X x l d c S v H t g a o E g h X x U A A A A P 0 C R t h 3 y p t k l w y B f E 7 m d 8 V I N + A c Y + X + E 3 5 d Z V x 0 w 1 E V p M P 2 1 i 6 A 3 e Y 0 C X W Z p F l 8 x B l G Q K j Y v u M J i 4 / 7 h i a C U 0 k a G U B d 1 1 b p s q s 1 r l N 9 G i G X Q A A A A O O M q n a S O W z 8 l E 6 0 f b z R 5 q D o v t c u p 1 e M u o K g g T s + X + w X 9 A X H A V Q 6 K d z k h n c c m 7 L R 3 g P l r k j v i l B 7 T M H K L e 7 o G S w = < / D a t a M a s h u p > 
</file>

<file path=customXml/itemProps1.xml><?xml version="1.0" encoding="utf-8"?>
<ds:datastoreItem xmlns:ds="http://schemas.openxmlformats.org/officeDocument/2006/customXml" ds:itemID="{15A6585D-FCA9-4337-BE92-16E563EE56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Scratch Sheet</vt:lpstr>
      <vt:lpstr>Frequency Sheet</vt:lpstr>
      <vt:lpstr>MeanMedianMode</vt:lpstr>
      <vt:lpstr>Variance</vt:lpstr>
      <vt:lpstr>StandardDevOfNormalData</vt:lpstr>
      <vt:lpstr>StandardDevOfGroupedData</vt:lpstr>
      <vt:lpstr>zscores</vt:lpstr>
      <vt:lpstr>ProbRules</vt:lpstr>
      <vt:lpstr>ExpVal&amp;DiscreteRandDev</vt:lpstr>
      <vt:lpstr>BinomalDistrib</vt:lpstr>
      <vt:lpstr>StandardNormalDist</vt:lpstr>
      <vt:lpstr>CentralLimitTheorem</vt:lpstr>
      <vt:lpstr>EstimatePopMean</vt:lpstr>
      <vt:lpstr>TestStatistic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Steventon</dc:creator>
  <cp:lastModifiedBy>Nicholas Steventon</cp:lastModifiedBy>
  <dcterms:created xsi:type="dcterms:W3CDTF">2023-01-23T03:30:14Z</dcterms:created>
  <dcterms:modified xsi:type="dcterms:W3CDTF">2023-03-08T17:57:55Z</dcterms:modified>
</cp:coreProperties>
</file>