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91A7CCB-2B5D-4EB1-BEA7-39D933A6649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5" i="1" l="1"/>
  <c r="S70" i="1" l="1"/>
  <c r="S74" i="1" s="1"/>
  <c r="K77" i="1"/>
  <c r="S72" i="1" l="1"/>
  <c r="K93" i="1"/>
  <c r="K94" i="1" s="1"/>
  <c r="K95" i="1" s="1"/>
  <c r="K98" i="1"/>
  <c r="K99" i="1" s="1"/>
  <c r="K100" i="1" s="1"/>
  <c r="F17" i="1"/>
  <c r="K89" i="1"/>
  <c r="N83" i="1"/>
  <c r="F2" i="1"/>
  <c r="N80" i="1"/>
  <c r="K79" i="1" s="1"/>
  <c r="K81" i="1" s="1"/>
  <c r="K67" i="1" l="1"/>
  <c r="K74" i="1"/>
  <c r="K71" i="1" l="1"/>
  <c r="K72" i="1" s="1"/>
  <c r="N67" i="1"/>
  <c r="N68" i="1" s="1"/>
  <c r="M46" i="1" l="1"/>
  <c r="J58" i="1"/>
  <c r="J59" i="1" s="1"/>
  <c r="K54" i="1"/>
  <c r="K58" i="1" l="1"/>
  <c r="K31" i="1"/>
  <c r="N30" i="1"/>
  <c r="K38" i="1"/>
  <c r="P29" i="1"/>
  <c r="P27" i="1"/>
  <c r="K18" i="1"/>
  <c r="E18" i="1" l="1"/>
  <c r="K51" i="1" l="1"/>
  <c r="K52" i="1" s="1"/>
  <c r="M48" i="1"/>
  <c r="N48" i="1" s="1"/>
  <c r="M50" i="1"/>
  <c r="K7" i="1"/>
  <c r="N7" i="1" s="1"/>
  <c r="P9" i="1"/>
  <c r="P7" i="1"/>
  <c r="K27" i="1"/>
  <c r="K34" i="1" s="1"/>
  <c r="K59" i="1"/>
  <c r="K60" i="1" s="1"/>
  <c r="K10" i="1" l="1"/>
  <c r="K14" i="1"/>
  <c r="K8" i="1"/>
  <c r="N27" i="1"/>
  <c r="N33" i="1" s="1"/>
  <c r="K28" i="1"/>
  <c r="K33" i="1" s="1"/>
  <c r="N38" i="1" s="1"/>
  <c r="K11" i="1" l="1"/>
  <c r="K13" i="1" s="1"/>
  <c r="N18" i="1" s="1"/>
  <c r="N10" i="1"/>
  <c r="N13" i="1" s="1"/>
</calcChain>
</file>

<file path=xl/sharedStrings.xml><?xml version="1.0" encoding="utf-8"?>
<sst xmlns="http://schemas.openxmlformats.org/spreadsheetml/2006/main" count="131" uniqueCount="104">
  <si>
    <t>Comprimento</t>
  </si>
  <si>
    <t>raio de bohr (ao)</t>
  </si>
  <si>
    <t>Massa</t>
  </si>
  <si>
    <t>Massa do elétron (me)</t>
  </si>
  <si>
    <t>Carga</t>
  </si>
  <si>
    <t>Carga elementar (e)</t>
  </si>
  <si>
    <t>Energia</t>
  </si>
  <si>
    <t>Energia de hartree (Eh)</t>
  </si>
  <si>
    <t>Constante de coulomb (1/4pieo)</t>
  </si>
  <si>
    <t>m</t>
  </si>
  <si>
    <t>kg</t>
  </si>
  <si>
    <t>C</t>
  </si>
  <si>
    <t>J</t>
  </si>
  <si>
    <t>C-2Nm2</t>
  </si>
  <si>
    <t>Tempo</t>
  </si>
  <si>
    <t>Constante de força eletrostatica</t>
  </si>
  <si>
    <t>Momento angular</t>
  </si>
  <si>
    <t>Constante de Planck(hbar)</t>
  </si>
  <si>
    <t>Js</t>
  </si>
  <si>
    <t>hbar/Eh</t>
  </si>
  <si>
    <t>Velocidade</t>
  </si>
  <si>
    <t>aoEh/hbar</t>
  </si>
  <si>
    <t>s</t>
  </si>
  <si>
    <t>Temperatura</t>
  </si>
  <si>
    <t>Eh/kb</t>
  </si>
  <si>
    <t>m/s</t>
  </si>
  <si>
    <t>K</t>
  </si>
  <si>
    <t>Constante de Boltzmann</t>
  </si>
  <si>
    <t>kb</t>
  </si>
  <si>
    <t>Massa do próton</t>
  </si>
  <si>
    <t>energia cinetica total</t>
  </si>
  <si>
    <t>momento linear total</t>
  </si>
  <si>
    <t>Definições:</t>
  </si>
  <si>
    <t>Proton</t>
  </si>
  <si>
    <t>velocidade</t>
  </si>
  <si>
    <t>energia cinetica</t>
  </si>
  <si>
    <t>Elétron</t>
  </si>
  <si>
    <t>energia total</t>
  </si>
  <si>
    <t>Obtenção das velocidades iniciais</t>
  </si>
  <si>
    <t>massa reduzida</t>
  </si>
  <si>
    <t>Lproton</t>
  </si>
  <si>
    <t>Leletron</t>
  </si>
  <si>
    <t>1/(mp rp - mp re)</t>
  </si>
  <si>
    <t>Ltotal</t>
  </si>
  <si>
    <t>L= 1 ; P=0 ; R=1</t>
  </si>
  <si>
    <t>Raio</t>
  </si>
  <si>
    <t>Centro de masssa</t>
  </si>
  <si>
    <t>energia potencila</t>
  </si>
  <si>
    <t>r eletron</t>
  </si>
  <si>
    <t>Le= 1 ; P=0 ; R=1</t>
  </si>
  <si>
    <t>-ve/M</t>
  </si>
  <si>
    <t>SELECIONADO</t>
  </si>
  <si>
    <t>projecao de vetor em plano</t>
  </si>
  <si>
    <t>u-proj-n-(u)</t>
  </si>
  <si>
    <t>projplano(u)=</t>
  </si>
  <si>
    <t>u-((u.n)/n2)n</t>
  </si>
  <si>
    <t>velocidade temperatura</t>
  </si>
  <si>
    <t>Ec = 3/2 kT</t>
  </si>
  <si>
    <t>v = raiz(2 Ec / m)</t>
  </si>
  <si>
    <t>v=raiz(3 k T/m)</t>
  </si>
  <si>
    <t>v = raiz(3T/m)</t>
  </si>
  <si>
    <t>T</t>
  </si>
  <si>
    <t>v=</t>
  </si>
  <si>
    <t>deles</t>
  </si>
  <si>
    <t>minha</t>
  </si>
  <si>
    <t>k</t>
  </si>
  <si>
    <t>T (minha)</t>
  </si>
  <si>
    <t>DEFININDO MOVIMENTO ZeeZ</t>
  </si>
  <si>
    <t>alfa</t>
  </si>
  <si>
    <t>beta</t>
  </si>
  <si>
    <t>R</t>
  </si>
  <si>
    <t>b</t>
  </si>
  <si>
    <t>a</t>
  </si>
  <si>
    <t>vel</t>
  </si>
  <si>
    <t>v centripeta</t>
  </si>
  <si>
    <t>E(H2)</t>
  </si>
  <si>
    <t>Energia do Bohr</t>
  </si>
  <si>
    <t>Conversao hartree-eV</t>
  </si>
  <si>
    <t>1Eh = x eV</t>
  </si>
  <si>
    <t>eV</t>
  </si>
  <si>
    <t>Eh2</t>
  </si>
  <si>
    <t/>
  </si>
  <si>
    <t>Hartree</t>
  </si>
  <si>
    <t>E(H2) deveria:</t>
  </si>
  <si>
    <t>r para essa energia</t>
  </si>
  <si>
    <t>primeiro estado exitado</t>
  </si>
  <si>
    <t>2 eletrons pra cima</t>
  </si>
  <si>
    <t>estado fundamental</t>
  </si>
  <si>
    <t>Perspectivas</t>
  </si>
  <si>
    <t>Corrigir a energia total com a energia de emparelhamento</t>
  </si>
  <si>
    <t>Vibração</t>
  </si>
  <si>
    <t>seg-1</t>
  </si>
  <si>
    <t>1 vibracao completa</t>
  </si>
  <si>
    <t>Velocidade da luz</t>
  </si>
  <si>
    <t>bohr/tbohr</t>
  </si>
  <si>
    <t>tbohr</t>
  </si>
  <si>
    <t>[1]Fundamental Vibration of Molecular Hydrogen</t>
  </si>
  <si>
    <t>Vibracao we[1]</t>
  </si>
  <si>
    <t>cm-1</t>
  </si>
  <si>
    <t>* não multipliquei por 2pi</t>
  </si>
  <si>
    <t>Nosso resultado</t>
  </si>
  <si>
    <t>Calculo a partir da energia</t>
  </si>
  <si>
    <t>Experimental</t>
  </si>
  <si>
    <t>0.075nm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</si>
</sst>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Font="1"/>
    <xf numFmtId="11" fontId="0" fillId="0" borderId="0" xfId="0" applyNumberFormat="1" applyFont="1"/>
    <xf numFmtId="0" fontId="0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U105"/>
  <sheetViews>
    <sheetView tabSelected="1" topLeftCell="E49" workbookViewId="0">
      <selection activeCell="N63" sqref="N63"/>
    </sheetView>
  </sheetViews>
  <sheetFormatPr defaultRowHeight="15" x14ac:dyDescent="0.25"/>
  <cols>
    <col min="3" max="3" width="31.5703125" customWidth="1"/>
    <col min="4" max="4" width="33.5703125" customWidth="1"/>
    <col min="6" max="6" width="15" customWidth="1"/>
    <col min="10" max="10" width="22.42578125" customWidth="1"/>
    <col min="11" max="11" width="11" customWidth="1"/>
    <col min="12" max="12" width="16.28515625" customWidth="1"/>
    <col min="13" max="13" width="10.85546875" customWidth="1"/>
    <col min="14" max="14" width="13.7109375" customWidth="1"/>
  </cols>
  <sheetData>
    <row r="2" spans="3:20" x14ac:dyDescent="0.25">
      <c r="F2" s="1">
        <f>1.29*F4</f>
        <v>6.8263860193199998E-11</v>
      </c>
    </row>
    <row r="3" spans="3:20" x14ac:dyDescent="0.25">
      <c r="J3" t="s">
        <v>38</v>
      </c>
    </row>
    <row r="4" spans="3:20" x14ac:dyDescent="0.25">
      <c r="C4" t="s">
        <v>0</v>
      </c>
      <c r="D4" t="s">
        <v>1</v>
      </c>
      <c r="E4">
        <v>1</v>
      </c>
      <c r="F4" s="1">
        <v>5.2917721079999997E-11</v>
      </c>
      <c r="G4" t="s">
        <v>9</v>
      </c>
      <c r="J4" t="s">
        <v>32</v>
      </c>
      <c r="L4" t="s">
        <v>44</v>
      </c>
      <c r="O4" s="2"/>
    </row>
    <row r="5" spans="3:20" x14ac:dyDescent="0.25">
      <c r="C5" t="s">
        <v>2</v>
      </c>
      <c r="D5" t="s">
        <v>3</v>
      </c>
      <c r="E5">
        <v>1</v>
      </c>
      <c r="F5" s="1">
        <v>9.1093825999999998E-31</v>
      </c>
      <c r="G5" t="s">
        <v>10</v>
      </c>
      <c r="Q5" s="1"/>
    </row>
    <row r="6" spans="3:20" x14ac:dyDescent="0.25">
      <c r="C6" t="s">
        <v>4</v>
      </c>
      <c r="D6" t="s">
        <v>5</v>
      </c>
      <c r="E6">
        <v>1</v>
      </c>
      <c r="F6" s="1">
        <v>1.60217653E-19</v>
      </c>
      <c r="G6" t="s">
        <v>11</v>
      </c>
      <c r="J6" t="s">
        <v>33</v>
      </c>
      <c r="N6" t="s">
        <v>40</v>
      </c>
      <c r="P6" t="s">
        <v>39</v>
      </c>
    </row>
    <row r="7" spans="3:20" x14ac:dyDescent="0.25">
      <c r="C7" t="s">
        <v>6</v>
      </c>
      <c r="D7" t="s">
        <v>7</v>
      </c>
      <c r="E7">
        <v>1</v>
      </c>
      <c r="F7" s="1">
        <v>4.3597441699999997E-18</v>
      </c>
      <c r="G7" t="s">
        <v>12</v>
      </c>
      <c r="J7" t="s">
        <v>34</v>
      </c>
      <c r="K7" s="1">
        <f>1/(E18*(K17-(1-K17)))</f>
        <v>-5.4521054200522062E-4</v>
      </c>
      <c r="L7" t="s">
        <v>42</v>
      </c>
      <c r="N7" s="1">
        <f>K7*K17*E18</f>
        <v>-5.4491377269922628E-4</v>
      </c>
      <c r="P7" s="1">
        <f>E18/(1+E18)</f>
        <v>0.99945567944283753</v>
      </c>
      <c r="Q7" s="1"/>
    </row>
    <row r="8" spans="3:20" x14ac:dyDescent="0.25">
      <c r="C8" t="s">
        <v>27</v>
      </c>
      <c r="D8" t="s">
        <v>28</v>
      </c>
      <c r="E8">
        <v>1</v>
      </c>
      <c r="F8" s="1">
        <v>1.380650507589843E-23</v>
      </c>
      <c r="J8" t="s">
        <v>35</v>
      </c>
      <c r="K8" s="1">
        <f>0.5*E18*K7*K7</f>
        <v>2.7290236373596973E-4</v>
      </c>
    </row>
    <row r="9" spans="3:20" x14ac:dyDescent="0.25">
      <c r="C9" t="s">
        <v>15</v>
      </c>
      <c r="D9" t="s">
        <v>8</v>
      </c>
      <c r="E9">
        <v>1</v>
      </c>
      <c r="F9" s="1">
        <v>8987742438</v>
      </c>
      <c r="G9" t="s">
        <v>13</v>
      </c>
      <c r="J9" t="s">
        <v>36</v>
      </c>
      <c r="N9" t="s">
        <v>41</v>
      </c>
      <c r="P9" s="1">
        <f>(-0.5)/(1+1/E18)</f>
        <v>-0.49972783972141877</v>
      </c>
    </row>
    <row r="10" spans="3:20" x14ac:dyDescent="0.25">
      <c r="C10" t="s">
        <v>16</v>
      </c>
      <c r="D10" t="s">
        <v>17</v>
      </c>
      <c r="E10">
        <v>1</v>
      </c>
      <c r="F10" s="1">
        <v>1.05457168E-34</v>
      </c>
      <c r="G10" t="s">
        <v>18</v>
      </c>
      <c r="J10" t="s">
        <v>34</v>
      </c>
      <c r="K10" s="1">
        <f>-E18*K7</f>
        <v>1.0010898275453983</v>
      </c>
      <c r="N10" s="1">
        <f>(1-K17)*K10</f>
        <v>1.0005449137726992</v>
      </c>
      <c r="T10" s="3"/>
    </row>
    <row r="11" spans="3:20" x14ac:dyDescent="0.25">
      <c r="C11" t="s">
        <v>14</v>
      </c>
      <c r="D11" t="s">
        <v>19</v>
      </c>
      <c r="E11">
        <v>1</v>
      </c>
      <c r="F11" s="1">
        <v>2.4188843265049999E-17</v>
      </c>
      <c r="G11" t="s">
        <v>22</v>
      </c>
      <c r="J11" t="s">
        <v>35</v>
      </c>
      <c r="K11" s="1">
        <f>0.5*K10*K10</f>
        <v>0.50109042140743765</v>
      </c>
      <c r="P11">
        <v>-0.49972783972141877</v>
      </c>
    </row>
    <row r="12" spans="3:20" x14ac:dyDescent="0.25">
      <c r="C12" t="s">
        <v>20</v>
      </c>
      <c r="D12" t="s">
        <v>21</v>
      </c>
      <c r="E12">
        <v>1</v>
      </c>
      <c r="F12" s="1">
        <v>2187691.2633000002</v>
      </c>
      <c r="G12" t="s">
        <v>25</v>
      </c>
      <c r="N12" t="s">
        <v>43</v>
      </c>
      <c r="P12">
        <v>-0.49863667622882635</v>
      </c>
    </row>
    <row r="13" spans="3:20" x14ac:dyDescent="0.25">
      <c r="C13" t="s">
        <v>23</v>
      </c>
      <c r="D13" t="s">
        <v>24</v>
      </c>
      <c r="E13">
        <v>1</v>
      </c>
      <c r="F13" s="1">
        <v>315774.64</v>
      </c>
      <c r="G13" t="s">
        <v>26</v>
      </c>
      <c r="J13" t="s">
        <v>30</v>
      </c>
      <c r="K13" s="1">
        <f>K11+K8</f>
        <v>0.50136332377117365</v>
      </c>
      <c r="N13" s="1">
        <f>N10+N7</f>
        <v>0.99999999999999989</v>
      </c>
    </row>
    <row r="14" spans="3:20" x14ac:dyDescent="0.25">
      <c r="C14" t="s">
        <v>77</v>
      </c>
      <c r="D14" t="s">
        <v>78</v>
      </c>
      <c r="E14">
        <v>1</v>
      </c>
      <c r="F14">
        <v>27.211384523</v>
      </c>
      <c r="G14" t="s">
        <v>79</v>
      </c>
      <c r="J14" t="s">
        <v>31</v>
      </c>
      <c r="K14" s="1">
        <f>E18*K7+K10</f>
        <v>0</v>
      </c>
      <c r="R14" s="1"/>
    </row>
    <row r="15" spans="3:20" x14ac:dyDescent="0.25">
      <c r="N15" s="1" t="s">
        <v>47</v>
      </c>
      <c r="P15" s="1"/>
    </row>
    <row r="16" spans="3:20" x14ac:dyDescent="0.25">
      <c r="C16" t="s">
        <v>93</v>
      </c>
      <c r="D16" t="s">
        <v>25</v>
      </c>
      <c r="E16">
        <v>1</v>
      </c>
      <c r="F16">
        <v>299792458</v>
      </c>
      <c r="G16" t="s">
        <v>25</v>
      </c>
      <c r="J16" t="s">
        <v>45</v>
      </c>
      <c r="K16">
        <v>1</v>
      </c>
      <c r="N16">
        <v>-1</v>
      </c>
    </row>
    <row r="17" spans="3:16" x14ac:dyDescent="0.25">
      <c r="C17" t="s">
        <v>93</v>
      </c>
      <c r="D17" t="s">
        <v>94</v>
      </c>
      <c r="E17">
        <v>1</v>
      </c>
      <c r="F17" s="1">
        <f>F16*(F11/F4)</f>
        <v>137.03599910591774</v>
      </c>
      <c r="J17" t="s">
        <v>46</v>
      </c>
      <c r="K17" s="3">
        <v>5.4432055716250401E-4</v>
      </c>
      <c r="N17" t="s">
        <v>37</v>
      </c>
      <c r="P17" s="1"/>
    </row>
    <row r="18" spans="3:16" x14ac:dyDescent="0.25">
      <c r="C18" t="s">
        <v>29</v>
      </c>
      <c r="E18" s="1">
        <f>F18/F5</f>
        <v>1836.1527344344941</v>
      </c>
      <c r="F18" s="1">
        <v>1.6726217770000001E-27</v>
      </c>
      <c r="J18" t="s">
        <v>48</v>
      </c>
      <c r="K18">
        <f>1-K17</f>
        <v>0.99945567944283753</v>
      </c>
      <c r="N18" s="1">
        <f>N16+K13</f>
        <v>-0.49863667622882635</v>
      </c>
    </row>
    <row r="19" spans="3:16" x14ac:dyDescent="0.25">
      <c r="N19">
        <v>-0.49863667622882635</v>
      </c>
    </row>
    <row r="20" spans="3:16" x14ac:dyDescent="0.25">
      <c r="C20" s="1"/>
    </row>
    <row r="21" spans="3:16" x14ac:dyDescent="0.25">
      <c r="E21" s="6"/>
      <c r="F21" s="1"/>
    </row>
    <row r="22" spans="3:16" x14ac:dyDescent="0.25">
      <c r="F22" s="1"/>
      <c r="H22" s="1"/>
      <c r="J22" t="s">
        <v>51</v>
      </c>
      <c r="K22" s="1"/>
    </row>
    <row r="23" spans="3:16" x14ac:dyDescent="0.25">
      <c r="H23" s="1"/>
      <c r="J23" t="s">
        <v>38</v>
      </c>
    </row>
    <row r="24" spans="3:16" x14ac:dyDescent="0.25">
      <c r="E24" s="3"/>
      <c r="F24" s="3"/>
      <c r="G24" s="3"/>
      <c r="H24" s="3"/>
      <c r="I24" s="3"/>
      <c r="J24" t="s">
        <v>32</v>
      </c>
      <c r="L24" t="s">
        <v>49</v>
      </c>
      <c r="O24" s="2"/>
    </row>
    <row r="25" spans="3:16" x14ac:dyDescent="0.25">
      <c r="E25" s="3"/>
      <c r="F25" s="3"/>
      <c r="G25" s="3"/>
      <c r="H25" s="3"/>
      <c r="I25" s="3"/>
    </row>
    <row r="26" spans="3:16" x14ac:dyDescent="0.25">
      <c r="E26" s="3"/>
      <c r="F26" s="3"/>
      <c r="G26" s="3"/>
      <c r="H26" s="3"/>
      <c r="I26" s="3"/>
      <c r="J26" t="s">
        <v>33</v>
      </c>
      <c r="N26" t="s">
        <v>40</v>
      </c>
      <c r="P26" t="s">
        <v>39</v>
      </c>
    </row>
    <row r="27" spans="3:16" x14ac:dyDescent="0.25">
      <c r="E27" s="3"/>
      <c r="F27" s="3"/>
      <c r="G27" s="3"/>
      <c r="H27" s="3"/>
      <c r="I27" s="3"/>
      <c r="J27" t="s">
        <v>34</v>
      </c>
      <c r="K27" s="1">
        <f>-K30/E18</f>
        <v>-5.4461700339323031E-4</v>
      </c>
      <c r="L27" s="2" t="s">
        <v>50</v>
      </c>
      <c r="N27" s="1">
        <f>E18*K37*K27</f>
        <v>-5.4432055716250401E-4</v>
      </c>
      <c r="P27" s="1">
        <f>E37/(1+E37)</f>
        <v>0</v>
      </c>
    </row>
    <row r="28" spans="3:16" x14ac:dyDescent="0.25">
      <c r="E28" s="3"/>
      <c r="F28" s="3"/>
      <c r="G28" s="3"/>
      <c r="H28" s="4"/>
      <c r="I28" s="3"/>
      <c r="J28" t="s">
        <v>35</v>
      </c>
      <c r="K28" s="1">
        <f>0.5*E18*K27*K27</f>
        <v>2.7230850169661516E-4</v>
      </c>
    </row>
    <row r="29" spans="3:16" x14ac:dyDescent="0.25">
      <c r="E29" s="3"/>
      <c r="F29" s="3"/>
      <c r="G29" s="3"/>
      <c r="H29" s="5"/>
      <c r="I29" s="3"/>
      <c r="J29" t="s">
        <v>36</v>
      </c>
      <c r="N29" t="s">
        <v>41</v>
      </c>
      <c r="P29" s="1" t="e">
        <f>(-0.5)/(1+1/E37)</f>
        <v>#DIV/0!</v>
      </c>
    </row>
    <row r="30" spans="3:16" x14ac:dyDescent="0.25">
      <c r="E30" s="3"/>
      <c r="F30" s="3"/>
      <c r="G30" s="3"/>
      <c r="H30" s="5"/>
      <c r="I30" s="3"/>
      <c r="J30" t="s">
        <v>34</v>
      </c>
      <c r="K30" s="1">
        <v>1</v>
      </c>
      <c r="N30" s="1">
        <f>K30*K36</f>
        <v>1</v>
      </c>
    </row>
    <row r="31" spans="3:16" x14ac:dyDescent="0.25">
      <c r="E31" s="3"/>
      <c r="F31" s="3"/>
      <c r="G31" s="3"/>
      <c r="H31" s="3"/>
      <c r="I31" s="3"/>
      <c r="J31" t="s">
        <v>35</v>
      </c>
      <c r="K31" s="1">
        <f>0.5*K30*K30</f>
        <v>0.5</v>
      </c>
      <c r="P31">
        <v>-0.49972783972141877</v>
      </c>
    </row>
    <row r="32" spans="3:16" x14ac:dyDescent="0.25">
      <c r="E32" s="3"/>
      <c r="F32" s="3"/>
      <c r="G32" s="3"/>
      <c r="H32" s="3"/>
      <c r="I32" s="3"/>
      <c r="N32" t="s">
        <v>43</v>
      </c>
      <c r="P32">
        <v>-0.49863667622882635</v>
      </c>
    </row>
    <row r="33" spans="5:17" x14ac:dyDescent="0.25">
      <c r="E33" s="3"/>
      <c r="F33" s="3"/>
      <c r="G33" s="3"/>
      <c r="H33" s="3"/>
      <c r="I33" s="3"/>
      <c r="J33" t="s">
        <v>30</v>
      </c>
      <c r="K33" s="1">
        <f>K31+K28</f>
        <v>0.50027230850169657</v>
      </c>
      <c r="N33" s="1">
        <f>N30+N27</f>
        <v>0.99945567944283753</v>
      </c>
    </row>
    <row r="34" spans="5:17" x14ac:dyDescent="0.25">
      <c r="E34" s="3"/>
      <c r="F34" s="3"/>
      <c r="G34" s="3"/>
      <c r="H34" s="3"/>
      <c r="I34" s="3"/>
      <c r="J34" t="s">
        <v>31</v>
      </c>
      <c r="K34" s="1">
        <f>E37*K27+K30</f>
        <v>1</v>
      </c>
    </row>
    <row r="35" spans="5:17" x14ac:dyDescent="0.25">
      <c r="N35" s="1" t="s">
        <v>47</v>
      </c>
      <c r="P35" s="1"/>
    </row>
    <row r="36" spans="5:17" x14ac:dyDescent="0.25">
      <c r="J36" t="s">
        <v>45</v>
      </c>
      <c r="K36">
        <v>1</v>
      </c>
      <c r="N36">
        <v>-1</v>
      </c>
    </row>
    <row r="37" spans="5:17" x14ac:dyDescent="0.25">
      <c r="J37" t="s">
        <v>46</v>
      </c>
      <c r="K37" s="3">
        <v>5.4432055716250401E-4</v>
      </c>
      <c r="N37" t="s">
        <v>37</v>
      </c>
      <c r="P37" s="1"/>
    </row>
    <row r="38" spans="5:17" x14ac:dyDescent="0.25">
      <c r="J38" t="s">
        <v>48</v>
      </c>
      <c r="K38">
        <f>1-K37</f>
        <v>0.99945567944283753</v>
      </c>
      <c r="N38" s="1">
        <f>N36+K33</f>
        <v>-0.49972769149830343</v>
      </c>
    </row>
    <row r="42" spans="5:17" x14ac:dyDescent="0.25">
      <c r="J42" t="s">
        <v>52</v>
      </c>
      <c r="L42" t="s">
        <v>54</v>
      </c>
      <c r="M42" t="s">
        <v>53</v>
      </c>
      <c r="O42" t="s">
        <v>54</v>
      </c>
      <c r="Q42" t="s">
        <v>55</v>
      </c>
    </row>
    <row r="45" spans="5:17" x14ac:dyDescent="0.25">
      <c r="J45" t="s">
        <v>56</v>
      </c>
      <c r="L45" t="s">
        <v>61</v>
      </c>
      <c r="M45">
        <v>300</v>
      </c>
      <c r="N45" t="s">
        <v>65</v>
      </c>
    </row>
    <row r="46" spans="5:17" x14ac:dyDescent="0.25">
      <c r="J46" t="s">
        <v>58</v>
      </c>
      <c r="L46" t="s">
        <v>66</v>
      </c>
      <c r="M46" s="1">
        <f>M45 /F13</f>
        <v>9.5004462676293445E-4</v>
      </c>
    </row>
    <row r="47" spans="5:17" x14ac:dyDescent="0.25">
      <c r="J47" t="s">
        <v>57</v>
      </c>
    </row>
    <row r="48" spans="5:17" x14ac:dyDescent="0.25">
      <c r="J48" t="s">
        <v>59</v>
      </c>
      <c r="M48">
        <f>SQRT(3*M46/(E18+1))</f>
        <v>1.245546651758387E-3</v>
      </c>
      <c r="N48">
        <f>M48/2</f>
        <v>6.227733258791935E-4</v>
      </c>
    </row>
    <row r="49" spans="10:15" x14ac:dyDescent="0.25">
      <c r="J49" t="s">
        <v>60</v>
      </c>
    </row>
    <row r="50" spans="10:15" x14ac:dyDescent="0.25">
      <c r="M50">
        <f>SQRT(M46*3/(E18+1))</f>
        <v>1.245546651758387E-3</v>
      </c>
    </row>
    <row r="51" spans="10:15" x14ac:dyDescent="0.25">
      <c r="J51" t="s">
        <v>62</v>
      </c>
      <c r="K51">
        <f>SQRT((3*M45)/(E18+1))</f>
        <v>0.69992035364479355</v>
      </c>
    </row>
    <row r="52" spans="10:15" x14ac:dyDescent="0.25">
      <c r="K52" s="1">
        <f>F12*K51</f>
        <v>1531209.6426745614</v>
      </c>
    </row>
    <row r="54" spans="10:15" x14ac:dyDescent="0.25">
      <c r="K54" s="1">
        <f>518/F12</f>
        <v>2.367792972846764E-4</v>
      </c>
    </row>
    <row r="55" spans="10:15" x14ac:dyDescent="0.25">
      <c r="K55">
        <v>2.367792972846764E-4</v>
      </c>
    </row>
    <row r="57" spans="10:15" x14ac:dyDescent="0.25">
      <c r="J57" t="s">
        <v>63</v>
      </c>
      <c r="K57" t="s">
        <v>64</v>
      </c>
    </row>
    <row r="58" spans="10:15" x14ac:dyDescent="0.25">
      <c r="J58" s="1">
        <f>(3/2)*F8*M45</f>
        <v>6.2129272841542942E-21</v>
      </c>
      <c r="K58" s="1">
        <f>(3/2)*M46</f>
        <v>1.4250669401444016E-3</v>
      </c>
    </row>
    <row r="59" spans="10:15" x14ac:dyDescent="0.25">
      <c r="J59">
        <f>SQRT((2*J58)/(F18+F5))</f>
        <v>2724.8715206923666</v>
      </c>
      <c r="K59">
        <f>SQRT((2*K58)/(1+E18))</f>
        <v>1.245546651758387E-3</v>
      </c>
    </row>
    <row r="60" spans="10:15" x14ac:dyDescent="0.25">
      <c r="K60" s="1">
        <f>K59*F12</f>
        <v>2724.8715280843912</v>
      </c>
    </row>
    <row r="63" spans="10:15" x14ac:dyDescent="0.25">
      <c r="O63" s="1"/>
    </row>
    <row r="65" spans="10:21" x14ac:dyDescent="0.25">
      <c r="J65" t="s">
        <v>67</v>
      </c>
    </row>
    <row r="67" spans="10:21" x14ac:dyDescent="0.25">
      <c r="J67" t="s">
        <v>68</v>
      </c>
      <c r="K67">
        <f>K68*SQRT(3)</f>
        <v>0.89321721666822818</v>
      </c>
      <c r="M67" t="s">
        <v>71</v>
      </c>
      <c r="N67">
        <f>K68/2</f>
        <v>0.25784960024410492</v>
      </c>
      <c r="S67" t="s">
        <v>101</v>
      </c>
    </row>
    <row r="68" spans="10:21" x14ac:dyDescent="0.25">
      <c r="J68" t="s">
        <v>70</v>
      </c>
      <c r="K68">
        <v>0.51569920048820983</v>
      </c>
      <c r="M68" t="s">
        <v>72</v>
      </c>
      <c r="N68">
        <f>SQRT(3)*N67</f>
        <v>0.44660860833411409</v>
      </c>
      <c r="S68" s="3"/>
    </row>
    <row r="69" spans="10:21" x14ac:dyDescent="0.25">
      <c r="N69">
        <v>0.95262794416288255</v>
      </c>
      <c r="U69" t="s">
        <v>6</v>
      </c>
    </row>
    <row r="70" spans="10:21" x14ac:dyDescent="0.25">
      <c r="S70">
        <f>(3-9*SQRT(3))/(12*SQRT(3)*U70)</f>
        <v>0.51569920048821016</v>
      </c>
      <c r="U70">
        <v>-1.17444904341371</v>
      </c>
    </row>
    <row r="71" spans="10:21" x14ac:dyDescent="0.25">
      <c r="J71" t="s">
        <v>69</v>
      </c>
      <c r="K71">
        <f>SQRT((1/K67)*((4/((K67*K67+K68*K68)^(3/2)))-1/(2*K67*K67*K67)))</f>
        <v>1.81550085966408</v>
      </c>
      <c r="L71">
        <v>1.5961143276988841</v>
      </c>
    </row>
    <row r="72" spans="10:21" x14ac:dyDescent="0.25">
      <c r="J72" t="s">
        <v>73</v>
      </c>
      <c r="K72">
        <f>K71*K67</f>
        <v>1.621636624727925</v>
      </c>
      <c r="S72">
        <f>S70*SQRT(3)</f>
        <v>0.89321721666822873</v>
      </c>
    </row>
    <row r="74" spans="10:21" x14ac:dyDescent="0.25">
      <c r="J74" t="s">
        <v>74</v>
      </c>
      <c r="K74">
        <f>SQRT((9 - SQRT(3))/(12*K68))</f>
        <v>1.0837200023131948</v>
      </c>
      <c r="S74">
        <f>SQRT((9 - SQRT(3))/(12*S70))</f>
        <v>1.0837200023131945</v>
      </c>
    </row>
    <row r="77" spans="10:21" x14ac:dyDescent="0.25">
      <c r="J77" t="s">
        <v>75</v>
      </c>
      <c r="K77">
        <f>(3-9*SQRT(3))/(12*SQRT(3)*K68)</f>
        <v>-1.1744490434137109</v>
      </c>
      <c r="M77" t="s">
        <v>76</v>
      </c>
      <c r="P77">
        <v>4.7469999999999999</v>
      </c>
    </row>
    <row r="79" spans="10:21" x14ac:dyDescent="0.25">
      <c r="J79" t="s">
        <v>83</v>
      </c>
      <c r="K79">
        <f>-N80-1</f>
        <v>-1.1744490434137107</v>
      </c>
      <c r="M79" t="s">
        <v>80</v>
      </c>
      <c r="N79">
        <v>4.7469999999999999</v>
      </c>
      <c r="O79" t="s">
        <v>79</v>
      </c>
    </row>
    <row r="80" spans="10:21" x14ac:dyDescent="0.25">
      <c r="M80" s="2" t="s">
        <v>81</v>
      </c>
      <c r="N80">
        <f>N79/F14</f>
        <v>0.17444904341371062</v>
      </c>
      <c r="O80" t="s">
        <v>82</v>
      </c>
    </row>
    <row r="81" spans="10:14" x14ac:dyDescent="0.25">
      <c r="J81" t="s">
        <v>84</v>
      </c>
      <c r="K81">
        <f>(3-9*SQRT(3))/(12*SQRT(3)*K79)</f>
        <v>0.51569920048820983</v>
      </c>
    </row>
    <row r="83" spans="10:14" x14ac:dyDescent="0.25">
      <c r="N83">
        <f>N79-2.732</f>
        <v>2.0149999999999997</v>
      </c>
    </row>
    <row r="87" spans="10:14" x14ac:dyDescent="0.25">
      <c r="J87" t="s">
        <v>85</v>
      </c>
      <c r="K87">
        <v>-0.78</v>
      </c>
      <c r="L87" t="s">
        <v>86</v>
      </c>
    </row>
    <row r="88" spans="10:14" x14ac:dyDescent="0.25">
      <c r="J88" t="s">
        <v>87</v>
      </c>
      <c r="K88">
        <v>-1.18</v>
      </c>
    </row>
    <row r="89" spans="10:14" x14ac:dyDescent="0.25">
      <c r="K89">
        <f>K88-K87</f>
        <v>-0.39999999999999991</v>
      </c>
    </row>
    <row r="90" spans="10:14" x14ac:dyDescent="0.25">
      <c r="J90" t="s">
        <v>88</v>
      </c>
      <c r="K90" t="s">
        <v>89</v>
      </c>
    </row>
    <row r="92" spans="10:14" x14ac:dyDescent="0.25">
      <c r="J92" t="s">
        <v>97</v>
      </c>
      <c r="K92">
        <v>4401</v>
      </c>
      <c r="L92" t="s">
        <v>98</v>
      </c>
      <c r="M92" t="s">
        <v>96</v>
      </c>
    </row>
    <row r="93" spans="10:14" x14ac:dyDescent="0.25">
      <c r="J93" t="s">
        <v>90</v>
      </c>
      <c r="K93">
        <f>K92*100*F16</f>
        <v>131938660765800</v>
      </c>
      <c r="L93" t="s">
        <v>91</v>
      </c>
    </row>
    <row r="94" spans="10:14" x14ac:dyDescent="0.25">
      <c r="K94" s="1">
        <f>K93*F11</f>
        <v>3.1914435858645378E-3</v>
      </c>
      <c r="M94" t="s">
        <v>99</v>
      </c>
    </row>
    <row r="95" spans="10:14" x14ac:dyDescent="0.25">
      <c r="J95" t="s">
        <v>92</v>
      </c>
      <c r="K95" s="1">
        <f>1/K94</f>
        <v>313.33782756780505</v>
      </c>
    </row>
    <row r="96" spans="10:14" x14ac:dyDescent="0.25">
      <c r="K96">
        <v>313.33782756780505</v>
      </c>
      <c r="L96" t="s">
        <v>95</v>
      </c>
    </row>
    <row r="98" spans="10:11" x14ac:dyDescent="0.25">
      <c r="J98" t="s">
        <v>100</v>
      </c>
      <c r="K98">
        <f>1000*0.01</f>
        <v>10</v>
      </c>
    </row>
    <row r="99" spans="10:11" x14ac:dyDescent="0.25">
      <c r="K99">
        <f>K98*25</f>
        <v>250</v>
      </c>
    </row>
    <row r="100" spans="10:11" x14ac:dyDescent="0.25">
      <c r="K100">
        <f>K99/K96</f>
        <v>0.79786089646613445</v>
      </c>
    </row>
    <row r="103" spans="10:11" x14ac:dyDescent="0.25">
      <c r="J103" t="s">
        <v>102</v>
      </c>
      <c r="K103" t="s">
        <v>103</v>
      </c>
    </row>
    <row r="104" spans="10:11" x14ac:dyDescent="0.25">
      <c r="K104" s="1">
        <v>7.5E-11</v>
      </c>
    </row>
    <row r="105" spans="10:11" x14ac:dyDescent="0.25">
      <c r="K105" s="1">
        <f>K104/F4</f>
        <v>1.4172945937451924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2018-04-21T21:10:12Z</dcterms:modified>
</cp:coreProperties>
</file>