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 activeTab="4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TH!$A$9:$M$1151</definedName>
    <definedName name="_xlnm._FilterDatabase" localSheetId="3" hidden="1">'TH - TT'!$A$4:$M$167</definedName>
    <definedName name="Dong">IF([0]!Loai="x",ROW([0]!Loai)-1,"")</definedName>
    <definedName name="DSKH">'331'!$B$4:$B$34</definedName>
    <definedName name="DSTK">CDPS!$A$10:$D$40</definedName>
    <definedName name="DSTT" localSheetId="6">'HOANG KIM'!$K$5:$K$18</definedName>
    <definedName name="DSTT">'TH - TT'!$K$7:$K$227</definedName>
    <definedName name="DSTT1" localSheetId="6">'HOANG KIM'!$I$5:$I$18</definedName>
    <definedName name="DSTT1">'TH - TT'!$I$7:$I$228</definedName>
    <definedName name="KH">TH!$H$11:$H$1277</definedName>
    <definedName name="KHC">TH!$K$11:$K$1277</definedName>
    <definedName name="KHN">TH!$J$11:$J$1277</definedName>
    <definedName name="Loai">OFFSET(TH!$L$5,,,COUNTA(TH!$L$5:$L$39587))</definedName>
    <definedName name="_xlnm.Print_Area" localSheetId="3">'TH - TT'!$A$1:$K$234</definedName>
    <definedName name="_xlnm.Print_Titles" localSheetId="6">'HOANG KIM'!$3:$4</definedName>
    <definedName name="_xlnm.Print_Titles" localSheetId="7">'KHANH TRÂN'!$2:$3</definedName>
    <definedName name="_xlnm.Print_Titles" localSheetId="3">'TH - TT'!$3:$4</definedName>
    <definedName name="_xlnm.Print_Titles" localSheetId="2">'tra vinh'!$3:$3</definedName>
    <definedName name="TH">TH!$I$11:$I$1277</definedName>
    <definedName name="THN">TH!$A$11:$A$1328</definedName>
    <definedName name="TM">TH!$A$11:$K$1277</definedName>
  </definedNames>
  <calcPr calcId="124519"/>
</workbook>
</file>

<file path=xl/calcChain.xml><?xml version="1.0" encoding="utf-8"?>
<calcChain xmlns="http://schemas.openxmlformats.org/spreadsheetml/2006/main">
  <c r="G216" i="35"/>
  <c r="G217"/>
  <c r="G173"/>
  <c r="G174"/>
  <c r="G172"/>
  <c r="L21" i="40"/>
  <c r="A14"/>
  <c r="I221" i="42"/>
  <c r="F221"/>
  <c r="M220"/>
  <c r="K220"/>
  <c r="M219"/>
  <c r="K219"/>
  <c r="M218"/>
  <c r="L218"/>
  <c r="K218"/>
  <c r="J218"/>
  <c r="M217"/>
  <c r="L217"/>
  <c r="K217"/>
  <c r="J217"/>
  <c r="M216"/>
  <c r="L216"/>
  <c r="K216"/>
  <c r="J216"/>
  <c r="M215"/>
  <c r="M221" s="1"/>
  <c r="L215"/>
  <c r="K215"/>
  <c r="K221" s="1"/>
  <c r="J215"/>
  <c r="L213"/>
  <c r="J213"/>
  <c r="F213"/>
  <c r="M213" s="1"/>
  <c r="L212"/>
  <c r="J212"/>
  <c r="I212"/>
  <c r="M212" s="1"/>
  <c r="F212"/>
  <c r="K212" s="1"/>
  <c r="L211"/>
  <c r="J211"/>
  <c r="I211"/>
  <c r="M211" s="1"/>
  <c r="F211"/>
  <c r="K211" s="1"/>
  <c r="L210"/>
  <c r="J210"/>
  <c r="I210"/>
  <c r="M210" s="1"/>
  <c r="F210"/>
  <c r="K210" s="1"/>
  <c r="L209"/>
  <c r="J209"/>
  <c r="I209"/>
  <c r="M209" s="1"/>
  <c r="F209"/>
  <c r="K209" s="1"/>
  <c r="L208"/>
  <c r="J208"/>
  <c r="I208"/>
  <c r="M208" s="1"/>
  <c r="F208"/>
  <c r="K208" s="1"/>
  <c r="L207"/>
  <c r="J207"/>
  <c r="I207"/>
  <c r="M207" s="1"/>
  <c r="F207"/>
  <c r="K207" s="1"/>
  <c r="L206"/>
  <c r="J206"/>
  <c r="I206"/>
  <c r="M206" s="1"/>
  <c r="F206"/>
  <c r="K206" s="1"/>
  <c r="L205"/>
  <c r="J205"/>
  <c r="I205"/>
  <c r="M205" s="1"/>
  <c r="F205"/>
  <c r="K205" s="1"/>
  <c r="L204"/>
  <c r="J204"/>
  <c r="I204"/>
  <c r="M204" s="1"/>
  <c r="F204"/>
  <c r="K204" s="1"/>
  <c r="L203"/>
  <c r="J203"/>
  <c r="I203"/>
  <c r="M203" s="1"/>
  <c r="F203"/>
  <c r="K203" s="1"/>
  <c r="L202"/>
  <c r="J202"/>
  <c r="I202"/>
  <c r="M202" s="1"/>
  <c r="M214" s="1"/>
  <c r="F202"/>
  <c r="F214" s="1"/>
  <c r="L199"/>
  <c r="J199"/>
  <c r="I199"/>
  <c r="M199" s="1"/>
  <c r="F199"/>
  <c r="K199" s="1"/>
  <c r="L198"/>
  <c r="J198"/>
  <c r="I198"/>
  <c r="M198" s="1"/>
  <c r="F198"/>
  <c r="K198" s="1"/>
  <c r="L197"/>
  <c r="J197"/>
  <c r="I197"/>
  <c r="M197" s="1"/>
  <c r="F197"/>
  <c r="K197" s="1"/>
  <c r="L196"/>
  <c r="J196"/>
  <c r="I196"/>
  <c r="M196" s="1"/>
  <c r="F196"/>
  <c r="K196" s="1"/>
  <c r="L195"/>
  <c r="J195"/>
  <c r="I195"/>
  <c r="M195" s="1"/>
  <c r="F195"/>
  <c r="K195" s="1"/>
  <c r="L194"/>
  <c r="J194"/>
  <c r="I194"/>
  <c r="M194" s="1"/>
  <c r="F194"/>
  <c r="K194" s="1"/>
  <c r="L193"/>
  <c r="J193"/>
  <c r="I193"/>
  <c r="M193" s="1"/>
  <c r="F193"/>
  <c r="K193" s="1"/>
  <c r="L192"/>
  <c r="J192"/>
  <c r="I192"/>
  <c r="M192" s="1"/>
  <c r="F192"/>
  <c r="K192" s="1"/>
  <c r="L191"/>
  <c r="J191"/>
  <c r="I191"/>
  <c r="M191" s="1"/>
  <c r="F191"/>
  <c r="K191" s="1"/>
  <c r="L190"/>
  <c r="J190"/>
  <c r="I190"/>
  <c r="M190" s="1"/>
  <c r="F190"/>
  <c r="K190" s="1"/>
  <c r="L189"/>
  <c r="J189"/>
  <c r="I189"/>
  <c r="M189" s="1"/>
  <c r="F189"/>
  <c r="K189" s="1"/>
  <c r="L188"/>
  <c r="J188"/>
  <c r="I188"/>
  <c r="M188" s="1"/>
  <c r="F188"/>
  <c r="K188" s="1"/>
  <c r="L187"/>
  <c r="J187"/>
  <c r="I187"/>
  <c r="M187" s="1"/>
  <c r="F187"/>
  <c r="K187" s="1"/>
  <c r="L186"/>
  <c r="J186"/>
  <c r="I186"/>
  <c r="M186" s="1"/>
  <c r="F186"/>
  <c r="K186" s="1"/>
  <c r="L185"/>
  <c r="J185"/>
  <c r="I185"/>
  <c r="M185" s="1"/>
  <c r="F185"/>
  <c r="K185" s="1"/>
  <c r="L184"/>
  <c r="J184"/>
  <c r="I184"/>
  <c r="M184" s="1"/>
  <c r="F184"/>
  <c r="K184" s="1"/>
  <c r="L183"/>
  <c r="J183"/>
  <c r="I183"/>
  <c r="M183" s="1"/>
  <c r="F183"/>
  <c r="K183" s="1"/>
  <c r="L182"/>
  <c r="J182"/>
  <c r="I182"/>
  <c r="I200" s="1"/>
  <c r="F182"/>
  <c r="K182" s="1"/>
  <c r="K200" s="1"/>
  <c r="L179"/>
  <c r="J179"/>
  <c r="I179"/>
  <c r="M179" s="1"/>
  <c r="F179"/>
  <c r="K179" s="1"/>
  <c r="L178"/>
  <c r="J178"/>
  <c r="I178"/>
  <c r="M178" s="1"/>
  <c r="F178"/>
  <c r="K178" s="1"/>
  <c r="L177"/>
  <c r="J177"/>
  <c r="I177"/>
  <c r="M177" s="1"/>
  <c r="F177"/>
  <c r="K177" s="1"/>
  <c r="L176"/>
  <c r="J176"/>
  <c r="I176"/>
  <c r="M176" s="1"/>
  <c r="F176"/>
  <c r="K176" s="1"/>
  <c r="L175"/>
  <c r="J175"/>
  <c r="I175"/>
  <c r="M175" s="1"/>
  <c r="F175"/>
  <c r="K175" s="1"/>
  <c r="L174"/>
  <c r="J174"/>
  <c r="I174"/>
  <c r="M174" s="1"/>
  <c r="F174"/>
  <c r="K174" s="1"/>
  <c r="L173"/>
  <c r="J173"/>
  <c r="I173"/>
  <c r="M173" s="1"/>
  <c r="F173"/>
  <c r="K173" s="1"/>
  <c r="L172"/>
  <c r="J172"/>
  <c r="I172"/>
  <c r="M172" s="1"/>
  <c r="F172"/>
  <c r="K172" s="1"/>
  <c r="L171"/>
  <c r="J171"/>
  <c r="I171"/>
  <c r="M171" s="1"/>
  <c r="F171"/>
  <c r="K171" s="1"/>
  <c r="L170"/>
  <c r="J170"/>
  <c r="I170"/>
  <c r="M170" s="1"/>
  <c r="F170"/>
  <c r="K170" s="1"/>
  <c r="L169"/>
  <c r="J169"/>
  <c r="I169"/>
  <c r="M169" s="1"/>
  <c r="F169"/>
  <c r="K169" s="1"/>
  <c r="L168"/>
  <c r="J168"/>
  <c r="I168"/>
  <c r="M168" s="1"/>
  <c r="F168"/>
  <c r="K168" s="1"/>
  <c r="L167"/>
  <c r="J167"/>
  <c r="I167"/>
  <c r="M167" s="1"/>
  <c r="F167"/>
  <c r="K167" s="1"/>
  <c r="L166"/>
  <c r="J166"/>
  <c r="I166"/>
  <c r="M166" s="1"/>
  <c r="F166"/>
  <c r="K166" s="1"/>
  <c r="L165"/>
  <c r="J165"/>
  <c r="I165"/>
  <c r="M165" s="1"/>
  <c r="F165"/>
  <c r="K165" s="1"/>
  <c r="L164"/>
  <c r="J164"/>
  <c r="I164"/>
  <c r="M164" s="1"/>
  <c r="F164"/>
  <c r="K164" s="1"/>
  <c r="L163"/>
  <c r="J163"/>
  <c r="I163"/>
  <c r="M163" s="1"/>
  <c r="F163"/>
  <c r="K163" s="1"/>
  <c r="L162"/>
  <c r="J162"/>
  <c r="I162"/>
  <c r="M162" s="1"/>
  <c r="F162"/>
  <c r="K162" s="1"/>
  <c r="L161"/>
  <c r="J161"/>
  <c r="I161"/>
  <c r="M161" s="1"/>
  <c r="F161"/>
  <c r="K161" s="1"/>
  <c r="L160"/>
  <c r="J160"/>
  <c r="I160"/>
  <c r="M160" s="1"/>
  <c r="F160"/>
  <c r="K160" s="1"/>
  <c r="L159"/>
  <c r="J159"/>
  <c r="I159"/>
  <c r="M159" s="1"/>
  <c r="F159"/>
  <c r="K159" s="1"/>
  <c r="L158"/>
  <c r="J158"/>
  <c r="I158"/>
  <c r="M158" s="1"/>
  <c r="F158"/>
  <c r="K158" s="1"/>
  <c r="L157"/>
  <c r="J157"/>
  <c r="I157"/>
  <c r="M157" s="1"/>
  <c r="F157"/>
  <c r="K157" s="1"/>
  <c r="L156"/>
  <c r="J156"/>
  <c r="I156"/>
  <c r="M156" s="1"/>
  <c r="F156"/>
  <c r="K156" s="1"/>
  <c r="L155"/>
  <c r="J155"/>
  <c r="I155"/>
  <c r="M155" s="1"/>
  <c r="F155"/>
  <c r="K155" s="1"/>
  <c r="L154"/>
  <c r="J154"/>
  <c r="I154"/>
  <c r="I180" s="1"/>
  <c r="F154"/>
  <c r="K154" s="1"/>
  <c r="K180" s="1"/>
  <c r="L151"/>
  <c r="J151"/>
  <c r="I151"/>
  <c r="M151" s="1"/>
  <c r="F151"/>
  <c r="K151" s="1"/>
  <c r="L150"/>
  <c r="J150"/>
  <c r="I150"/>
  <c r="M150" s="1"/>
  <c r="F150"/>
  <c r="K150" s="1"/>
  <c r="L149"/>
  <c r="J149"/>
  <c r="I149"/>
  <c r="M149" s="1"/>
  <c r="F149"/>
  <c r="K149" s="1"/>
  <c r="L148"/>
  <c r="J148"/>
  <c r="I148"/>
  <c r="M148" s="1"/>
  <c r="F148"/>
  <c r="K148" s="1"/>
  <c r="L147"/>
  <c r="J147"/>
  <c r="I147"/>
  <c r="M147" s="1"/>
  <c r="F147"/>
  <c r="K147" s="1"/>
  <c r="L146"/>
  <c r="J146"/>
  <c r="I146"/>
  <c r="M146" s="1"/>
  <c r="F146"/>
  <c r="K146" s="1"/>
  <c r="L145"/>
  <c r="J145"/>
  <c r="I145"/>
  <c r="M145" s="1"/>
  <c r="F145"/>
  <c r="K145" s="1"/>
  <c r="L144"/>
  <c r="J144"/>
  <c r="I144"/>
  <c r="M144" s="1"/>
  <c r="F144"/>
  <c r="K144" s="1"/>
  <c r="L143"/>
  <c r="J143"/>
  <c r="I143"/>
  <c r="M143" s="1"/>
  <c r="F143"/>
  <c r="K143" s="1"/>
  <c r="L142"/>
  <c r="J142"/>
  <c r="I142"/>
  <c r="M142" s="1"/>
  <c r="F142"/>
  <c r="K142" s="1"/>
  <c r="L141"/>
  <c r="J141"/>
  <c r="I141"/>
  <c r="M141" s="1"/>
  <c r="F141"/>
  <c r="K141" s="1"/>
  <c r="L140"/>
  <c r="J140"/>
  <c r="I140"/>
  <c r="M140" s="1"/>
  <c r="F140"/>
  <c r="K140" s="1"/>
  <c r="L139"/>
  <c r="J139"/>
  <c r="I139"/>
  <c r="M139" s="1"/>
  <c r="F139"/>
  <c r="K139" s="1"/>
  <c r="L138"/>
  <c r="J138"/>
  <c r="I138"/>
  <c r="M138" s="1"/>
  <c r="F138"/>
  <c r="K138" s="1"/>
  <c r="L137"/>
  <c r="J137"/>
  <c r="I137"/>
  <c r="M137" s="1"/>
  <c r="F137"/>
  <c r="K137" s="1"/>
  <c r="L136"/>
  <c r="J136"/>
  <c r="I136"/>
  <c r="M136" s="1"/>
  <c r="F136"/>
  <c r="K136" s="1"/>
  <c r="L135"/>
  <c r="J135"/>
  <c r="I135"/>
  <c r="M135" s="1"/>
  <c r="F135"/>
  <c r="K135" s="1"/>
  <c r="L134"/>
  <c r="J134"/>
  <c r="I134"/>
  <c r="M134" s="1"/>
  <c r="F134"/>
  <c r="K134" s="1"/>
  <c r="L133"/>
  <c r="J133"/>
  <c r="I133"/>
  <c r="M133" s="1"/>
  <c r="F133"/>
  <c r="K133" s="1"/>
  <c r="L132"/>
  <c r="J132"/>
  <c r="I132"/>
  <c r="M132" s="1"/>
  <c r="F132"/>
  <c r="K132" s="1"/>
  <c r="L131"/>
  <c r="J131"/>
  <c r="I131"/>
  <c r="M131" s="1"/>
  <c r="F131"/>
  <c r="K131" s="1"/>
  <c r="L130"/>
  <c r="J130"/>
  <c r="I130"/>
  <c r="M130" s="1"/>
  <c r="F130"/>
  <c r="K130" s="1"/>
  <c r="L129"/>
  <c r="J129"/>
  <c r="I129"/>
  <c r="M129" s="1"/>
  <c r="F129"/>
  <c r="K129" s="1"/>
  <c r="L128"/>
  <c r="J128"/>
  <c r="I128"/>
  <c r="M128" s="1"/>
  <c r="F128"/>
  <c r="K128" s="1"/>
  <c r="L127"/>
  <c r="J127"/>
  <c r="I127"/>
  <c r="M127" s="1"/>
  <c r="F127"/>
  <c r="K127" s="1"/>
  <c r="L126"/>
  <c r="J126"/>
  <c r="I126"/>
  <c r="M126" s="1"/>
  <c r="F126"/>
  <c r="K126" s="1"/>
  <c r="L125"/>
  <c r="J125"/>
  <c r="I125"/>
  <c r="M125" s="1"/>
  <c r="F125"/>
  <c r="K125" s="1"/>
  <c r="L124"/>
  <c r="J124"/>
  <c r="I124"/>
  <c r="M124" s="1"/>
  <c r="F124"/>
  <c r="K124" s="1"/>
  <c r="L123"/>
  <c r="J123"/>
  <c r="I123"/>
  <c r="M123" s="1"/>
  <c r="F123"/>
  <c r="K123" s="1"/>
  <c r="L122"/>
  <c r="J122"/>
  <c r="I122"/>
  <c r="M122" s="1"/>
  <c r="F122"/>
  <c r="K122" s="1"/>
  <c r="L121"/>
  <c r="J121"/>
  <c r="I121"/>
  <c r="M121" s="1"/>
  <c r="F121"/>
  <c r="K121" s="1"/>
  <c r="L120"/>
  <c r="J120"/>
  <c r="I120"/>
  <c r="M120" s="1"/>
  <c r="F120"/>
  <c r="K120" s="1"/>
  <c r="L119"/>
  <c r="J119"/>
  <c r="I119"/>
  <c r="M119" s="1"/>
  <c r="F119"/>
  <c r="K119" s="1"/>
  <c r="L118"/>
  <c r="J118"/>
  <c r="I118"/>
  <c r="F118"/>
  <c r="K118" s="1"/>
  <c r="L117"/>
  <c r="J117"/>
  <c r="I117"/>
  <c r="F117"/>
  <c r="K117" s="1"/>
  <c r="L116"/>
  <c r="J116"/>
  <c r="I116"/>
  <c r="F116"/>
  <c r="K116" s="1"/>
  <c r="L115"/>
  <c r="J115"/>
  <c r="I115"/>
  <c r="F115"/>
  <c r="K115" s="1"/>
  <c r="L114"/>
  <c r="J114"/>
  <c r="I114"/>
  <c r="I152" s="1"/>
  <c r="F114"/>
  <c r="L111"/>
  <c r="J111"/>
  <c r="I111"/>
  <c r="F111"/>
  <c r="K111" s="1"/>
  <c r="L110"/>
  <c r="J110"/>
  <c r="I110"/>
  <c r="F110"/>
  <c r="K110" s="1"/>
  <c r="L109"/>
  <c r="J109"/>
  <c r="I109"/>
  <c r="F109"/>
  <c r="K109" s="1"/>
  <c r="L108"/>
  <c r="J108"/>
  <c r="I108"/>
  <c r="F108"/>
  <c r="K108" s="1"/>
  <c r="L107"/>
  <c r="J107"/>
  <c r="I107"/>
  <c r="F107"/>
  <c r="K107" s="1"/>
  <c r="L106"/>
  <c r="J106"/>
  <c r="I106"/>
  <c r="F106"/>
  <c r="K106" s="1"/>
  <c r="L105"/>
  <c r="J105"/>
  <c r="I105"/>
  <c r="F105"/>
  <c r="K105" s="1"/>
  <c r="L104"/>
  <c r="J104"/>
  <c r="I104"/>
  <c r="F104"/>
  <c r="K104" s="1"/>
  <c r="L103"/>
  <c r="J103"/>
  <c r="I103"/>
  <c r="F103"/>
  <c r="K103" s="1"/>
  <c r="L102"/>
  <c r="J102"/>
  <c r="I102"/>
  <c r="F102"/>
  <c r="K102" s="1"/>
  <c r="L101"/>
  <c r="J101"/>
  <c r="I101"/>
  <c r="F101"/>
  <c r="K101" s="1"/>
  <c r="L100"/>
  <c r="J100"/>
  <c r="I100"/>
  <c r="F100"/>
  <c r="K100" s="1"/>
  <c r="L99"/>
  <c r="J99"/>
  <c r="I99"/>
  <c r="F99"/>
  <c r="K99" s="1"/>
  <c r="L98"/>
  <c r="J98"/>
  <c r="I98"/>
  <c r="F98"/>
  <c r="K98" s="1"/>
  <c r="L97"/>
  <c r="J97"/>
  <c r="I97"/>
  <c r="F97"/>
  <c r="K97" s="1"/>
  <c r="L96"/>
  <c r="J96"/>
  <c r="I96"/>
  <c r="F96"/>
  <c r="K96" s="1"/>
  <c r="L95"/>
  <c r="J95"/>
  <c r="I95"/>
  <c r="F95"/>
  <c r="K95" s="1"/>
  <c r="L94"/>
  <c r="J94"/>
  <c r="I94"/>
  <c r="F94"/>
  <c r="K94" s="1"/>
  <c r="L93"/>
  <c r="J93"/>
  <c r="I93"/>
  <c r="F93"/>
  <c r="K93" s="1"/>
  <c r="L92"/>
  <c r="J92"/>
  <c r="I92"/>
  <c r="F92"/>
  <c r="K92" s="1"/>
  <c r="L91"/>
  <c r="J91"/>
  <c r="I91"/>
  <c r="F91"/>
  <c r="K91" s="1"/>
  <c r="L90"/>
  <c r="J90"/>
  <c r="I90"/>
  <c r="F90"/>
  <c r="K90" s="1"/>
  <c r="L89"/>
  <c r="J89"/>
  <c r="I89"/>
  <c r="F89"/>
  <c r="K89" s="1"/>
  <c r="L88"/>
  <c r="J88"/>
  <c r="I88"/>
  <c r="F88"/>
  <c r="K88" s="1"/>
  <c r="L87"/>
  <c r="J87"/>
  <c r="I87"/>
  <c r="F87"/>
  <c r="K87" s="1"/>
  <c r="L86"/>
  <c r="J86"/>
  <c r="I86"/>
  <c r="F86"/>
  <c r="K86" s="1"/>
  <c r="L85"/>
  <c r="J85"/>
  <c r="I85"/>
  <c r="F85"/>
  <c r="K85" s="1"/>
  <c r="L84"/>
  <c r="J84"/>
  <c r="I84"/>
  <c r="F84"/>
  <c r="K84" s="1"/>
  <c r="L83"/>
  <c r="J83"/>
  <c r="I83"/>
  <c r="M83" s="1"/>
  <c r="F83"/>
  <c r="L82"/>
  <c r="J82"/>
  <c r="I82"/>
  <c r="M82" s="1"/>
  <c r="F82"/>
  <c r="L81"/>
  <c r="J81"/>
  <c r="I81"/>
  <c r="M81" s="1"/>
  <c r="F81"/>
  <c r="L80"/>
  <c r="J80"/>
  <c r="I80"/>
  <c r="M80" s="1"/>
  <c r="F80"/>
  <c r="L79"/>
  <c r="J79"/>
  <c r="I79"/>
  <c r="M79" s="1"/>
  <c r="F79"/>
  <c r="L78"/>
  <c r="J78"/>
  <c r="I78"/>
  <c r="M78" s="1"/>
  <c r="F78"/>
  <c r="L77"/>
  <c r="J77"/>
  <c r="I77"/>
  <c r="M77" s="1"/>
  <c r="F77"/>
  <c r="L76"/>
  <c r="J76"/>
  <c r="I76"/>
  <c r="M76" s="1"/>
  <c r="F76"/>
  <c r="L75"/>
  <c r="J75"/>
  <c r="I75"/>
  <c r="M75" s="1"/>
  <c r="F75"/>
  <c r="L74"/>
  <c r="J74"/>
  <c r="I74"/>
  <c r="I112" s="1"/>
  <c r="F74"/>
  <c r="F112" s="1"/>
  <c r="L71"/>
  <c r="J71"/>
  <c r="I71"/>
  <c r="M71" s="1"/>
  <c r="F71"/>
  <c r="L70"/>
  <c r="J70"/>
  <c r="I70"/>
  <c r="M70" s="1"/>
  <c r="F70"/>
  <c r="L69"/>
  <c r="J69"/>
  <c r="I69"/>
  <c r="M69" s="1"/>
  <c r="F69"/>
  <c r="L68"/>
  <c r="J68"/>
  <c r="I68"/>
  <c r="M68" s="1"/>
  <c r="F68"/>
  <c r="L67"/>
  <c r="J67"/>
  <c r="I67"/>
  <c r="M67" s="1"/>
  <c r="F67"/>
  <c r="L66"/>
  <c r="J66"/>
  <c r="I66"/>
  <c r="M66" s="1"/>
  <c r="F66"/>
  <c r="L65"/>
  <c r="J65"/>
  <c r="I65"/>
  <c r="M65" s="1"/>
  <c r="F65"/>
  <c r="L64"/>
  <c r="J64"/>
  <c r="I64"/>
  <c r="M64" s="1"/>
  <c r="F64"/>
  <c r="L63"/>
  <c r="J63"/>
  <c r="I63"/>
  <c r="M63" s="1"/>
  <c r="F63"/>
  <c r="L62"/>
  <c r="J62"/>
  <c r="I62"/>
  <c r="M62" s="1"/>
  <c r="F62"/>
  <c r="L61"/>
  <c r="J61"/>
  <c r="I61"/>
  <c r="M61" s="1"/>
  <c r="F61"/>
  <c r="L60"/>
  <c r="J60"/>
  <c r="I60"/>
  <c r="M60" s="1"/>
  <c r="F60"/>
  <c r="L59"/>
  <c r="J59"/>
  <c r="I59"/>
  <c r="M59" s="1"/>
  <c r="F59"/>
  <c r="L58"/>
  <c r="J58"/>
  <c r="I58"/>
  <c r="M58" s="1"/>
  <c r="F58"/>
  <c r="L57"/>
  <c r="J57"/>
  <c r="I57"/>
  <c r="M57" s="1"/>
  <c r="F57"/>
  <c r="L56"/>
  <c r="J56"/>
  <c r="I56"/>
  <c r="M56" s="1"/>
  <c r="F56"/>
  <c r="L55"/>
  <c r="J55"/>
  <c r="I55"/>
  <c r="M55" s="1"/>
  <c r="F55"/>
  <c r="L54"/>
  <c r="J54"/>
  <c r="I54"/>
  <c r="M54" s="1"/>
  <c r="F54"/>
  <c r="L53"/>
  <c r="J53"/>
  <c r="I53"/>
  <c r="M53" s="1"/>
  <c r="F53"/>
  <c r="L52"/>
  <c r="J52"/>
  <c r="I52"/>
  <c r="M52" s="1"/>
  <c r="F52"/>
  <c r="L51"/>
  <c r="J51"/>
  <c r="I51"/>
  <c r="M51" s="1"/>
  <c r="F51"/>
  <c r="L50"/>
  <c r="J50"/>
  <c r="I50"/>
  <c r="M50" s="1"/>
  <c r="F50"/>
  <c r="L49"/>
  <c r="J49"/>
  <c r="I49"/>
  <c r="M49" s="1"/>
  <c r="F49"/>
  <c r="L48"/>
  <c r="J48"/>
  <c r="I48"/>
  <c r="M48" s="1"/>
  <c r="F48"/>
  <c r="L47"/>
  <c r="J47"/>
  <c r="I47"/>
  <c r="M47" s="1"/>
  <c r="F47"/>
  <c r="L46"/>
  <c r="J46"/>
  <c r="I46"/>
  <c r="M46" s="1"/>
  <c r="F46"/>
  <c r="K46" s="1"/>
  <c r="L45"/>
  <c r="J45"/>
  <c r="I45"/>
  <c r="M45" s="1"/>
  <c r="F45"/>
  <c r="K45" s="1"/>
  <c r="L44"/>
  <c r="J44"/>
  <c r="I44"/>
  <c r="M44" s="1"/>
  <c r="F44"/>
  <c r="K44" s="1"/>
  <c r="L43"/>
  <c r="J43"/>
  <c r="I43"/>
  <c r="M43" s="1"/>
  <c r="F43"/>
  <c r="K43" s="1"/>
  <c r="L42"/>
  <c r="J42"/>
  <c r="I42"/>
  <c r="M42" s="1"/>
  <c r="F42"/>
  <c r="K42" s="1"/>
  <c r="L41"/>
  <c r="J41"/>
  <c r="I41"/>
  <c r="M41" s="1"/>
  <c r="F41"/>
  <c r="K41" s="1"/>
  <c r="L40"/>
  <c r="J40"/>
  <c r="I40"/>
  <c r="M40" s="1"/>
  <c r="F40"/>
  <c r="K40" s="1"/>
  <c r="L39"/>
  <c r="J39"/>
  <c r="I39"/>
  <c r="M39" s="1"/>
  <c r="F39"/>
  <c r="K39" s="1"/>
  <c r="L38"/>
  <c r="J38"/>
  <c r="I38"/>
  <c r="M38" s="1"/>
  <c r="F38"/>
  <c r="K38" s="1"/>
  <c r="L37"/>
  <c r="J37"/>
  <c r="I37"/>
  <c r="M37" s="1"/>
  <c r="F37"/>
  <c r="K37" s="1"/>
  <c r="L36"/>
  <c r="J36"/>
  <c r="I36"/>
  <c r="M36" s="1"/>
  <c r="F36"/>
  <c r="K36" s="1"/>
  <c r="L35"/>
  <c r="J35"/>
  <c r="I35"/>
  <c r="M35" s="1"/>
  <c r="F35"/>
  <c r="K35" s="1"/>
  <c r="L34"/>
  <c r="J34"/>
  <c r="I34"/>
  <c r="M34" s="1"/>
  <c r="F34"/>
  <c r="K34" s="1"/>
  <c r="L33"/>
  <c r="J33"/>
  <c r="I33"/>
  <c r="I72" s="1"/>
  <c r="F33"/>
  <c r="F72" s="1"/>
  <c r="L30"/>
  <c r="J30"/>
  <c r="I30"/>
  <c r="M30" s="1"/>
  <c r="F30"/>
  <c r="K30" s="1"/>
  <c r="L29"/>
  <c r="J29"/>
  <c r="I29"/>
  <c r="M29" s="1"/>
  <c r="F29"/>
  <c r="K29" s="1"/>
  <c r="L28"/>
  <c r="J28"/>
  <c r="I28"/>
  <c r="M28" s="1"/>
  <c r="F28"/>
  <c r="K28" s="1"/>
  <c r="L27"/>
  <c r="J27"/>
  <c r="I27"/>
  <c r="M27" s="1"/>
  <c r="F27"/>
  <c r="K27" s="1"/>
  <c r="L26"/>
  <c r="J26"/>
  <c r="I26"/>
  <c r="M26" s="1"/>
  <c r="F26"/>
  <c r="K26" s="1"/>
  <c r="L25"/>
  <c r="J25"/>
  <c r="I25"/>
  <c r="M25" s="1"/>
  <c r="F25"/>
  <c r="K25" s="1"/>
  <c r="L24"/>
  <c r="J24"/>
  <c r="I24"/>
  <c r="M24" s="1"/>
  <c r="F24"/>
  <c r="K24" s="1"/>
  <c r="L23"/>
  <c r="J23"/>
  <c r="I23"/>
  <c r="M23" s="1"/>
  <c r="F23"/>
  <c r="K23" s="1"/>
  <c r="L22"/>
  <c r="J22"/>
  <c r="I22"/>
  <c r="M22" s="1"/>
  <c r="F22"/>
  <c r="K22" s="1"/>
  <c r="L21"/>
  <c r="J21"/>
  <c r="I21"/>
  <c r="M21" s="1"/>
  <c r="F21"/>
  <c r="K21" s="1"/>
  <c r="L20"/>
  <c r="J20"/>
  <c r="I20"/>
  <c r="M20" s="1"/>
  <c r="F20"/>
  <c r="K20" s="1"/>
  <c r="L19"/>
  <c r="J19"/>
  <c r="I19"/>
  <c r="M19" s="1"/>
  <c r="F19"/>
  <c r="K19" s="1"/>
  <c r="L18"/>
  <c r="J18"/>
  <c r="I18"/>
  <c r="M18" s="1"/>
  <c r="F18"/>
  <c r="K18" s="1"/>
  <c r="L17"/>
  <c r="J17"/>
  <c r="I17"/>
  <c r="M17" s="1"/>
  <c r="F17"/>
  <c r="K17" s="1"/>
  <c r="L16"/>
  <c r="J16"/>
  <c r="I16"/>
  <c r="M16" s="1"/>
  <c r="F16"/>
  <c r="K16" s="1"/>
  <c r="L15"/>
  <c r="J15"/>
  <c r="I15"/>
  <c r="M15" s="1"/>
  <c r="F15"/>
  <c r="K15" s="1"/>
  <c r="L14"/>
  <c r="J14"/>
  <c r="I14"/>
  <c r="M14" s="1"/>
  <c r="F14"/>
  <c r="K14" s="1"/>
  <c r="L13"/>
  <c r="J13"/>
  <c r="I13"/>
  <c r="M13" s="1"/>
  <c r="F13"/>
  <c r="K13" s="1"/>
  <c r="L12"/>
  <c r="J12"/>
  <c r="I12"/>
  <c r="M12" s="1"/>
  <c r="F12"/>
  <c r="K12" s="1"/>
  <c r="L11"/>
  <c r="J11"/>
  <c r="I11"/>
  <c r="M11" s="1"/>
  <c r="F11"/>
  <c r="K11" s="1"/>
  <c r="L10"/>
  <c r="J10"/>
  <c r="I10"/>
  <c r="M10" s="1"/>
  <c r="F10"/>
  <c r="K10" s="1"/>
  <c r="L9"/>
  <c r="J9"/>
  <c r="I9"/>
  <c r="M9" s="1"/>
  <c r="F9"/>
  <c r="K9" s="1"/>
  <c r="L8"/>
  <c r="J8"/>
  <c r="I8"/>
  <c r="M8" s="1"/>
  <c r="F8"/>
  <c r="K8" s="1"/>
  <c r="L7"/>
  <c r="J7"/>
  <c r="I7"/>
  <c r="M7" s="1"/>
  <c r="F7"/>
  <c r="K7" s="1"/>
  <c r="L6"/>
  <c r="J6"/>
  <c r="I6"/>
  <c r="M6" s="1"/>
  <c r="F6"/>
  <c r="K6" s="1"/>
  <c r="L5"/>
  <c r="J5"/>
  <c r="I5"/>
  <c r="I31" s="1"/>
  <c r="F5"/>
  <c r="F31" s="1"/>
  <c r="A1046" i="34"/>
  <c r="B1046"/>
  <c r="L1046"/>
  <c r="A1047"/>
  <c r="B1047"/>
  <c r="L1047"/>
  <c r="A1048"/>
  <c r="B1048"/>
  <c r="L1048"/>
  <c r="A1049"/>
  <c r="B1049"/>
  <c r="L1049"/>
  <c r="A1050"/>
  <c r="B1050"/>
  <c r="L1050"/>
  <c r="A1051"/>
  <c r="B1051"/>
  <c r="L1051"/>
  <c r="A1052"/>
  <c r="B1052"/>
  <c r="L1052"/>
  <c r="A1053"/>
  <c r="B1053"/>
  <c r="L1053"/>
  <c r="A1054"/>
  <c r="B1054"/>
  <c r="L1054"/>
  <c r="A1055"/>
  <c r="B1055"/>
  <c r="L1055"/>
  <c r="A1056"/>
  <c r="B1056"/>
  <c r="L1056"/>
  <c r="A1057"/>
  <c r="B1057"/>
  <c r="L1057"/>
  <c r="A1058"/>
  <c r="B1058"/>
  <c r="L1058"/>
  <c r="A1059"/>
  <c r="B1059"/>
  <c r="L1059"/>
  <c r="A1060"/>
  <c r="B1060"/>
  <c r="L1060"/>
  <c r="A1061"/>
  <c r="B1061"/>
  <c r="L1061"/>
  <c r="A1062"/>
  <c r="B1062"/>
  <c r="L1062"/>
  <c r="A1063"/>
  <c r="B1063"/>
  <c r="L1063"/>
  <c r="A1064"/>
  <c r="B1064"/>
  <c r="L1064"/>
  <c r="A1065"/>
  <c r="B1065"/>
  <c r="L1065"/>
  <c r="A1066"/>
  <c r="B1066"/>
  <c r="L1066"/>
  <c r="A1067"/>
  <c r="B1067"/>
  <c r="L1067"/>
  <c r="A1068"/>
  <c r="B1068"/>
  <c r="L1068"/>
  <c r="A1069"/>
  <c r="B1069"/>
  <c r="L1069"/>
  <c r="A1070"/>
  <c r="B1070"/>
  <c r="L1070"/>
  <c r="A1071"/>
  <c r="B1071"/>
  <c r="L1071"/>
  <c r="A1072"/>
  <c r="B1072"/>
  <c r="L1072"/>
  <c r="A1073"/>
  <c r="B1073"/>
  <c r="L1073"/>
  <c r="A1074"/>
  <c r="B1074"/>
  <c r="L1074"/>
  <c r="A1075"/>
  <c r="B1075"/>
  <c r="L1075"/>
  <c r="A1076"/>
  <c r="B1076"/>
  <c r="L1076"/>
  <c r="A1077"/>
  <c r="B1077"/>
  <c r="L1077"/>
  <c r="A1078"/>
  <c r="B1078"/>
  <c r="L1078"/>
  <c r="A1079"/>
  <c r="B1079"/>
  <c r="L1079"/>
  <c r="A1080"/>
  <c r="B1080"/>
  <c r="L1080"/>
  <c r="A1081"/>
  <c r="B1081"/>
  <c r="L1081"/>
  <c r="A1082"/>
  <c r="B1082"/>
  <c r="L1082"/>
  <c r="A1083"/>
  <c r="B1083"/>
  <c r="L1083"/>
  <c r="A1084"/>
  <c r="B1084"/>
  <c r="L1084"/>
  <c r="A1085"/>
  <c r="B1085"/>
  <c r="L1085"/>
  <c r="A1086"/>
  <c r="B1086"/>
  <c r="L1086"/>
  <c r="A1087"/>
  <c r="B1087"/>
  <c r="L1087"/>
  <c r="A1088"/>
  <c r="B1088"/>
  <c r="L1088"/>
  <c r="A1089"/>
  <c r="B1089"/>
  <c r="L1089"/>
  <c r="A1090"/>
  <c r="B1090"/>
  <c r="L1090"/>
  <c r="A1091"/>
  <c r="B1091"/>
  <c r="L1091"/>
  <c r="A1092"/>
  <c r="B1092"/>
  <c r="L1092"/>
  <c r="A1093"/>
  <c r="B1093"/>
  <c r="L1093"/>
  <c r="A1094"/>
  <c r="B1094"/>
  <c r="L1094"/>
  <c r="A1095"/>
  <c r="B1095"/>
  <c r="L1095"/>
  <c r="A1096"/>
  <c r="B1096"/>
  <c r="L1096"/>
  <c r="A1097"/>
  <c r="B1097"/>
  <c r="L1097"/>
  <c r="A1098"/>
  <c r="B1098"/>
  <c r="L1098"/>
  <c r="A1099"/>
  <c r="B1099"/>
  <c r="L1099"/>
  <c r="A1100"/>
  <c r="B1100"/>
  <c r="L1100"/>
  <c r="A1101"/>
  <c r="B1101"/>
  <c r="L1101"/>
  <c r="A1102"/>
  <c r="B1102"/>
  <c r="L1102"/>
  <c r="A1103"/>
  <c r="B1103"/>
  <c r="L1103"/>
  <c r="A1104"/>
  <c r="B1104"/>
  <c r="L1104"/>
  <c r="A1105"/>
  <c r="B1105"/>
  <c r="L1105"/>
  <c r="A1106"/>
  <c r="B1106"/>
  <c r="L1106"/>
  <c r="A1107"/>
  <c r="B1107"/>
  <c r="L1107"/>
  <c r="A1108"/>
  <c r="B1108"/>
  <c r="L1108"/>
  <c r="A1109"/>
  <c r="B1109"/>
  <c r="L1109"/>
  <c r="A1110"/>
  <c r="B1110"/>
  <c r="L1110"/>
  <c r="A1111"/>
  <c r="B1111"/>
  <c r="L1111"/>
  <c r="A1112"/>
  <c r="B1112"/>
  <c r="L1112"/>
  <c r="A1113"/>
  <c r="B1113"/>
  <c r="L1113"/>
  <c r="A1114"/>
  <c r="B1114"/>
  <c r="L1114"/>
  <c r="A1115"/>
  <c r="B1115"/>
  <c r="L1115"/>
  <c r="A1116"/>
  <c r="B1116"/>
  <c r="L1116"/>
  <c r="A1117"/>
  <c r="B1117"/>
  <c r="L1117"/>
  <c r="A1118"/>
  <c r="B1118"/>
  <c r="L1118"/>
  <c r="A1119"/>
  <c r="B1119"/>
  <c r="L1119"/>
  <c r="A1120"/>
  <c r="B1120"/>
  <c r="L1120"/>
  <c r="A1121"/>
  <c r="B1121"/>
  <c r="L1121"/>
  <c r="A1122"/>
  <c r="B1122"/>
  <c r="L1122"/>
  <c r="A1123"/>
  <c r="B1123"/>
  <c r="L1123"/>
  <c r="A1124"/>
  <c r="B1124"/>
  <c r="L1124"/>
  <c r="A1125"/>
  <c r="B1125"/>
  <c r="L1125"/>
  <c r="A1126"/>
  <c r="B1126"/>
  <c r="L1126"/>
  <c r="A1127"/>
  <c r="B1127"/>
  <c r="L1127"/>
  <c r="A1128"/>
  <c r="B1128"/>
  <c r="L1128"/>
  <c r="A1129"/>
  <c r="B1129"/>
  <c r="L1129"/>
  <c r="A1130"/>
  <c r="B1130"/>
  <c r="L1130"/>
  <c r="A1131"/>
  <c r="B1131"/>
  <c r="L1131"/>
  <c r="A1132"/>
  <c r="B1132"/>
  <c r="L1132"/>
  <c r="A1133"/>
  <c r="B1133"/>
  <c r="L1133"/>
  <c r="A1134"/>
  <c r="B1134"/>
  <c r="L1134"/>
  <c r="A1135"/>
  <c r="B1135"/>
  <c r="L1135"/>
  <c r="A1136"/>
  <c r="B1136"/>
  <c r="L1136"/>
  <c r="A1137"/>
  <c r="B1137"/>
  <c r="L1137"/>
  <c r="A1138"/>
  <c r="B1138"/>
  <c r="L1138"/>
  <c r="A1139"/>
  <c r="B1139"/>
  <c r="L1139"/>
  <c r="A1140"/>
  <c r="B1140"/>
  <c r="L1140"/>
  <c r="A1141"/>
  <c r="B1141"/>
  <c r="L1141"/>
  <c r="A1142"/>
  <c r="B1142"/>
  <c r="L1142"/>
  <c r="A1143"/>
  <c r="B1143"/>
  <c r="L1143"/>
  <c r="A1144"/>
  <c r="B1144"/>
  <c r="L1144"/>
  <c r="A1145"/>
  <c r="B1145"/>
  <c r="L1145"/>
  <c r="A1146"/>
  <c r="B1146"/>
  <c r="L1146"/>
  <c r="A1147"/>
  <c r="B1147"/>
  <c r="L1147"/>
  <c r="A1148"/>
  <c r="B1148"/>
  <c r="L1148"/>
  <c r="A1149"/>
  <c r="B1149"/>
  <c r="L1149"/>
  <c r="A1150"/>
  <c r="B1150"/>
  <c r="L1150"/>
  <c r="L38" i="40"/>
  <c r="F10"/>
  <c r="K10" s="1"/>
  <c r="E40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K32" s="1"/>
  <c r="F33"/>
  <c r="F34"/>
  <c r="K34" s="1"/>
  <c r="F35"/>
  <c r="F6"/>
  <c r="K6" s="1"/>
  <c r="F7"/>
  <c r="F8"/>
  <c r="K8" s="1"/>
  <c r="F9"/>
  <c r="K9" s="1"/>
  <c r="F11"/>
  <c r="K11" s="1"/>
  <c r="F5"/>
  <c r="K5" s="1"/>
  <c r="F36"/>
  <c r="K7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3"/>
  <c r="K35"/>
  <c r="K38"/>
  <c r="A6"/>
  <c r="A7"/>
  <c r="A8"/>
  <c r="A9"/>
  <c r="A10"/>
  <c r="A11"/>
  <c r="A12"/>
  <c r="A13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5"/>
  <c r="G36"/>
  <c r="E19"/>
  <c r="A33" i="12"/>
  <c r="A34"/>
  <c r="A35"/>
  <c r="A36"/>
  <c r="D38"/>
  <c r="C38"/>
  <c r="K114" i="42" l="1"/>
  <c r="K152" s="1"/>
  <c r="F152"/>
  <c r="F222" s="1"/>
  <c r="K5"/>
  <c r="K31" s="1"/>
  <c r="M5"/>
  <c r="M31" s="1"/>
  <c r="K33"/>
  <c r="M33"/>
  <c r="M72" s="1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4"/>
  <c r="M74"/>
  <c r="K75"/>
  <c r="K76"/>
  <c r="K77"/>
  <c r="K78"/>
  <c r="K79"/>
  <c r="K80"/>
  <c r="K81"/>
  <c r="K82"/>
  <c r="K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5"/>
  <c r="M116"/>
  <c r="M117"/>
  <c r="M118"/>
  <c r="F180"/>
  <c r="F200"/>
  <c r="K213"/>
  <c r="I214"/>
  <c r="I222" s="1"/>
  <c r="M114"/>
  <c r="M152" s="1"/>
  <c r="M154"/>
  <c r="M180" s="1"/>
  <c r="M182"/>
  <c r="M200" s="1"/>
  <c r="K202"/>
  <c r="K214" s="1"/>
  <c r="K36" i="40"/>
  <c r="H36"/>
  <c r="I36"/>
  <c r="J36"/>
  <c r="I20" i="41"/>
  <c r="I17"/>
  <c r="G16"/>
  <c r="G15"/>
  <c r="G14"/>
  <c r="G13"/>
  <c r="G12"/>
  <c r="G11"/>
  <c r="H10"/>
  <c r="H17" s="1"/>
  <c r="J18" s="1"/>
  <c r="G10"/>
  <c r="F10"/>
  <c r="E10"/>
  <c r="E17" s="1"/>
  <c r="G9"/>
  <c r="G8"/>
  <c r="G7"/>
  <c r="G6"/>
  <c r="G5"/>
  <c r="F5"/>
  <c r="F17" s="1"/>
  <c r="J17" s="1"/>
  <c r="A1"/>
  <c r="E132" i="35"/>
  <c r="D41" i="15"/>
  <c r="C41"/>
  <c r="M112" i="42" l="1"/>
  <c r="K72"/>
  <c r="K222" s="1"/>
  <c r="K112"/>
  <c r="M222"/>
  <c r="L36" i="40"/>
  <c r="E19" i="41"/>
  <c r="G17"/>
  <c r="G18" s="1"/>
  <c r="I18"/>
  <c r="G214" i="35"/>
  <c r="G218"/>
  <c r="A842" i="34"/>
  <c r="B842"/>
  <c r="A843"/>
  <c r="B843"/>
  <c r="A844"/>
  <c r="B844"/>
  <c r="A845"/>
  <c r="B845"/>
  <c r="A846"/>
  <c r="B846"/>
  <c r="A847"/>
  <c r="B847"/>
  <c r="A848"/>
  <c r="B848"/>
  <c r="A849"/>
  <c r="B849"/>
  <c r="A850"/>
  <c r="B850"/>
  <c r="A851"/>
  <c r="B851"/>
  <c r="A852"/>
  <c r="B852"/>
  <c r="A853"/>
  <c r="B853"/>
  <c r="A854"/>
  <c r="B854"/>
  <c r="A855"/>
  <c r="B855"/>
  <c r="A856"/>
  <c r="B856"/>
  <c r="A857"/>
  <c r="B857"/>
  <c r="A858"/>
  <c r="B858"/>
  <c r="A859"/>
  <c r="B859"/>
  <c r="A860"/>
  <c r="B860"/>
  <c r="A861"/>
  <c r="B861"/>
  <c r="A862"/>
  <c r="B862"/>
  <c r="A863"/>
  <c r="B863"/>
  <c r="A864"/>
  <c r="B864"/>
  <c r="A865"/>
  <c r="B865"/>
  <c r="A866"/>
  <c r="B866"/>
  <c r="A867"/>
  <c r="B867"/>
  <c r="A868"/>
  <c r="B868"/>
  <c r="A869"/>
  <c r="B869"/>
  <c r="A870"/>
  <c r="B870"/>
  <c r="A871"/>
  <c r="B871"/>
  <c r="A872"/>
  <c r="B872"/>
  <c r="A873"/>
  <c r="B873"/>
  <c r="A874"/>
  <c r="B874"/>
  <c r="A875"/>
  <c r="B875"/>
  <c r="A876"/>
  <c r="B876"/>
  <c r="A877"/>
  <c r="B877"/>
  <c r="A878"/>
  <c r="B878"/>
  <c r="A879"/>
  <c r="B879"/>
  <c r="A880"/>
  <c r="B880"/>
  <c r="A881"/>
  <c r="B881"/>
  <c r="A882"/>
  <c r="B882"/>
  <c r="A883"/>
  <c r="B883"/>
  <c r="A884"/>
  <c r="B884"/>
  <c r="A885"/>
  <c r="B885"/>
  <c r="A886"/>
  <c r="B886"/>
  <c r="A887"/>
  <c r="B887"/>
  <c r="A888"/>
  <c r="B888"/>
  <c r="A889"/>
  <c r="B889"/>
  <c r="A890"/>
  <c r="B890"/>
  <c r="A891"/>
  <c r="B891"/>
  <c r="A892"/>
  <c r="B892"/>
  <c r="A893"/>
  <c r="B893"/>
  <c r="A894"/>
  <c r="B894"/>
  <c r="A895"/>
  <c r="B895"/>
  <c r="A896"/>
  <c r="B896"/>
  <c r="A897"/>
  <c r="B897"/>
  <c r="A898"/>
  <c r="B898"/>
  <c r="A899"/>
  <c r="B899"/>
  <c r="A900"/>
  <c r="B900"/>
  <c r="A901"/>
  <c r="B901"/>
  <c r="A902"/>
  <c r="B902"/>
  <c r="A903"/>
  <c r="B903"/>
  <c r="A904"/>
  <c r="B904"/>
  <c r="A905"/>
  <c r="B905"/>
  <c r="A906"/>
  <c r="B906"/>
  <c r="A907"/>
  <c r="B907"/>
  <c r="A908"/>
  <c r="B908"/>
  <c r="A909"/>
  <c r="B909"/>
  <c r="A910"/>
  <c r="B910"/>
  <c r="A911"/>
  <c r="B911"/>
  <c r="A912"/>
  <c r="B912"/>
  <c r="A913"/>
  <c r="B913"/>
  <c r="A914"/>
  <c r="B914"/>
  <c r="A915"/>
  <c r="B915"/>
  <c r="A916"/>
  <c r="B916"/>
  <c r="A917"/>
  <c r="B917"/>
  <c r="A918"/>
  <c r="B918"/>
  <c r="A919"/>
  <c r="B919"/>
  <c r="A920"/>
  <c r="B920"/>
  <c r="A921"/>
  <c r="B921"/>
  <c r="A922"/>
  <c r="B922"/>
  <c r="A923"/>
  <c r="B923"/>
  <c r="A924"/>
  <c r="B924"/>
  <c r="A925"/>
  <c r="B925"/>
  <c r="A926"/>
  <c r="B926"/>
  <c r="A927"/>
  <c r="B927"/>
  <c r="A928"/>
  <c r="B928"/>
  <c r="A929"/>
  <c r="B929"/>
  <c r="A930"/>
  <c r="B930"/>
  <c r="A931"/>
  <c r="B931"/>
  <c r="A932"/>
  <c r="B932"/>
  <c r="A933"/>
  <c r="B933"/>
  <c r="A934"/>
  <c r="B934"/>
  <c r="A935"/>
  <c r="B935"/>
  <c r="A936"/>
  <c r="B936"/>
  <c r="A937"/>
  <c r="B937"/>
  <c r="A938"/>
  <c r="B938"/>
  <c r="A939"/>
  <c r="B939"/>
  <c r="A940"/>
  <c r="B940"/>
  <c r="A941"/>
  <c r="B941"/>
  <c r="A942"/>
  <c r="B942"/>
  <c r="A943"/>
  <c r="B943"/>
  <c r="A944"/>
  <c r="B944"/>
  <c r="A945"/>
  <c r="B945"/>
  <c r="A946"/>
  <c r="B946"/>
  <c r="A947"/>
  <c r="B947"/>
  <c r="A948"/>
  <c r="B948"/>
  <c r="A949"/>
  <c r="B949"/>
  <c r="A950"/>
  <c r="B950"/>
  <c r="A951"/>
  <c r="B951"/>
  <c r="A952"/>
  <c r="B952"/>
  <c r="A953"/>
  <c r="B953"/>
  <c r="A954"/>
  <c r="B954"/>
  <c r="A955"/>
  <c r="B955"/>
  <c r="A956"/>
  <c r="B956"/>
  <c r="A957"/>
  <c r="B957"/>
  <c r="A958"/>
  <c r="B958"/>
  <c r="A959"/>
  <c r="B959"/>
  <c r="A960"/>
  <c r="B960"/>
  <c r="A961"/>
  <c r="B961"/>
  <c r="A962"/>
  <c r="B962"/>
  <c r="A963"/>
  <c r="B963"/>
  <c r="A964"/>
  <c r="B964"/>
  <c r="A965"/>
  <c r="B965"/>
  <c r="A966"/>
  <c r="B966"/>
  <c r="A967"/>
  <c r="B967"/>
  <c r="A968"/>
  <c r="B968"/>
  <c r="A969"/>
  <c r="B969"/>
  <c r="A970"/>
  <c r="B970"/>
  <c r="A971"/>
  <c r="B971"/>
  <c r="A972"/>
  <c r="B972"/>
  <c r="A973"/>
  <c r="B973"/>
  <c r="A974"/>
  <c r="B974"/>
  <c r="A975"/>
  <c r="B975"/>
  <c r="A976"/>
  <c r="B976"/>
  <c r="A977"/>
  <c r="B977"/>
  <c r="A978"/>
  <c r="B978"/>
  <c r="A979"/>
  <c r="B979"/>
  <c r="A980"/>
  <c r="B980"/>
  <c r="A981"/>
  <c r="B981"/>
  <c r="A982"/>
  <c r="B982"/>
  <c r="A983"/>
  <c r="B983"/>
  <c r="A984"/>
  <c r="B984"/>
  <c r="A985"/>
  <c r="B985"/>
  <c r="A986"/>
  <c r="B986"/>
  <c r="A987"/>
  <c r="B987"/>
  <c r="A988"/>
  <c r="B988"/>
  <c r="A989"/>
  <c r="B989"/>
  <c r="A990"/>
  <c r="B990"/>
  <c r="A991"/>
  <c r="B991"/>
  <c r="A992"/>
  <c r="B992"/>
  <c r="A993"/>
  <c r="B993"/>
  <c r="A994"/>
  <c r="B994"/>
  <c r="A995"/>
  <c r="B995"/>
  <c r="A996"/>
  <c r="B996"/>
  <c r="A997"/>
  <c r="B997"/>
  <c r="A998"/>
  <c r="B998"/>
  <c r="A999"/>
  <c r="B999"/>
  <c r="A1000"/>
  <c r="B1000"/>
  <c r="A1001"/>
  <c r="B1001"/>
  <c r="A1002"/>
  <c r="B1002"/>
  <c r="A1003"/>
  <c r="B1003"/>
  <c r="A1004"/>
  <c r="B1004"/>
  <c r="A1005"/>
  <c r="B1005"/>
  <c r="A1006"/>
  <c r="B1006"/>
  <c r="A1007"/>
  <c r="B1007"/>
  <c r="A1008"/>
  <c r="B1008"/>
  <c r="A1009"/>
  <c r="B1009"/>
  <c r="A1010"/>
  <c r="B1010"/>
  <c r="A1011"/>
  <c r="B1011"/>
  <c r="A1012"/>
  <c r="B1012"/>
  <c r="A1013"/>
  <c r="B1013"/>
  <c r="A1014"/>
  <c r="B1014"/>
  <c r="A1015"/>
  <c r="B1015"/>
  <c r="A1016"/>
  <c r="B1016"/>
  <c r="A1017"/>
  <c r="B1017"/>
  <c r="A1018"/>
  <c r="B1018"/>
  <c r="A1019"/>
  <c r="B1019"/>
  <c r="A1020"/>
  <c r="B1020"/>
  <c r="A1021"/>
  <c r="B1021"/>
  <c r="A1022"/>
  <c r="B1022"/>
  <c r="A1023"/>
  <c r="B1023"/>
  <c r="A1024"/>
  <c r="B1024"/>
  <c r="A1025"/>
  <c r="B1025"/>
  <c r="A1026"/>
  <c r="B1026"/>
  <c r="A1027"/>
  <c r="B1027"/>
  <c r="A1028"/>
  <c r="B1028"/>
  <c r="A1029"/>
  <c r="B1029"/>
  <c r="A1030"/>
  <c r="B1030"/>
  <c r="A1031"/>
  <c r="B1031"/>
  <c r="A1032"/>
  <c r="B1032"/>
  <c r="A1033"/>
  <c r="B1033"/>
  <c r="A1034"/>
  <c r="B1034"/>
  <c r="L944"/>
  <c r="E20" i="41" l="1"/>
  <c r="I19"/>
  <c r="E17" i="40"/>
  <c r="E29"/>
  <c r="E23"/>
  <c r="E12"/>
  <c r="E36" i="35"/>
  <c r="G100" l="1"/>
  <c r="G101"/>
  <c r="G102"/>
  <c r="G104"/>
  <c r="G105"/>
  <c r="G106"/>
  <c r="G108"/>
  <c r="G109"/>
  <c r="G110"/>
  <c r="G112"/>
  <c r="G114"/>
  <c r="G115"/>
  <c r="G116"/>
  <c r="G117"/>
  <c r="G118"/>
  <c r="G119"/>
  <c r="G120"/>
  <c r="G121"/>
  <c r="G122"/>
  <c r="G123"/>
  <c r="G124"/>
  <c r="G113"/>
  <c r="G75"/>
  <c r="G76"/>
  <c r="G77"/>
  <c r="G74"/>
  <c r="G128"/>
  <c r="G129"/>
  <c r="G130"/>
  <c r="G131"/>
  <c r="G132"/>
  <c r="G133"/>
  <c r="G134"/>
  <c r="G135"/>
  <c r="G136"/>
  <c r="G137"/>
  <c r="G138"/>
  <c r="G127"/>
  <c r="G142"/>
  <c r="G143"/>
  <c r="G144"/>
  <c r="G145"/>
  <c r="G146"/>
  <c r="G147"/>
  <c r="G148"/>
  <c r="G149"/>
  <c r="G141"/>
  <c r="G182"/>
  <c r="G183"/>
  <c r="G184"/>
  <c r="G185"/>
  <c r="G186"/>
  <c r="G187"/>
  <c r="G188"/>
  <c r="G181"/>
  <c r="G192"/>
  <c r="G193"/>
  <c r="G194"/>
  <c r="G195"/>
  <c r="G196"/>
  <c r="G197"/>
  <c r="G191"/>
  <c r="G201"/>
  <c r="G202"/>
  <c r="G203"/>
  <c r="G204"/>
  <c r="G205"/>
  <c r="G206"/>
  <c r="G207"/>
  <c r="G200"/>
  <c r="G211"/>
  <c r="G212"/>
  <c r="G213"/>
  <c r="G210"/>
  <c r="G157"/>
  <c r="G158"/>
  <c r="G159"/>
  <c r="G160"/>
  <c r="G161"/>
  <c r="G162"/>
  <c r="G163"/>
  <c r="G164"/>
  <c r="G165"/>
  <c r="G166"/>
  <c r="G167"/>
  <c r="G156"/>
  <c r="L897" i="34"/>
  <c r="L886"/>
  <c r="L887"/>
  <c r="L908"/>
  <c r="L909"/>
  <c r="L855"/>
  <c r="L856"/>
  <c r="L907"/>
  <c r="L906"/>
  <c r="L904"/>
  <c r="L905"/>
  <c r="L893"/>
  <c r="L892"/>
  <c r="L899"/>
  <c r="L890"/>
  <c r="L891"/>
  <c r="L873"/>
  <c r="L874"/>
  <c r="L875"/>
  <c r="L876"/>
  <c r="L877"/>
  <c r="L878"/>
  <c r="L879"/>
  <c r="L880"/>
  <c r="L881"/>
  <c r="L882"/>
  <c r="L883"/>
  <c r="L884"/>
  <c r="L885"/>
  <c r="L889"/>
  <c r="L888"/>
  <c r="L898"/>
  <c r="L910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7"/>
  <c r="L858"/>
  <c r="L859"/>
  <c r="L860"/>
  <c r="L861"/>
  <c r="L862"/>
  <c r="L863"/>
  <c r="L864"/>
  <c r="L865"/>
  <c r="L866"/>
  <c r="L867"/>
  <c r="L868"/>
  <c r="L869"/>
  <c r="L870"/>
  <c r="L871"/>
  <c r="L872"/>
  <c r="L924"/>
  <c r="L938"/>
  <c r="L939"/>
  <c r="L940"/>
  <c r="L948"/>
  <c r="L949"/>
  <c r="L900"/>
  <c r="L901"/>
  <c r="L902"/>
  <c r="L903"/>
  <c r="L894"/>
  <c r="L895"/>
  <c r="L896"/>
  <c r="L911"/>
  <c r="L912"/>
  <c r="L913"/>
  <c r="L914"/>
  <c r="L915"/>
  <c r="L916"/>
  <c r="L917"/>
  <c r="L918"/>
  <c r="L919"/>
  <c r="L920"/>
  <c r="L921"/>
  <c r="L922"/>
  <c r="L923"/>
  <c r="L925"/>
  <c r="L926"/>
  <c r="L927"/>
  <c r="L928"/>
  <c r="L929"/>
  <c r="L930"/>
  <c r="L931"/>
  <c r="L932"/>
  <c r="L933"/>
  <c r="L934"/>
  <c r="L935"/>
  <c r="L936"/>
  <c r="L937"/>
  <c r="L941"/>
  <c r="L942"/>
  <c r="L943"/>
  <c r="L945"/>
  <c r="L946"/>
  <c r="L947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151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10"/>
  <c r="B631"/>
  <c r="A631"/>
  <c r="A32" i="12"/>
  <c r="A793" i="34"/>
  <c r="B793"/>
  <c r="H191" i="35" l="1"/>
  <c r="E191"/>
  <c r="A816" i="34" l="1"/>
  <c r="B816"/>
  <c r="A817"/>
  <c r="B817"/>
  <c r="F96" i="35"/>
  <c r="F59"/>
  <c r="F24"/>
  <c r="F21"/>
  <c r="F6"/>
  <c r="G87"/>
  <c r="H85" l="1"/>
  <c r="E85"/>
  <c r="A781" i="34"/>
  <c r="B781"/>
  <c r="A782"/>
  <c r="B782"/>
  <c r="A807" l="1"/>
  <c r="B807"/>
  <c r="A795" l="1"/>
  <c r="B795"/>
  <c r="E91" i="35"/>
  <c r="A792" i="34"/>
  <c r="B792"/>
  <c r="E141" i="35"/>
  <c r="A771" i="34"/>
  <c r="B771"/>
  <c r="A772"/>
  <c r="B772"/>
  <c r="A784"/>
  <c r="B784"/>
  <c r="F125" i="35"/>
  <c r="F30"/>
  <c r="I30" s="1"/>
  <c r="H30" l="1"/>
  <c r="H31" s="1"/>
  <c r="G30"/>
  <c r="I31"/>
  <c r="G31"/>
  <c r="F31"/>
  <c r="E31"/>
  <c r="G32" s="1"/>
  <c r="L234"/>
  <c r="A769" i="34"/>
  <c r="B769"/>
  <c r="A770"/>
  <c r="B770"/>
  <c r="A750"/>
  <c r="B750"/>
  <c r="A773"/>
  <c r="B773"/>
  <c r="A774"/>
  <c r="B774"/>
  <c r="G223" i="35"/>
  <c r="H223" s="1"/>
  <c r="I223" s="1"/>
  <c r="G224"/>
  <c r="H224" s="1"/>
  <c r="I224" s="1"/>
  <c r="G225"/>
  <c r="H225" s="1"/>
  <c r="I225" s="1"/>
  <c r="I98"/>
  <c r="H98"/>
  <c r="G98"/>
  <c r="F98"/>
  <c r="E98"/>
  <c r="I72"/>
  <c r="H72"/>
  <c r="G72"/>
  <c r="F72"/>
  <c r="E72"/>
  <c r="A15" i="12"/>
  <c r="A20"/>
  <c r="A739" i="34"/>
  <c r="B739"/>
  <c r="A740"/>
  <c r="B740"/>
  <c r="A744"/>
  <c r="B744"/>
  <c r="A745"/>
  <c r="B745"/>
  <c r="A726"/>
  <c r="B726"/>
  <c r="A729"/>
  <c r="B729"/>
  <c r="I32" i="35" l="1"/>
  <c r="I99"/>
  <c r="G99"/>
  <c r="G73"/>
  <c r="I73"/>
  <c r="H64"/>
  <c r="F219"/>
  <c r="F168"/>
  <c r="F94"/>
  <c r="F208"/>
  <c r="F198"/>
  <c r="F85"/>
  <c r="F89" s="1"/>
  <c r="F83"/>
  <c r="F189"/>
  <c r="F179"/>
  <c r="F175"/>
  <c r="F154"/>
  <c r="F150"/>
  <c r="F132"/>
  <c r="F127"/>
  <c r="F78"/>
  <c r="F64"/>
  <c r="F60"/>
  <c r="F57"/>
  <c r="F52"/>
  <c r="F36"/>
  <c r="F43" s="1"/>
  <c r="F34"/>
  <c r="F28"/>
  <c r="F25"/>
  <c r="F22"/>
  <c r="F19"/>
  <c r="F68"/>
  <c r="F16"/>
  <c r="G168"/>
  <c r="H168"/>
  <c r="I168"/>
  <c r="J26" i="40" s="1"/>
  <c r="G64" i="35"/>
  <c r="I64"/>
  <c r="E64"/>
  <c r="G65" l="1"/>
  <c r="F139"/>
  <c r="I65"/>
  <c r="C221"/>
  <c r="A1"/>
  <c r="C222"/>
  <c r="J222"/>
  <c r="J221"/>
  <c r="J223"/>
  <c r="J224"/>
  <c r="J225"/>
  <c r="I60" l="1"/>
  <c r="H60"/>
  <c r="G60"/>
  <c r="E60"/>
  <c r="B633" i="34"/>
  <c r="A14" i="12"/>
  <c r="A31"/>
  <c r="I219" i="35"/>
  <c r="J32" i="40" s="1"/>
  <c r="H219" i="35"/>
  <c r="G219"/>
  <c r="E219"/>
  <c r="I169"/>
  <c r="E168"/>
  <c r="G169" s="1"/>
  <c r="I57"/>
  <c r="H57"/>
  <c r="G57"/>
  <c r="E57"/>
  <c r="I94"/>
  <c r="H94"/>
  <c r="G94"/>
  <c r="E94"/>
  <c r="I208"/>
  <c r="J31" i="40" s="1"/>
  <c r="H208" i="35"/>
  <c r="G208"/>
  <c r="E208"/>
  <c r="I198"/>
  <c r="J30" i="40" s="1"/>
  <c r="H198" i="35"/>
  <c r="I30" i="40" s="1"/>
  <c r="G198" i="35"/>
  <c r="E198"/>
  <c r="I89"/>
  <c r="G89"/>
  <c r="H89"/>
  <c r="I90" s="1"/>
  <c r="E89"/>
  <c r="G90" s="1"/>
  <c r="I83"/>
  <c r="H83"/>
  <c r="G83"/>
  <c r="E83"/>
  <c r="I189"/>
  <c r="J29" i="40" s="1"/>
  <c r="G189" i="35"/>
  <c r="E189"/>
  <c r="H181"/>
  <c r="H189" s="1"/>
  <c r="I179"/>
  <c r="J28" i="40" s="1"/>
  <c r="H179" i="35"/>
  <c r="G179"/>
  <c r="E179"/>
  <c r="I175"/>
  <c r="J27" i="40" s="1"/>
  <c r="H175" i="35"/>
  <c r="G175"/>
  <c r="E175"/>
  <c r="I154"/>
  <c r="J25" i="40" s="1"/>
  <c r="H154" i="35"/>
  <c r="G154"/>
  <c r="E154"/>
  <c r="I150"/>
  <c r="J24" i="40" s="1"/>
  <c r="H150" i="35"/>
  <c r="G150"/>
  <c r="E150"/>
  <c r="I139"/>
  <c r="J23" i="40" s="1"/>
  <c r="G139" i="35"/>
  <c r="H132"/>
  <c r="H139" s="1"/>
  <c r="I140" s="1"/>
  <c r="I78"/>
  <c r="H78"/>
  <c r="G78"/>
  <c r="E78"/>
  <c r="I125"/>
  <c r="J22" i="40" s="1"/>
  <c r="H125" i="35"/>
  <c r="G125"/>
  <c r="E125"/>
  <c r="I52"/>
  <c r="H52"/>
  <c r="G52"/>
  <c r="E52"/>
  <c r="I43"/>
  <c r="G43"/>
  <c r="H36"/>
  <c r="H43" s="1"/>
  <c r="I44" s="1"/>
  <c r="E43"/>
  <c r="G44" s="1"/>
  <c r="I34"/>
  <c r="H34"/>
  <c r="G34"/>
  <c r="E34"/>
  <c r="I28"/>
  <c r="H28"/>
  <c r="G28"/>
  <c r="E28"/>
  <c r="I25"/>
  <c r="H25"/>
  <c r="G25"/>
  <c r="E25"/>
  <c r="I22"/>
  <c r="H22"/>
  <c r="G22"/>
  <c r="E22"/>
  <c r="I19"/>
  <c r="H19"/>
  <c r="G19"/>
  <c r="E19"/>
  <c r="I68"/>
  <c r="H68"/>
  <c r="G68"/>
  <c r="E68"/>
  <c r="I16"/>
  <c r="H16"/>
  <c r="G16"/>
  <c r="E16"/>
  <c r="J139" l="1"/>
  <c r="J140" s="1"/>
  <c r="K140" s="1"/>
  <c r="I209"/>
  <c r="I95"/>
  <c r="G58"/>
  <c r="I58"/>
  <c r="I220"/>
  <c r="A633" i="34"/>
  <c r="G95" i="35"/>
  <c r="G199"/>
  <c r="G190"/>
  <c r="I84"/>
  <c r="G209"/>
  <c r="G220"/>
  <c r="G61"/>
  <c r="I61"/>
  <c r="I17"/>
  <c r="I69"/>
  <c r="I20"/>
  <c r="I23"/>
  <c r="I26"/>
  <c r="I29"/>
  <c r="I35"/>
  <c r="I53"/>
  <c r="I126"/>
  <c r="I79"/>
  <c r="E139"/>
  <c r="G140" s="1"/>
  <c r="G69"/>
  <c r="G20"/>
  <c r="G23"/>
  <c r="G26"/>
  <c r="G29"/>
  <c r="G35"/>
  <c r="G53"/>
  <c r="G126"/>
  <c r="G79"/>
  <c r="G151"/>
  <c r="I151"/>
  <c r="G155"/>
  <c r="I155"/>
  <c r="G176"/>
  <c r="I176"/>
  <c r="G180"/>
  <c r="I180"/>
  <c r="I190"/>
  <c r="G84"/>
  <c r="I199"/>
  <c r="G17"/>
  <c r="K233" l="1"/>
  <c r="K234"/>
  <c r="H140"/>
  <c r="A674" i="34"/>
  <c r="B674"/>
  <c r="A673"/>
  <c r="B673"/>
  <c r="B623"/>
  <c r="B624"/>
  <c r="B607"/>
  <c r="B606"/>
  <c r="A599"/>
  <c r="B599"/>
  <c r="A600"/>
  <c r="B600"/>
  <c r="A598"/>
  <c r="B598"/>
  <c r="A629"/>
  <c r="B629"/>
  <c r="A630"/>
  <c r="B630"/>
  <c r="I11"/>
  <c r="I15"/>
  <c r="I14"/>
  <c r="I13"/>
  <c r="I12"/>
  <c r="G10" i="40" l="1" a="1"/>
  <c r="G10" s="1"/>
  <c r="I10" s="1"/>
  <c r="H10" a="1"/>
  <c r="H10" s="1"/>
  <c r="F37" a="1"/>
  <c r="F37" s="1"/>
  <c r="F40" s="1"/>
  <c r="E35" i="15" a="1"/>
  <c r="E35" s="1"/>
  <c r="G37" i="40" a="1"/>
  <c r="G37" s="1"/>
  <c r="H17" a="1"/>
  <c r="H17" s="1"/>
  <c r="H11" a="1"/>
  <c r="H11" s="1"/>
  <c r="H13" a="1"/>
  <c r="H13" s="1"/>
  <c r="H22" a="1"/>
  <c r="H22" s="1"/>
  <c r="L22" s="1"/>
  <c r="H24" a="1"/>
  <c r="H24" s="1"/>
  <c r="L24" s="1"/>
  <c r="H26" a="1"/>
  <c r="H26" s="1"/>
  <c r="L26" s="1"/>
  <c r="H28" a="1"/>
  <c r="H28" s="1"/>
  <c r="L28" s="1"/>
  <c r="H19" a="1"/>
  <c r="H19" s="1"/>
  <c r="H31" a="1"/>
  <c r="H31" s="1"/>
  <c r="L31" s="1"/>
  <c r="H8" a="1"/>
  <c r="H8" s="1"/>
  <c r="H32" a="1"/>
  <c r="H32" s="1"/>
  <c r="L32" s="1"/>
  <c r="H21" a="1"/>
  <c r="H21" s="1"/>
  <c r="H9" a="1"/>
  <c r="H9" s="1"/>
  <c r="H16" a="1"/>
  <c r="H16" s="1"/>
  <c r="H34" a="1"/>
  <c r="H34" s="1"/>
  <c r="H6" a="1"/>
  <c r="H6" s="1"/>
  <c r="G17" a="1"/>
  <c r="G17" s="1"/>
  <c r="I17" s="1"/>
  <c r="G11" a="1"/>
  <c r="G11" s="1"/>
  <c r="I11" s="1"/>
  <c r="G13" a="1"/>
  <c r="G13" s="1"/>
  <c r="I13" s="1"/>
  <c r="G22" a="1"/>
  <c r="G22" s="1"/>
  <c r="G24" a="1"/>
  <c r="G24" s="1"/>
  <c r="G26" a="1"/>
  <c r="G26" s="1"/>
  <c r="G28" a="1"/>
  <c r="G28" s="1"/>
  <c r="G19" a="1"/>
  <c r="G19" s="1"/>
  <c r="I19" s="1"/>
  <c r="G31" a="1"/>
  <c r="G31" s="1"/>
  <c r="G8" a="1"/>
  <c r="G8" s="1"/>
  <c r="I8" s="1"/>
  <c r="G32" a="1"/>
  <c r="G32" s="1"/>
  <c r="I32" s="1"/>
  <c r="G21" a="1"/>
  <c r="G21" s="1"/>
  <c r="I21" s="1"/>
  <c r="G9" a="1"/>
  <c r="G9" s="1"/>
  <c r="I9" s="1"/>
  <c r="G16" a="1"/>
  <c r="G16" s="1"/>
  <c r="I16" s="1"/>
  <c r="G34" a="1"/>
  <c r="G34" s="1"/>
  <c r="I34" s="1"/>
  <c r="G6" a="1"/>
  <c r="G6" s="1"/>
  <c r="I6" s="1"/>
  <c r="F35" i="12" a="1"/>
  <c r="F35" s="1"/>
  <c r="F36" a="1"/>
  <c r="F36" s="1"/>
  <c r="H7" i="40" a="1"/>
  <c r="H7" s="1"/>
  <c r="H12" a="1"/>
  <c r="H12" s="1"/>
  <c r="H18" a="1"/>
  <c r="H18" s="1"/>
  <c r="H23" a="1"/>
  <c r="H23" s="1"/>
  <c r="L23" s="1"/>
  <c r="H25" a="1"/>
  <c r="H25" s="1"/>
  <c r="L25" s="1"/>
  <c r="H27" a="1"/>
  <c r="H27" s="1"/>
  <c r="L27" s="1"/>
  <c r="H29" a="1"/>
  <c r="H29" s="1"/>
  <c r="L29" s="1"/>
  <c r="H30" a="1"/>
  <c r="H30" s="1"/>
  <c r="L30" s="1"/>
  <c r="H20" a="1"/>
  <c r="H20" s="1"/>
  <c r="H15" a="1"/>
  <c r="H15" s="1"/>
  <c r="H14" a="1"/>
  <c r="H14" s="1"/>
  <c r="H5" a="1"/>
  <c r="H5" s="1"/>
  <c r="H33" a="1"/>
  <c r="H33" s="1"/>
  <c r="H35" a="1"/>
  <c r="H35" s="1"/>
  <c r="E4" i="12" a="1"/>
  <c r="E4" s="1"/>
  <c r="G7" i="40" a="1"/>
  <c r="G7" s="1"/>
  <c r="I7" s="1"/>
  <c r="G12" a="1"/>
  <c r="G12" s="1"/>
  <c r="I12" s="1"/>
  <c r="G18" a="1"/>
  <c r="G18" s="1"/>
  <c r="I18" s="1"/>
  <c r="G23" a="1"/>
  <c r="G23" s="1"/>
  <c r="G25" a="1"/>
  <c r="G25" s="1"/>
  <c r="G27" a="1"/>
  <c r="G27" s="1"/>
  <c r="G29" a="1"/>
  <c r="G29" s="1"/>
  <c r="G30" a="1"/>
  <c r="G30" s="1"/>
  <c r="G20" a="1"/>
  <c r="G20" s="1"/>
  <c r="I20" s="1"/>
  <c r="G15" a="1"/>
  <c r="G15" s="1"/>
  <c r="I15" s="1"/>
  <c r="G14" a="1"/>
  <c r="G14" s="1"/>
  <c r="I14" s="1"/>
  <c r="G5" a="1"/>
  <c r="G5" s="1"/>
  <c r="G33" a="1"/>
  <c r="G33" s="1"/>
  <c r="I33" s="1"/>
  <c r="G35" a="1"/>
  <c r="G35" s="1"/>
  <c r="I35" s="1"/>
  <c r="F4" i="12" a="1"/>
  <c r="F4" s="1"/>
  <c r="E35" a="1"/>
  <c r="E35" s="1"/>
  <c r="G35" s="1"/>
  <c r="E36" a="1"/>
  <c r="E36" s="1"/>
  <c r="G36" s="1"/>
  <c r="E18" i="15" a="1"/>
  <c r="E18" s="1"/>
  <c r="F41" i="40" s="1"/>
  <c r="F18" i="15" a="1"/>
  <c r="F18" s="1"/>
  <c r="F34" i="12" a="1"/>
  <c r="F34" s="1"/>
  <c r="E34" a="1"/>
  <c r="E34" s="1"/>
  <c r="E33" a="1"/>
  <c r="E33" s="1"/>
  <c r="F33" a="1"/>
  <c r="F33" s="1"/>
  <c r="E32" a="1"/>
  <c r="E32" s="1"/>
  <c r="F32" a="1"/>
  <c r="F32" s="1"/>
  <c r="E222" i="35" a="1"/>
  <c r="E222" s="1"/>
  <c r="E15" i="12" a="1"/>
  <c r="E15" s="1"/>
  <c r="E20" a="1"/>
  <c r="E20" s="1"/>
  <c r="F15" a="1"/>
  <c r="F15" s="1"/>
  <c r="F20" a="1"/>
  <c r="F20" s="1"/>
  <c r="E221" i="35" a="1"/>
  <c r="E221" s="1"/>
  <c r="F221" a="1"/>
  <c r="F221" s="1"/>
  <c r="G221" s="1"/>
  <c r="H221" s="1"/>
  <c r="I221" s="1"/>
  <c r="F222" a="1"/>
  <c r="F222" s="1"/>
  <c r="G222" s="1"/>
  <c r="H222" s="1"/>
  <c r="I222" s="1"/>
  <c r="F31" i="12" a="1"/>
  <c r="F31" s="1"/>
  <c r="E31" a="1"/>
  <c r="E31" s="1"/>
  <c r="F14" a="1"/>
  <c r="F14" s="1"/>
  <c r="E14" a="1"/>
  <c r="E14" s="1"/>
  <c r="B15" i="34"/>
  <c r="A15"/>
  <c r="E16"/>
  <c r="E20"/>
  <c r="B20"/>
  <c r="A20"/>
  <c r="E19"/>
  <c r="B19"/>
  <c r="A19"/>
  <c r="E18"/>
  <c r="B18"/>
  <c r="A18"/>
  <c r="E17"/>
  <c r="B17"/>
  <c r="A17"/>
  <c r="B16"/>
  <c r="A16"/>
  <c r="A601"/>
  <c r="B601"/>
  <c r="A602"/>
  <c r="B602"/>
  <c r="A597"/>
  <c r="B597"/>
  <c r="A606"/>
  <c r="A607"/>
  <c r="A604"/>
  <c r="B604"/>
  <c r="A605"/>
  <c r="B605"/>
  <c r="A622"/>
  <c r="B622"/>
  <c r="A623"/>
  <c r="A624"/>
  <c r="A625"/>
  <c r="B625"/>
  <c r="A626"/>
  <c r="B626"/>
  <c r="A627"/>
  <c r="B627"/>
  <c r="A628"/>
  <c r="B628"/>
  <c r="A653"/>
  <c r="B653"/>
  <c r="A656"/>
  <c r="B656"/>
  <c r="A657"/>
  <c r="B657"/>
  <c r="A654"/>
  <c r="B654"/>
  <c r="A655"/>
  <c r="B655"/>
  <c r="A669"/>
  <c r="B669"/>
  <c r="A670"/>
  <c r="B670"/>
  <c r="A671"/>
  <c r="B671"/>
  <c r="A672"/>
  <c r="B672"/>
  <c r="A675"/>
  <c r="B675"/>
  <c r="A676"/>
  <c r="B676"/>
  <c r="A677"/>
  <c r="B677"/>
  <c r="A681"/>
  <c r="B681"/>
  <c r="A678"/>
  <c r="B678"/>
  <c r="A680"/>
  <c r="B680"/>
  <c r="A679"/>
  <c r="B679"/>
  <c r="A682"/>
  <c r="B682"/>
  <c r="A687"/>
  <c r="B687"/>
  <c r="A688"/>
  <c r="B688"/>
  <c r="A689"/>
  <c r="B689"/>
  <c r="A690"/>
  <c r="B690"/>
  <c r="A691"/>
  <c r="B691"/>
  <c r="A694"/>
  <c r="B694"/>
  <c r="A695"/>
  <c r="B695"/>
  <c r="A692"/>
  <c r="B692"/>
  <c r="A693"/>
  <c r="B693"/>
  <c r="A697"/>
  <c r="B697"/>
  <c r="A698"/>
  <c r="B698"/>
  <c r="A696"/>
  <c r="B696"/>
  <c r="A699"/>
  <c r="B699"/>
  <c r="A700"/>
  <c r="B700"/>
  <c r="A702"/>
  <c r="B702"/>
  <c r="A701"/>
  <c r="B701"/>
  <c r="A704"/>
  <c r="B704"/>
  <c r="A703"/>
  <c r="B703"/>
  <c r="A705"/>
  <c r="B705"/>
  <c r="A706"/>
  <c r="B706"/>
  <c r="A632"/>
  <c r="B632"/>
  <c r="A634"/>
  <c r="B634"/>
  <c r="A635"/>
  <c r="B635"/>
  <c r="A636"/>
  <c r="B636"/>
  <c r="A640"/>
  <c r="B640"/>
  <c r="A637"/>
  <c r="B637"/>
  <c r="A638"/>
  <c r="B638"/>
  <c r="A639"/>
  <c r="B639"/>
  <c r="A641"/>
  <c r="B641"/>
  <c r="A642"/>
  <c r="B642"/>
  <c r="A643"/>
  <c r="B643"/>
  <c r="A644"/>
  <c r="B644"/>
  <c r="A645"/>
  <c r="B645"/>
  <c r="A646"/>
  <c r="B646"/>
  <c r="A647"/>
  <c r="B647"/>
  <c r="A648"/>
  <c r="B648"/>
  <c r="A649"/>
  <c r="B649"/>
  <c r="A650"/>
  <c r="B650"/>
  <c r="A651"/>
  <c r="B651"/>
  <c r="A652"/>
  <c r="B652"/>
  <c r="A668"/>
  <c r="B668"/>
  <c r="A658"/>
  <c r="B658"/>
  <c r="A659"/>
  <c r="B659"/>
  <c r="A660"/>
  <c r="B660"/>
  <c r="A663"/>
  <c r="B663"/>
  <c r="A664"/>
  <c r="B664"/>
  <c r="A665"/>
  <c r="B665"/>
  <c r="A666"/>
  <c r="B666"/>
  <c r="A667"/>
  <c r="B667"/>
  <c r="A661"/>
  <c r="B661"/>
  <c r="A662"/>
  <c r="B662"/>
  <c r="A684"/>
  <c r="B684"/>
  <c r="A685"/>
  <c r="B685"/>
  <c r="A686"/>
  <c r="B686"/>
  <c r="A683"/>
  <c r="B683"/>
  <c r="A707"/>
  <c r="B707"/>
  <c r="A708"/>
  <c r="B708"/>
  <c r="A709"/>
  <c r="B709"/>
  <c r="A710"/>
  <c r="B710"/>
  <c r="A711"/>
  <c r="B711"/>
  <c r="A712"/>
  <c r="B712"/>
  <c r="A713"/>
  <c r="B713"/>
  <c r="A714"/>
  <c r="B714"/>
  <c r="A715"/>
  <c r="B715"/>
  <c r="A716"/>
  <c r="B716"/>
  <c r="A717"/>
  <c r="B717"/>
  <c r="A723"/>
  <c r="B723"/>
  <c r="A721"/>
  <c r="B721"/>
  <c r="A722"/>
  <c r="B722"/>
  <c r="A720"/>
  <c r="B720"/>
  <c r="A724"/>
  <c r="B724"/>
  <c r="A725"/>
  <c r="B725"/>
  <c r="A719"/>
  <c r="B719"/>
  <c r="A718"/>
  <c r="B718"/>
  <c r="A728"/>
  <c r="B728"/>
  <c r="A727"/>
  <c r="B727"/>
  <c r="A730"/>
  <c r="B730"/>
  <c r="A731"/>
  <c r="B731"/>
  <c r="A732"/>
  <c r="B732"/>
  <c r="A733"/>
  <c r="B733"/>
  <c r="A734"/>
  <c r="B734"/>
  <c r="A735"/>
  <c r="B735"/>
  <c r="A742"/>
  <c r="B742"/>
  <c r="A743"/>
  <c r="B743"/>
  <c r="A751"/>
  <c r="B751"/>
  <c r="A752"/>
  <c r="B752"/>
  <c r="A753"/>
  <c r="B753"/>
  <c r="A736"/>
  <c r="B736"/>
  <c r="A737"/>
  <c r="B737"/>
  <c r="A738"/>
  <c r="B738"/>
  <c r="A746"/>
  <c r="B746"/>
  <c r="A747"/>
  <c r="B747"/>
  <c r="A748"/>
  <c r="B748"/>
  <c r="A749"/>
  <c r="B749"/>
  <c r="A754"/>
  <c r="B754"/>
  <c r="A755"/>
  <c r="B755"/>
  <c r="A756"/>
  <c r="B756"/>
  <c r="A760"/>
  <c r="B760"/>
  <c r="A761"/>
  <c r="B761"/>
  <c r="A762"/>
  <c r="B762"/>
  <c r="A763"/>
  <c r="B763"/>
  <c r="A757"/>
  <c r="B757"/>
  <c r="A758"/>
  <c r="B758"/>
  <c r="A759"/>
  <c r="B759"/>
  <c r="A764"/>
  <c r="B764"/>
  <c r="A765"/>
  <c r="B765"/>
  <c r="A766"/>
  <c r="B766"/>
  <c r="A767"/>
  <c r="B767"/>
  <c r="A768"/>
  <c r="B768"/>
  <c r="A778"/>
  <c r="B778"/>
  <c r="A776"/>
  <c r="B776"/>
  <c r="A777"/>
  <c r="B777"/>
  <c r="A775"/>
  <c r="B775"/>
  <c r="A779"/>
  <c r="B779"/>
  <c r="A780"/>
  <c r="B780"/>
  <c r="A783"/>
  <c r="B783"/>
  <c r="A785"/>
  <c r="B785"/>
  <c r="A786"/>
  <c r="B786"/>
  <c r="A787"/>
  <c r="B787"/>
  <c r="A788"/>
  <c r="B788"/>
  <c r="A789"/>
  <c r="B789"/>
  <c r="A790"/>
  <c r="B790"/>
  <c r="A791"/>
  <c r="B791"/>
  <c r="A794"/>
  <c r="B794"/>
  <c r="A806"/>
  <c r="B806"/>
  <c r="A810"/>
  <c r="B810"/>
  <c r="A811"/>
  <c r="B811"/>
  <c r="A812"/>
  <c r="B812"/>
  <c r="A813"/>
  <c r="B813"/>
  <c r="A814"/>
  <c r="B814"/>
  <c r="A815"/>
  <c r="B815"/>
  <c r="A808"/>
  <c r="B808"/>
  <c r="A809"/>
  <c r="B809"/>
  <c r="A796"/>
  <c r="B796"/>
  <c r="A797"/>
  <c r="B797"/>
  <c r="A798"/>
  <c r="B798"/>
  <c r="A799"/>
  <c r="B799"/>
  <c r="A800"/>
  <c r="B800"/>
  <c r="A801"/>
  <c r="B801"/>
  <c r="A802"/>
  <c r="B802"/>
  <c r="A803"/>
  <c r="B803"/>
  <c r="A804"/>
  <c r="B804"/>
  <c r="A805"/>
  <c r="B805"/>
  <c r="A818"/>
  <c r="B818"/>
  <c r="A819"/>
  <c r="B819"/>
  <c r="A820"/>
  <c r="B820"/>
  <c r="A821"/>
  <c r="B821"/>
  <c r="A822"/>
  <c r="B822"/>
  <c r="A823"/>
  <c r="B823"/>
  <c r="A824"/>
  <c r="B824"/>
  <c r="A825"/>
  <c r="B825"/>
  <c r="A826"/>
  <c r="B826"/>
  <c r="A827"/>
  <c r="B827"/>
  <c r="A828"/>
  <c r="B828"/>
  <c r="A829"/>
  <c r="B829"/>
  <c r="A830"/>
  <c r="B830"/>
  <c r="A831"/>
  <c r="B831"/>
  <c r="A832"/>
  <c r="B832"/>
  <c r="A833"/>
  <c r="B833"/>
  <c r="A834"/>
  <c r="B834"/>
  <c r="A835"/>
  <c r="B835"/>
  <c r="A836"/>
  <c r="B836"/>
  <c r="A837"/>
  <c r="B837"/>
  <c r="A838"/>
  <c r="B838"/>
  <c r="A839"/>
  <c r="B839"/>
  <c r="A840"/>
  <c r="B840"/>
  <c r="A841"/>
  <c r="B841"/>
  <c r="A1035"/>
  <c r="B1035"/>
  <c r="A1036"/>
  <c r="B1036"/>
  <c r="A1037"/>
  <c r="B1037"/>
  <c r="A1038"/>
  <c r="B1038"/>
  <c r="A1039"/>
  <c r="B1039"/>
  <c r="A1040"/>
  <c r="B1040"/>
  <c r="A1041"/>
  <c r="B1041"/>
  <c r="A1042"/>
  <c r="B1042"/>
  <c r="A1043"/>
  <c r="B1043"/>
  <c r="A1044"/>
  <c r="B1044"/>
  <c r="A1045"/>
  <c r="B1045"/>
  <c r="A1151"/>
  <c r="B1151"/>
  <c r="A587"/>
  <c r="A588"/>
  <c r="A591"/>
  <c r="A592"/>
  <c r="A593"/>
  <c r="A594"/>
  <c r="A595"/>
  <c r="A596"/>
  <c r="A603"/>
  <c r="A616"/>
  <c r="A608"/>
  <c r="A609"/>
  <c r="A610"/>
  <c r="A611"/>
  <c r="A612"/>
  <c r="A613"/>
  <c r="A620"/>
  <c r="A617"/>
  <c r="A618"/>
  <c r="A619"/>
  <c r="A621"/>
  <c r="A13" i="12"/>
  <c r="A12"/>
  <c r="A30"/>
  <c r="B588" i="34"/>
  <c r="B591"/>
  <c r="B592"/>
  <c r="B593"/>
  <c r="B594"/>
  <c r="B595"/>
  <c r="B596"/>
  <c r="B603"/>
  <c r="B616"/>
  <c r="B608"/>
  <c r="B609"/>
  <c r="B610"/>
  <c r="B611"/>
  <c r="B612"/>
  <c r="B613"/>
  <c r="B620"/>
  <c r="B617"/>
  <c r="B618"/>
  <c r="B619"/>
  <c r="B621"/>
  <c r="A29" i="12"/>
  <c r="A11"/>
  <c r="A579" i="34"/>
  <c r="B579"/>
  <c r="A614"/>
  <c r="B614"/>
  <c r="A615"/>
  <c r="B615"/>
  <c r="A589"/>
  <c r="B589"/>
  <c r="A590"/>
  <c r="B590"/>
  <c r="A530"/>
  <c r="B530"/>
  <c r="A539"/>
  <c r="B539"/>
  <c r="A543"/>
  <c r="B543"/>
  <c r="A497"/>
  <c r="B497"/>
  <c r="A542"/>
  <c r="B542"/>
  <c r="A540"/>
  <c r="B540"/>
  <c r="A541"/>
  <c r="B541"/>
  <c r="A483"/>
  <c r="B483"/>
  <c r="A482"/>
  <c r="B482"/>
  <c r="B525"/>
  <c r="A525"/>
  <c r="B524"/>
  <c r="A524"/>
  <c r="B523"/>
  <c r="A523"/>
  <c r="A11"/>
  <c r="A28" i="12"/>
  <c r="J35" i="40" l="1"/>
  <c r="L35" s="1"/>
  <c r="J5"/>
  <c r="L5" s="1"/>
  <c r="J15"/>
  <c r="L15" s="1"/>
  <c r="J12"/>
  <c r="L12" s="1"/>
  <c r="J6"/>
  <c r="L6" s="1"/>
  <c r="J16"/>
  <c r="L16" s="1"/>
  <c r="J21"/>
  <c r="J8"/>
  <c r="L8" s="1"/>
  <c r="J19"/>
  <c r="L19" s="1"/>
  <c r="J11"/>
  <c r="L11" s="1"/>
  <c r="I5"/>
  <c r="G40"/>
  <c r="J33"/>
  <c r="L33" s="1"/>
  <c r="J14"/>
  <c r="L14" s="1"/>
  <c r="J20"/>
  <c r="L20" s="1"/>
  <c r="J18"/>
  <c r="L18" s="1"/>
  <c r="J7"/>
  <c r="L7" s="1"/>
  <c r="J34"/>
  <c r="L34" s="1"/>
  <c r="J9"/>
  <c r="L9" s="1"/>
  <c r="J13"/>
  <c r="L13" s="1"/>
  <c r="J17"/>
  <c r="L17" s="1"/>
  <c r="J10"/>
  <c r="L10" s="1"/>
  <c r="K37"/>
  <c r="K40" s="1"/>
  <c r="F42"/>
  <c r="I37"/>
  <c r="I40" s="1"/>
  <c r="H37"/>
  <c r="J37"/>
  <c r="J40" s="1"/>
  <c r="H35" i="12"/>
  <c r="H36"/>
  <c r="G18" i="15"/>
  <c r="E19"/>
  <c r="H18"/>
  <c r="F19"/>
  <c r="H19" s="1"/>
  <c r="G34" i="12"/>
  <c r="H34"/>
  <c r="G33"/>
  <c r="H33"/>
  <c r="G32"/>
  <c r="H32"/>
  <c r="B14" i="14"/>
  <c r="C14"/>
  <c r="A14" s="1"/>
  <c r="E14"/>
  <c r="H14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D14"/>
  <c r="G14"/>
  <c r="B15"/>
  <c r="D15"/>
  <c r="G15"/>
  <c r="B16"/>
  <c r="D16"/>
  <c r="G16"/>
  <c r="B17"/>
  <c r="D17"/>
  <c r="G17"/>
  <c r="B18"/>
  <c r="D18"/>
  <c r="G18"/>
  <c r="B19"/>
  <c r="D19"/>
  <c r="G19"/>
  <c r="B20"/>
  <c r="D20"/>
  <c r="G20"/>
  <c r="H20" i="12"/>
  <c r="H15"/>
  <c r="C44" i="14"/>
  <c r="A44" s="1"/>
  <c r="E44"/>
  <c r="H44"/>
  <c r="C45"/>
  <c r="A45" s="1"/>
  <c r="E45"/>
  <c r="H45"/>
  <c r="C46"/>
  <c r="A46" s="1"/>
  <c r="E46"/>
  <c r="H46"/>
  <c r="C47"/>
  <c r="A47" s="1"/>
  <c r="E47"/>
  <c r="H47"/>
  <c r="B48"/>
  <c r="D48"/>
  <c r="G48"/>
  <c r="B49"/>
  <c r="D49"/>
  <c r="G49"/>
  <c r="C50"/>
  <c r="A50" s="1"/>
  <c r="E50"/>
  <c r="H50"/>
  <c r="B44"/>
  <c r="D44"/>
  <c r="G44"/>
  <c r="B45"/>
  <c r="D45"/>
  <c r="G45"/>
  <c r="B46"/>
  <c r="D46"/>
  <c r="G46"/>
  <c r="B47"/>
  <c r="D47"/>
  <c r="G47"/>
  <c r="C48"/>
  <c r="A48" s="1"/>
  <c r="E48"/>
  <c r="H48"/>
  <c r="C49"/>
  <c r="A49" s="1"/>
  <c r="E49"/>
  <c r="H49"/>
  <c r="B50"/>
  <c r="D50"/>
  <c r="G50"/>
  <c r="C40"/>
  <c r="A40" s="1"/>
  <c r="E40"/>
  <c r="H40"/>
  <c r="C41"/>
  <c r="A41" s="1"/>
  <c r="E41"/>
  <c r="H41"/>
  <c r="C42"/>
  <c r="A42" s="1"/>
  <c r="E42"/>
  <c r="H42"/>
  <c r="C43"/>
  <c r="A43" s="1"/>
  <c r="E43"/>
  <c r="H43"/>
  <c r="B40"/>
  <c r="D40"/>
  <c r="G40"/>
  <c r="B41"/>
  <c r="D41"/>
  <c r="G41"/>
  <c r="B42"/>
  <c r="D42"/>
  <c r="G42"/>
  <c r="B43"/>
  <c r="D43"/>
  <c r="G43"/>
  <c r="G15" i="12"/>
  <c r="G20"/>
  <c r="F226" i="35"/>
  <c r="F228" s="1"/>
  <c r="H226"/>
  <c r="G226"/>
  <c r="G228" s="1"/>
  <c r="E226"/>
  <c r="G31" i="12"/>
  <c r="H31"/>
  <c r="G14"/>
  <c r="H14"/>
  <c r="B33" i="14"/>
  <c r="H39"/>
  <c r="E39"/>
  <c r="C39"/>
  <c r="A39" s="1"/>
  <c r="H38"/>
  <c r="E38"/>
  <c r="C38"/>
  <c r="A38" s="1"/>
  <c r="G37"/>
  <c r="D37"/>
  <c r="B37"/>
  <c r="H36"/>
  <c r="E36"/>
  <c r="C36"/>
  <c r="A36" s="1"/>
  <c r="H35"/>
  <c r="E35"/>
  <c r="C35"/>
  <c r="A35" s="1"/>
  <c r="H34"/>
  <c r="E34"/>
  <c r="C34"/>
  <c r="A34" s="1"/>
  <c r="H33"/>
  <c r="E33"/>
  <c r="C33"/>
  <c r="A33" s="1"/>
  <c r="G39"/>
  <c r="D39"/>
  <c r="B39"/>
  <c r="G38"/>
  <c r="D38"/>
  <c r="B38"/>
  <c r="H37"/>
  <c r="E37"/>
  <c r="C37"/>
  <c r="A37" s="1"/>
  <c r="G36"/>
  <c r="D36"/>
  <c r="B36"/>
  <c r="G35"/>
  <c r="D35"/>
  <c r="B35"/>
  <c r="G34"/>
  <c r="D34"/>
  <c r="B34"/>
  <c r="G33"/>
  <c r="D33"/>
  <c r="H40" i="40" l="1"/>
  <c r="L37"/>
  <c r="G19" i="15"/>
  <c r="J14" i="14"/>
  <c r="I14"/>
  <c r="H228" i="35"/>
  <c r="I226"/>
  <c r="I228" s="1"/>
  <c r="K232"/>
  <c r="E228"/>
  <c r="I15" i="14" l="1"/>
  <c r="J15"/>
  <c r="I227" i="35"/>
  <c r="B12" i="34"/>
  <c r="B10"/>
  <c r="B13"/>
  <c r="B14"/>
  <c r="B21"/>
  <c r="B22"/>
  <c r="B24"/>
  <c r="B23"/>
  <c r="B25"/>
  <c r="B26"/>
  <c r="B27"/>
  <c r="B28"/>
  <c r="B29"/>
  <c r="B30"/>
  <c r="B33"/>
  <c r="B35"/>
  <c r="B32"/>
  <c r="B34"/>
  <c r="B37"/>
  <c r="B36"/>
  <c r="B38"/>
  <c r="B40"/>
  <c r="B39"/>
  <c r="B43"/>
  <c r="B45"/>
  <c r="B41"/>
  <c r="B42"/>
  <c r="B44"/>
  <c r="B46"/>
  <c r="B47"/>
  <c r="B50"/>
  <c r="B49"/>
  <c r="B51"/>
  <c r="B52"/>
  <c r="B53"/>
  <c r="B54"/>
  <c r="B57"/>
  <c r="B56"/>
  <c r="B58"/>
  <c r="B59"/>
  <c r="B60"/>
  <c r="B61"/>
  <c r="B64"/>
  <c r="B68"/>
  <c r="B63"/>
  <c r="B67"/>
  <c r="B69"/>
  <c r="B70"/>
  <c r="B73"/>
  <c r="B72"/>
  <c r="B74"/>
  <c r="B75"/>
  <c r="B76"/>
  <c r="B77"/>
  <c r="B78"/>
  <c r="B79"/>
  <c r="B82"/>
  <c r="B81"/>
  <c r="B83"/>
  <c r="B86"/>
  <c r="B88"/>
  <c r="B85"/>
  <c r="B87"/>
  <c r="B89"/>
  <c r="B90"/>
  <c r="B91"/>
  <c r="B94"/>
  <c r="B96"/>
  <c r="B93"/>
  <c r="B95"/>
  <c r="B97"/>
  <c r="B98"/>
  <c r="B99"/>
  <c r="B100"/>
  <c r="B102"/>
  <c r="B104"/>
  <c r="B106"/>
  <c r="B105"/>
  <c r="B103"/>
  <c r="B101"/>
  <c r="B108"/>
  <c r="B110"/>
  <c r="B107"/>
  <c r="B109"/>
  <c r="B111"/>
  <c r="B112"/>
  <c r="B113"/>
  <c r="B114"/>
  <c r="B117"/>
  <c r="B116"/>
  <c r="B120"/>
  <c r="B122"/>
  <c r="B124"/>
  <c r="B119"/>
  <c r="B121"/>
  <c r="B123"/>
  <c r="B125"/>
  <c r="B126"/>
  <c r="B127"/>
  <c r="B128"/>
  <c r="B129"/>
  <c r="B132"/>
  <c r="B130"/>
  <c r="B131"/>
  <c r="B133"/>
  <c r="B134"/>
  <c r="B137"/>
  <c r="B135"/>
  <c r="B136"/>
  <c r="B139"/>
  <c r="B141"/>
  <c r="B143"/>
  <c r="B142"/>
  <c r="B140"/>
  <c r="B138"/>
  <c r="B144"/>
  <c r="B146"/>
  <c r="B148"/>
  <c r="B150"/>
  <c r="B149"/>
  <c r="B147"/>
  <c r="B145"/>
  <c r="B151"/>
  <c r="B154"/>
  <c r="B153"/>
  <c r="B156"/>
  <c r="B158"/>
  <c r="B160"/>
  <c r="B159"/>
  <c r="B157"/>
  <c r="B155"/>
  <c r="B161"/>
  <c r="B162"/>
  <c r="B165"/>
  <c r="B164"/>
  <c r="B167"/>
  <c r="B169"/>
  <c r="B171"/>
  <c r="B170"/>
  <c r="B168"/>
  <c r="B166"/>
  <c r="B172"/>
  <c r="B173"/>
  <c r="B176"/>
  <c r="B174"/>
  <c r="B175"/>
  <c r="B177"/>
  <c r="B180"/>
  <c r="B178"/>
  <c r="B179"/>
  <c r="B182"/>
  <c r="B184"/>
  <c r="B186"/>
  <c r="B185"/>
  <c r="B183"/>
  <c r="B181"/>
  <c r="B188"/>
  <c r="B190"/>
  <c r="B192"/>
  <c r="B191"/>
  <c r="B189"/>
  <c r="B187"/>
  <c r="B194"/>
  <c r="B193"/>
  <c r="B196"/>
  <c r="B198"/>
  <c r="B200"/>
  <c r="B199"/>
  <c r="B197"/>
  <c r="B195"/>
  <c r="B202"/>
  <c r="B204"/>
  <c r="B206"/>
  <c r="B205"/>
  <c r="B203"/>
  <c r="B201"/>
  <c r="B207"/>
  <c r="B208"/>
  <c r="B211"/>
  <c r="B214"/>
  <c r="B210"/>
  <c r="B213"/>
  <c r="B215"/>
  <c r="B216"/>
  <c r="B218"/>
  <c r="B217"/>
  <c r="B221"/>
  <c r="B223"/>
  <c r="B222"/>
  <c r="B226"/>
  <c r="B224"/>
  <c r="B225"/>
  <c r="B227"/>
  <c r="B230"/>
  <c r="B233"/>
  <c r="B229"/>
  <c r="B232"/>
  <c r="B234"/>
  <c r="B237"/>
  <c r="B236"/>
  <c r="B239"/>
  <c r="B241"/>
  <c r="B243"/>
  <c r="B242"/>
  <c r="B240"/>
  <c r="B238"/>
  <c r="B244"/>
  <c r="B247"/>
  <c r="B246"/>
  <c r="B248"/>
  <c r="B251"/>
  <c r="B250"/>
  <c r="B254"/>
  <c r="B255"/>
  <c r="B258"/>
  <c r="B257"/>
  <c r="B259"/>
  <c r="B260"/>
  <c r="B263"/>
  <c r="B262"/>
  <c r="B266"/>
  <c r="B265"/>
  <c r="B269"/>
  <c r="B271"/>
  <c r="B273"/>
  <c r="B275"/>
  <c r="B274"/>
  <c r="B272"/>
  <c r="B270"/>
  <c r="B278"/>
  <c r="B277"/>
  <c r="B280"/>
  <c r="B279"/>
  <c r="B282"/>
  <c r="B285"/>
  <c r="B284"/>
  <c r="B286"/>
  <c r="B287"/>
  <c r="B290"/>
  <c r="B289"/>
  <c r="B291"/>
  <c r="B292"/>
  <c r="B295"/>
  <c r="B294"/>
  <c r="B296"/>
  <c r="B299"/>
  <c r="B298"/>
  <c r="B300"/>
  <c r="B303"/>
  <c r="B306"/>
  <c r="B309"/>
  <c r="B312"/>
  <c r="B314"/>
  <c r="B302"/>
  <c r="B305"/>
  <c r="B308"/>
  <c r="B311"/>
  <c r="B313"/>
  <c r="B317"/>
  <c r="B322"/>
  <c r="B321"/>
  <c r="B323"/>
  <c r="B332"/>
  <c r="B324"/>
  <c r="B328"/>
  <c r="B331"/>
  <c r="B325"/>
  <c r="B327"/>
  <c r="B330"/>
  <c r="B334"/>
  <c r="B333"/>
  <c r="B335"/>
  <c r="B339"/>
  <c r="B341"/>
  <c r="B343"/>
  <c r="B337"/>
  <c r="B342"/>
  <c r="B340"/>
  <c r="B338"/>
  <c r="B336"/>
  <c r="B346"/>
  <c r="B345"/>
  <c r="B349"/>
  <c r="B348"/>
  <c r="B354"/>
  <c r="B353"/>
  <c r="B355"/>
  <c r="B356"/>
  <c r="B357"/>
  <c r="B362"/>
  <c r="B365"/>
  <c r="B364"/>
  <c r="B366"/>
  <c r="B369"/>
  <c r="B372"/>
  <c r="B375"/>
  <c r="B368"/>
  <c r="B371"/>
  <c r="B374"/>
  <c r="B379"/>
  <c r="B378"/>
  <c r="B380"/>
  <c r="B387"/>
  <c r="B381"/>
  <c r="B386"/>
  <c r="B382"/>
  <c r="B383"/>
  <c r="B385"/>
  <c r="B388"/>
  <c r="B390"/>
  <c r="B394"/>
  <c r="B391"/>
  <c r="B392"/>
  <c r="B393"/>
  <c r="B396"/>
  <c r="B400"/>
  <c r="B398"/>
  <c r="B395"/>
  <c r="B397"/>
  <c r="B399"/>
  <c r="B401"/>
  <c r="B402"/>
  <c r="B404"/>
  <c r="B403"/>
  <c r="B407"/>
  <c r="B406"/>
  <c r="B408"/>
  <c r="B410"/>
  <c r="B409"/>
  <c r="B413"/>
  <c r="B411"/>
  <c r="B412"/>
  <c r="B419"/>
  <c r="B414"/>
  <c r="B415"/>
  <c r="B416"/>
  <c r="B417"/>
  <c r="B418"/>
  <c r="B420"/>
  <c r="B421"/>
  <c r="B424"/>
  <c r="B427"/>
  <c r="B430"/>
  <c r="B423"/>
  <c r="B426"/>
  <c r="B429"/>
  <c r="B431"/>
  <c r="B432"/>
  <c r="B433"/>
  <c r="B434"/>
  <c r="B435"/>
  <c r="B436"/>
  <c r="B437"/>
  <c r="B438"/>
  <c r="B439"/>
  <c r="B440"/>
  <c r="B448"/>
  <c r="B450"/>
  <c r="B441"/>
  <c r="B442"/>
  <c r="B443"/>
  <c r="B444"/>
  <c r="B445"/>
  <c r="B446"/>
  <c r="B447"/>
  <c r="B449"/>
  <c r="B451"/>
  <c r="B455"/>
  <c r="B454"/>
  <c r="B453"/>
  <c r="B459"/>
  <c r="B458"/>
  <c r="B461"/>
  <c r="B460"/>
  <c r="B466"/>
  <c r="B465"/>
  <c r="B464"/>
  <c r="B463"/>
  <c r="B468"/>
  <c r="B467"/>
  <c r="B471"/>
  <c r="B470"/>
  <c r="B473"/>
  <c r="B472"/>
  <c r="B480"/>
  <c r="B481"/>
  <c r="B474"/>
  <c r="B475"/>
  <c r="B476"/>
  <c r="B477"/>
  <c r="B478"/>
  <c r="B479"/>
  <c r="B487"/>
  <c r="B489"/>
  <c r="B485"/>
  <c r="B488"/>
  <c r="B490"/>
  <c r="B493"/>
  <c r="B496"/>
  <c r="B492"/>
  <c r="B495"/>
  <c r="B500"/>
  <c r="B499"/>
  <c r="B501"/>
  <c r="B504"/>
  <c r="B503"/>
  <c r="B508"/>
  <c r="B507"/>
  <c r="B506"/>
  <c r="B511"/>
  <c r="B510"/>
  <c r="B512"/>
  <c r="B532"/>
  <c r="B520"/>
  <c r="B521"/>
  <c r="B522"/>
  <c r="B513"/>
  <c r="B514"/>
  <c r="B515"/>
  <c r="B516"/>
  <c r="B517"/>
  <c r="B518"/>
  <c r="B519"/>
  <c r="B531"/>
  <c r="B533"/>
  <c r="B534"/>
  <c r="B535"/>
  <c r="B536"/>
  <c r="B537"/>
  <c r="B538"/>
  <c r="B526"/>
  <c r="B527"/>
  <c r="B528"/>
  <c r="B529"/>
  <c r="B578"/>
  <c r="B576"/>
  <c r="B577"/>
  <c r="B574"/>
  <c r="B575"/>
  <c r="B544"/>
  <c r="B545"/>
  <c r="B546"/>
  <c r="B547"/>
  <c r="B548"/>
  <c r="B549"/>
  <c r="B553"/>
  <c r="B550"/>
  <c r="B551"/>
  <c r="B552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80"/>
  <c r="B581"/>
  <c r="B582"/>
  <c r="B583"/>
  <c r="B584"/>
  <c r="B585"/>
  <c r="B586"/>
  <c r="B587"/>
  <c r="B11"/>
  <c r="A12"/>
  <c r="A10"/>
  <c r="A13"/>
  <c r="A14"/>
  <c r="A21"/>
  <c r="A22"/>
  <c r="A24"/>
  <c r="A23"/>
  <c r="A25"/>
  <c r="A26"/>
  <c r="A27"/>
  <c r="A28"/>
  <c r="A29"/>
  <c r="A30"/>
  <c r="A33"/>
  <c r="A35"/>
  <c r="A32"/>
  <c r="A34"/>
  <c r="A37"/>
  <c r="A36"/>
  <c r="A38"/>
  <c r="A40"/>
  <c r="A39"/>
  <c r="A43"/>
  <c r="A45"/>
  <c r="A41"/>
  <c r="A42"/>
  <c r="A44"/>
  <c r="A46"/>
  <c r="A47"/>
  <c r="A50"/>
  <c r="A49"/>
  <c r="A51"/>
  <c r="A52"/>
  <c r="A53"/>
  <c r="A54"/>
  <c r="A57"/>
  <c r="A56"/>
  <c r="A58"/>
  <c r="A59"/>
  <c r="A60"/>
  <c r="A61"/>
  <c r="A64"/>
  <c r="A68"/>
  <c r="A63"/>
  <c r="A67"/>
  <c r="A69"/>
  <c r="A70"/>
  <c r="A73"/>
  <c r="A72"/>
  <c r="A74"/>
  <c r="A75"/>
  <c r="A76"/>
  <c r="A77"/>
  <c r="A78"/>
  <c r="A79"/>
  <c r="A82"/>
  <c r="A81"/>
  <c r="A83"/>
  <c r="A86"/>
  <c r="A88"/>
  <c r="A85"/>
  <c r="A87"/>
  <c r="A89"/>
  <c r="A90"/>
  <c r="A91"/>
  <c r="A94"/>
  <c r="A96"/>
  <c r="A93"/>
  <c r="A95"/>
  <c r="A97"/>
  <c r="A98"/>
  <c r="A99"/>
  <c r="A100"/>
  <c r="A102"/>
  <c r="A104"/>
  <c r="A106"/>
  <c r="A105"/>
  <c r="A103"/>
  <c r="A101"/>
  <c r="A108"/>
  <c r="A110"/>
  <c r="A107"/>
  <c r="A109"/>
  <c r="A111"/>
  <c r="A112"/>
  <c r="A113"/>
  <c r="A114"/>
  <c r="A117"/>
  <c r="A116"/>
  <c r="A120"/>
  <c r="A122"/>
  <c r="A124"/>
  <c r="A119"/>
  <c r="A121"/>
  <c r="A123"/>
  <c r="A125"/>
  <c r="A126"/>
  <c r="A127"/>
  <c r="A128"/>
  <c r="A129"/>
  <c r="A132"/>
  <c r="A130"/>
  <c r="A131"/>
  <c r="A133"/>
  <c r="A134"/>
  <c r="A137"/>
  <c r="A135"/>
  <c r="A136"/>
  <c r="A139"/>
  <c r="A141"/>
  <c r="A143"/>
  <c r="A142"/>
  <c r="A140"/>
  <c r="A138"/>
  <c r="A144"/>
  <c r="A146"/>
  <c r="A148"/>
  <c r="A150"/>
  <c r="A149"/>
  <c r="A147"/>
  <c r="A145"/>
  <c r="A151"/>
  <c r="A154"/>
  <c r="A153"/>
  <c r="A156"/>
  <c r="A158"/>
  <c r="A160"/>
  <c r="A159"/>
  <c r="A157"/>
  <c r="A155"/>
  <c r="A161"/>
  <c r="A162"/>
  <c r="A165"/>
  <c r="A164"/>
  <c r="A167"/>
  <c r="A169"/>
  <c r="A171"/>
  <c r="A170"/>
  <c r="A168"/>
  <c r="A166"/>
  <c r="A172"/>
  <c r="A173"/>
  <c r="A176"/>
  <c r="A174"/>
  <c r="A175"/>
  <c r="A177"/>
  <c r="A180"/>
  <c r="A178"/>
  <c r="A179"/>
  <c r="A182"/>
  <c r="A184"/>
  <c r="A186"/>
  <c r="A185"/>
  <c r="A183"/>
  <c r="A181"/>
  <c r="A188"/>
  <c r="A190"/>
  <c r="A192"/>
  <c r="A191"/>
  <c r="A189"/>
  <c r="A187"/>
  <c r="A194"/>
  <c r="A193"/>
  <c r="A196"/>
  <c r="A198"/>
  <c r="A200"/>
  <c r="A199"/>
  <c r="A197"/>
  <c r="A195"/>
  <c r="A202"/>
  <c r="A204"/>
  <c r="A206"/>
  <c r="A205"/>
  <c r="A203"/>
  <c r="A201"/>
  <c r="A207"/>
  <c r="A208"/>
  <c r="A211"/>
  <c r="A214"/>
  <c r="A210"/>
  <c r="A213"/>
  <c r="A215"/>
  <c r="A216"/>
  <c r="A218"/>
  <c r="A217"/>
  <c r="A221"/>
  <c r="A223"/>
  <c r="A222"/>
  <c r="A226"/>
  <c r="A224"/>
  <c r="A225"/>
  <c r="A227"/>
  <c r="A230"/>
  <c r="A233"/>
  <c r="A229"/>
  <c r="A232"/>
  <c r="A234"/>
  <c r="A237"/>
  <c r="A236"/>
  <c r="A239"/>
  <c r="A241"/>
  <c r="A243"/>
  <c r="A242"/>
  <c r="A240"/>
  <c r="A238"/>
  <c r="A244"/>
  <c r="A247"/>
  <c r="A246"/>
  <c r="A248"/>
  <c r="A251"/>
  <c r="A250"/>
  <c r="A254"/>
  <c r="A255"/>
  <c r="A258"/>
  <c r="A257"/>
  <c r="A259"/>
  <c r="A260"/>
  <c r="A263"/>
  <c r="A262"/>
  <c r="A266"/>
  <c r="A265"/>
  <c r="A269"/>
  <c r="A271"/>
  <c r="A273"/>
  <c r="A275"/>
  <c r="A274"/>
  <c r="A272"/>
  <c r="A270"/>
  <c r="A278"/>
  <c r="A277"/>
  <c r="A280"/>
  <c r="A279"/>
  <c r="A282"/>
  <c r="A285"/>
  <c r="A284"/>
  <c r="A286"/>
  <c r="A287"/>
  <c r="A290"/>
  <c r="A289"/>
  <c r="A291"/>
  <c r="A292"/>
  <c r="A295"/>
  <c r="A294"/>
  <c r="A296"/>
  <c r="A299"/>
  <c r="A298"/>
  <c r="A300"/>
  <c r="A303"/>
  <c r="A306"/>
  <c r="A309"/>
  <c r="A312"/>
  <c r="A314"/>
  <c r="A302"/>
  <c r="A305"/>
  <c r="A308"/>
  <c r="A311"/>
  <c r="A313"/>
  <c r="A317"/>
  <c r="A322"/>
  <c r="A321"/>
  <c r="A323"/>
  <c r="A332"/>
  <c r="A324"/>
  <c r="A328"/>
  <c r="A331"/>
  <c r="A325"/>
  <c r="A327"/>
  <c r="A330"/>
  <c r="A334"/>
  <c r="A333"/>
  <c r="A335"/>
  <c r="A339"/>
  <c r="A341"/>
  <c r="A343"/>
  <c r="A337"/>
  <c r="A342"/>
  <c r="A340"/>
  <c r="A338"/>
  <c r="A336"/>
  <c r="A346"/>
  <c r="A345"/>
  <c r="A349"/>
  <c r="A348"/>
  <c r="A354"/>
  <c r="A353"/>
  <c r="A355"/>
  <c r="A356"/>
  <c r="A357"/>
  <c r="A362"/>
  <c r="A365"/>
  <c r="A364"/>
  <c r="A366"/>
  <c r="A369"/>
  <c r="A372"/>
  <c r="A375"/>
  <c r="A368"/>
  <c r="A371"/>
  <c r="A374"/>
  <c r="A379"/>
  <c r="A378"/>
  <c r="A380"/>
  <c r="A387"/>
  <c r="A381"/>
  <c r="A386"/>
  <c r="A382"/>
  <c r="A383"/>
  <c r="A385"/>
  <c r="A388"/>
  <c r="A390"/>
  <c r="A394"/>
  <c r="A391"/>
  <c r="A392"/>
  <c r="A393"/>
  <c r="A396"/>
  <c r="A400"/>
  <c r="A398"/>
  <c r="A395"/>
  <c r="A397"/>
  <c r="A399"/>
  <c r="A401"/>
  <c r="A402"/>
  <c r="A404"/>
  <c r="A403"/>
  <c r="A407"/>
  <c r="A406"/>
  <c r="A408"/>
  <c r="A410"/>
  <c r="A409"/>
  <c r="A413"/>
  <c r="A411"/>
  <c r="A412"/>
  <c r="A419"/>
  <c r="A414"/>
  <c r="A415"/>
  <c r="A416"/>
  <c r="A417"/>
  <c r="A418"/>
  <c r="A420"/>
  <c r="A421"/>
  <c r="A424"/>
  <c r="A427"/>
  <c r="A430"/>
  <c r="A423"/>
  <c r="A426"/>
  <c r="A429"/>
  <c r="A431"/>
  <c r="A432"/>
  <c r="A433"/>
  <c r="A434"/>
  <c r="A435"/>
  <c r="A436"/>
  <c r="A437"/>
  <c r="A438"/>
  <c r="A439"/>
  <c r="A440"/>
  <c r="A448"/>
  <c r="A450"/>
  <c r="A441"/>
  <c r="A442"/>
  <c r="A443"/>
  <c r="A444"/>
  <c r="A445"/>
  <c r="A446"/>
  <c r="A447"/>
  <c r="A449"/>
  <c r="A451"/>
  <c r="A455"/>
  <c r="A454"/>
  <c r="A453"/>
  <c r="A459"/>
  <c r="A458"/>
  <c r="A461"/>
  <c r="A460"/>
  <c r="A466"/>
  <c r="A465"/>
  <c r="A464"/>
  <c r="A463"/>
  <c r="A468"/>
  <c r="A467"/>
  <c r="A471"/>
  <c r="A470"/>
  <c r="A473"/>
  <c r="A472"/>
  <c r="A480"/>
  <c r="A481"/>
  <c r="A474"/>
  <c r="A475"/>
  <c r="A476"/>
  <c r="A477"/>
  <c r="A478"/>
  <c r="A479"/>
  <c r="A487"/>
  <c r="A489"/>
  <c r="A485"/>
  <c r="A488"/>
  <c r="A490"/>
  <c r="A493"/>
  <c r="A496"/>
  <c r="A492"/>
  <c r="A495"/>
  <c r="A500"/>
  <c r="A499"/>
  <c r="A501"/>
  <c r="A504"/>
  <c r="A503"/>
  <c r="A508"/>
  <c r="A507"/>
  <c r="A506"/>
  <c r="A511"/>
  <c r="A510"/>
  <c r="A512"/>
  <c r="A532"/>
  <c r="A520"/>
  <c r="A521"/>
  <c r="A522"/>
  <c r="A513"/>
  <c r="A514"/>
  <c r="A515"/>
  <c r="A516"/>
  <c r="A517"/>
  <c r="A518"/>
  <c r="A519"/>
  <c r="A531"/>
  <c r="A533"/>
  <c r="A534"/>
  <c r="A535"/>
  <c r="A536"/>
  <c r="A537"/>
  <c r="A538"/>
  <c r="A526"/>
  <c r="A527"/>
  <c r="A528"/>
  <c r="A529"/>
  <c r="A578"/>
  <c r="A576"/>
  <c r="A577"/>
  <c r="A574"/>
  <c r="A575"/>
  <c r="A544"/>
  <c r="A545"/>
  <c r="A546"/>
  <c r="A547"/>
  <c r="A548"/>
  <c r="A549"/>
  <c r="A553"/>
  <c r="A550"/>
  <c r="A551"/>
  <c r="A552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80"/>
  <c r="A581"/>
  <c r="A582"/>
  <c r="A583"/>
  <c r="A584"/>
  <c r="A585"/>
  <c r="A586"/>
  <c r="A5" i="12"/>
  <c r="A6"/>
  <c r="A7"/>
  <c r="A8"/>
  <c r="A9"/>
  <c r="A10"/>
  <c r="A16"/>
  <c r="A22"/>
  <c r="A23"/>
  <c r="A17"/>
  <c r="A24"/>
  <c r="A25"/>
  <c r="A26"/>
  <c r="A27"/>
  <c r="A21"/>
  <c r="A18"/>
  <c r="A19"/>
  <c r="A4"/>
  <c r="I16" i="14" l="1"/>
  <c r="J16"/>
  <c r="E177" i="34"/>
  <c r="E172"/>
  <c r="C163"/>
  <c r="E161"/>
  <c r="C152"/>
  <c r="E151"/>
  <c r="E144"/>
  <c r="E133"/>
  <c r="E127"/>
  <c r="E126"/>
  <c r="E125"/>
  <c r="C118"/>
  <c r="C115"/>
  <c r="E113"/>
  <c r="C92"/>
  <c r="E91"/>
  <c r="C84"/>
  <c r="E83"/>
  <c r="C80"/>
  <c r="E78"/>
  <c r="C71"/>
  <c r="E69"/>
  <c r="C62"/>
  <c r="C66"/>
  <c r="C65"/>
  <c r="E60"/>
  <c r="C55"/>
  <c r="E53"/>
  <c r="C48"/>
  <c r="E46"/>
  <c r="E38"/>
  <c r="C31"/>
  <c r="E30"/>
  <c r="E29"/>
  <c r="E28"/>
  <c r="E27"/>
  <c r="E26"/>
  <c r="E25"/>
  <c r="E23"/>
  <c r="E24"/>
  <c r="E22"/>
  <c r="E21"/>
  <c r="I17" i="14" l="1"/>
  <c r="J17"/>
  <c r="B48" i="34"/>
  <c r="A48"/>
  <c r="B55"/>
  <c r="A55"/>
  <c r="B65"/>
  <c r="A65"/>
  <c r="B62"/>
  <c r="A62"/>
  <c r="B71"/>
  <c r="A71"/>
  <c r="B80"/>
  <c r="A80"/>
  <c r="B84"/>
  <c r="A84"/>
  <c r="B92"/>
  <c r="A92"/>
  <c r="B115"/>
  <c r="A115"/>
  <c r="B152"/>
  <c r="A152"/>
  <c r="B163"/>
  <c r="A163"/>
  <c r="B209"/>
  <c r="A209"/>
  <c r="B219"/>
  <c r="A219"/>
  <c r="B228"/>
  <c r="A228"/>
  <c r="B235"/>
  <c r="A235"/>
  <c r="B245"/>
  <c r="A245"/>
  <c r="B249"/>
  <c r="A249"/>
  <c r="B252"/>
  <c r="A252"/>
  <c r="B256"/>
  <c r="A256"/>
  <c r="B261"/>
  <c r="A261"/>
  <c r="B268"/>
  <c r="A268"/>
  <c r="B281"/>
  <c r="A281"/>
  <c r="B283"/>
  <c r="A283"/>
  <c r="B288"/>
  <c r="A288"/>
  <c r="B293"/>
  <c r="A293"/>
  <c r="B297"/>
  <c r="A297"/>
  <c r="B301"/>
  <c r="A301"/>
  <c r="B310"/>
  <c r="A310"/>
  <c r="B315"/>
  <c r="A315"/>
  <c r="B318"/>
  <c r="A318"/>
  <c r="B329"/>
  <c r="A329"/>
  <c r="B347"/>
  <c r="A347"/>
  <c r="B350"/>
  <c r="A350"/>
  <c r="B358"/>
  <c r="A358"/>
  <c r="B360"/>
  <c r="A360"/>
  <c r="B367"/>
  <c r="A367"/>
  <c r="B373"/>
  <c r="A373"/>
  <c r="B376"/>
  <c r="A376"/>
  <c r="B384"/>
  <c r="A384"/>
  <c r="B405"/>
  <c r="A405"/>
  <c r="B422"/>
  <c r="A422"/>
  <c r="B452"/>
  <c r="A452"/>
  <c r="B456"/>
  <c r="A456"/>
  <c r="B469"/>
  <c r="A469"/>
  <c r="B486"/>
  <c r="A486"/>
  <c r="B494"/>
  <c r="A494"/>
  <c r="B498"/>
  <c r="A498"/>
  <c r="B505"/>
  <c r="A505"/>
  <c r="B31"/>
  <c r="A31"/>
  <c r="B66"/>
  <c r="A66"/>
  <c r="B118"/>
  <c r="A118"/>
  <c r="B212"/>
  <c r="A212"/>
  <c r="B220"/>
  <c r="A220"/>
  <c r="B231"/>
  <c r="A231"/>
  <c r="B253"/>
  <c r="A253"/>
  <c r="B264"/>
  <c r="A264"/>
  <c r="B267"/>
  <c r="A267"/>
  <c r="B276"/>
  <c r="A276"/>
  <c r="B307"/>
  <c r="A307"/>
  <c r="B304"/>
  <c r="A304"/>
  <c r="B316"/>
  <c r="A316"/>
  <c r="B319"/>
  <c r="A319"/>
  <c r="B320"/>
  <c r="A320"/>
  <c r="B326"/>
  <c r="A326"/>
  <c r="B344"/>
  <c r="A344"/>
  <c r="B351"/>
  <c r="A351"/>
  <c r="B352"/>
  <c r="A352"/>
  <c r="B359"/>
  <c r="A359"/>
  <c r="B361"/>
  <c r="A361"/>
  <c r="B363"/>
  <c r="A363"/>
  <c r="B370"/>
  <c r="A370"/>
  <c r="B377"/>
  <c r="A377"/>
  <c r="B389"/>
  <c r="A389"/>
  <c r="B425"/>
  <c r="A425"/>
  <c r="B428"/>
  <c r="A428"/>
  <c r="B457"/>
  <c r="A457"/>
  <c r="B462"/>
  <c r="A462"/>
  <c r="B484"/>
  <c r="A484"/>
  <c r="B491"/>
  <c r="A491"/>
  <c r="B502"/>
  <c r="A502"/>
  <c r="B509"/>
  <c r="A509"/>
  <c r="I18" i="14" l="1"/>
  <c r="J18"/>
  <c r="G21"/>
  <c r="E32"/>
  <c r="H23"/>
  <c r="E27"/>
  <c r="B30"/>
  <c r="C27"/>
  <c r="A27" s="1"/>
  <c r="C29"/>
  <c r="A29" s="1"/>
  <c r="C22"/>
  <c r="A22" s="1"/>
  <c r="H32"/>
  <c r="G24"/>
  <c r="C21"/>
  <c r="A21" s="1"/>
  <c r="E26"/>
  <c r="H31"/>
  <c r="H24"/>
  <c r="C30"/>
  <c r="A30" s="1"/>
  <c r="B22"/>
  <c r="D27"/>
  <c r="G32"/>
  <c r="E24"/>
  <c r="G29"/>
  <c r="D22"/>
  <c r="B25"/>
  <c r="G27"/>
  <c r="D30"/>
  <c r="D23"/>
  <c r="B26"/>
  <c r="G28"/>
  <c r="D31"/>
  <c r="E23"/>
  <c r="C26"/>
  <c r="A26" s="1"/>
  <c r="H28"/>
  <c r="E31"/>
  <c r="B23"/>
  <c r="H25"/>
  <c r="D28"/>
  <c r="B31"/>
  <c r="H21"/>
  <c r="C23"/>
  <c r="A23" s="1"/>
  <c r="D24"/>
  <c r="G25"/>
  <c r="B27"/>
  <c r="E28"/>
  <c r="H29"/>
  <c r="C31"/>
  <c r="A31" s="1"/>
  <c r="D32"/>
  <c r="D21"/>
  <c r="H22"/>
  <c r="C24"/>
  <c r="A24" s="1"/>
  <c r="E25"/>
  <c r="G26"/>
  <c r="B28"/>
  <c r="D29"/>
  <c r="H30"/>
  <c r="C32"/>
  <c r="A32" s="1"/>
  <c r="E21"/>
  <c r="G22"/>
  <c r="B24"/>
  <c r="D25"/>
  <c r="H26"/>
  <c r="C28"/>
  <c r="A28" s="1"/>
  <c r="E29"/>
  <c r="G30"/>
  <c r="B32"/>
  <c r="B21"/>
  <c r="E22"/>
  <c r="G23"/>
  <c r="C25"/>
  <c r="A25" s="1"/>
  <c r="D26"/>
  <c r="H27"/>
  <c r="B29"/>
  <c r="E30"/>
  <c r="G31"/>
  <c r="J19" l="1"/>
  <c r="I19"/>
  <c r="H51"/>
  <c r="G51"/>
  <c r="I20" l="1"/>
  <c r="J20"/>
  <c r="I52"/>
  <c r="J52"/>
  <c r="J21" l="1"/>
  <c r="I21"/>
  <c r="I22" l="1"/>
  <c r="J22"/>
  <c r="J23" l="1"/>
  <c r="I23"/>
  <c r="I24" l="1"/>
  <c r="J24"/>
  <c r="I25" l="1"/>
  <c r="J25"/>
  <c r="I26" l="1"/>
  <c r="J26"/>
  <c r="J27" l="1"/>
  <c r="I27"/>
  <c r="J28" l="1"/>
  <c r="I28"/>
  <c r="I29" l="1"/>
  <c r="J29"/>
  <c r="J30" l="1"/>
  <c r="I30"/>
  <c r="I31" l="1"/>
  <c r="J31"/>
  <c r="J32" l="1"/>
  <c r="I32"/>
  <c r="J33" l="1"/>
  <c r="I33"/>
  <c r="I34" l="1"/>
  <c r="J34"/>
  <c r="J35" l="1"/>
  <c r="I35"/>
  <c r="F38" i="15" a="1"/>
  <c r="F38" s="1"/>
  <c r="E36" a="1"/>
  <c r="E36" s="1"/>
  <c r="F37" a="1"/>
  <c r="F37" s="1"/>
  <c r="F34" a="1"/>
  <c r="F34" s="1"/>
  <c r="F35" a="1"/>
  <c r="F35" s="1"/>
  <c r="F39" a="1"/>
  <c r="F39" s="1"/>
  <c r="F36" a="1"/>
  <c r="F36" s="1"/>
  <c r="E19" i="12" a="1"/>
  <c r="E19" s="1"/>
  <c r="E38" i="15" a="1"/>
  <c r="E38" s="1"/>
  <c r="I38" s="1"/>
  <c r="E24" i="12" a="1"/>
  <c r="E24" s="1"/>
  <c r="F23" a="1"/>
  <c r="F23" s="1"/>
  <c r="E30" a="1"/>
  <c r="E30" s="1"/>
  <c r="E28" a="1"/>
  <c r="E28" s="1"/>
  <c r="F21" a="1"/>
  <c r="F21" s="1"/>
  <c r="E18" a="1"/>
  <c r="E18" s="1"/>
  <c r="E37" i="15" a="1"/>
  <c r="E37" s="1"/>
  <c r="E16" a="1"/>
  <c r="E16" s="1"/>
  <c r="E27" a="1"/>
  <c r="E27" s="1"/>
  <c r="E31" a="1"/>
  <c r="E31" s="1"/>
  <c r="F16" i="12" a="1"/>
  <c r="F16" s="1"/>
  <c r="F13" a="1"/>
  <c r="F13" s="1"/>
  <c r="F19" a="1"/>
  <c r="F19" s="1"/>
  <c r="E29" a="1"/>
  <c r="E29" s="1"/>
  <c r="E7" a="1"/>
  <c r="E7" s="1"/>
  <c r="E13" a="1"/>
  <c r="E13" s="1"/>
  <c r="G13" s="1"/>
  <c r="E39" i="15" a="1"/>
  <c r="E39" s="1"/>
  <c r="E27" i="12" a="1"/>
  <c r="E27" s="1"/>
  <c r="E23" a="1"/>
  <c r="E23" s="1"/>
  <c r="E12" a="1"/>
  <c r="E12" s="1"/>
  <c r="F29" i="15" a="1"/>
  <c r="F29" s="1"/>
  <c r="F25" i="12" a="1"/>
  <c r="F25" s="1"/>
  <c r="F12" a="1"/>
  <c r="F12" s="1"/>
  <c r="F30" a="1"/>
  <c r="F30" s="1"/>
  <c r="E17" a="1"/>
  <c r="E17" s="1"/>
  <c r="F18" a="1"/>
  <c r="F18" s="1"/>
  <c r="F24" a="1"/>
  <c r="F24" s="1"/>
  <c r="E22" a="1"/>
  <c r="E22" s="1"/>
  <c r="F6" a="1"/>
  <c r="F6" s="1"/>
  <c r="E5" a="1"/>
  <c r="E5" s="1"/>
  <c r="F11" a="1"/>
  <c r="F11" s="1"/>
  <c r="E10" a="1"/>
  <c r="E10" s="1"/>
  <c r="F27" a="1"/>
  <c r="F27" s="1"/>
  <c r="F17" a="1"/>
  <c r="F17" s="1"/>
  <c r="F28" a="1"/>
  <c r="F28" s="1"/>
  <c r="F20" i="15" a="1"/>
  <c r="F20" s="1"/>
  <c r="F40" i="12" s="1"/>
  <c r="F14" i="15" a="1"/>
  <c r="F14" s="1"/>
  <c r="E6" i="12" a="1"/>
  <c r="E6" s="1"/>
  <c r="F22" i="15" a="1"/>
  <c r="F22" s="1"/>
  <c r="F29" i="12" a="1"/>
  <c r="F29" s="1"/>
  <c r="H29" s="1"/>
  <c r="F10" a="1"/>
  <c r="F10" s="1"/>
  <c r="F9" a="1"/>
  <c r="F9" s="1"/>
  <c r="E8" a="1"/>
  <c r="E8" s="1"/>
  <c r="E25" i="15" a="1"/>
  <c r="E25" s="1"/>
  <c r="F5" i="12" a="1"/>
  <c r="F5" s="1"/>
  <c r="E40" i="15" a="1"/>
  <c r="E40" s="1"/>
  <c r="F22" i="12" a="1"/>
  <c r="F22" s="1"/>
  <c r="F12" i="15" a="1"/>
  <c r="F12" s="1"/>
  <c r="E20" a="1"/>
  <c r="E20" s="1"/>
  <c r="F21" a="1"/>
  <c r="F21" s="1"/>
  <c r="F10" a="1"/>
  <c r="F10" s="1"/>
  <c r="E26" i="12" a="1"/>
  <c r="E26" s="1"/>
  <c r="F7" a="1"/>
  <c r="F7" s="1"/>
  <c r="E29" i="15" a="1"/>
  <c r="E29" s="1"/>
  <c r="F16" a="1"/>
  <c r="F16" s="1"/>
  <c r="E9" i="12" a="1"/>
  <c r="E9" s="1"/>
  <c r="E22" i="15" a="1"/>
  <c r="E22" s="1"/>
  <c r="E21" a="1"/>
  <c r="E21" s="1"/>
  <c r="E16" i="12" a="1"/>
  <c r="E16" s="1"/>
  <c r="E14" i="15" a="1"/>
  <c r="E14" s="1"/>
  <c r="F31" a="1"/>
  <c r="F31" s="1"/>
  <c r="H31" s="1"/>
  <c r="F27" a="1"/>
  <c r="F27" s="1"/>
  <c r="E12" a="1"/>
  <c r="E12" s="1"/>
  <c r="E10" a="1"/>
  <c r="E10" s="1"/>
  <c r="E25" i="12" a="1"/>
  <c r="E25" s="1"/>
  <c r="E34" i="15" a="1"/>
  <c r="E34" s="1"/>
  <c r="E11" i="12" a="1"/>
  <c r="E11" s="1"/>
  <c r="G11" s="1"/>
  <c r="E21" a="1"/>
  <c r="E21" s="1"/>
  <c r="F26" a="1"/>
  <c r="F26" s="1"/>
  <c r="H26" s="1"/>
  <c r="F25" i="15" a="1"/>
  <c r="F25" s="1"/>
  <c r="I10" i="34"/>
  <c r="F8" i="12" a="1"/>
  <c r="F8" s="1"/>
  <c r="E38" l="1"/>
  <c r="F38"/>
  <c r="F42" s="1"/>
  <c r="G23"/>
  <c r="H18"/>
  <c r="H8"/>
  <c r="H5"/>
  <c r="H10"/>
  <c r="G21"/>
  <c r="G16"/>
  <c r="J36" i="14"/>
  <c r="I36"/>
  <c r="I39" i="15"/>
  <c r="H7" i="12"/>
  <c r="H17"/>
  <c r="H30"/>
  <c r="G20" i="15"/>
  <c r="E40" i="12"/>
  <c r="G25"/>
  <c r="H28"/>
  <c r="H27"/>
  <c r="H24"/>
  <c r="H19"/>
  <c r="E32" i="15" a="1"/>
  <c r="E32" s="1"/>
  <c r="E33" s="1"/>
  <c r="F32" a="1"/>
  <c r="F32" s="1"/>
  <c r="F33" s="1"/>
  <c r="F40" a="1"/>
  <c r="F40" s="1"/>
  <c r="I40" s="1"/>
  <c r="I35"/>
  <c r="I37"/>
  <c r="I34"/>
  <c r="H9" i="12"/>
  <c r="H6"/>
  <c r="G17"/>
  <c r="H12"/>
  <c r="G12" i="15"/>
  <c r="E13"/>
  <c r="H27"/>
  <c r="H28" s="1"/>
  <c r="F28"/>
  <c r="G14"/>
  <c r="E15"/>
  <c r="I21"/>
  <c r="G21"/>
  <c r="G22"/>
  <c r="G23" s="1"/>
  <c r="I22"/>
  <c r="E23"/>
  <c r="E24" s="1"/>
  <c r="H16"/>
  <c r="F17"/>
  <c r="F11"/>
  <c r="H10"/>
  <c r="H11" s="1"/>
  <c r="F23"/>
  <c r="F24" s="1"/>
  <c r="H22"/>
  <c r="H23" s="1"/>
  <c r="F15"/>
  <c r="H14"/>
  <c r="H15" s="1"/>
  <c r="H29"/>
  <c r="F30"/>
  <c r="E28"/>
  <c r="G27"/>
  <c r="G28" s="1"/>
  <c r="G16"/>
  <c r="E17"/>
  <c r="G17" s="1"/>
  <c r="H4" i="12"/>
  <c r="H11"/>
  <c r="G7"/>
  <c r="H16"/>
  <c r="G18"/>
  <c r="G28"/>
  <c r="G24"/>
  <c r="G19"/>
  <c r="F26" i="15"/>
  <c r="H25"/>
  <c r="H26" s="1"/>
  <c r="E11"/>
  <c r="G10"/>
  <c r="G4" i="12"/>
  <c r="E30" i="15"/>
  <c r="G29"/>
  <c r="H21"/>
  <c r="H12"/>
  <c r="F13"/>
  <c r="I25"/>
  <c r="G25"/>
  <c r="G26" s="1"/>
  <c r="E26"/>
  <c r="G22" i="12"/>
  <c r="H22"/>
  <c r="G31" i="15"/>
  <c r="G9" i="12"/>
  <c r="G26"/>
  <c r="G8"/>
  <c r="G6"/>
  <c r="H20" i="15"/>
  <c r="G10" i="12"/>
  <c r="G5"/>
  <c r="H25"/>
  <c r="G12"/>
  <c r="G27"/>
  <c r="G29"/>
  <c r="H13"/>
  <c r="H21"/>
  <c r="G30"/>
  <c r="H23"/>
  <c r="I36" i="15"/>
  <c r="G38" i="12" l="1"/>
  <c r="H38"/>
  <c r="G11" i="15"/>
  <c r="G15"/>
  <c r="E41"/>
  <c r="F41"/>
  <c r="I37" i="14"/>
  <c r="L233" i="35"/>
  <c r="M233" s="1"/>
  <c r="J37" i="14"/>
  <c r="I26" i="15"/>
  <c r="H32"/>
  <c r="H33" s="1"/>
  <c r="G32"/>
  <c r="G33" s="1"/>
  <c r="G30"/>
  <c r="E42" i="12"/>
  <c r="H13" i="15"/>
  <c r="H24"/>
  <c r="I24"/>
  <c r="H30"/>
  <c r="H17"/>
  <c r="I23"/>
  <c r="G24"/>
  <c r="G13"/>
  <c r="H41" l="1"/>
  <c r="G41"/>
  <c r="J38" i="14"/>
  <c r="I38"/>
  <c r="E43" i="15"/>
  <c r="I39" i="14" l="1"/>
  <c r="J39"/>
  <c r="H43" i="15"/>
  <c r="A741" i="34"/>
  <c r="J40" i="14" l="1"/>
  <c r="I40"/>
  <c r="B741" i="34"/>
  <c r="I41" i="14" l="1"/>
  <c r="J41"/>
  <c r="J42" s="1"/>
  <c r="I42" l="1"/>
  <c r="I43" l="1"/>
  <c r="J43"/>
  <c r="J44" l="1"/>
  <c r="I44"/>
  <c r="I45" l="1"/>
  <c r="J45"/>
  <c r="J46" l="1"/>
  <c r="I46"/>
  <c r="I47" l="1"/>
  <c r="J47"/>
  <c r="J48" l="1"/>
  <c r="I48"/>
  <c r="I49" l="1"/>
  <c r="J49"/>
  <c r="J50" l="1"/>
  <c r="I50"/>
</calcChain>
</file>

<file path=xl/comments1.xml><?xml version="1.0" encoding="utf-8"?>
<comments xmlns="http://schemas.openxmlformats.org/spreadsheetml/2006/main">
  <authors>
    <author>User 1</author>
  </authors>
  <commentList>
    <comment ref="L234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<sst xmlns="http://schemas.openxmlformats.org/spreadsheetml/2006/main" count="6203" uniqueCount="1058">
  <si>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</si>
  <si>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</si>
  <si>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</si>
  <si>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</si>
  <si>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</si>
  <si>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</si>
  <si>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</si>
  <si>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</si>
  <si>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</si>
  <si>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</si>
  <si>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</si>
  <si>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</si>
  <si>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</si>
  <si>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</si>
  <si>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</si>
  <si>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</si>
  <si>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</si>
  <si>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</si>
  <si>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</si>
  <si>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</si>
  <si>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</si>
  <si>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</si>
  <si>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</si>
  <si>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</si>
  <si>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</si>
  <si>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</si>
  <si>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</si>
  <si>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</si>
  <si>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</si>
  <si>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</si>
  <si>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</si>
  <si>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</si>
  <si>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</si>
  <si>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</si>
  <si>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</si>
  <si>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</si>
  <si>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</si>
  <si>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</si>
  <si>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</si>
  <si>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</si>
  <si>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</si>
  <si>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</si>
  <si>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</si>
  <si>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</si>
  <si>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</si>
  <si>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</si>
  <si>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</si>
  <si>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</si>
  <si>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</si>
  <si>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</si>
  <si>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</si>
  <si>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</si>
  <si>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</si>
  <si>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</si>
  <si>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</si>
  <si>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</si>
  <si>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</si>
  <si>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</si>
  <si>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</si>
  <si>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</si>
  <si>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</si>
  <si>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</si>
  <si>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</si>
  <si>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</si>
  <si>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</si>
  <si>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</si>
  <si>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</si>
  <si>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</si>
  <si>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</si>
  <si>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</si>
  <si>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</si>
  <si>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</si>
  <si>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</si>
  <si>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</si>
  <si>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</si>
  <si>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</si>
  <si>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</si>
  <si>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</si>
  <si>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</si>
  <si>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</si>
  <si>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</si>
  <si>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</si>
  <si>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</si>
  <si>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</si>
  <si>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</si>
  <si>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</si>
  <si>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</si>
  <si>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</si>
  <si>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</si>
  <si>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</si>
  <si>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</si>
  <si>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</si>
  <si>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</si>
  <si>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</si>
  <si>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</si>
  <si>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</si>
  <si>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</si>
  <si>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</si>
  <si>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</si>
  <si>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</si>
  <si>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</si>
  <si>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</si>
  <si>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</si>
  <si>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</si>
  <si>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</si>
  <si>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</si>
  <si>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</si>
  <si>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</si>
  <si>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</si>
  <si>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</si>
  <si>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</si>
  <si>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</si>
  <si>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</si>
  <si>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</si>
  <si>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</si>
  <si>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</si>
  <si>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</si>
  <si>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</si>
  <si>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</si>
  <si>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</si>
  <si>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</si>
  <si>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</si>
  <si>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</si>
  <si>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</si>
  <si>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</si>
  <si>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</si>
  <si>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</si>
  <si>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</si>
  <si>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</si>
  <si>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</si>
  <si>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</si>
  <si>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</si>
  <si>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</si>
  <si>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</si>
  <si>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</si>
  <si>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</si>
  <si>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</si>
  <si>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</si>
  <si>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</si>
  <si>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</si>
  <si>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</si>
  <si>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</si>
  <si>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</si>
  <si>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</si>
  <si>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</si>
  <si>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</si>
  <si>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</si>
  <si>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</si>
  <si>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</si>
  <si>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</si>
  <si>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</si>
  <si>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</si>
  <si>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</si>
  <si>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</si>
  <si>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</si>
  <si>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</si>
  <si>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</si>
  <si>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</si>
  <si>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</si>
  <si>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</si>
  <si>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</si>
  <si>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</si>
  <si>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</si>
  <si>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</si>
  <si>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</si>
  <si>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</si>
  <si>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</si>
  <si>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</si>
  <si>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</si>
  <si>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</si>
  <si>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</si>
  <si>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</si>
  <si>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</si>
  <si>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</si>
  <si>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</si>
  <si>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</si>
  <si>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</si>
  <si>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</si>
  <si>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</si>
  <si>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</si>
  <si>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</si>
  <si>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</si>
  <si>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</si>
  <si>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</si>
  <si>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</si>
  <si>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</si>
  <si>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</si>
  <si>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</si>
  <si>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</si>
  <si>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</si>
  <si>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</si>
  <si>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</si>
  <si>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</si>
  <si>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</si>
  <si>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</si>
  <si>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</si>
  <si>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</si>
  <si>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</si>
  <si>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</si>
  <si>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</si>
  <si>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</si>
  <si>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</si>
  <si>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</si>
  <si>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</si>
  <si>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</si>
  <si>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</si>
  <si>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</si>
  <si>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</si>
  <si>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</si>
  <si>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</si>
  <si>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</si>
  <si>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</si>
  <si>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</si>
  <si>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</si>
  <si>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</si>
  <si>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</si>
  <si>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</si>
  <si>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</si>
  <si>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</si>
  <si>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</si>
  <si>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</si>
  <si>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</si>
  <si>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</si>
  <si>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</si>
  <si>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</si>
  <si>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</si>
  <si>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</si>
  <si>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</si>
  <si>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</si>
  <si>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</si>
  <si>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</si>
  <si>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</si>
  <si>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</si>
  <si>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</si>
  <si>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</si>
  <si>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</si>
  <si>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</si>
  <si>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</si>
  <si>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</si>
  <si>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</si>
  <si>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</si>
  <si>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</si>
  <si>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</si>
  <si>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</si>
  <si>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</si>
  <si>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</si>
  <si>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</si>
  <si>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</si>
  <si>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</si>
  <si>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</si>
  <si>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</si>
  <si>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</si>
  <si>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</si>
  <si>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</si>
  <si>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</si>
  <si>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</si>
  <si>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</si>
  <si>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</si>
  <si>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</si>
  <si>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</si>
  <si>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</si>
  <si>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</si>
  <si>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</si>
  <si>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</si>
  <si>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</si>
  <si>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</si>
  <si>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</si>
  <si>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</si>
  <si>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</si>
  <si>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</si>
  <si>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</si>
  <si>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</si>
  <si>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</si>
  <si>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</si>
  <si>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</si>
  <si>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</si>
  <si>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</si>
  <si>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</si>
  <si>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</si>
  <si>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</si>
  <si>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</si>
  <si>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</si>
  <si>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</si>
  <si>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</si>
  <si>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</si>
  <si>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</si>
  <si>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</si>
  <si>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</si>
  <si>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</si>
  <si>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</si>
  <si>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</si>
  <si>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</si>
  <si>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</si>
  <si>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</si>
  <si>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</si>
  <si>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</si>
  <si>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</si>
  <si>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</si>
  <si>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</si>
  <si>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</si>
  <si>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</si>
  <si>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</si>
  <si>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</si>
  <si>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</si>
  <si>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</si>
  <si>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</si>
  <si>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</si>
  <si>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</si>
  <si>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</si>
  <si>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</si>
  <si>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</si>
  <si>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</si>
  <si>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</si>
  <si>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</si>
  <si>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</si>
  <si>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</si>
  <si>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</si>
  <si>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</si>
  <si>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</si>
  <si>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</si>
  <si>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</si>
  <si>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</si>
  <si>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</si>
  <si>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</si>
  <si>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</si>
  <si>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</si>
  <si>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</si>
  <si>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</si>
  <si>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</si>
  <si>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</si>
  <si>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</si>
  <si>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</si>
  <si>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</si>
  <si>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</si>
  <si>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</si>
  <si>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</si>
  <si>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</si>
  <si>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</si>
  <si>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</si>
  <si>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</si>
  <si>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</si>
  <si>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</si>
  <si>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</si>
  <si>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</si>
  <si>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</si>
  <si>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</si>
  <si>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</si>
  <si>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</si>
  <si>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</si>
  <si>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</si>
  <si>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</si>
  <si>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</si>
  <si>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</si>
  <si>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</si>
  <si>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</si>
  <si>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</si>
  <si>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</si>
  <si>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</si>
  <si>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</si>
  <si>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</si>
  <si>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</si>
  <si>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</si>
  <si>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</si>
  <si>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</si>
  <si>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</si>
  <si>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</si>
  <si>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</si>
  <si>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</si>
  <si>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</si>
  <si>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</si>
  <si>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</si>
  <si>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</si>
  <si>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</si>
  <si>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</si>
  <si>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</si>
  <si>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</si>
  <si>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</si>
  <si>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</si>
  <si>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</si>
  <si>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</si>
  <si>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</si>
  <si>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</si>
  <si>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</si>
  <si>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</si>
  <si>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</si>
  <si>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</si>
  <si>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</si>
  <si>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</si>
  <si>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</si>
  <si>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</si>
  <si>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</si>
  <si>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</si>
  <si>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</si>
  <si>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</si>
  <si>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</si>
  <si>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</si>
  <si>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</si>
  <si>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</si>
  <si>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</si>
  <si>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</si>
  <si>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</si>
  <si>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</si>
  <si>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</si>
  <si>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</si>
  <si>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</si>
  <si>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</si>
  <si>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</si>
  <si>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</si>
  <si>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</si>
  <si>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</si>
  <si>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</si>
  <si>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</si>
  <si>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</si>
  <si>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</si>
  <si>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</si>
  <si>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</si>
  <si>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</si>
  <si>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</si>
  <si>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</si>
  <si>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</si>
  <si>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</si>
  <si>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</si>
  <si>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</si>
  <si>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</si>
  <si>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</si>
  <si>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</si>
  <si>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</si>
  <si>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</si>
  <si>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</si>
  <si>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</si>
  <si>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</si>
  <si>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</si>
  <si>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</si>
  <si>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</si>
  <si>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</si>
  <si>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</si>
  <si>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</si>
  <si>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</si>
  <si>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</si>
  <si>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</si>
  <si>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</si>
  <si>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</si>
  <si>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</si>
  <si>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</si>
  <si>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</si>
  <si>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</si>
  <si>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</si>
  <si>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</si>
  <si>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</si>
  <si>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</si>
  <si>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</si>
  <si>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</si>
  <si>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</si>
  <si>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</si>
  <si>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</si>
  <si>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</si>
  <si>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</si>
  <si>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</si>
  <si>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</si>
  <si>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</si>
  <si>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</si>
  <si>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</si>
  <si>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</si>
  <si>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</si>
  <si>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</si>
  <si>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</si>
  <si>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</si>
  <si>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</si>
  <si>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</si>
  <si>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</si>
  <si>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</si>
  <si>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</si>
  <si>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</si>
  <si>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</si>
  <si>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</si>
  <si>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</si>
  <si>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</si>
  <si>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</si>
  <si>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</si>
  <si>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</si>
  <si>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</si>
  <si>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</si>
  <si>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</si>
  <si>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</si>
  <si>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</si>
  <si>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</si>
  <si>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</si>
  <si>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</si>
  <si>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</si>
  <si>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</si>
  <si>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</si>
  <si>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</si>
  <si>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</si>
  <si>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</si>
  <si>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</si>
  <si>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</si>
  <si>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</si>
  <si>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</si>
  <si>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</si>
  <si>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</si>
  <si>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</si>
  <si>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</si>
  <si>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</si>
  <si>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</si>
  <si>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</si>
  <si>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</si>
  <si>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</si>
  <si>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</si>
  <si>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</si>
  <si>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</si>
  <si>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</si>
  <si>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</si>
  <si>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</si>
  <si>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</si>
  <si>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</si>
  <si>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</si>
  <si>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</si>
  <si>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</si>
  <si>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</si>
  <si>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</si>
  <si>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</si>
  <si>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</si>
  <si>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</si>
  <si>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</si>
  <si>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</si>
  <si>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</si>
  <si>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</si>
  <si>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</si>
  <si>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</si>
  <si>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</si>
  <si>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</si>
  <si>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</si>
  <si>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</si>
  <si>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</si>
  <si>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</si>
  <si>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</si>
  <si>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</si>
  <si>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</si>
  <si>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</si>
  <si>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</si>
  <si>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</si>
  <si>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</si>
  <si>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</si>
  <si>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</si>
  <si>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</si>
  <si>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</si>
  <si>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</si>
  <si>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</si>
  <si>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</si>
  <si>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</si>
  <si>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</si>
  <si>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</si>
  <si>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</si>
  <si>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</si>
  <si>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</si>
  <si>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</si>
  <si>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</si>
  <si>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</si>
  <si>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</si>
  <si>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</si>
  <si>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</si>
  <si>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</si>
  <si>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</si>
  <si>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</si>
  <si>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</si>
  <si>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</si>
  <si>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</si>
  <si>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</si>
  <si>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</si>
  <si>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</si>
  <si>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</si>
  <si>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</si>
  <si>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</si>
  <si>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</si>
  <si>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</si>
  <si>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</si>
  <si>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</si>
  <si>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</si>
  <si>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</si>
  <si>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</si>
  <si>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</si>
  <si>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</si>
  <si>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</si>
  <si>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</si>
  <si>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</si>
  <si>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</si>
  <si>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</si>
  <si>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</si>
  <si>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</si>
  <si>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</si>
  <si>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</si>
  <si>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</si>
  <si>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</si>
  <si>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</si>
  <si>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</si>
  <si>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</si>
  <si>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</si>
  <si>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</si>
  <si>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</si>
  <si>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</si>
  <si>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</si>
  <si>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</si>
  <si>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</si>
  <si>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</si>
  <si>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</si>
  <si>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</si>
  <si>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</si>
  <si>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</si>
  <si>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</si>
  <si>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</si>
  <si>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</si>
  <si>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</si>
  <si>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</si>
  <si>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</si>
  <si>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</si>
  <si>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</si>
  <si>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</si>
  <si>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</si>
  <si>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</si>
  <si>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</si>
  <si>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</si>
  <si>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</si>
  <si>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</si>
  <si>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</si>
  <si>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</si>
  <si>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</si>
  <si>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</si>
  <si>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</si>
  <si>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</si>
  <si>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</si>
  <si>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</si>
  <si>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</si>
  <si>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</si>
  <si>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</si>
  <si>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</si>
  <si>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</si>
  <si>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</si>
  <si>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</si>
  <si>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</si>
  <si>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</si>
  <si>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</si>
  <si>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</si>
  <si>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</si>
  <si>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</si>
  <si>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</si>
  <si>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</si>
  <si>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</si>
  <si>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</si>
  <si>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</si>
  <si>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</si>
  <si>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</si>
  <si>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</si>
  <si>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</si>
  <si>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</si>
  <si>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</si>
  <si>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</si>
  <si>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</si>
  <si>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</si>
  <si>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</si>
  <si>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</si>
  <si>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</si>
  <si>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</si>
  <si>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</si>
  <si>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</si>
  <si>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</si>
  <si>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</si>
  <si>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</si>
  <si>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</si>
  <si>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</si>
  <si>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</si>
  <si>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</si>
  <si>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</si>
  <si>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</si>
  <si>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</si>
  <si>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</si>
  <si>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</si>
  <si>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</si>
  <si>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</si>
  <si>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</si>
  <si>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</si>
  <si>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</si>
  <si>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</si>
  <si>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</si>
  <si>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</si>
  <si>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</si>
  <si>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</si>
  <si>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</si>
  <si>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</si>
  <si>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</si>
  <si>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</si>
  <si>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</si>
  <si>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</si>
  <si>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</si>
  <si>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</si>
  <si>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</si>
  <si>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</si>
  <si>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</si>
  <si>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</si>
  <si>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</si>
  <si>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</si>
  <si>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</si>
  <si>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</si>
  <si>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</si>
  <si>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</si>
  <si>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</si>
  <si>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</si>
  <si>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</si>
  <si>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</si>
  <si>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</si>
  <si>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</si>
  <si>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</si>
  <si>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</si>
  <si>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</si>
  <si>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</si>
  <si>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</si>
  <si>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</si>
  <si>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</si>
  <si>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</si>
  <si>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</si>
  <si>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</si>
  <si>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</si>
  <si>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</si>
  <si>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</si>
  <si>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</si>
  <si>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</si>
  <si>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</si>
  <si>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</si>
  <si>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</si>
  <si>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</si>
  <si>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</si>
  <si>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</si>
  <si>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</si>
  <si>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</si>
  <si>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</si>
  <si>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</si>
  <si>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</si>
  <si>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</si>
  <si>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</si>
  <si>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</si>
  <si>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</si>
  <si>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</si>
  <si>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</si>
  <si>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</si>
  <si>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</si>
  <si>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</si>
  <si>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</si>
  <si>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</si>
  <si>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</si>
  <si>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</si>
  <si>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</si>
  <si>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</si>
  <si>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</si>
  <si>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</si>
  <si>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</si>
  <si>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</si>
  <si>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</si>
  <si>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</si>
  <si>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</si>
  <si>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</si>
  <si>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</si>
  <si>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</si>
  <si>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</si>
  <si>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</si>
  <si>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</si>
  <si>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</si>
  <si>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</si>
  <si>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</si>
  <si>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</si>
  <si>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</si>
  <si>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</si>
  <si>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</si>
  <si>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</si>
  <si>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</si>
  <si>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</si>
  <si>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</si>
  <si>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</si>
  <si>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</si>
  <si>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</si>
  <si>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</si>
  <si>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</si>
  <si>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</si>
  <si>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</si>
  <si>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</si>
  <si>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</si>
  <si>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</si>
  <si>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</si>
  <si>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</si>
  <si>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</si>
  <si>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</si>
  <si>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</si>
  <si>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</si>
  <si>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</si>
  <si>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</si>
  <si>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</si>
  <si>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</si>
  <si>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</si>
  <si>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</si>
  <si>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</si>
  <si>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</si>
  <si>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</si>
  <si>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</si>
  <si>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</si>
  <si>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</si>
  <si>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</si>
  <si>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</si>
  <si>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</si>
  <si>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</si>
  <si>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</si>
  <si>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</si>
  <si>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</si>
  <si>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</si>
  <si>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</si>
  <si>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</si>
  <si>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</si>
  <si>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</si>
  <si>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</si>
  <si>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</si>
  <si>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</si>
  <si>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</si>
  <si>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</si>
  <si>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</si>
  <si>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</si>
  <si>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</si>
  <si>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</si>
  <si>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</si>
  <si>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</si>
  <si>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</si>
  <si>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</si>
  <si>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</si>
  <si>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</si>
  <si>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</si>
  <si>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</si>
  <si>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</si>
  <si>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</si>
  <si>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</si>
  <si>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</si>
  <si>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</si>
  <si>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</si>
  <si>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</si>
  <si>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</si>
  <si>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</si>
  <si>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</si>
  <si>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</si>
  <si>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</si>
  <si>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</si>
  <si>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Hoàn thuề GTGT - QĐ:</t>
  </si>
  <si>
    <t>C61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</si>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</sst>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</font>
    <font>
      <sz val="10"/>
      <color theme="10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10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85" applyFont="1" applyBorder="1" applyAlignment="1">
      <alignment horizontal="center" vertical="center" wrapText="1"/>
    </xf>
    <xf numFmtId="0" fontId="35" fillId="0" borderId="22" xfId="85" applyFont="1" applyBorder="1" applyAlignment="1">
      <alignment vertical="center" wrapText="1"/>
    </xf>
    <xf numFmtId="164" fontId="35" fillId="0" borderId="22" xfId="86" applyNumberFormat="1" applyFont="1" applyBorder="1" applyAlignment="1">
      <alignment horizontal="center" vertical="center" wrapText="1"/>
    </xf>
    <xf numFmtId="0" fontId="35" fillId="0" borderId="16" xfId="85" applyFont="1" applyBorder="1" applyAlignment="1">
      <alignment vertical="center" wrapText="1"/>
    </xf>
    <xf numFmtId="164" fontId="35" fillId="0" borderId="16" xfId="86" applyNumberFormat="1" applyFont="1" applyBorder="1" applyAlignment="1">
      <alignment horizontal="center" vertical="center" wrapText="1"/>
    </xf>
    <xf numFmtId="0" fontId="35" fillId="0" borderId="19" xfId="85" applyFont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25" borderId="16" xfId="85" applyFont="1" applyFill="1" applyBorder="1" applyAlignment="1">
      <alignment vertical="center" wrapText="1"/>
    </xf>
    <xf numFmtId="164" fontId="35" fillId="25" borderId="16" xfId="86" applyNumberFormat="1" applyFont="1" applyFill="1" applyBorder="1" applyAlignment="1">
      <alignment horizontal="center" vertical="center" wrapText="1"/>
    </xf>
    <xf numFmtId="164" fontId="35" fillId="25" borderId="22" xfId="86" applyNumberFormat="1" applyFont="1" applyFill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0" fillId="0" borderId="2" xfId="85" applyFont="1" applyBorder="1" applyAlignment="1">
      <alignment horizontal="center" vertical="center" wrapText="1"/>
    </xf>
    <xf numFmtId="3" fontId="35" fillId="0" borderId="16" xfId="46" applyFont="1" applyBorder="1" applyAlignment="1">
      <alignment vertical="center" wrapText="1"/>
    </xf>
    <xf numFmtId="0" fontId="35" fillId="0" borderId="0" xfId="85" applyFont="1" applyAlignment="1">
      <alignment vertical="center" wrapText="1"/>
    </xf>
    <xf numFmtId="0" fontId="40" fillId="0" borderId="0" xfId="85" applyFont="1" applyAlignment="1">
      <alignment vertical="center" wrapText="1"/>
    </xf>
    <xf numFmtId="3" fontId="41" fillId="25" borderId="16" xfId="46" applyFont="1" applyFill="1" applyBorder="1" applyAlignment="1">
      <alignment vertical="center" wrapText="1"/>
    </xf>
    <xf numFmtId="164" fontId="35" fillId="0" borderId="0" xfId="85" applyNumberFormat="1" applyFont="1" applyAlignment="1">
      <alignment vertical="center" wrapText="1"/>
    </xf>
    <xf numFmtId="0" fontId="35" fillId="0" borderId="25" xfId="85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7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65" fillId="0" borderId="22" xfId="89" applyFont="1" applyBorder="1" applyAlignment="1" applyProtection="1">
      <alignment horizontal="center" vertical="center" wrapText="1"/>
    </xf>
    <xf numFmtId="0" fontId="35" fillId="0" borderId="0" xfId="85" applyFont="1" applyAlignment="1">
      <alignment horizontal="center" vertical="center" wrapText="1"/>
    </xf>
    <xf numFmtId="0" fontId="35" fillId="0" borderId="16" xfId="85" applyFont="1" applyBorder="1" applyAlignment="1">
      <alignment horizontal="center" vertical="center" wrapText="1"/>
    </xf>
    <xf numFmtId="0" fontId="35" fillId="25" borderId="16" xfId="85" applyFont="1" applyFill="1" applyBorder="1" applyAlignment="1">
      <alignment horizontal="center" vertical="center" wrapText="1"/>
    </xf>
    <xf numFmtId="0" fontId="35" fillId="0" borderId="16" xfId="85" quotePrefix="1" applyFont="1" applyBorder="1" applyAlignment="1">
      <alignment horizontal="center" vertical="center" wrapText="1"/>
    </xf>
    <xf numFmtId="0" fontId="65" fillId="25" borderId="22" xfId="89" applyFont="1" applyFill="1" applyBorder="1" applyAlignment="1" applyProtection="1">
      <alignment horizontal="center" vertical="center" wrapText="1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0" borderId="17" xfId="85" applyFont="1" applyBorder="1" applyAlignment="1">
      <alignment horizontal="center" vertical="center" wrapText="1"/>
    </xf>
    <xf numFmtId="0" fontId="40" fillId="0" borderId="18" xfId="85" applyFont="1" applyBorder="1" applyAlignment="1">
      <alignment horizontal="center" vertical="center" wrapText="1"/>
    </xf>
    <xf numFmtId="0" fontId="40" fillId="0" borderId="25" xfId="85" applyFont="1" applyBorder="1" applyAlignment="1">
      <alignment horizontal="center" vertical="center" wrapText="1"/>
    </xf>
    <xf numFmtId="0" fontId="40" fillId="0" borderId="2" xfId="85" applyFont="1" applyBorder="1" applyAlignment="1">
      <alignment horizontal="center" vertical="center" wrapText="1"/>
    </xf>
    <xf numFmtId="0" fontId="40" fillId="0" borderId="26" xfId="85" applyFont="1" applyBorder="1" applyAlignment="1">
      <alignment horizontal="center" vertical="center" wrapText="1"/>
    </xf>
    <xf numFmtId="0" fontId="40" fillId="0" borderId="20" xfId="85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0" fontId="42" fillId="0" borderId="22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E35" sqref="E35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9010000000</v>
      </c>
      <c r="F10" s="51">
        <f t="array" ref="F10">SUM(IF(A10=KHC,TH))</f>
        <v>8510089146</v>
      </c>
      <c r="G10" s="52">
        <f>MAX(C10+E10-D10-F10,0)</f>
        <v>499910854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9010000000</v>
      </c>
      <c r="F11" s="56">
        <f>F10</f>
        <v>8510089146</v>
      </c>
      <c r="G11" s="56">
        <f>G10</f>
        <v>499910854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27855032441</v>
      </c>
      <c r="F12" s="51">
        <f t="array" ref="F12">SUM(IF(A12=KHC,TH))</f>
        <v>27822681255</v>
      </c>
      <c r="G12" s="52">
        <f>MAX(C12+E12-D12-F12,0)</f>
        <v>32351186</v>
      </c>
      <c r="H12" s="52">
        <f>MAX(D12+F12-E12-C12,0)</f>
        <v>0</v>
      </c>
      <c r="K12" s="53"/>
      <c r="L12" s="53"/>
    </row>
    <row r="13" spans="1:12" s="40" customFormat="1">
      <c r="A13" s="54" t="s">
        <v>207</v>
      </c>
      <c r="B13" s="55" t="s">
        <v>208</v>
      </c>
      <c r="C13" s="56"/>
      <c r="D13" s="56"/>
      <c r="E13" s="56">
        <f>E12</f>
        <v>27855032441</v>
      </c>
      <c r="F13" s="56">
        <f>F12</f>
        <v>27822681255</v>
      </c>
      <c r="G13" s="56">
        <f>MAX(C13+E13-D13-F13,0)</f>
        <v>32351186</v>
      </c>
      <c r="H13" s="56">
        <f>MAX(D13+F13-E13-C13,0)</f>
        <v>0</v>
      </c>
      <c r="K13" s="53"/>
    </row>
    <row r="14" spans="1:12" s="40" customFormat="1">
      <c r="A14" s="57" t="s">
        <v>19</v>
      </c>
      <c r="B14" s="50" t="s">
        <v>209</v>
      </c>
      <c r="C14" s="51"/>
      <c r="D14" s="51"/>
      <c r="E14" s="51">
        <f t="array" ref="E14">SUM(IF(A14=KHN,TH))</f>
        <v>2019319462</v>
      </c>
      <c r="F14" s="51">
        <f t="array" ref="F14">SUM(IF(A14=KHC,TH))</f>
        <v>1678844208</v>
      </c>
      <c r="G14" s="52">
        <f>MAX(C14+E14-D14-F14,0)</f>
        <v>340475254</v>
      </c>
      <c r="H14" s="52">
        <f>MAX(D14+F14-E14-C14,0)</f>
        <v>0</v>
      </c>
      <c r="K14" s="53"/>
    </row>
    <row r="15" spans="1:12" s="40" customFormat="1">
      <c r="A15" s="54" t="s">
        <v>210</v>
      </c>
      <c r="B15" s="55" t="s">
        <v>211</v>
      </c>
      <c r="C15" s="56"/>
      <c r="D15" s="56"/>
      <c r="E15" s="56">
        <f>E14</f>
        <v>2019319462</v>
      </c>
      <c r="F15" s="56">
        <f>F14</f>
        <v>1678844208</v>
      </c>
      <c r="G15" s="56">
        <f>G14</f>
        <v>340475254</v>
      </c>
      <c r="H15" s="56">
        <f>H14</f>
        <v>0</v>
      </c>
      <c r="K15" s="53"/>
    </row>
    <row r="16" spans="1:12" s="40" customFormat="1">
      <c r="A16" s="57" t="s">
        <v>212</v>
      </c>
      <c r="B16" s="50" t="s">
        <v>213</v>
      </c>
      <c r="C16" s="51"/>
      <c r="D16" s="51"/>
      <c r="E16" s="51">
        <f t="array" ref="E16">SUM(IF(A16=KHN,TH))</f>
        <v>1995421193</v>
      </c>
      <c r="F16" s="51">
        <f t="array" ref="F16">SUM(IF(A16=KHC,TH))</f>
        <v>316576985</v>
      </c>
      <c r="G16" s="52">
        <f t="shared" ref="G16:G22" si="0">MAX(C16+E16-D16-F16,0)</f>
        <v>1678844208</v>
      </c>
      <c r="H16" s="52">
        <f t="shared" ref="H16:H22" si="1">MAX(D16+F16-E16-C16,0)</f>
        <v>0</v>
      </c>
      <c r="K16" s="53"/>
    </row>
    <row r="17" spans="1:11" s="40" customFormat="1">
      <c r="A17" s="54" t="s">
        <v>214</v>
      </c>
      <c r="B17" s="55" t="s">
        <v>215</v>
      </c>
      <c r="C17" s="56"/>
      <c r="D17" s="56"/>
      <c r="E17" s="56">
        <f>E16</f>
        <v>1995421193</v>
      </c>
      <c r="F17" s="56">
        <f>F16</f>
        <v>316576985</v>
      </c>
      <c r="G17" s="56">
        <f t="shared" si="0"/>
        <v>1678844208</v>
      </c>
      <c r="H17" s="56">
        <f t="shared" si="1"/>
        <v>0</v>
      </c>
      <c r="K17" s="53"/>
    </row>
    <row r="18" spans="1:11" s="40" customFormat="1">
      <c r="A18" s="57" t="s">
        <v>655</v>
      </c>
      <c r="B18" s="50" t="s">
        <v>656</v>
      </c>
      <c r="C18" s="51"/>
      <c r="D18" s="51"/>
      <c r="E18" s="51">
        <f t="array" ref="E18">SUM(IF(A18=KHN,TH))</f>
        <v>21438581573</v>
      </c>
      <c r="F18" s="51">
        <f t="array" ref="F18">SUM(IF(A18=KHC,TH))</f>
        <v>0</v>
      </c>
      <c r="G18" s="52">
        <f t="shared" si="0"/>
        <v>21438581573</v>
      </c>
      <c r="H18" s="52">
        <f t="shared" si="1"/>
        <v>0</v>
      </c>
      <c r="K18" s="53"/>
    </row>
    <row r="19" spans="1:11" s="40" customFormat="1">
      <c r="A19" s="54" t="s">
        <v>657</v>
      </c>
      <c r="B19" s="55" t="s">
        <v>658</v>
      </c>
      <c r="C19" s="56"/>
      <c r="D19" s="56"/>
      <c r="E19" s="56">
        <f>E18</f>
        <v>21438581573</v>
      </c>
      <c r="F19" s="56">
        <f>F18</f>
        <v>0</v>
      </c>
      <c r="G19" s="56">
        <f t="shared" si="0"/>
        <v>21438581573</v>
      </c>
      <c r="H19" s="56">
        <f t="shared" si="1"/>
        <v>0</v>
      </c>
      <c r="K19" s="53"/>
    </row>
    <row r="20" spans="1:11" s="40" customFormat="1">
      <c r="A20" s="54" t="s">
        <v>18</v>
      </c>
      <c r="B20" s="55" t="s">
        <v>216</v>
      </c>
      <c r="C20" s="56"/>
      <c r="D20" s="56"/>
      <c r="E20" s="139">
        <f t="array" ref="E20">SUM(IF(A20=KHN,TH))</f>
        <v>26058168873</v>
      </c>
      <c r="F20" s="139">
        <f t="array" ref="F20">SUM(IF(A20=KHC,TH))</f>
        <v>21505113976</v>
      </c>
      <c r="G20" s="56">
        <f t="shared" si="0"/>
        <v>4553054897</v>
      </c>
      <c r="H20" s="56">
        <f t="shared" si="1"/>
        <v>0</v>
      </c>
      <c r="K20" s="53"/>
    </row>
    <row r="21" spans="1:11" s="40" customFormat="1">
      <c r="A21" s="57" t="s">
        <v>217</v>
      </c>
      <c r="B21" s="50" t="s">
        <v>218</v>
      </c>
      <c r="C21" s="51"/>
      <c r="D21" s="51"/>
      <c r="E21" s="51">
        <f t="array" ref="E21">SUM(IF(A21=KHN,TH))</f>
        <v>0</v>
      </c>
      <c r="F21" s="51">
        <f t="array" ref="F21">SUM(IF(A21=KHC,TH))</f>
        <v>0</v>
      </c>
      <c r="G21" s="51">
        <f t="shared" si="0"/>
        <v>0</v>
      </c>
      <c r="H21" s="51">
        <f t="shared" si="1"/>
        <v>0</v>
      </c>
      <c r="I21" s="40">
        <f t="shared" ref="I21:I26" si="2">E21-F21</f>
        <v>0</v>
      </c>
    </row>
    <row r="22" spans="1:11" s="40" customFormat="1">
      <c r="A22" s="60" t="s">
        <v>219</v>
      </c>
      <c r="B22" s="61" t="s">
        <v>220</v>
      </c>
      <c r="C22" s="59"/>
      <c r="D22" s="59"/>
      <c r="E22" s="59">
        <f t="array" ref="E22">SUM(IF(A22=KHN,TH))</f>
        <v>11250000</v>
      </c>
      <c r="F22" s="59">
        <f t="array" ref="F22">SUM(IF(A22=KHC,TH))</f>
        <v>11250000</v>
      </c>
      <c r="G22" s="59">
        <f t="shared" si="0"/>
        <v>0</v>
      </c>
      <c r="H22" s="59">
        <f t="shared" si="1"/>
        <v>0</v>
      </c>
      <c r="I22" s="40">
        <f t="shared" si="2"/>
        <v>0</v>
      </c>
    </row>
    <row r="23" spans="1:11" s="40" customFormat="1">
      <c r="A23" s="57" t="s">
        <v>40</v>
      </c>
      <c r="B23" s="50" t="s">
        <v>221</v>
      </c>
      <c r="C23" s="51"/>
      <c r="D23" s="51"/>
      <c r="E23" s="51">
        <f>E22</f>
        <v>11250000</v>
      </c>
      <c r="F23" s="51">
        <f>F22</f>
        <v>11250000</v>
      </c>
      <c r="G23" s="51">
        <f>G22</f>
        <v>0</v>
      </c>
      <c r="H23" s="51">
        <f>H22</f>
        <v>0</v>
      </c>
      <c r="I23" s="40">
        <f t="shared" si="2"/>
        <v>0</v>
      </c>
    </row>
    <row r="24" spans="1:11" s="40" customFormat="1">
      <c r="A24" s="54" t="s">
        <v>222</v>
      </c>
      <c r="B24" s="55" t="s">
        <v>223</v>
      </c>
      <c r="C24" s="56"/>
      <c r="D24" s="56"/>
      <c r="E24" s="56">
        <f>E21+E23</f>
        <v>11250000</v>
      </c>
      <c r="F24" s="56">
        <f>F21+F23</f>
        <v>11250000</v>
      </c>
      <c r="G24" s="56">
        <f>G21+G23</f>
        <v>0</v>
      </c>
      <c r="H24" s="56">
        <f>H21+H23</f>
        <v>0</v>
      </c>
      <c r="I24" s="40">
        <f t="shared" si="2"/>
        <v>0</v>
      </c>
    </row>
    <row r="25" spans="1:11" s="40" customFormat="1">
      <c r="A25" s="57" t="s">
        <v>39</v>
      </c>
      <c r="B25" s="50" t="s">
        <v>224</v>
      </c>
      <c r="C25" s="51"/>
      <c r="D25" s="51"/>
      <c r="E25" s="51">
        <f t="array" ref="E25">SUM(IF(A25=KHN,TH))</f>
        <v>1444500000</v>
      </c>
      <c r="F25" s="51">
        <f t="array" ref="F25">SUM(IF(A25=KHC,TH))</f>
        <v>6444500000</v>
      </c>
      <c r="G25" s="51">
        <f>MAX(C25+E25-D25-F25,0)</f>
        <v>0</v>
      </c>
      <c r="H25" s="51">
        <f>MAX(D25+F25-E25-C25,0)</f>
        <v>5000000000</v>
      </c>
      <c r="I25" s="40">
        <f t="shared" si="2"/>
        <v>-5000000000</v>
      </c>
    </row>
    <row r="26" spans="1:11" s="40" customFormat="1">
      <c r="A26" s="54" t="s">
        <v>225</v>
      </c>
      <c r="B26" s="55" t="s">
        <v>226</v>
      </c>
      <c r="C26" s="56"/>
      <c r="D26" s="56"/>
      <c r="E26" s="56">
        <f>E25</f>
        <v>1444500000</v>
      </c>
      <c r="F26" s="56">
        <f>F25</f>
        <v>6444500000</v>
      </c>
      <c r="G26" s="56">
        <f>G25</f>
        <v>0</v>
      </c>
      <c r="H26" s="56">
        <f>H25</f>
        <v>5000000000</v>
      </c>
      <c r="I26" s="40">
        <f t="shared" si="2"/>
        <v>-5000000000</v>
      </c>
    </row>
    <row r="27" spans="1:11" s="40" customFormat="1">
      <c r="A27" s="49" t="s">
        <v>227</v>
      </c>
      <c r="B27" s="50" t="s">
        <v>228</v>
      </c>
      <c r="C27" s="51"/>
      <c r="D27" s="51"/>
      <c r="E27" s="51">
        <f t="array" ref="E27">SUM(IF(A27=KHN,TH))</f>
        <v>0</v>
      </c>
      <c r="F27" s="51">
        <f t="array" ref="F27">SUM(IF(A27=KHC,TH))</f>
        <v>20000000000</v>
      </c>
      <c r="G27" s="52">
        <f>MAX(C27+E27-D27-F27,0)</f>
        <v>0</v>
      </c>
      <c r="H27" s="52">
        <f>MAX(D27+F27-E27-C27,0)</f>
        <v>20000000000</v>
      </c>
    </row>
    <row r="28" spans="1:11" s="40" customFormat="1">
      <c r="A28" s="58" t="s">
        <v>97</v>
      </c>
      <c r="B28" s="55" t="s">
        <v>229</v>
      </c>
      <c r="C28" s="56"/>
      <c r="D28" s="56"/>
      <c r="E28" s="56">
        <f>E27</f>
        <v>0</v>
      </c>
      <c r="F28" s="56">
        <f>F27</f>
        <v>20000000000</v>
      </c>
      <c r="G28" s="56">
        <f>G27</f>
        <v>0</v>
      </c>
      <c r="H28" s="56">
        <f>H27</f>
        <v>20000000000</v>
      </c>
    </row>
    <row r="29" spans="1:11" s="40" customFormat="1">
      <c r="A29" s="57" t="s">
        <v>55</v>
      </c>
      <c r="B29" s="50" t="s">
        <v>230</v>
      </c>
      <c r="C29" s="51"/>
      <c r="D29" s="51"/>
      <c r="E29" s="51">
        <f t="array" ref="E29">SUM(IF(A29=KHN,TH))</f>
        <v>0</v>
      </c>
      <c r="F29" s="51">
        <f t="array" ref="F29">SUM(IF(A29=KHC,TH))</f>
        <v>4000000000</v>
      </c>
      <c r="G29" s="52">
        <f>MAX(C29+E29-D29-F29,0)</f>
        <v>0</v>
      </c>
      <c r="H29" s="52">
        <f>MAX(D29+F29-E29-C29,0)</f>
        <v>4000000000</v>
      </c>
    </row>
    <row r="30" spans="1:11" s="40" customFormat="1">
      <c r="A30" s="54" t="s">
        <v>231</v>
      </c>
      <c r="B30" s="55" t="s">
        <v>232</v>
      </c>
      <c r="C30" s="56"/>
      <c r="D30" s="56"/>
      <c r="E30" s="56">
        <f>E29</f>
        <v>0</v>
      </c>
      <c r="F30" s="56">
        <f>F29</f>
        <v>4000000000</v>
      </c>
      <c r="G30" s="56">
        <f>MAX(C30+E30-D30-F30,0)</f>
        <v>0</v>
      </c>
      <c r="H30" s="56">
        <f>MAX(D30+F30-E30-C30,0)</f>
        <v>4000000000</v>
      </c>
    </row>
    <row r="31" spans="1:11" s="40" customFormat="1">
      <c r="A31" s="49" t="s">
        <v>233</v>
      </c>
      <c r="B31" s="50" t="s">
        <v>234</v>
      </c>
      <c r="C31" s="51"/>
      <c r="D31" s="51"/>
      <c r="E31" s="51">
        <f t="array" ref="E31">SUM(IF(A31=KHN,TH))</f>
        <v>0</v>
      </c>
      <c r="F31" s="51">
        <f t="array" ref="F31">SUM(IF(A31=KHC,TH))</f>
        <v>0</v>
      </c>
      <c r="G31" s="52">
        <f>MAX(C31+E31-D31-F31,0)</f>
        <v>0</v>
      </c>
      <c r="H31" s="52">
        <f>MAX(D31+F31-E31-C31,0)</f>
        <v>0</v>
      </c>
    </row>
    <row r="32" spans="1:11" s="40" customFormat="1">
      <c r="A32" s="57" t="s">
        <v>235</v>
      </c>
      <c r="B32" s="50" t="s">
        <v>236</v>
      </c>
      <c r="C32" s="51"/>
      <c r="D32" s="51"/>
      <c r="E32" s="51">
        <f t="array" ref="E32">SUM(IF(A32=TH!$J$10:$J$1151,TH!$I$10:$I$1151))</f>
        <v>456782028</v>
      </c>
      <c r="F32" s="51">
        <f t="array" ref="F32">SUM(IF(A32=TH!$K$10:$K$1151,TH!$I$10:$I$1151))</f>
        <v>0</v>
      </c>
      <c r="G32" s="51">
        <f>MAX(C32+E32-D32-F32,0)</f>
        <v>456782028</v>
      </c>
      <c r="H32" s="51">
        <f>MAX(D32+F32-E32-C32,0)</f>
        <v>0</v>
      </c>
    </row>
    <row r="33" spans="1:9" s="40" customFormat="1">
      <c r="A33" s="54" t="s">
        <v>237</v>
      </c>
      <c r="B33" s="55" t="s">
        <v>238</v>
      </c>
      <c r="C33" s="56"/>
      <c r="D33" s="56"/>
      <c r="E33" s="56">
        <f>E32+E31</f>
        <v>456782028</v>
      </c>
      <c r="F33" s="56">
        <f>F32+F31</f>
        <v>0</v>
      </c>
      <c r="G33" s="56">
        <f>G32+G31</f>
        <v>456782028</v>
      </c>
      <c r="H33" s="56">
        <f>H32+H31</f>
        <v>0</v>
      </c>
    </row>
    <row r="34" spans="1:9" s="40" customFormat="1">
      <c r="A34" s="54" t="s">
        <v>99</v>
      </c>
      <c r="B34" s="55" t="s">
        <v>239</v>
      </c>
      <c r="C34" s="56"/>
      <c r="D34" s="56"/>
      <c r="E34" s="139">
        <f t="array" ref="E34">SUM(IF(A34=KHN,TH))</f>
        <v>2155456</v>
      </c>
      <c r="F34" s="139">
        <f t="array" ref="F34">SUM(IF(A34=KHC,TH))</f>
        <v>2155456</v>
      </c>
      <c r="G34" s="56"/>
      <c r="H34" s="56"/>
      <c r="I34" s="40">
        <f t="shared" ref="I34:I40" si="3">E34-F34</f>
        <v>0</v>
      </c>
    </row>
    <row r="35" spans="1:9" s="40" customFormat="1" ht="12.75" customHeight="1">
      <c r="A35" s="54" t="s">
        <v>240</v>
      </c>
      <c r="B35" s="55" t="s">
        <v>241</v>
      </c>
      <c r="C35" s="56"/>
      <c r="D35" s="56"/>
      <c r="E35" s="139">
        <f t="array" ref="E35">SUM(IF(A35=KHN,TH))</f>
        <v>1374345651</v>
      </c>
      <c r="F35" s="139">
        <f t="array" ref="F35">SUM(IF(A35=KHC,TH))</f>
        <v>1374345651</v>
      </c>
      <c r="G35" s="56"/>
      <c r="H35" s="56"/>
      <c r="I35" s="40">
        <f t="shared" si="3"/>
        <v>0</v>
      </c>
    </row>
    <row r="36" spans="1:9" s="40" customFormat="1" ht="12.75" customHeight="1">
      <c r="A36" s="54" t="s">
        <v>242</v>
      </c>
      <c r="B36" s="55" t="s">
        <v>243</v>
      </c>
      <c r="C36" s="56"/>
      <c r="D36" s="56"/>
      <c r="E36" s="139">
        <f t="array" ref="E36">SUM(IF(A36=KHN,TH))</f>
        <v>429517484</v>
      </c>
      <c r="F36" s="139">
        <f t="array" ref="F36">SUM(IF(A36=KHC,TH))</f>
        <v>429517484</v>
      </c>
      <c r="G36" s="56"/>
      <c r="H36" s="56"/>
      <c r="I36" s="40">
        <f t="shared" si="3"/>
        <v>0</v>
      </c>
    </row>
    <row r="37" spans="1:9" s="40" customFormat="1" ht="12.75" customHeight="1">
      <c r="A37" s="58" t="s">
        <v>244</v>
      </c>
      <c r="B37" s="55" t="s">
        <v>245</v>
      </c>
      <c r="C37" s="56"/>
      <c r="D37" s="56"/>
      <c r="E37" s="139">
        <f t="array" ref="E37">SUM(IF(A37=KHN,TH))</f>
        <v>500000</v>
      </c>
      <c r="F37" s="139">
        <f t="array" ref="F37">SUM(IF(A37=KHC,TH))</f>
        <v>500000</v>
      </c>
      <c r="G37" s="56"/>
      <c r="H37" s="56"/>
      <c r="I37" s="40">
        <f t="shared" si="3"/>
        <v>0</v>
      </c>
    </row>
    <row r="38" spans="1:9" s="40" customFormat="1" ht="12.75" customHeight="1">
      <c r="A38" s="54" t="s">
        <v>246</v>
      </c>
      <c r="B38" s="55" t="s">
        <v>247</v>
      </c>
      <c r="C38" s="56"/>
      <c r="D38" s="56"/>
      <c r="E38" s="139">
        <f t="array" ref="E38">SUM(IF(A38=KHN,TH))</f>
        <v>29920000</v>
      </c>
      <c r="F38" s="139">
        <f t="array" ref="F38">SUM(IF(A38=KHC,TH))</f>
        <v>29920000</v>
      </c>
      <c r="G38" s="56"/>
      <c r="H38" s="56"/>
      <c r="I38" s="40">
        <f t="shared" si="3"/>
        <v>0</v>
      </c>
    </row>
    <row r="39" spans="1:9" s="40" customFormat="1" ht="12.75" customHeight="1">
      <c r="A39" s="58" t="s">
        <v>248</v>
      </c>
      <c r="B39" s="55" t="s">
        <v>249</v>
      </c>
      <c r="C39" s="56"/>
      <c r="D39" s="56"/>
      <c r="E39" s="139">
        <f t="array" ref="E39">SUM(IF(A39=KHN,TH))</f>
        <v>0</v>
      </c>
      <c r="F39" s="139">
        <f t="array" ref="F39">SUM(IF(A39=KHC,TH))</f>
        <v>0</v>
      </c>
      <c r="G39" s="56"/>
      <c r="H39" s="56"/>
      <c r="I39" s="40">
        <f t="shared" si="3"/>
        <v>0</v>
      </c>
    </row>
    <row r="40" spans="1:9" s="40" customFormat="1">
      <c r="A40" s="54" t="s">
        <v>250</v>
      </c>
      <c r="B40" s="55" t="s">
        <v>251</v>
      </c>
      <c r="C40" s="56"/>
      <c r="D40" s="56"/>
      <c r="E40" s="140">
        <f t="array" ref="E40">SUM(IF(A40=KHN,TH))</f>
        <v>459437484</v>
      </c>
      <c r="F40" s="140">
        <f t="array" ref="F40">SUM(IF(A40=TH!$K$10:$K$1151,TH!$I$10:$I$1151))</f>
        <v>459437484</v>
      </c>
      <c r="G40" s="56"/>
      <c r="H40" s="56"/>
      <c r="I40" s="40">
        <f t="shared" si="3"/>
        <v>0</v>
      </c>
    </row>
    <row r="41" spans="1:9" s="40" customFormat="1">
      <c r="A41" s="62" t="s">
        <v>252</v>
      </c>
      <c r="B41" s="62"/>
      <c r="C41" s="62">
        <f>C11+C13+C15+C17+C20+C24+C26+C28+C30+C33+C34+C35+C36+C37+C38+C39+C40+C19</f>
        <v>0</v>
      </c>
      <c r="D41" s="62">
        <f t="shared" ref="D41:H41" si="4">D11+D13+D15+D17+D20+D24+D26+D28+D30+D33+D34+D35+D36+D37+D38+D39+D40+D19</f>
        <v>0</v>
      </c>
      <c r="E41" s="62">
        <f t="shared" si="4"/>
        <v>92584931645</v>
      </c>
      <c r="F41" s="62">
        <f t="shared" si="4"/>
        <v>92584931645</v>
      </c>
      <c r="G41" s="62">
        <f t="shared" si="4"/>
        <v>29000000000</v>
      </c>
      <c r="H41" s="62">
        <f t="shared" si="4"/>
        <v>29000000000</v>
      </c>
    </row>
    <row r="42" spans="1:9">
      <c r="E42" s="63"/>
      <c r="F42" s="64"/>
    </row>
    <row r="43" spans="1:9">
      <c r="E43" s="64">
        <f>E41-F41</f>
        <v>0</v>
      </c>
      <c r="H43" s="64">
        <f>G41-H41</f>
        <v>0</v>
      </c>
    </row>
    <row r="44" spans="1:9">
      <c r="E44" s="65"/>
      <c r="F44" s="65"/>
    </row>
    <row r="45" spans="1:9">
      <c r="E45" s="65"/>
      <c r="F45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L1151"/>
  <sheetViews>
    <sheetView topLeftCell="A7" workbookViewId="0">
      <pane ySplit="3" topLeftCell="A1038" activePane="bottomLeft" state="frozen"/>
      <selection activeCell="A7" sqref="A7"/>
      <selection pane="bottomLeft" activeCell="C405" sqref="C405:K1070"/>
    </sheetView>
  </sheetViews>
  <sheetFormatPr defaultRowHeight="12.75"/>
  <cols>
    <col min="1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8.5703125" style="256" customWidth="1"/>
    <col min="8" max="8" width="48.42578125" style="243" customWidth="1"/>
    <col min="9" max="9" width="13.140625" customWidth="1"/>
    <col min="10" max="11" width="7" customWidth="1"/>
    <col min="12" max="12" width="4.42578125" customWidth="1"/>
  </cols>
  <sheetData>
    <row r="1" spans="1:12">
      <c r="A1" s="66"/>
      <c r="B1" s="66"/>
      <c r="C1" s="66" t="s">
        <v>263</v>
      </c>
      <c r="D1" s="67"/>
      <c r="E1" s="67"/>
      <c r="F1" s="68"/>
      <c r="G1" s="67"/>
      <c r="H1" s="241"/>
      <c r="I1" s="106"/>
      <c r="J1" s="69"/>
      <c r="K1" s="69"/>
      <c r="L1" s="69"/>
    </row>
    <row r="2" spans="1:12">
      <c r="A2" s="66"/>
      <c r="B2" s="66"/>
      <c r="C2" s="66" t="s">
        <v>264</v>
      </c>
      <c r="D2" s="67"/>
      <c r="E2" s="67"/>
      <c r="F2" s="67"/>
      <c r="G2" s="67"/>
      <c r="H2" s="242"/>
      <c r="I2" s="106"/>
      <c r="J2" s="69"/>
      <c r="K2" s="69"/>
      <c r="L2" s="69"/>
    </row>
    <row r="3" spans="1:12">
      <c r="A3" s="67"/>
      <c r="B3" s="67"/>
      <c r="C3" s="67"/>
      <c r="D3" s="67"/>
      <c r="E3" s="67"/>
      <c r="F3" s="67"/>
      <c r="G3" s="67"/>
      <c r="H3" s="242"/>
      <c r="I3" s="103"/>
      <c r="J3" s="70"/>
      <c r="K3" s="70"/>
      <c r="L3" s="70"/>
    </row>
    <row r="4" spans="1:12" ht="22.5">
      <c r="A4" s="106"/>
      <c r="B4" s="106"/>
      <c r="C4" s="411" t="s">
        <v>253</v>
      </c>
      <c r="D4" s="411"/>
      <c r="E4" s="411"/>
      <c r="F4" s="411"/>
      <c r="G4" s="411"/>
      <c r="H4" s="411"/>
      <c r="I4" s="411"/>
      <c r="J4" s="411"/>
      <c r="K4" s="411"/>
    </row>
    <row r="5" spans="1:12" ht="14.25">
      <c r="A5" s="106"/>
      <c r="B5" s="106"/>
      <c r="C5" s="412"/>
      <c r="D5" s="412"/>
      <c r="E5" s="412"/>
      <c r="F5" s="412"/>
      <c r="G5" s="412"/>
      <c r="H5" s="412"/>
      <c r="I5" s="412"/>
      <c r="J5" s="412"/>
      <c r="K5" s="412"/>
    </row>
    <row r="6" spans="1:12">
      <c r="A6" s="106"/>
      <c r="B6" s="106"/>
      <c r="C6" s="106"/>
      <c r="D6" s="106"/>
      <c r="E6" s="106"/>
      <c r="F6" s="106"/>
      <c r="G6" s="106"/>
      <c r="H6" s="115"/>
      <c r="I6" s="106"/>
      <c r="J6" s="69"/>
      <c r="K6" s="69"/>
      <c r="L6" s="69"/>
    </row>
    <row r="7" spans="1:12">
      <c r="A7" s="407" t="s">
        <v>265</v>
      </c>
      <c r="B7" s="407" t="s">
        <v>266</v>
      </c>
      <c r="C7" s="413" t="s">
        <v>50</v>
      </c>
      <c r="D7" s="414" t="s">
        <v>10</v>
      </c>
      <c r="E7" s="415"/>
      <c r="F7" s="413" t="s">
        <v>0</v>
      </c>
      <c r="G7" s="416" t="s">
        <v>512</v>
      </c>
      <c r="H7" s="409" t="s">
        <v>184</v>
      </c>
      <c r="I7" s="413" t="s">
        <v>254</v>
      </c>
      <c r="J7" s="410" t="s">
        <v>255</v>
      </c>
      <c r="K7" s="410"/>
      <c r="L7" s="410">
        <v>331</v>
      </c>
    </row>
    <row r="8" spans="1:12" ht="25.5">
      <c r="A8" s="408"/>
      <c r="B8" s="408"/>
      <c r="C8" s="413"/>
      <c r="D8" s="104" t="s">
        <v>32</v>
      </c>
      <c r="E8" s="102" t="s">
        <v>70</v>
      </c>
      <c r="F8" s="413"/>
      <c r="G8" s="417"/>
      <c r="H8" s="409"/>
      <c r="I8" s="413"/>
      <c r="J8" s="105" t="s">
        <v>52</v>
      </c>
      <c r="K8" s="105" t="s">
        <v>53</v>
      </c>
      <c r="L8" s="410"/>
    </row>
    <row r="9" spans="1:12">
      <c r="A9" s="71">
        <v>2</v>
      </c>
      <c r="B9" s="257">
        <v>3</v>
      </c>
      <c r="C9" s="71">
        <v>4</v>
      </c>
      <c r="D9" s="257">
        <v>5</v>
      </c>
      <c r="E9" s="71">
        <v>6</v>
      </c>
      <c r="F9" s="257">
        <v>7</v>
      </c>
      <c r="G9" s="71">
        <v>8</v>
      </c>
      <c r="H9" s="257">
        <v>9</v>
      </c>
      <c r="I9" s="71">
        <v>10</v>
      </c>
      <c r="J9" s="257">
        <v>11</v>
      </c>
      <c r="K9" s="71">
        <v>12</v>
      </c>
      <c r="L9" s="257">
        <v>13</v>
      </c>
    </row>
    <row r="10" spans="1:12" s="109" customForma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256</v>
      </c>
      <c r="E10" s="130">
        <v>42369</v>
      </c>
      <c r="F10" s="131" t="s">
        <v>259</v>
      </c>
      <c r="G10" s="268"/>
      <c r="H10" s="132"/>
      <c r="I10" s="133">
        <f>MAX(SUMIF(KHN,"911",TH)-SUMIF(KHC,"911",TH),SUMIF(KHC,"911",TH)-SUMIF(KHN,"911",TH))</f>
        <v>456782028</v>
      </c>
      <c r="J10" s="134" t="s">
        <v>235</v>
      </c>
      <c r="K10" s="134" t="s">
        <v>250</v>
      </c>
      <c r="L10" s="134" t="str">
        <f>IF(AND('331-CT'!$E$7=TH!H10,OR(J10="331",K10="331")),"x","")</f>
        <v/>
      </c>
    </row>
    <row r="11" spans="1:12" s="109" customForma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256</v>
      </c>
      <c r="E11" s="130">
        <v>42369</v>
      </c>
      <c r="F11" s="131" t="s">
        <v>257</v>
      </c>
      <c r="G11" s="268"/>
      <c r="H11" s="132"/>
      <c r="I11" s="133">
        <f>SUMIF(KHN,"635",TH)</f>
        <v>1374345651</v>
      </c>
      <c r="J11" s="141" t="s">
        <v>655</v>
      </c>
      <c r="K11" s="134" t="s">
        <v>240</v>
      </c>
      <c r="L11" s="134" t="str">
        <f>IF(AND('331-CT'!$E$7=TH!H11,OR(J11="331",K11="331")),"x","")</f>
        <v/>
      </c>
    </row>
    <row r="12" spans="1:12" s="109" customForma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256</v>
      </c>
      <c r="E12" s="130">
        <v>42369</v>
      </c>
      <c r="F12" s="131" t="s">
        <v>258</v>
      </c>
      <c r="G12" s="268"/>
      <c r="H12" s="132"/>
      <c r="I12" s="133">
        <f>SUMIF(KHN,"642",TH)</f>
        <v>429517484</v>
      </c>
      <c r="J12" s="141" t="s">
        <v>250</v>
      </c>
      <c r="K12" s="134" t="s">
        <v>242</v>
      </c>
      <c r="L12" s="134" t="str">
        <f>IF(AND('331-CT'!$E$7=TH!H12,OR(J12="331",K12="331")),"x","")</f>
        <v/>
      </c>
    </row>
    <row r="13" spans="1:12" s="109" customForma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256</v>
      </c>
      <c r="E13" s="130">
        <v>42369</v>
      </c>
      <c r="F13" s="131" t="s">
        <v>260</v>
      </c>
      <c r="G13" s="268"/>
      <c r="H13" s="142"/>
      <c r="I13" s="133">
        <f>SUMIF(KHC,"515",TH)</f>
        <v>2155456</v>
      </c>
      <c r="J13" s="134" t="s">
        <v>99</v>
      </c>
      <c r="K13" s="134" t="s">
        <v>250</v>
      </c>
      <c r="L13" s="134" t="str">
        <f>IF(AND('331-CT'!$E$7=TH!H13,OR(J13="331",K13="331")),"x","")</f>
        <v/>
      </c>
    </row>
    <row r="14" spans="1:12" s="109" customForma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256</v>
      </c>
      <c r="E14" s="130">
        <v>42369</v>
      </c>
      <c r="F14" s="131" t="s">
        <v>261</v>
      </c>
      <c r="G14" s="268"/>
      <c r="H14" s="132"/>
      <c r="I14" s="133">
        <f>SUMIF(KHC,"711",TH)</f>
        <v>500000</v>
      </c>
      <c r="J14" s="134" t="s">
        <v>244</v>
      </c>
      <c r="K14" s="134" t="s">
        <v>250</v>
      </c>
      <c r="L14" s="134" t="str">
        <f>IF(AND('331-CT'!$E$7=TH!H14,OR(J14="331",K14="331")),"x","")</f>
        <v/>
      </c>
    </row>
    <row r="15" spans="1:12" s="109" customForma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256</v>
      </c>
      <c r="E15" s="130">
        <v>42369</v>
      </c>
      <c r="F15" s="131" t="s">
        <v>262</v>
      </c>
      <c r="G15" s="268"/>
      <c r="H15" s="132"/>
      <c r="I15" s="133">
        <f>SUMIF(KHN,"811",TH)</f>
        <v>29920000</v>
      </c>
      <c r="J15" s="134" t="s">
        <v>250</v>
      </c>
      <c r="K15" s="134" t="s">
        <v>246</v>
      </c>
      <c r="L15" s="134" t="str">
        <f>IF(AND('331-CT'!$E$7=TH!H15,OR(J15="331",K15="331")),"x","")</f>
        <v/>
      </c>
    </row>
    <row r="16" spans="1:12" s="109" customForma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578</v>
      </c>
      <c r="G16" s="276"/>
      <c r="H16" s="116" t="s">
        <v>431</v>
      </c>
      <c r="I16" s="81">
        <v>2400000000</v>
      </c>
      <c r="J16" s="82" t="s">
        <v>203</v>
      </c>
      <c r="K16" s="83" t="s">
        <v>55</v>
      </c>
      <c r="L16" s="134" t="str">
        <f>IF(AND('331-CT'!$E$7=TH!H16,OR(J16="331",K16="331")),"x","")</f>
        <v/>
      </c>
    </row>
    <row r="17" spans="1:12" s="109" customForma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578</v>
      </c>
      <c r="G17" s="276"/>
      <c r="H17" s="116" t="s">
        <v>574</v>
      </c>
      <c r="I17" s="81">
        <v>1600000000</v>
      </c>
      <c r="J17" s="82" t="s">
        <v>203</v>
      </c>
      <c r="K17" s="83" t="s">
        <v>55</v>
      </c>
      <c r="L17" s="134" t="str">
        <f>IF(AND('331-CT'!$E$7=TH!H17,OR(J17="331",K17="331")),"x","")</f>
        <v/>
      </c>
    </row>
    <row r="18" spans="1:12" s="109" customForma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3" t="s">
        <v>514</v>
      </c>
      <c r="H18" s="117" t="s">
        <v>513</v>
      </c>
      <c r="I18" s="86">
        <v>1500000</v>
      </c>
      <c r="J18" s="87" t="s">
        <v>219</v>
      </c>
      <c r="K18" s="87" t="s">
        <v>203</v>
      </c>
      <c r="L18" s="134" t="str">
        <f>IF(AND('331-CT'!$E$7=TH!H18,OR(J18="331",K18="331")),"x","")</f>
        <v/>
      </c>
    </row>
    <row r="19" spans="1:12" s="109" customForma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4"/>
      <c r="H19" s="118"/>
      <c r="I19" s="86">
        <v>1500000</v>
      </c>
      <c r="J19" s="87" t="s">
        <v>242</v>
      </c>
      <c r="K19" s="87" t="s">
        <v>219</v>
      </c>
      <c r="L19" s="134" t="str">
        <f>IF(AND('331-CT'!$E$7=TH!H19,OR(J19="331",K19="331")),"x","")</f>
        <v/>
      </c>
    </row>
    <row r="20" spans="1:12" s="109" customForma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4" t="s">
        <v>516</v>
      </c>
      <c r="H20" s="117" t="s">
        <v>515</v>
      </c>
      <c r="I20" s="86">
        <v>1000000</v>
      </c>
      <c r="J20" s="87" t="s">
        <v>242</v>
      </c>
      <c r="K20" s="87" t="s">
        <v>203</v>
      </c>
      <c r="L20" s="134" t="str">
        <f>IF(AND('331-CT'!$E$7=TH!H20,OR(J20="331",K20="331")),"x","")</f>
        <v/>
      </c>
    </row>
    <row r="21" spans="1:12" s="109" customForma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4"/>
      <c r="H21" s="117"/>
      <c r="I21" s="86">
        <v>25000</v>
      </c>
      <c r="J21" s="87" t="s">
        <v>242</v>
      </c>
      <c r="K21" s="87" t="s">
        <v>203</v>
      </c>
      <c r="L21" s="134" t="str">
        <f>IF(AND('331-CT'!$E$7=TH!H21,OR(J21="331",K21="331")),"x","")</f>
        <v/>
      </c>
    </row>
    <row r="22" spans="1:12" s="109" customForma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4" t="s">
        <v>516</v>
      </c>
      <c r="H22" s="117" t="s">
        <v>515</v>
      </c>
      <c r="I22" s="86">
        <v>750000</v>
      </c>
      <c r="J22" s="87" t="s">
        <v>219</v>
      </c>
      <c r="K22" s="87" t="s">
        <v>203</v>
      </c>
      <c r="L22" s="134" t="str">
        <f>IF(AND('331-CT'!$E$7=TH!H22,OR(J22="331",K22="331")),"x","")</f>
        <v/>
      </c>
    </row>
    <row r="23" spans="1:12" s="109" customForma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4"/>
      <c r="H23" s="117"/>
      <c r="I23" s="86">
        <v>750000</v>
      </c>
      <c r="J23" s="87" t="s">
        <v>242</v>
      </c>
      <c r="K23" s="87" t="s">
        <v>219</v>
      </c>
      <c r="L23" s="134" t="str">
        <f>IF(AND('331-CT'!$E$7=TH!H23,OR(J23="331",K23="331")),"x","")</f>
        <v/>
      </c>
    </row>
    <row r="24" spans="1:12" s="109" customForma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4"/>
      <c r="H24" s="117"/>
      <c r="I24" s="86">
        <v>25000</v>
      </c>
      <c r="J24" s="87" t="s">
        <v>242</v>
      </c>
      <c r="K24" s="87" t="s">
        <v>203</v>
      </c>
      <c r="L24" s="134" t="str">
        <f>IF(AND('331-CT'!$E$7=TH!H24,OR(J24="331",K24="331")),"x","")</f>
        <v/>
      </c>
    </row>
    <row r="25" spans="1:12" s="109" customForma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4" t="s">
        <v>516</v>
      </c>
      <c r="H25" s="117" t="s">
        <v>515</v>
      </c>
      <c r="I25" s="90">
        <v>1500000</v>
      </c>
      <c r="J25" s="91" t="s">
        <v>219</v>
      </c>
      <c r="K25" s="91" t="s">
        <v>203</v>
      </c>
      <c r="L25" s="134" t="str">
        <f>IF(AND('331-CT'!$E$7=TH!H25,OR(J25="331",K25="331")),"x","")</f>
        <v/>
      </c>
    </row>
    <row r="26" spans="1:12" s="109" customForma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5"/>
      <c r="H26" s="119"/>
      <c r="I26" s="90">
        <v>1500000</v>
      </c>
      <c r="J26" s="91" t="s">
        <v>242</v>
      </c>
      <c r="K26" s="91" t="s">
        <v>219</v>
      </c>
      <c r="L26" s="134" t="str">
        <f>IF(AND('331-CT'!$E$7=TH!H26,OR(J26="331",K26="331")),"x","")</f>
        <v/>
      </c>
    </row>
    <row r="27" spans="1:12" s="109" customForma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70" t="s">
        <v>517</v>
      </c>
      <c r="H27" s="117" t="s">
        <v>431</v>
      </c>
      <c r="I27" s="90">
        <v>390000</v>
      </c>
      <c r="J27" s="91" t="s">
        <v>242</v>
      </c>
      <c r="K27" s="91" t="s">
        <v>203</v>
      </c>
      <c r="L27" s="134" t="str">
        <f>IF(AND('331-CT'!$E$7=TH!H27,OR(J27="331",K27="331")),"x","")</f>
        <v/>
      </c>
    </row>
    <row r="28" spans="1:12" s="109" customForma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70" t="s">
        <v>518</v>
      </c>
      <c r="H28" s="117" t="s">
        <v>431</v>
      </c>
      <c r="I28" s="90">
        <v>20000</v>
      </c>
      <c r="J28" s="91" t="s">
        <v>242</v>
      </c>
      <c r="K28" s="91" t="s">
        <v>203</v>
      </c>
      <c r="L28" s="134" t="str">
        <f>IF(AND('331-CT'!$E$7=TH!H28,OR(J28="331",K28="331")),"x","")</f>
        <v/>
      </c>
    </row>
    <row r="29" spans="1:12" s="109" customForma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576</v>
      </c>
      <c r="G29" s="266"/>
      <c r="H29" s="116" t="s">
        <v>431</v>
      </c>
      <c r="I29" s="94">
        <v>100000000</v>
      </c>
      <c r="J29" s="95" t="s">
        <v>54</v>
      </c>
      <c r="K29" s="95" t="s">
        <v>203</v>
      </c>
      <c r="L29" s="134" t="str">
        <f>IF(AND('331-CT'!$E$7=TH!H29,OR(J29="331",K29="331")),"x","")</f>
        <v/>
      </c>
    </row>
    <row r="30" spans="1:12" s="109" customForma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576</v>
      </c>
      <c r="G30" s="266"/>
      <c r="H30" s="116" t="s">
        <v>431</v>
      </c>
      <c r="I30" s="94">
        <v>100000</v>
      </c>
      <c r="J30" s="95" t="s">
        <v>54</v>
      </c>
      <c r="K30" s="95" t="s">
        <v>203</v>
      </c>
      <c r="L30" s="134" t="str">
        <f>IF(AND('331-CT'!$E$7=TH!H30,OR(J30="331",K30="331")),"x","")</f>
        <v/>
      </c>
    </row>
    <row r="31" spans="1:12" s="109" customForma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6"/>
      <c r="H31" s="120" t="s">
        <v>85</v>
      </c>
      <c r="I31" s="94">
        <v>100000000</v>
      </c>
      <c r="J31" s="95" t="s">
        <v>18</v>
      </c>
      <c r="K31" s="95" t="s">
        <v>54</v>
      </c>
      <c r="L31" s="134" t="str">
        <f>IF(AND('331-CT'!$E$7=TH!H31,OR(J31="331",K31="331")),"x","")</f>
        <v/>
      </c>
    </row>
    <row r="32" spans="1:12" s="109" customForma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6"/>
      <c r="H32" s="120"/>
      <c r="I32" s="94">
        <v>50000</v>
      </c>
      <c r="J32" s="95" t="s">
        <v>242</v>
      </c>
      <c r="K32" s="95" t="s">
        <v>54</v>
      </c>
      <c r="L32" s="134" t="str">
        <f>IF(AND('331-CT'!$E$7=TH!H32,OR(J32="331",K32="331")),"x","")</f>
        <v/>
      </c>
    </row>
    <row r="33" spans="1:12" s="109" customForma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6"/>
      <c r="H33" s="120"/>
      <c r="I33" s="94">
        <v>5000</v>
      </c>
      <c r="J33" s="95" t="s">
        <v>242</v>
      </c>
      <c r="K33" s="95" t="s">
        <v>54</v>
      </c>
      <c r="L33" s="134" t="str">
        <f>IF(AND('331-CT'!$E$7=TH!H33,OR(J33="331",K33="331")),"x","")</f>
        <v/>
      </c>
    </row>
    <row r="34" spans="1:12" s="109" customForma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6"/>
      <c r="H34" s="120"/>
      <c r="I34" s="94">
        <v>30000</v>
      </c>
      <c r="J34" s="95" t="s">
        <v>242</v>
      </c>
      <c r="K34" s="95" t="s">
        <v>54</v>
      </c>
      <c r="L34" s="134" t="str">
        <f>IF(AND('331-CT'!$E$7=TH!H34,OR(J34="331",K34="331")),"x","")</f>
        <v/>
      </c>
    </row>
    <row r="35" spans="1:12" s="109" customForma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6"/>
      <c r="H35" s="120"/>
      <c r="I35" s="94">
        <v>3000</v>
      </c>
      <c r="J35" s="95" t="s">
        <v>242</v>
      </c>
      <c r="K35" s="95" t="s">
        <v>54</v>
      </c>
      <c r="L35" s="134" t="str">
        <f>IF(AND('331-CT'!$E$7=TH!H35,OR(J35="331",K35="331")),"x","")</f>
        <v/>
      </c>
    </row>
    <row r="36" spans="1:12" s="109" customForma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6"/>
      <c r="H36" s="120"/>
      <c r="I36" s="94">
        <v>10000</v>
      </c>
      <c r="J36" s="95" t="s">
        <v>242</v>
      </c>
      <c r="K36" s="95" t="s">
        <v>54</v>
      </c>
      <c r="L36" s="134" t="str">
        <f>IF(AND('331-CT'!$E$7=TH!H36,OR(J36="331",K36="331")),"x","")</f>
        <v/>
      </c>
    </row>
    <row r="37" spans="1:12" s="109" customForma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6"/>
      <c r="H37" s="120"/>
      <c r="I37" s="94">
        <v>1000</v>
      </c>
      <c r="J37" s="95" t="s">
        <v>242</v>
      </c>
      <c r="K37" s="95" t="s">
        <v>54</v>
      </c>
      <c r="L37" s="134" t="str">
        <f>IF(AND('331-CT'!$E$7=TH!H37,OR(J37="331",K37="331")),"x","")</f>
        <v/>
      </c>
    </row>
    <row r="38" spans="1:12" s="109" customForma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577</v>
      </c>
      <c r="G38" s="266"/>
      <c r="H38" s="120" t="s">
        <v>268</v>
      </c>
      <c r="I38" s="94">
        <v>2000000</v>
      </c>
      <c r="J38" s="95" t="s">
        <v>39</v>
      </c>
      <c r="K38" s="95" t="s">
        <v>203</v>
      </c>
      <c r="L38" s="134" t="str">
        <f>IF(AND('331-CT'!$E$7=TH!H38,OR(J38="331",K38="331")),"x","")</f>
        <v/>
      </c>
    </row>
    <row r="39" spans="1:12" s="109" customForma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6"/>
      <c r="H39" s="120" t="s">
        <v>268</v>
      </c>
      <c r="I39" s="94">
        <v>2000000</v>
      </c>
      <c r="J39" s="95" t="s">
        <v>54</v>
      </c>
      <c r="K39" s="95" t="s">
        <v>39</v>
      </c>
      <c r="L39" s="134" t="str">
        <f>IF(AND('331-CT'!$E$7=TH!H39,OR(J39="331",K39="331")),"x","")</f>
        <v/>
      </c>
    </row>
    <row r="40" spans="1:12" s="109" customForma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6"/>
      <c r="H40" s="120"/>
      <c r="I40" s="94">
        <v>1500000</v>
      </c>
      <c r="J40" s="95" t="s">
        <v>242</v>
      </c>
      <c r="K40" s="95" t="s">
        <v>219</v>
      </c>
      <c r="L40" s="134" t="str">
        <f>IF(AND('331-CT'!$E$7=TH!H40,OR(J40="331",K40="331")),"x","")</f>
        <v/>
      </c>
    </row>
    <row r="41" spans="1:12" s="109" customForma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6"/>
      <c r="H41" s="120"/>
      <c r="I41" s="94">
        <v>1500000</v>
      </c>
      <c r="J41" s="95" t="s">
        <v>219</v>
      </c>
      <c r="K41" s="95" t="s">
        <v>54</v>
      </c>
      <c r="L41" s="134" t="str">
        <f>IF(AND('331-CT'!$E$7=TH!H41,OR(J41="331",K41="331")),"x","")</f>
        <v/>
      </c>
    </row>
    <row r="42" spans="1:12" s="109" customForma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6"/>
      <c r="H42" s="120"/>
      <c r="I42" s="94">
        <v>20000</v>
      </c>
      <c r="J42" s="95" t="s">
        <v>242</v>
      </c>
      <c r="K42" s="95" t="s">
        <v>54</v>
      </c>
      <c r="L42" s="134" t="str">
        <f>IF(AND('331-CT'!$E$7=TH!H42,OR(J42="331",K42="331")),"x","")</f>
        <v/>
      </c>
    </row>
    <row r="43" spans="1:12" s="109" customForma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6"/>
      <c r="H43" s="120"/>
      <c r="I43" s="94">
        <v>2000</v>
      </c>
      <c r="J43" s="95" t="s">
        <v>242</v>
      </c>
      <c r="K43" s="95" t="s">
        <v>54</v>
      </c>
      <c r="L43" s="134" t="str">
        <f>IF(AND('331-CT'!$E$7=TH!H43,OR(J43="331",K43="331")),"x","")</f>
        <v/>
      </c>
    </row>
    <row r="44" spans="1:12" s="109" customForma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6"/>
      <c r="H44" s="120"/>
      <c r="I44" s="94">
        <v>10000</v>
      </c>
      <c r="J44" s="95" t="s">
        <v>242</v>
      </c>
      <c r="K44" s="95" t="s">
        <v>54</v>
      </c>
      <c r="L44" s="134" t="str">
        <f>IF(AND('331-CT'!$E$7=TH!H44,OR(J44="331",K44="331")),"x","")</f>
        <v/>
      </c>
    </row>
    <row r="45" spans="1:12" s="109" customForma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6"/>
      <c r="H45" s="120"/>
      <c r="I45" s="94">
        <v>1000</v>
      </c>
      <c r="J45" s="95" t="s">
        <v>242</v>
      </c>
      <c r="K45" s="95" t="s">
        <v>54</v>
      </c>
      <c r="L45" s="134" t="str">
        <f>IF(AND('331-CT'!$E$7=TH!H45,OR(J45="331",K45="331")),"x","")</f>
        <v/>
      </c>
    </row>
    <row r="46" spans="1:12" s="109" customForma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577</v>
      </c>
      <c r="G46" s="266"/>
      <c r="H46" s="120" t="s">
        <v>267</v>
      </c>
      <c r="I46" s="94">
        <v>50000000</v>
      </c>
      <c r="J46" s="95" t="s">
        <v>39</v>
      </c>
      <c r="K46" s="95" t="s">
        <v>203</v>
      </c>
      <c r="L46" s="134" t="str">
        <f>IF(AND('331-CT'!$E$7=TH!H46,OR(J46="331",K46="331")),"x","")</f>
        <v/>
      </c>
    </row>
    <row r="47" spans="1:12" s="109" customForma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6"/>
      <c r="H47" s="120" t="s">
        <v>267</v>
      </c>
      <c r="I47" s="94">
        <v>50000000</v>
      </c>
      <c r="J47" s="95" t="s">
        <v>54</v>
      </c>
      <c r="K47" s="95" t="s">
        <v>39</v>
      </c>
      <c r="L47" s="134" t="str">
        <f>IF(AND('331-CT'!$E$7=TH!H47,OR(J47="331",K47="331")),"x","")</f>
        <v/>
      </c>
    </row>
    <row r="48" spans="1:12" s="109" customForma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6"/>
      <c r="H48" s="120" t="s">
        <v>85</v>
      </c>
      <c r="I48" s="94">
        <v>50000000</v>
      </c>
      <c r="J48" s="95" t="s">
        <v>18</v>
      </c>
      <c r="K48" s="95" t="s">
        <v>54</v>
      </c>
      <c r="L48" s="134" t="str">
        <f>IF(AND('331-CT'!$E$7=TH!H48,OR(J48="331",K48="331")),"x","")</f>
        <v/>
      </c>
    </row>
    <row r="49" spans="1:12" s="109" customForma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6"/>
      <c r="H49" s="120"/>
      <c r="I49" s="94">
        <v>25000</v>
      </c>
      <c r="J49" s="95" t="s">
        <v>242</v>
      </c>
      <c r="K49" s="95" t="s">
        <v>54</v>
      </c>
      <c r="L49" s="134" t="str">
        <f>IF(AND('331-CT'!$E$7=TH!H49,OR(J49="331",K49="331")),"x","")</f>
        <v/>
      </c>
    </row>
    <row r="50" spans="1:12" s="109" customForma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6"/>
      <c r="H50" s="120"/>
      <c r="I50" s="94">
        <v>2500</v>
      </c>
      <c r="J50" s="95" t="s">
        <v>242</v>
      </c>
      <c r="K50" s="95" t="s">
        <v>54</v>
      </c>
      <c r="L50" s="134" t="str">
        <f>IF(AND('331-CT'!$E$7=TH!H50,OR(J50="331",K50="331")),"x","")</f>
        <v/>
      </c>
    </row>
    <row r="51" spans="1:12" s="109" customForma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6"/>
      <c r="H51" s="120"/>
      <c r="I51" s="94">
        <v>5500</v>
      </c>
      <c r="J51" s="95" t="s">
        <v>242</v>
      </c>
      <c r="K51" s="95" t="s">
        <v>54</v>
      </c>
      <c r="L51" s="134" t="str">
        <f>IF(AND('331-CT'!$E$7=TH!H51,OR(J51="331",K51="331")),"x","")</f>
        <v/>
      </c>
    </row>
    <row r="52" spans="1:12" s="109" customForma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6"/>
      <c r="H52" s="120"/>
      <c r="I52" s="94">
        <v>5500</v>
      </c>
      <c r="J52" s="95" t="s">
        <v>242</v>
      </c>
      <c r="K52" s="95" t="s">
        <v>54</v>
      </c>
      <c r="L52" s="134" t="str">
        <f>IF(AND('331-CT'!$E$7=TH!H52,OR(J52="331",K52="331")),"x","")</f>
        <v/>
      </c>
    </row>
    <row r="53" spans="1:12" s="109" customForma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577</v>
      </c>
      <c r="G53" s="266"/>
      <c r="H53" s="120" t="s">
        <v>268</v>
      </c>
      <c r="I53" s="94">
        <v>100000000</v>
      </c>
      <c r="J53" s="95" t="s">
        <v>39</v>
      </c>
      <c r="K53" s="95" t="s">
        <v>203</v>
      </c>
      <c r="L53" s="134" t="str">
        <f>IF(AND('331-CT'!$E$7=TH!H53,OR(J53="331",K53="331")),"x","")</f>
        <v/>
      </c>
    </row>
    <row r="54" spans="1:12" s="109" customForma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6"/>
      <c r="H54" s="120" t="s">
        <v>268</v>
      </c>
      <c r="I54" s="94">
        <v>100000000</v>
      </c>
      <c r="J54" s="95" t="s">
        <v>54</v>
      </c>
      <c r="K54" s="95" t="s">
        <v>39</v>
      </c>
      <c r="L54" s="134" t="str">
        <f>IF(AND('331-CT'!$E$7=TH!H54,OR(J54="331",K54="331")),"x","")</f>
        <v/>
      </c>
    </row>
    <row r="55" spans="1:12" s="109" customForma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6"/>
      <c r="H55" s="120" t="s">
        <v>85</v>
      </c>
      <c r="I55" s="94">
        <v>100000000</v>
      </c>
      <c r="J55" s="95" t="s">
        <v>18</v>
      </c>
      <c r="K55" s="95" t="s">
        <v>54</v>
      </c>
      <c r="L55" s="134" t="str">
        <f>IF(AND('331-CT'!$E$7=TH!H55,OR(J55="331",K55="331")),"x","")</f>
        <v/>
      </c>
    </row>
    <row r="56" spans="1:12" s="109" customForma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6"/>
      <c r="H56" s="120"/>
      <c r="I56" s="94">
        <v>50000</v>
      </c>
      <c r="J56" s="95" t="s">
        <v>242</v>
      </c>
      <c r="K56" s="95" t="s">
        <v>54</v>
      </c>
      <c r="L56" s="134" t="str">
        <f>IF(AND('331-CT'!$E$7=TH!H56,OR(J56="331",K56="331")),"x","")</f>
        <v/>
      </c>
    </row>
    <row r="57" spans="1:12" s="109" customForma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6"/>
      <c r="H57" s="120"/>
      <c r="I57" s="94">
        <v>5000</v>
      </c>
      <c r="J57" s="95" t="s">
        <v>242</v>
      </c>
      <c r="K57" s="95" t="s">
        <v>54</v>
      </c>
      <c r="L57" s="134" t="str">
        <f>IF(AND('331-CT'!$E$7=TH!H57,OR(J57="331",K57="331")),"x","")</f>
        <v/>
      </c>
    </row>
    <row r="58" spans="1:12" s="109" customForma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94">
        <v>5500</v>
      </c>
      <c r="J58" s="95" t="s">
        <v>242</v>
      </c>
      <c r="K58" s="95" t="s">
        <v>54</v>
      </c>
      <c r="L58" s="134" t="str">
        <f>IF(AND('331-CT'!$E$7=TH!H58,OR(J58="331",K58="331")),"x","")</f>
        <v/>
      </c>
    </row>
    <row r="59" spans="1:12" s="109" customForma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6"/>
      <c r="H59" s="120"/>
      <c r="I59" s="94">
        <v>5500</v>
      </c>
      <c r="J59" s="95" t="s">
        <v>242</v>
      </c>
      <c r="K59" s="95" t="s">
        <v>54</v>
      </c>
      <c r="L59" s="134" t="str">
        <f>IF(AND('331-CT'!$E$7=TH!H59,OR(J59="331",K59="331")),"x","")</f>
        <v/>
      </c>
    </row>
    <row r="60" spans="1:12" s="109" customForma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577</v>
      </c>
      <c r="G60" s="266"/>
      <c r="H60" s="120" t="s">
        <v>267</v>
      </c>
      <c r="I60" s="94">
        <v>232500000</v>
      </c>
      <c r="J60" s="95" t="s">
        <v>39</v>
      </c>
      <c r="K60" s="95" t="s">
        <v>203</v>
      </c>
      <c r="L60" s="134" t="str">
        <f>IF(AND('331-CT'!$E$7=TH!H60,OR(J60="331",K60="331")),"x","")</f>
        <v/>
      </c>
    </row>
    <row r="61" spans="1:12" s="109" customForma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6"/>
      <c r="H61" s="120" t="s">
        <v>267</v>
      </c>
      <c r="I61" s="94">
        <v>232500000</v>
      </c>
      <c r="J61" s="95" t="s">
        <v>54</v>
      </c>
      <c r="K61" s="95" t="s">
        <v>39</v>
      </c>
      <c r="L61" s="134" t="str">
        <f>IF(AND('331-CT'!$E$7=TH!H61,OR(J61="331",K61="331")),"x","")</f>
        <v/>
      </c>
    </row>
    <row r="62" spans="1:12" s="109" customForma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6"/>
      <c r="H62" s="120" t="s">
        <v>85</v>
      </c>
      <c r="I62" s="94">
        <v>200000000</v>
      </c>
      <c r="J62" s="95" t="s">
        <v>18</v>
      </c>
      <c r="K62" s="95" t="s">
        <v>54</v>
      </c>
      <c r="L62" s="134" t="str">
        <f>IF(AND('331-CT'!$E$7=TH!H62,OR(J62="331",K62="331")),"x","")</f>
        <v/>
      </c>
    </row>
    <row r="63" spans="1:12" s="109" customForma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6"/>
      <c r="H63" s="120"/>
      <c r="I63" s="94">
        <v>100000</v>
      </c>
      <c r="J63" s="95" t="s">
        <v>242</v>
      </c>
      <c r="K63" s="95" t="s">
        <v>54</v>
      </c>
      <c r="L63" s="134" t="str">
        <f>IF(AND('331-CT'!$E$7=TH!H63,OR(J63="331",K63="331")),"x","")</f>
        <v/>
      </c>
    </row>
    <row r="64" spans="1:12" s="109" customForma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6"/>
      <c r="H64" s="120"/>
      <c r="I64" s="94">
        <v>10000</v>
      </c>
      <c r="J64" s="95" t="s">
        <v>242</v>
      </c>
      <c r="K64" s="95" t="s">
        <v>54</v>
      </c>
      <c r="L64" s="134" t="str">
        <f>IF(AND('331-CT'!$E$7=TH!H64,OR(J64="331",K64="331")),"x","")</f>
        <v/>
      </c>
    </row>
    <row r="65" spans="1:12" s="109" customForma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71" t="s">
        <v>561</v>
      </c>
      <c r="H65" s="121" t="s">
        <v>83</v>
      </c>
      <c r="I65" s="94">
        <v>32288666</v>
      </c>
      <c r="J65" s="95" t="s">
        <v>242</v>
      </c>
      <c r="K65" s="95" t="s">
        <v>18</v>
      </c>
      <c r="L65" s="134" t="str">
        <f>IF(AND('331-CT'!$E$7=TH!H65,OR(J65="331",K65="331")),"x","")</f>
        <v/>
      </c>
    </row>
    <row r="66" spans="1:12" s="109" customForma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6"/>
      <c r="H66" s="120" t="s">
        <v>83</v>
      </c>
      <c r="I66" s="94">
        <v>32288666</v>
      </c>
      <c r="J66" s="95" t="s">
        <v>18</v>
      </c>
      <c r="K66" s="95" t="s">
        <v>54</v>
      </c>
      <c r="L66" s="134" t="str">
        <f>IF(AND('331-CT'!$E$7=TH!H66,OR(J66="331",K66="331")),"x","")</f>
        <v/>
      </c>
    </row>
    <row r="67" spans="1:12" s="109" customForma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6"/>
      <c r="H67" s="120"/>
      <c r="I67" s="94">
        <v>20000</v>
      </c>
      <c r="J67" s="95" t="s">
        <v>242</v>
      </c>
      <c r="K67" s="95" t="s">
        <v>54</v>
      </c>
      <c r="L67" s="134" t="str">
        <f>IF(AND('331-CT'!$E$7=TH!H67,OR(J67="331",K67="331")),"x","")</f>
        <v/>
      </c>
    </row>
    <row r="68" spans="1:12" s="109" customForma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6"/>
      <c r="H68" s="120"/>
      <c r="I68" s="94">
        <v>2000</v>
      </c>
      <c r="J68" s="95" t="s">
        <v>242</v>
      </c>
      <c r="K68" s="95" t="s">
        <v>54</v>
      </c>
      <c r="L68" s="134" t="str">
        <f>IF(AND('331-CT'!$E$7=TH!H68,OR(J68="331",K68="331")),"x","")</f>
        <v/>
      </c>
    </row>
    <row r="69" spans="1:12" s="109" customForma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577</v>
      </c>
      <c r="G69" s="266"/>
      <c r="H69" s="120" t="s">
        <v>268</v>
      </c>
      <c r="I69" s="94">
        <v>100000000</v>
      </c>
      <c r="J69" s="95" t="s">
        <v>39</v>
      </c>
      <c r="K69" s="95" t="s">
        <v>203</v>
      </c>
      <c r="L69" s="134" t="str">
        <f>IF(AND('331-CT'!$E$7=TH!H69,OR(J69="331",K69="331")),"x","")</f>
        <v/>
      </c>
    </row>
    <row r="70" spans="1:12" s="109" customForma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6"/>
      <c r="H70" s="120" t="s">
        <v>268</v>
      </c>
      <c r="I70" s="94">
        <v>100000000</v>
      </c>
      <c r="J70" s="95" t="s">
        <v>54</v>
      </c>
      <c r="K70" s="95" t="s">
        <v>39</v>
      </c>
      <c r="L70" s="134" t="str">
        <f>IF(AND('331-CT'!$E$7=TH!H70,OR(J70="331",K70="331")),"x","")</f>
        <v/>
      </c>
    </row>
    <row r="71" spans="1:12" s="109" customForma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6"/>
      <c r="H71" s="120" t="s">
        <v>85</v>
      </c>
      <c r="I71" s="94">
        <v>100000000</v>
      </c>
      <c r="J71" s="95" t="s">
        <v>18</v>
      </c>
      <c r="K71" s="95" t="s">
        <v>54</v>
      </c>
      <c r="L71" s="134" t="str">
        <f>IF(AND('331-CT'!$E$7=TH!H71,OR(J71="331",K71="331")),"x","")</f>
        <v/>
      </c>
    </row>
    <row r="72" spans="1:12" s="109" customForma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6"/>
      <c r="H72" s="120"/>
      <c r="I72" s="94">
        <v>50000</v>
      </c>
      <c r="J72" s="95" t="s">
        <v>242</v>
      </c>
      <c r="K72" s="95" t="s">
        <v>54</v>
      </c>
      <c r="L72" s="134" t="str">
        <f>IF(AND('331-CT'!$E$7=TH!H72,OR(J72="331",K72="331")),"x","")</f>
        <v/>
      </c>
    </row>
    <row r="73" spans="1:12" s="109" customForma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6"/>
      <c r="H73" s="120"/>
      <c r="I73" s="94">
        <v>5000</v>
      </c>
      <c r="J73" s="95" t="s">
        <v>242</v>
      </c>
      <c r="K73" s="95" t="s">
        <v>54</v>
      </c>
      <c r="L73" s="134" t="str">
        <f>IF(AND('331-CT'!$E$7=TH!H73,OR(J73="331",K73="331")),"x","")</f>
        <v/>
      </c>
    </row>
    <row r="74" spans="1:12" s="109" customForma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6"/>
      <c r="H74" s="120"/>
      <c r="I74" s="94">
        <v>5500</v>
      </c>
      <c r="J74" s="95" t="s">
        <v>242</v>
      </c>
      <c r="K74" s="95" t="s">
        <v>54</v>
      </c>
      <c r="L74" s="134" t="str">
        <f>IF(AND('331-CT'!$E$7=TH!H74,OR(J74="331",K74="331")),"x","")</f>
        <v/>
      </c>
    </row>
    <row r="75" spans="1:12" s="109" customForma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6"/>
      <c r="H75" s="120"/>
      <c r="I75" s="94">
        <v>5500</v>
      </c>
      <c r="J75" s="95" t="s">
        <v>242</v>
      </c>
      <c r="K75" s="95" t="s">
        <v>54</v>
      </c>
      <c r="L75" s="134" t="str">
        <f>IF(AND('331-CT'!$E$7=TH!H75,OR(J75="331",K75="331")),"x","")</f>
        <v/>
      </c>
    </row>
    <row r="76" spans="1:12" s="109" customForma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6"/>
      <c r="H76" s="120"/>
      <c r="I76" s="94">
        <v>5500</v>
      </c>
      <c r="J76" s="95" t="s">
        <v>242</v>
      </c>
      <c r="K76" s="95" t="s">
        <v>54</v>
      </c>
      <c r="L76" s="134" t="str">
        <f>IF(AND('331-CT'!$E$7=TH!H76,OR(J76="331",K76="331")),"x","")</f>
        <v/>
      </c>
    </row>
    <row r="77" spans="1:12" s="109" customForma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6"/>
      <c r="H77" s="120"/>
      <c r="I77" s="94">
        <v>5500</v>
      </c>
      <c r="J77" s="95" t="s">
        <v>242</v>
      </c>
      <c r="K77" s="95" t="s">
        <v>54</v>
      </c>
      <c r="L77" s="134" t="str">
        <f>IF(AND('331-CT'!$E$7=TH!H77,OR(J77="331",K77="331")),"x","")</f>
        <v/>
      </c>
    </row>
    <row r="78" spans="1:12" s="109" customForma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577</v>
      </c>
      <c r="G78" s="266"/>
      <c r="H78" s="120" t="s">
        <v>268</v>
      </c>
      <c r="I78" s="94">
        <v>100000000</v>
      </c>
      <c r="J78" s="95" t="s">
        <v>39</v>
      </c>
      <c r="K78" s="95" t="s">
        <v>203</v>
      </c>
      <c r="L78" s="134" t="str">
        <f>IF(AND('331-CT'!$E$7=TH!H78,OR(J78="331",K78="331")),"x","")</f>
        <v/>
      </c>
    </row>
    <row r="79" spans="1:12" s="109" customForma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6"/>
      <c r="H79" s="120" t="s">
        <v>268</v>
      </c>
      <c r="I79" s="94">
        <v>100000000</v>
      </c>
      <c r="J79" s="95" t="s">
        <v>54</v>
      </c>
      <c r="K79" s="95" t="s">
        <v>39</v>
      </c>
      <c r="L79" s="134" t="str">
        <f>IF(AND('331-CT'!$E$7=TH!H79,OR(J79="331",K79="331")),"x","")</f>
        <v/>
      </c>
    </row>
    <row r="80" spans="1:12" s="109" customForma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6"/>
      <c r="H80" s="120" t="s">
        <v>85</v>
      </c>
      <c r="I80" s="94">
        <v>100000000</v>
      </c>
      <c r="J80" s="95" t="s">
        <v>18</v>
      </c>
      <c r="K80" s="95" t="s">
        <v>54</v>
      </c>
      <c r="L80" s="134" t="str">
        <f>IF(AND('331-CT'!$E$7=TH!H80,OR(J80="331",K80="331")),"x","")</f>
        <v/>
      </c>
    </row>
    <row r="81" spans="1:12" s="109" customForma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6"/>
      <c r="H81" s="120"/>
      <c r="I81" s="94">
        <v>50000</v>
      </c>
      <c r="J81" s="95" t="s">
        <v>242</v>
      </c>
      <c r="K81" s="95" t="s">
        <v>54</v>
      </c>
      <c r="L81" s="134" t="str">
        <f>IF(AND('331-CT'!$E$7=TH!H81,OR(J81="331",K81="331")),"x","")</f>
        <v/>
      </c>
    </row>
    <row r="82" spans="1:12" s="109" customForma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6"/>
      <c r="H82" s="120"/>
      <c r="I82" s="94">
        <v>5000</v>
      </c>
      <c r="J82" s="95" t="s">
        <v>242</v>
      </c>
      <c r="K82" s="95" t="s">
        <v>54</v>
      </c>
      <c r="L82" s="134" t="str">
        <f>IF(AND('331-CT'!$E$7=TH!H82,OR(J82="331",K82="331")),"x","")</f>
        <v/>
      </c>
    </row>
    <row r="83" spans="1:12" s="109" customForma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576</v>
      </c>
      <c r="G83" s="266"/>
      <c r="H83" s="116" t="s">
        <v>431</v>
      </c>
      <c r="I83" s="94">
        <v>50000000</v>
      </c>
      <c r="J83" s="95" t="s">
        <v>54</v>
      </c>
      <c r="K83" s="95" t="s">
        <v>203</v>
      </c>
      <c r="L83" s="134" t="str">
        <f>IF(AND('331-CT'!$E$7=TH!H83,OR(J83="331",K83="331")),"x","")</f>
        <v/>
      </c>
    </row>
    <row r="84" spans="1:12" s="109" customForma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6"/>
      <c r="H84" s="120" t="s">
        <v>85</v>
      </c>
      <c r="I84" s="94">
        <v>50000000</v>
      </c>
      <c r="J84" s="95" t="s">
        <v>18</v>
      </c>
      <c r="K84" s="95" t="s">
        <v>54</v>
      </c>
      <c r="L84" s="134" t="str">
        <f>IF(AND('331-CT'!$E$7=TH!H84,OR(J84="331",K84="331")),"x","")</f>
        <v/>
      </c>
    </row>
    <row r="85" spans="1:12" s="109" customForma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6"/>
      <c r="H85" s="120"/>
      <c r="I85" s="94">
        <v>25000</v>
      </c>
      <c r="J85" s="95" t="s">
        <v>242</v>
      </c>
      <c r="K85" s="95" t="s">
        <v>54</v>
      </c>
      <c r="L85" s="134" t="str">
        <f>IF(AND('331-CT'!$E$7=TH!H85,OR(J85="331",K85="331")),"x","")</f>
        <v/>
      </c>
    </row>
    <row r="86" spans="1:12" s="109" customForma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6"/>
      <c r="H86" s="120"/>
      <c r="I86" s="94">
        <v>14907</v>
      </c>
      <c r="J86" s="95" t="s">
        <v>242</v>
      </c>
      <c r="K86" s="95" t="s">
        <v>54</v>
      </c>
      <c r="L86" s="134" t="str">
        <f>IF(AND('331-CT'!$E$7=TH!H86,OR(J86="331",K86="331")),"x","")</f>
        <v/>
      </c>
    </row>
    <row r="87" spans="1:12" s="109" customForma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6"/>
      <c r="H87" s="120"/>
      <c r="I87" s="94">
        <v>2500</v>
      </c>
      <c r="J87" s="95" t="s">
        <v>242</v>
      </c>
      <c r="K87" s="95" t="s">
        <v>54</v>
      </c>
      <c r="L87" s="134" t="str">
        <f>IF(AND('331-CT'!$E$7=TH!H87,OR(J87="331",K87="331")),"x","")</f>
        <v/>
      </c>
    </row>
    <row r="88" spans="1:12" s="109" customForma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6"/>
      <c r="H88" s="120"/>
      <c r="I88" s="94">
        <v>1491</v>
      </c>
      <c r="J88" s="95" t="s">
        <v>242</v>
      </c>
      <c r="K88" s="95" t="s">
        <v>54</v>
      </c>
      <c r="L88" s="134" t="str">
        <f>IF(AND('331-CT'!$E$7=TH!H88,OR(J88="331",K88="331")),"x","")</f>
        <v/>
      </c>
    </row>
    <row r="89" spans="1:12" s="109" customForma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12">
        <v>5500</v>
      </c>
      <c r="J89" s="95" t="s">
        <v>242</v>
      </c>
      <c r="K89" s="95" t="s">
        <v>54</v>
      </c>
      <c r="L89" s="134" t="str">
        <f>IF(AND('331-CT'!$E$7=TH!H89,OR(J89="331",K89="331")),"x","")</f>
        <v/>
      </c>
    </row>
    <row r="90" spans="1:12" s="109" customForma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6"/>
      <c r="H90" s="120"/>
      <c r="I90" s="94">
        <v>5500</v>
      </c>
      <c r="J90" s="95" t="s">
        <v>242</v>
      </c>
      <c r="K90" s="95" t="s">
        <v>54</v>
      </c>
      <c r="L90" s="134" t="str">
        <f>IF(AND('331-CT'!$E$7=TH!H90,OR(J90="331",K90="331")),"x","")</f>
        <v/>
      </c>
    </row>
    <row r="91" spans="1:12" s="109" customForma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576</v>
      </c>
      <c r="G91" s="266"/>
      <c r="H91" s="120" t="s">
        <v>513</v>
      </c>
      <c r="I91" s="94">
        <v>100000000</v>
      </c>
      <c r="J91" s="95" t="s">
        <v>54</v>
      </c>
      <c r="K91" s="95" t="s">
        <v>203</v>
      </c>
      <c r="L91" s="134" t="str">
        <f>IF(AND('331-CT'!$E$7=TH!H91,OR(J91="331",K91="331")),"x","")</f>
        <v/>
      </c>
    </row>
    <row r="92" spans="1:12" s="109" customForma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12">
        <v>100000000</v>
      </c>
      <c r="J92" s="95" t="s">
        <v>18</v>
      </c>
      <c r="K92" s="95" t="s">
        <v>54</v>
      </c>
      <c r="L92" s="134" t="str">
        <f>IF(AND('331-CT'!$E$7=TH!H92,OR(J92="331",K92="331")),"x","")</f>
        <v/>
      </c>
    </row>
    <row r="93" spans="1:12" s="109" customForma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12">
        <v>50000</v>
      </c>
      <c r="J93" s="95" t="s">
        <v>242</v>
      </c>
      <c r="K93" s="95" t="s">
        <v>54</v>
      </c>
      <c r="L93" s="134" t="str">
        <f>IF(AND('331-CT'!$E$7=TH!H93,OR(J93="331",K93="331")),"x","")</f>
        <v/>
      </c>
    </row>
    <row r="94" spans="1:12" s="109" customForma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12">
        <v>5000</v>
      </c>
      <c r="J94" s="95" t="s">
        <v>242</v>
      </c>
      <c r="K94" s="95" t="s">
        <v>54</v>
      </c>
      <c r="L94" s="134" t="str">
        <f>IF(AND('331-CT'!$E$7=TH!H94,OR(J94="331",K94="331")),"x","")</f>
        <v/>
      </c>
    </row>
    <row r="95" spans="1:12" s="109" customForma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12">
        <v>29923</v>
      </c>
      <c r="J95" s="95" t="s">
        <v>242</v>
      </c>
      <c r="K95" s="95" t="s">
        <v>54</v>
      </c>
      <c r="L95" s="134" t="str">
        <f>IF(AND('331-CT'!$E$7=TH!H95,OR(J95="331",K95="331")),"x","")</f>
        <v/>
      </c>
    </row>
    <row r="96" spans="1:12" s="109" customForma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6"/>
      <c r="H96" s="120"/>
      <c r="I96" s="94">
        <v>2992</v>
      </c>
      <c r="J96" s="95" t="s">
        <v>242</v>
      </c>
      <c r="K96" s="95" t="s">
        <v>54</v>
      </c>
      <c r="L96" s="134" t="str">
        <f>IF(AND('331-CT'!$E$7=TH!H96,OR(J96="331",K96="331")),"x","")</f>
        <v/>
      </c>
    </row>
    <row r="97" spans="1:12" s="109" customForma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7"/>
      <c r="H97" s="120"/>
      <c r="I97" s="94">
        <v>5500</v>
      </c>
      <c r="J97" s="95" t="s">
        <v>242</v>
      </c>
      <c r="K97" s="95" t="s">
        <v>54</v>
      </c>
      <c r="L97" s="134" t="str">
        <f>IF(AND('331-CT'!$E$7=TH!H97,OR(J97="331",K97="331")),"x","")</f>
        <v/>
      </c>
    </row>
    <row r="98" spans="1:12" s="109" customForma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6"/>
      <c r="H98" s="120"/>
      <c r="I98" s="94">
        <v>5500</v>
      </c>
      <c r="J98" s="95" t="s">
        <v>242</v>
      </c>
      <c r="K98" s="95" t="s">
        <v>54</v>
      </c>
      <c r="L98" s="134" t="str">
        <f>IF(AND('331-CT'!$E$7=TH!H98,OR(J98="331",K98="331")),"x","")</f>
        <v/>
      </c>
    </row>
    <row r="99" spans="1:12" s="109" customForma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6"/>
      <c r="H99" s="120"/>
      <c r="I99" s="94">
        <v>5500</v>
      </c>
      <c r="J99" s="95" t="s">
        <v>242</v>
      </c>
      <c r="K99" s="95" t="s">
        <v>54</v>
      </c>
      <c r="L99" s="134" t="str">
        <f>IF(AND('331-CT'!$E$7=TH!H99,OR(J99="331",K99="331")),"x","")</f>
        <v/>
      </c>
    </row>
    <row r="100" spans="1:12" s="109" customForma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6"/>
      <c r="H100" s="120"/>
      <c r="I100" s="94">
        <v>5500</v>
      </c>
      <c r="J100" s="95" t="s">
        <v>242</v>
      </c>
      <c r="K100" s="95" t="s">
        <v>54</v>
      </c>
      <c r="L100" s="134" t="str">
        <f>IF(AND('331-CT'!$E$7=TH!H100,OR(J100="331",K100="331")),"x","")</f>
        <v/>
      </c>
    </row>
    <row r="101" spans="1:12" s="109" customForma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7"/>
      <c r="H101" s="120"/>
      <c r="I101" s="101">
        <v>24000</v>
      </c>
      <c r="J101" s="95" t="s">
        <v>242</v>
      </c>
      <c r="K101" s="95" t="s">
        <v>54</v>
      </c>
      <c r="L101" s="134" t="str">
        <f>IF(AND('331-CT'!$E$7=TH!H101,OR(J101="331",K101="331")),"x","")</f>
        <v/>
      </c>
    </row>
    <row r="102" spans="1:12" s="109" customForma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6"/>
      <c r="H102" s="120"/>
      <c r="I102" s="94">
        <v>2400</v>
      </c>
      <c r="J102" s="95" t="s">
        <v>242</v>
      </c>
      <c r="K102" s="95" t="s">
        <v>54</v>
      </c>
      <c r="L102" s="134" t="str">
        <f>IF(AND('331-CT'!$E$7=TH!H102,OR(J102="331",K102="331")),"x","")</f>
        <v/>
      </c>
    </row>
    <row r="103" spans="1:12" s="109" customForma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7"/>
      <c r="H103" s="120"/>
      <c r="I103" s="101">
        <v>24000</v>
      </c>
      <c r="J103" s="95" t="s">
        <v>242</v>
      </c>
      <c r="K103" s="95" t="s">
        <v>54</v>
      </c>
      <c r="L103" s="134" t="str">
        <f>IF(AND('331-CT'!$E$7=TH!H103,OR(J103="331",K103="331")),"x","")</f>
        <v/>
      </c>
    </row>
    <row r="104" spans="1:12" s="109" customForma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6"/>
      <c r="H104" s="120"/>
      <c r="I104" s="94">
        <v>2400</v>
      </c>
      <c r="J104" s="95" t="s">
        <v>242</v>
      </c>
      <c r="K104" s="95" t="s">
        <v>54</v>
      </c>
      <c r="L104" s="134" t="str">
        <f>IF(AND('331-CT'!$E$7=TH!H104,OR(J104="331",K104="331")),"x","")</f>
        <v/>
      </c>
    </row>
    <row r="105" spans="1:12" s="109" customForma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6"/>
      <c r="H105" s="120"/>
      <c r="I105" s="94">
        <v>24000</v>
      </c>
      <c r="J105" s="95" t="s">
        <v>242</v>
      </c>
      <c r="K105" s="95" t="s">
        <v>54</v>
      </c>
      <c r="L105" s="134" t="str">
        <f>IF(AND('331-CT'!$E$7=TH!H105,OR(J105="331",K105="331")),"x","")</f>
        <v/>
      </c>
    </row>
    <row r="106" spans="1:12" s="109" customForma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6"/>
      <c r="H106" s="120"/>
      <c r="I106" s="94">
        <v>2400</v>
      </c>
      <c r="J106" s="95" t="s">
        <v>242</v>
      </c>
      <c r="K106" s="95" t="s">
        <v>54</v>
      </c>
      <c r="L106" s="134" t="str">
        <f>IF(AND('331-CT'!$E$7=TH!H106,OR(J106="331",K106="331")),"x","")</f>
        <v/>
      </c>
    </row>
    <row r="107" spans="1:12" s="109" customForma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6"/>
      <c r="H107" s="120"/>
      <c r="I107" s="94">
        <v>24000</v>
      </c>
      <c r="J107" s="95" t="s">
        <v>242</v>
      </c>
      <c r="K107" s="95" t="s">
        <v>54</v>
      </c>
      <c r="L107" s="134" t="str">
        <f>IF(AND('331-CT'!$E$7=TH!H107,OR(J107="331",K107="331")),"x","")</f>
        <v/>
      </c>
    </row>
    <row r="108" spans="1:12" s="109" customForma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8"/>
      <c r="H108" s="120"/>
      <c r="I108" s="114">
        <v>2400</v>
      </c>
      <c r="J108" s="95" t="s">
        <v>242</v>
      </c>
      <c r="K108" s="95" t="s">
        <v>54</v>
      </c>
      <c r="L108" s="134" t="str">
        <f>IF(AND('331-CT'!$E$7=TH!H108,OR(J108="331",K108="331")),"x","")</f>
        <v/>
      </c>
    </row>
    <row r="109" spans="1:12" s="109" customForma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8"/>
      <c r="H109" s="120"/>
      <c r="I109" s="114">
        <v>12746</v>
      </c>
      <c r="J109" s="95" t="s">
        <v>242</v>
      </c>
      <c r="K109" s="95" t="s">
        <v>54</v>
      </c>
      <c r="L109" s="134" t="str">
        <f>IF(AND('331-CT'!$E$7=TH!H109,OR(J109="331",K109="331")),"x","")</f>
        <v/>
      </c>
    </row>
    <row r="110" spans="1:12" s="109" customForma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8"/>
      <c r="H110" s="120"/>
      <c r="I110" s="114">
        <v>1275</v>
      </c>
      <c r="J110" s="95" t="s">
        <v>242</v>
      </c>
      <c r="K110" s="95" t="s">
        <v>54</v>
      </c>
      <c r="L110" s="134" t="str">
        <f>IF(AND('331-CT'!$E$7=TH!H110,OR(J110="331",K110="331")),"x","")</f>
        <v/>
      </c>
    </row>
    <row r="111" spans="1:12" s="109" customForma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6"/>
      <c r="H111" s="120"/>
      <c r="I111" s="94">
        <v>14021</v>
      </c>
      <c r="J111" s="95" t="s">
        <v>242</v>
      </c>
      <c r="K111" s="95" t="s">
        <v>54</v>
      </c>
      <c r="L111" s="134" t="str">
        <f>IF(AND('331-CT'!$E$7=TH!H111,OR(J111="331",K111="331")),"x","")</f>
        <v/>
      </c>
    </row>
    <row r="112" spans="1:12" s="109" customForma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6"/>
      <c r="H112" s="120"/>
      <c r="I112" s="94">
        <v>12379</v>
      </c>
      <c r="J112" s="95" t="s">
        <v>242</v>
      </c>
      <c r="K112" s="95" t="s">
        <v>54</v>
      </c>
      <c r="L112" s="134" t="str">
        <f>IF(AND('331-CT'!$E$7=TH!H112,OR(J112="331",K112="331")),"x","")</f>
        <v/>
      </c>
    </row>
    <row r="113" spans="1:12" s="109" customForma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577</v>
      </c>
      <c r="G113" s="266"/>
      <c r="H113" s="120" t="s">
        <v>267</v>
      </c>
      <c r="I113" s="94">
        <v>30000000</v>
      </c>
      <c r="J113" s="95" t="s">
        <v>39</v>
      </c>
      <c r="K113" s="95" t="s">
        <v>203</v>
      </c>
      <c r="L113" s="134" t="str">
        <f>IF(AND('331-CT'!$E$7=TH!H113,OR(J113="331",K113="331")),"x","")</f>
        <v/>
      </c>
    </row>
    <row r="114" spans="1:12" s="109" customForma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6"/>
      <c r="H114" s="120" t="s">
        <v>267</v>
      </c>
      <c r="I114" s="94">
        <v>30000000</v>
      </c>
      <c r="J114" s="95" t="s">
        <v>54</v>
      </c>
      <c r="K114" s="95" t="s">
        <v>39</v>
      </c>
      <c r="L114" s="134" t="str">
        <f>IF(AND('331-CT'!$E$7=TH!H114,OR(J114="331",K114="331")),"x","")</f>
        <v/>
      </c>
    </row>
    <row r="115" spans="1:12" s="109" customForma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6"/>
      <c r="H115" s="120" t="s">
        <v>83</v>
      </c>
      <c r="I115" s="94">
        <v>29920000</v>
      </c>
      <c r="J115" s="95" t="s">
        <v>18</v>
      </c>
      <c r="K115" s="95" t="s">
        <v>54</v>
      </c>
      <c r="L115" s="134" t="str">
        <f>IF(AND('331-CT'!$E$7=TH!H115,OR(J115="331",K115="331")),"x","")</f>
        <v/>
      </c>
    </row>
    <row r="116" spans="1:12" s="109" customForma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6"/>
      <c r="H116" s="120"/>
      <c r="I116" s="94">
        <v>20000</v>
      </c>
      <c r="J116" s="95" t="s">
        <v>242</v>
      </c>
      <c r="K116" s="95" t="s">
        <v>54</v>
      </c>
      <c r="L116" s="134" t="str">
        <f>IF(AND('331-CT'!$E$7=TH!H116,OR(J116="331",K116="331")),"x","")</f>
        <v/>
      </c>
    </row>
    <row r="117" spans="1:12" s="109" customForma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6"/>
      <c r="H117" s="120"/>
      <c r="I117" s="94">
        <v>2000</v>
      </c>
      <c r="J117" s="95" t="s">
        <v>242</v>
      </c>
      <c r="K117" s="95" t="s">
        <v>54</v>
      </c>
      <c r="L117" s="134" t="str">
        <f>IF(AND('331-CT'!$E$7=TH!H117,OR(J117="331",K117="331")),"x","")</f>
        <v/>
      </c>
    </row>
    <row r="118" spans="1:12" s="109" customForma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71" t="s">
        <v>560</v>
      </c>
      <c r="H118" s="120" t="s">
        <v>83</v>
      </c>
      <c r="I118" s="94">
        <v>29920000</v>
      </c>
      <c r="J118" s="95" t="s">
        <v>242</v>
      </c>
      <c r="K118" s="95" t="s">
        <v>18</v>
      </c>
      <c r="L118" s="134" t="str">
        <f>IF(AND('331-CT'!$E$7=TH!H118,OR(J118="331",K118="331")),"x","")</f>
        <v/>
      </c>
    </row>
    <row r="119" spans="1:12" s="109" customForma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6"/>
      <c r="H119" s="120"/>
      <c r="I119" s="94">
        <v>24000</v>
      </c>
      <c r="J119" s="95" t="s">
        <v>242</v>
      </c>
      <c r="K119" s="95" t="s">
        <v>54</v>
      </c>
      <c r="L119" s="134" t="str">
        <f>IF(AND('331-CT'!$E$7=TH!H119,OR(J119="331",K119="331")),"x","")</f>
        <v/>
      </c>
    </row>
    <row r="120" spans="1:12" s="109" customForma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6"/>
      <c r="H120" s="120"/>
      <c r="I120" s="94">
        <v>2400</v>
      </c>
      <c r="J120" s="95" t="s">
        <v>242</v>
      </c>
      <c r="K120" s="95" t="s">
        <v>54</v>
      </c>
      <c r="L120" s="134" t="str">
        <f>IF(AND('331-CT'!$E$7=TH!H120,OR(J120="331",K120="331")),"x","")</f>
        <v/>
      </c>
    </row>
    <row r="121" spans="1:12" s="109" customForma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6"/>
      <c r="H121" s="120"/>
      <c r="I121" s="94">
        <v>24000</v>
      </c>
      <c r="J121" s="95" t="s">
        <v>242</v>
      </c>
      <c r="K121" s="95" t="s">
        <v>54</v>
      </c>
      <c r="L121" s="134" t="str">
        <f>IF(AND('331-CT'!$E$7=TH!H121,OR(J121="331",K121="331")),"x","")</f>
        <v/>
      </c>
    </row>
    <row r="122" spans="1:12" s="109" customForma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6"/>
      <c r="H122" s="120"/>
      <c r="I122" s="94">
        <v>2400</v>
      </c>
      <c r="J122" s="95" t="s">
        <v>242</v>
      </c>
      <c r="K122" s="95" t="s">
        <v>54</v>
      </c>
      <c r="L122" s="134" t="str">
        <f>IF(AND('331-CT'!$E$7=TH!H122,OR(J122="331",K122="331")),"x","")</f>
        <v/>
      </c>
    </row>
    <row r="123" spans="1:12" s="109" customForma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6"/>
      <c r="H123" s="120"/>
      <c r="I123" s="94">
        <v>4727</v>
      </c>
      <c r="J123" s="95" t="s">
        <v>242</v>
      </c>
      <c r="K123" s="95" t="s">
        <v>54</v>
      </c>
      <c r="L123" s="134" t="str">
        <f>IF(AND('331-CT'!$E$7=TH!H123,OR(J123="331",K123="331")),"x","")</f>
        <v/>
      </c>
    </row>
    <row r="124" spans="1:12" s="109" customForma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6"/>
      <c r="H124" s="120"/>
      <c r="I124" s="94">
        <v>473</v>
      </c>
      <c r="J124" s="95" t="s">
        <v>242</v>
      </c>
      <c r="K124" s="95" t="s">
        <v>54</v>
      </c>
      <c r="L124" s="134" t="str">
        <f>IF(AND('331-CT'!$E$7=TH!H124,OR(J124="331",K124="331")),"x","")</f>
        <v/>
      </c>
    </row>
    <row r="125" spans="1:12" s="109" customForma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71" t="s">
        <v>519</v>
      </c>
      <c r="H125" s="122" t="s">
        <v>520</v>
      </c>
      <c r="I125" s="94">
        <v>150000</v>
      </c>
      <c r="J125" s="95" t="s">
        <v>242</v>
      </c>
      <c r="K125" s="95" t="s">
        <v>203</v>
      </c>
      <c r="L125" s="134" t="str">
        <f>IF(AND('331-CT'!$E$7=TH!H125,OR(J125="331",K125="331")),"x","")</f>
        <v/>
      </c>
    </row>
    <row r="126" spans="1:12" s="109" customForma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577</v>
      </c>
      <c r="G126" s="267"/>
      <c r="H126" s="120" t="s">
        <v>267</v>
      </c>
      <c r="I126" s="74">
        <v>20000000</v>
      </c>
      <c r="J126" s="75" t="s">
        <v>39</v>
      </c>
      <c r="K126" s="75" t="s">
        <v>203</v>
      </c>
      <c r="L126" s="134" t="str">
        <f>IF(AND('331-CT'!$E$7=TH!H126,OR(J126="331",K126="331")),"x","")</f>
        <v/>
      </c>
    </row>
    <row r="127" spans="1:12" s="109" customForma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577</v>
      </c>
      <c r="G127" s="267"/>
      <c r="H127" s="120" t="s">
        <v>267</v>
      </c>
      <c r="I127" s="74">
        <v>500000</v>
      </c>
      <c r="J127" s="75" t="s">
        <v>39</v>
      </c>
      <c r="K127" s="75" t="s">
        <v>203</v>
      </c>
      <c r="L127" s="134" t="str">
        <f>IF(AND('331-CT'!$E$7=TH!H127,OR(J127="331",K127="331")),"x","")</f>
        <v/>
      </c>
    </row>
    <row r="128" spans="1:12" s="109" customForma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7"/>
      <c r="H128" s="120" t="s">
        <v>267</v>
      </c>
      <c r="I128" s="74">
        <v>20000000</v>
      </c>
      <c r="J128" s="75" t="s">
        <v>54</v>
      </c>
      <c r="K128" s="75" t="s">
        <v>39</v>
      </c>
      <c r="L128" s="134" t="str">
        <f>IF(AND('331-CT'!$E$7=TH!H128,OR(J128="331",K128="331")),"x","")</f>
        <v/>
      </c>
    </row>
    <row r="129" spans="1:12" s="109" customForma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7"/>
      <c r="H129" s="120" t="s">
        <v>267</v>
      </c>
      <c r="I129" s="74">
        <v>500000</v>
      </c>
      <c r="J129" s="75" t="s">
        <v>54</v>
      </c>
      <c r="K129" s="75" t="s">
        <v>39</v>
      </c>
      <c r="L129" s="134" t="str">
        <f>IF(AND('331-CT'!$E$7=TH!H129,OR(J129="331",K129="331")),"x","")</f>
        <v/>
      </c>
    </row>
    <row r="130" spans="1:12" s="109" customForma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7"/>
      <c r="H130" s="122"/>
      <c r="I130" s="74">
        <v>20000000</v>
      </c>
      <c r="J130" s="75" t="s">
        <v>242</v>
      </c>
      <c r="K130" s="75" t="s">
        <v>54</v>
      </c>
      <c r="L130" s="134" t="str">
        <f>IF(AND('331-CT'!$E$7=TH!H130,OR(J130="331",K130="331")),"x","")</f>
        <v/>
      </c>
    </row>
    <row r="131" spans="1:12" s="109" customForma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7"/>
      <c r="H131" s="122"/>
      <c r="I131" s="74">
        <v>20000</v>
      </c>
      <c r="J131" s="75" t="s">
        <v>242</v>
      </c>
      <c r="K131" s="75" t="s">
        <v>54</v>
      </c>
      <c r="L131" s="134" t="str">
        <f>IF(AND('331-CT'!$E$7=TH!H131,OR(J131="331",K131="331")),"x","")</f>
        <v/>
      </c>
    </row>
    <row r="132" spans="1:12" s="109" customForma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7"/>
      <c r="H132" s="122"/>
      <c r="I132" s="74">
        <v>2000</v>
      </c>
      <c r="J132" s="95" t="s">
        <v>242</v>
      </c>
      <c r="K132" s="75" t="s">
        <v>54</v>
      </c>
      <c r="L132" s="134" t="str">
        <f>IF(AND('331-CT'!$E$7=TH!H132,OR(J132="331",K132="331")),"x","")</f>
        <v/>
      </c>
    </row>
    <row r="133" spans="1:12" s="109" customForma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576</v>
      </c>
      <c r="G133" s="267"/>
      <c r="H133" s="117" t="s">
        <v>431</v>
      </c>
      <c r="I133" s="74">
        <v>1500000</v>
      </c>
      <c r="J133" s="75" t="s">
        <v>54</v>
      </c>
      <c r="K133" s="75" t="s">
        <v>203</v>
      </c>
      <c r="L133" s="134" t="str">
        <f>IF(AND('331-CT'!$E$7=TH!H133,OR(J133="331",K133="331")),"x","")</f>
        <v/>
      </c>
    </row>
    <row r="134" spans="1:12" s="109" customForma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7"/>
      <c r="H134" s="122"/>
      <c r="I134" s="74">
        <v>1500000</v>
      </c>
      <c r="J134" s="75" t="s">
        <v>242</v>
      </c>
      <c r="K134" s="75" t="s">
        <v>219</v>
      </c>
      <c r="L134" s="134" t="str">
        <f>IF(AND('331-CT'!$E$7=TH!H134,OR(J134="331",K134="331")),"x","")</f>
        <v/>
      </c>
    </row>
    <row r="135" spans="1:12" s="109" customForma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7"/>
      <c r="H135" s="122"/>
      <c r="I135" s="74">
        <v>1500000</v>
      </c>
      <c r="J135" s="75" t="s">
        <v>219</v>
      </c>
      <c r="K135" s="75" t="s">
        <v>54</v>
      </c>
      <c r="L135" s="134" t="str">
        <f>IF(AND('331-CT'!$E$7=TH!H135,OR(J135="331",K135="331")),"x","")</f>
        <v/>
      </c>
    </row>
    <row r="136" spans="1:12" s="109" customForma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7"/>
      <c r="H136" s="122"/>
      <c r="I136" s="74">
        <v>20000</v>
      </c>
      <c r="J136" s="75" t="s">
        <v>242</v>
      </c>
      <c r="K136" s="75" t="s">
        <v>54</v>
      </c>
      <c r="L136" s="134" t="str">
        <f>IF(AND('331-CT'!$E$7=TH!H136,OR(J136="331",K136="331")),"x","")</f>
        <v/>
      </c>
    </row>
    <row r="137" spans="1:12" s="109" customForma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7"/>
      <c r="H137" s="122"/>
      <c r="I137" s="74">
        <v>2000</v>
      </c>
      <c r="J137" s="95" t="s">
        <v>242</v>
      </c>
      <c r="K137" s="75" t="s">
        <v>54</v>
      </c>
      <c r="L137" s="134" t="str">
        <f>IF(AND('331-CT'!$E$7=TH!H137,OR(J137="331",K137="331")),"x","")</f>
        <v/>
      </c>
    </row>
    <row r="138" spans="1:12" s="109" customForma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7"/>
      <c r="H138" s="122"/>
      <c r="I138" s="74">
        <v>24000</v>
      </c>
      <c r="J138" s="75" t="s">
        <v>242</v>
      </c>
      <c r="K138" s="75" t="s">
        <v>54</v>
      </c>
      <c r="L138" s="134" t="str">
        <f>IF(AND('331-CT'!$E$7=TH!H138,OR(J138="331",K138="331")),"x","")</f>
        <v/>
      </c>
    </row>
    <row r="139" spans="1:12" s="109" customForma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7"/>
      <c r="H139" s="122"/>
      <c r="I139" s="74">
        <v>2400</v>
      </c>
      <c r="J139" s="95" t="s">
        <v>242</v>
      </c>
      <c r="K139" s="75" t="s">
        <v>54</v>
      </c>
      <c r="L139" s="134" t="str">
        <f>IF(AND('331-CT'!$E$7=TH!H139,OR(J139="331",K139="331")),"x","")</f>
        <v/>
      </c>
    </row>
    <row r="140" spans="1:12" s="109" customForma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7"/>
      <c r="H140" s="122"/>
      <c r="I140" s="74">
        <v>24000</v>
      </c>
      <c r="J140" s="75" t="s">
        <v>242</v>
      </c>
      <c r="K140" s="75" t="s">
        <v>54</v>
      </c>
      <c r="L140" s="134" t="str">
        <f>IF(AND('331-CT'!$E$7=TH!H140,OR(J140="331",K140="331")),"x","")</f>
        <v/>
      </c>
    </row>
    <row r="141" spans="1:12" s="109" customForma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7"/>
      <c r="H141" s="122"/>
      <c r="I141" s="74">
        <v>2400</v>
      </c>
      <c r="J141" s="95" t="s">
        <v>242</v>
      </c>
      <c r="K141" s="75" t="s">
        <v>54</v>
      </c>
      <c r="L141" s="134" t="str">
        <f>IF(AND('331-CT'!$E$7=TH!H141,OR(J141="331",K141="331")),"x","")</f>
        <v/>
      </c>
    </row>
    <row r="142" spans="1:12" s="109" customForma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7"/>
      <c r="H142" s="122"/>
      <c r="I142" s="74">
        <v>24000</v>
      </c>
      <c r="J142" s="75" t="s">
        <v>242</v>
      </c>
      <c r="K142" s="75" t="s">
        <v>54</v>
      </c>
      <c r="L142" s="134" t="str">
        <f>IF(AND('331-CT'!$E$7=TH!H142,OR(J142="331",K142="331")),"x","")</f>
        <v/>
      </c>
    </row>
    <row r="143" spans="1:12" s="109" customForma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7"/>
      <c r="H143" s="122"/>
      <c r="I143" s="74">
        <v>2400</v>
      </c>
      <c r="J143" s="95" t="s">
        <v>242</v>
      </c>
      <c r="K143" s="75" t="s">
        <v>54</v>
      </c>
      <c r="L143" s="134" t="str">
        <f>IF(AND('331-CT'!$E$7=TH!H143,OR(J143="331",K143="331")),"x","")</f>
        <v/>
      </c>
    </row>
    <row r="144" spans="1:12" s="109" customForma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2" t="s">
        <v>522</v>
      </c>
      <c r="H144" s="122" t="s">
        <v>520</v>
      </c>
      <c r="I144" s="74">
        <v>896500</v>
      </c>
      <c r="J144" s="75" t="s">
        <v>242</v>
      </c>
      <c r="K144" s="75" t="s">
        <v>203</v>
      </c>
      <c r="L144" s="134" t="str">
        <f>IF(AND('331-CT'!$E$7=TH!H144,OR(J144="331",K144="331")),"x","")</f>
        <v/>
      </c>
    </row>
    <row r="145" spans="1:12" s="109" customForma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7"/>
      <c r="H145" s="122"/>
      <c r="I145" s="74">
        <v>24000</v>
      </c>
      <c r="J145" s="75" t="s">
        <v>242</v>
      </c>
      <c r="K145" s="75" t="s">
        <v>54</v>
      </c>
      <c r="L145" s="134" t="str">
        <f>IF(AND('331-CT'!$E$7=TH!H145,OR(J145="331",K145="331")),"x","")</f>
        <v/>
      </c>
    </row>
    <row r="146" spans="1:12" s="109" customForma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7"/>
      <c r="H146" s="122"/>
      <c r="I146" s="74">
        <v>2400</v>
      </c>
      <c r="J146" s="95" t="s">
        <v>242</v>
      </c>
      <c r="K146" s="75" t="s">
        <v>54</v>
      </c>
      <c r="L146" s="134" t="str">
        <f>IF(AND('331-CT'!$E$7=TH!H146,OR(J146="331",K146="331")),"x","")</f>
        <v/>
      </c>
    </row>
    <row r="147" spans="1:12" s="109" customForma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7"/>
      <c r="H147" s="122"/>
      <c r="I147" s="74">
        <v>24000</v>
      </c>
      <c r="J147" s="75" t="s">
        <v>242</v>
      </c>
      <c r="K147" s="75" t="s">
        <v>54</v>
      </c>
      <c r="L147" s="134" t="str">
        <f>IF(AND('331-CT'!$E$7=TH!H147,OR(J147="331",K147="331")),"x","")</f>
        <v/>
      </c>
    </row>
    <row r="148" spans="1:12" s="109" customForma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7"/>
      <c r="H148" s="122"/>
      <c r="I148" s="74">
        <v>2400</v>
      </c>
      <c r="J148" s="95" t="s">
        <v>242</v>
      </c>
      <c r="K148" s="75" t="s">
        <v>54</v>
      </c>
      <c r="L148" s="134" t="str">
        <f>IF(AND('331-CT'!$E$7=TH!H148,OR(J148="331",K148="331")),"x","")</f>
        <v/>
      </c>
    </row>
    <row r="149" spans="1:12" s="109" customForma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7"/>
      <c r="H149" s="122"/>
      <c r="I149" s="74">
        <v>24000</v>
      </c>
      <c r="J149" s="75" t="s">
        <v>242</v>
      </c>
      <c r="K149" s="75" t="s">
        <v>54</v>
      </c>
      <c r="L149" s="134" t="str">
        <f>IF(AND('331-CT'!$E$7=TH!H149,OR(J149="331",K149="331")),"x","")</f>
        <v/>
      </c>
    </row>
    <row r="150" spans="1:12" s="109" customForma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7"/>
      <c r="H150" s="122"/>
      <c r="I150" s="74">
        <v>2400</v>
      </c>
      <c r="J150" s="95" t="s">
        <v>242</v>
      </c>
      <c r="K150" s="75" t="s">
        <v>54</v>
      </c>
      <c r="L150" s="134" t="str">
        <f>IF(AND('331-CT'!$E$7=TH!H150,OR(J150="331",K150="331")),"x","")</f>
        <v/>
      </c>
    </row>
    <row r="151" spans="1:12" s="109" customForma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576</v>
      </c>
      <c r="G151" s="267"/>
      <c r="H151" s="117" t="s">
        <v>431</v>
      </c>
      <c r="I151" s="74">
        <v>51000000</v>
      </c>
      <c r="J151" s="75" t="s">
        <v>54</v>
      </c>
      <c r="K151" s="75" t="s">
        <v>203</v>
      </c>
      <c r="L151" s="134" t="str">
        <f>IF(AND('331-CT'!$E$7=TH!H151,OR(J151="331",K151="331")),"x","")</f>
        <v/>
      </c>
    </row>
    <row r="152" spans="1:12" s="109" customForma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7"/>
      <c r="H152" s="122" t="s">
        <v>85</v>
      </c>
      <c r="I152" s="74">
        <v>50000000</v>
      </c>
      <c r="J152" s="75" t="s">
        <v>18</v>
      </c>
      <c r="K152" s="75" t="s">
        <v>54</v>
      </c>
      <c r="L152" s="134" t="str">
        <f>IF(AND('331-CT'!$E$7=TH!H152,OR(J152="331",K152="331")),"x","")</f>
        <v/>
      </c>
    </row>
    <row r="153" spans="1:12" s="109" customForma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7"/>
      <c r="H153" s="122"/>
      <c r="I153" s="74">
        <v>25000</v>
      </c>
      <c r="J153" s="75" t="s">
        <v>242</v>
      </c>
      <c r="K153" s="75" t="s">
        <v>54</v>
      </c>
      <c r="L153" s="134" t="str">
        <f>IF(AND('331-CT'!$E$7=TH!H153,OR(J153="331",K153="331")),"x","")</f>
        <v/>
      </c>
    </row>
    <row r="154" spans="1:12" s="109" customForma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7"/>
      <c r="H154" s="122"/>
      <c r="I154" s="74">
        <v>2500</v>
      </c>
      <c r="J154" s="95" t="s">
        <v>242</v>
      </c>
      <c r="K154" s="75" t="s">
        <v>54</v>
      </c>
      <c r="L154" s="134" t="str">
        <f>IF(AND('331-CT'!$E$7=TH!H154,OR(J154="331",K154="331")),"x","")</f>
        <v/>
      </c>
    </row>
    <row r="155" spans="1:12" s="109" customForma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7"/>
      <c r="H155" s="122"/>
      <c r="I155" s="74">
        <v>24000</v>
      </c>
      <c r="J155" s="75" t="s">
        <v>242</v>
      </c>
      <c r="K155" s="75" t="s">
        <v>54</v>
      </c>
      <c r="L155" s="134" t="str">
        <f>IF(AND('331-CT'!$E$7=TH!H155,OR(J155="331",K155="331")),"x","")</f>
        <v/>
      </c>
    </row>
    <row r="156" spans="1:12" s="109" customForma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7"/>
      <c r="H156" s="122"/>
      <c r="I156" s="74">
        <v>2400</v>
      </c>
      <c r="J156" s="95" t="s">
        <v>242</v>
      </c>
      <c r="K156" s="75" t="s">
        <v>54</v>
      </c>
      <c r="L156" s="134" t="str">
        <f>IF(AND('331-CT'!$E$7=TH!H156,OR(J156="331",K156="331")),"x","")</f>
        <v/>
      </c>
    </row>
    <row r="157" spans="1:12" s="109" customForma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7"/>
      <c r="H157" s="122"/>
      <c r="I157" s="74">
        <v>24000</v>
      </c>
      <c r="J157" s="75" t="s">
        <v>242</v>
      </c>
      <c r="K157" s="75" t="s">
        <v>54</v>
      </c>
      <c r="L157" s="134" t="str">
        <f>IF(AND('331-CT'!$E$7=TH!H157,OR(J157="331",K157="331")),"x","")</f>
        <v/>
      </c>
    </row>
    <row r="158" spans="1:12" s="109" customForma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7"/>
      <c r="H158" s="122"/>
      <c r="I158" s="74">
        <v>2400</v>
      </c>
      <c r="J158" s="95" t="s">
        <v>242</v>
      </c>
      <c r="K158" s="75" t="s">
        <v>54</v>
      </c>
      <c r="L158" s="134" t="str">
        <f>IF(AND('331-CT'!$E$7=TH!H158,OR(J158="331",K158="331")),"x","")</f>
        <v/>
      </c>
    </row>
    <row r="159" spans="1:12" s="109" customForma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7"/>
      <c r="H159" s="122"/>
      <c r="I159" s="74">
        <v>24000</v>
      </c>
      <c r="J159" s="75" t="s">
        <v>242</v>
      </c>
      <c r="K159" s="75" t="s">
        <v>54</v>
      </c>
      <c r="L159" s="134" t="str">
        <f>IF(AND('331-CT'!$E$7=TH!H159,OR(J159="331",K159="331")),"x","")</f>
        <v/>
      </c>
    </row>
    <row r="160" spans="1:12" s="109" customForma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7"/>
      <c r="H160" s="122"/>
      <c r="I160" s="74">
        <v>2400</v>
      </c>
      <c r="J160" s="95" t="s">
        <v>242</v>
      </c>
      <c r="K160" s="75" t="s">
        <v>54</v>
      </c>
      <c r="L160" s="134" t="str">
        <f>IF(AND('331-CT'!$E$7=TH!H160,OR(J160="331",K160="331")),"x","")</f>
        <v/>
      </c>
    </row>
    <row r="161" spans="1:12" s="109" customForma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577</v>
      </c>
      <c r="G161" s="267"/>
      <c r="H161" s="120" t="s">
        <v>267</v>
      </c>
      <c r="I161" s="74">
        <v>30000000</v>
      </c>
      <c r="J161" s="75" t="s">
        <v>39</v>
      </c>
      <c r="K161" s="75" t="s">
        <v>203</v>
      </c>
      <c r="L161" s="134" t="str">
        <f>IF(AND('331-CT'!$E$7=TH!H161,OR(J161="331",K161="331")),"x","")</f>
        <v/>
      </c>
    </row>
    <row r="162" spans="1:12" s="109" customForma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7"/>
      <c r="H162" s="120" t="s">
        <v>267</v>
      </c>
      <c r="I162" s="74">
        <v>30000000</v>
      </c>
      <c r="J162" s="75" t="s">
        <v>54</v>
      </c>
      <c r="K162" s="75" t="s">
        <v>39</v>
      </c>
      <c r="L162" s="134" t="str">
        <f>IF(AND('331-CT'!$E$7=TH!H162,OR(J162="331",K162="331")),"x","")</f>
        <v/>
      </c>
    </row>
    <row r="163" spans="1:12" s="109" customForma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7"/>
      <c r="H163" s="122" t="s">
        <v>83</v>
      </c>
      <c r="I163" s="74">
        <v>29920000</v>
      </c>
      <c r="J163" s="75" t="s">
        <v>18</v>
      </c>
      <c r="K163" s="75" t="s">
        <v>54</v>
      </c>
      <c r="L163" s="134" t="str">
        <f>IF(AND('331-CT'!$E$7=TH!H163,OR(J163="331",K163="331")),"x","")</f>
        <v/>
      </c>
    </row>
    <row r="164" spans="1:12" s="109" customForma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7"/>
      <c r="H164" s="122"/>
      <c r="I164" s="74">
        <v>20000</v>
      </c>
      <c r="J164" s="75" t="s">
        <v>242</v>
      </c>
      <c r="K164" s="75" t="s">
        <v>54</v>
      </c>
      <c r="L164" s="134" t="str">
        <f>IF(AND('331-CT'!$E$7=TH!H164,OR(J164="331",K164="331")),"x","")</f>
        <v/>
      </c>
    </row>
    <row r="165" spans="1:12" s="109" customForma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7"/>
      <c r="H165" s="122"/>
      <c r="I165" s="74">
        <v>2000</v>
      </c>
      <c r="J165" s="95" t="s">
        <v>242</v>
      </c>
      <c r="K165" s="75" t="s">
        <v>54</v>
      </c>
      <c r="L165" s="134" t="str">
        <f>IF(AND('331-CT'!$E$7=TH!H165,OR(J165="331",K165="331")),"x","")</f>
        <v/>
      </c>
    </row>
    <row r="166" spans="1:12" s="109" customForma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7"/>
      <c r="H166" s="122"/>
      <c r="I166" s="74">
        <v>24000</v>
      </c>
      <c r="J166" s="75" t="s">
        <v>242</v>
      </c>
      <c r="K166" s="75" t="s">
        <v>54</v>
      </c>
      <c r="L166" s="134" t="str">
        <f>IF(AND('331-CT'!$E$7=TH!H166,OR(J166="331",K166="331")),"x","")</f>
        <v/>
      </c>
    </row>
    <row r="167" spans="1:12" s="109" customForma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7"/>
      <c r="H167" s="122"/>
      <c r="I167" s="74">
        <v>2400</v>
      </c>
      <c r="J167" s="95" t="s">
        <v>242</v>
      </c>
      <c r="K167" s="75" t="s">
        <v>54</v>
      </c>
      <c r="L167" s="134" t="str">
        <f>IF(AND('331-CT'!$E$7=TH!H167,OR(J167="331",K167="331")),"x","")</f>
        <v/>
      </c>
    </row>
    <row r="168" spans="1:12" s="109" customForma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7"/>
      <c r="H168" s="122"/>
      <c r="I168" s="74">
        <v>24000</v>
      </c>
      <c r="J168" s="75" t="s">
        <v>242</v>
      </c>
      <c r="K168" s="75" t="s">
        <v>54</v>
      </c>
      <c r="L168" s="134" t="str">
        <f>IF(AND('331-CT'!$E$7=TH!H168,OR(J168="331",K168="331")),"x","")</f>
        <v/>
      </c>
    </row>
    <row r="169" spans="1:12" s="109" customForma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7"/>
      <c r="H169" s="122"/>
      <c r="I169" s="74">
        <v>2400</v>
      </c>
      <c r="J169" s="95" t="s">
        <v>242</v>
      </c>
      <c r="K169" s="75" t="s">
        <v>54</v>
      </c>
      <c r="L169" s="134" t="str">
        <f>IF(AND('331-CT'!$E$7=TH!H169,OR(J169="331",K169="331")),"x","")</f>
        <v/>
      </c>
    </row>
    <row r="170" spans="1:12" s="109" customForma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7"/>
      <c r="H170" s="122"/>
      <c r="I170" s="74">
        <v>24000</v>
      </c>
      <c r="J170" s="75" t="s">
        <v>242</v>
      </c>
      <c r="K170" s="75" t="s">
        <v>54</v>
      </c>
      <c r="L170" s="134" t="str">
        <f>IF(AND('331-CT'!$E$7=TH!H170,OR(J170="331",K170="331")),"x","")</f>
        <v/>
      </c>
    </row>
    <row r="171" spans="1:12" s="109" customForma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7"/>
      <c r="H171" s="122"/>
      <c r="I171" s="74">
        <v>2400</v>
      </c>
      <c r="J171" s="95" t="s">
        <v>242</v>
      </c>
      <c r="K171" s="75" t="s">
        <v>54</v>
      </c>
      <c r="L171" s="134" t="str">
        <f>IF(AND('331-CT'!$E$7=TH!H171,OR(J171="331",K171="331")),"x","")</f>
        <v/>
      </c>
    </row>
    <row r="172" spans="1:12" s="109" customForma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576</v>
      </c>
      <c r="G172" s="267"/>
      <c r="H172" s="122" t="s">
        <v>515</v>
      </c>
      <c r="I172" s="74">
        <v>1500000</v>
      </c>
      <c r="J172" s="75" t="s">
        <v>54</v>
      </c>
      <c r="K172" s="75" t="s">
        <v>203</v>
      </c>
      <c r="L172" s="134" t="str">
        <f>IF(AND('331-CT'!$E$7=TH!H172,OR(J172="331",K172="331")),"x","")</f>
        <v/>
      </c>
    </row>
    <row r="173" spans="1:12" s="109" customForma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7"/>
      <c r="H173" s="122"/>
      <c r="I173" s="74">
        <v>1500000</v>
      </c>
      <c r="J173" s="75" t="s">
        <v>242</v>
      </c>
      <c r="K173" s="75" t="s">
        <v>219</v>
      </c>
      <c r="L173" s="134" t="str">
        <f>IF(AND('331-CT'!$E$7=TH!H173,OR(J173="331",K173="331")),"x","")</f>
        <v/>
      </c>
    </row>
    <row r="174" spans="1:12" s="109" customForma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7"/>
      <c r="H174" s="122"/>
      <c r="I174" s="74">
        <v>1500000</v>
      </c>
      <c r="J174" s="75" t="s">
        <v>212</v>
      </c>
      <c r="K174" s="75" t="s">
        <v>54</v>
      </c>
      <c r="L174" s="134" t="str">
        <f>IF(AND('331-CT'!$E$7=TH!H174,OR(J174="331",K174="331")),"x","")</f>
        <v/>
      </c>
    </row>
    <row r="175" spans="1:12" s="109" customForma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7"/>
      <c r="H175" s="122"/>
      <c r="I175" s="74">
        <v>30000</v>
      </c>
      <c r="J175" s="75" t="s">
        <v>242</v>
      </c>
      <c r="K175" s="75" t="s">
        <v>54</v>
      </c>
      <c r="L175" s="134" t="str">
        <f>IF(AND('331-CT'!$E$7=TH!H175,OR(J175="331",K175="331")),"x","")</f>
        <v/>
      </c>
    </row>
    <row r="176" spans="1:12" s="109" customForma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7"/>
      <c r="H176" s="122"/>
      <c r="I176" s="74">
        <v>3000</v>
      </c>
      <c r="J176" s="95" t="s">
        <v>242</v>
      </c>
      <c r="K176" s="75" t="s">
        <v>54</v>
      </c>
      <c r="L176" s="134" t="str">
        <f>IF(AND('331-CT'!$E$7=TH!H176,OR(J176="331",K176="331")),"x","")</f>
        <v/>
      </c>
    </row>
    <row r="177" spans="1:12" s="109" customForma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7"/>
      <c r="H177" s="122"/>
      <c r="I177" s="74">
        <v>1500000</v>
      </c>
      <c r="J177" s="75" t="s">
        <v>54</v>
      </c>
      <c r="K177" s="75" t="s">
        <v>212</v>
      </c>
      <c r="L177" s="134" t="str">
        <f>IF(AND('331-CT'!$E$7=TH!H177,OR(J177="331",K177="331")),"x","")</f>
        <v/>
      </c>
    </row>
    <row r="178" spans="1:12" s="109" customForma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7"/>
      <c r="H178" s="122"/>
      <c r="I178" s="74">
        <v>1500000</v>
      </c>
      <c r="J178" s="75" t="s">
        <v>219</v>
      </c>
      <c r="K178" s="75" t="s">
        <v>54</v>
      </c>
      <c r="L178" s="134" t="str">
        <f>IF(AND('331-CT'!$E$7=TH!H178,OR(J178="331",K178="331")),"x","")</f>
        <v/>
      </c>
    </row>
    <row r="179" spans="1:12" s="109" customForma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7"/>
      <c r="H179" s="122"/>
      <c r="I179" s="74">
        <v>20000</v>
      </c>
      <c r="J179" s="75" t="s">
        <v>242</v>
      </c>
      <c r="K179" s="75" t="s">
        <v>54</v>
      </c>
      <c r="L179" s="134" t="str">
        <f>IF(AND('331-CT'!$E$7=TH!H179,OR(J179="331",K179="331")),"x","")</f>
        <v/>
      </c>
    </row>
    <row r="180" spans="1:12" s="109" customForma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7"/>
      <c r="H180" s="122"/>
      <c r="I180" s="74">
        <v>2000</v>
      </c>
      <c r="J180" s="95" t="s">
        <v>242</v>
      </c>
      <c r="K180" s="75" t="s">
        <v>54</v>
      </c>
      <c r="L180" s="134" t="str">
        <f>IF(AND('331-CT'!$E$7=TH!H180,OR(J180="331",K180="331")),"x","")</f>
        <v/>
      </c>
    </row>
    <row r="181" spans="1:12" s="109" customForma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7"/>
      <c r="H181" s="122"/>
      <c r="I181" s="74">
        <v>24000</v>
      </c>
      <c r="J181" s="75" t="s">
        <v>242</v>
      </c>
      <c r="K181" s="75" t="s">
        <v>54</v>
      </c>
      <c r="L181" s="134" t="str">
        <f>IF(AND('331-CT'!$E$7=TH!H181,OR(J181="331",K181="331")),"x","")</f>
        <v/>
      </c>
    </row>
    <row r="182" spans="1:12" s="109" customForma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7"/>
      <c r="H182" s="122"/>
      <c r="I182" s="74">
        <v>2400</v>
      </c>
      <c r="J182" s="95" t="s">
        <v>242</v>
      </c>
      <c r="K182" s="75" t="s">
        <v>54</v>
      </c>
      <c r="L182" s="134" t="str">
        <f>IF(AND('331-CT'!$E$7=TH!H182,OR(J182="331",K182="331")),"x","")</f>
        <v/>
      </c>
    </row>
    <row r="183" spans="1:12" s="109" customForma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7"/>
      <c r="H183" s="122"/>
      <c r="I183" s="74">
        <v>24000</v>
      </c>
      <c r="J183" s="75" t="s">
        <v>242</v>
      </c>
      <c r="K183" s="75" t="s">
        <v>54</v>
      </c>
      <c r="L183" s="134" t="str">
        <f>IF(AND('331-CT'!$E$7=TH!H183,OR(J183="331",K183="331")),"x","")</f>
        <v/>
      </c>
    </row>
    <row r="184" spans="1:12" s="109" customForma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7"/>
      <c r="H184" s="122"/>
      <c r="I184" s="74">
        <v>2400</v>
      </c>
      <c r="J184" s="95" t="s">
        <v>242</v>
      </c>
      <c r="K184" s="75" t="s">
        <v>54</v>
      </c>
      <c r="L184" s="134" t="str">
        <f>IF(AND('331-CT'!$E$7=TH!H184,OR(J184="331",K184="331")),"x","")</f>
        <v/>
      </c>
    </row>
    <row r="185" spans="1:12" s="109" customForma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7"/>
      <c r="H185" s="122"/>
      <c r="I185" s="74">
        <v>24000</v>
      </c>
      <c r="J185" s="75" t="s">
        <v>242</v>
      </c>
      <c r="K185" s="75" t="s">
        <v>54</v>
      </c>
      <c r="L185" s="134" t="str">
        <f>IF(AND('331-CT'!$E$7=TH!H185,OR(J185="331",K185="331")),"x","")</f>
        <v/>
      </c>
    </row>
    <row r="186" spans="1:12" s="109" customForma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7"/>
      <c r="H186" s="122"/>
      <c r="I186" s="74">
        <v>2400</v>
      </c>
      <c r="J186" s="95" t="s">
        <v>242</v>
      </c>
      <c r="K186" s="75" t="s">
        <v>54</v>
      </c>
      <c r="L186" s="134" t="str">
        <f>IF(AND('331-CT'!$E$7=TH!H186,OR(J186="331",K186="331")),"x","")</f>
        <v/>
      </c>
    </row>
    <row r="187" spans="1:12" s="109" customForma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7"/>
      <c r="H187" s="122"/>
      <c r="I187" s="74">
        <v>30000</v>
      </c>
      <c r="J187" s="75" t="s">
        <v>242</v>
      </c>
      <c r="K187" s="75" t="s">
        <v>54</v>
      </c>
      <c r="L187" s="134" t="str">
        <f>IF(AND('331-CT'!$E$7=TH!H187,OR(J187="331",K187="331")),"x","")</f>
        <v/>
      </c>
    </row>
    <row r="188" spans="1:12" s="109" customForma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7"/>
      <c r="H188" s="122"/>
      <c r="I188" s="74">
        <v>3000</v>
      </c>
      <c r="J188" s="95" t="s">
        <v>242</v>
      </c>
      <c r="K188" s="75" t="s">
        <v>54</v>
      </c>
      <c r="L188" s="134" t="str">
        <f>IF(AND('331-CT'!$E$7=TH!H188,OR(J188="331",K188="331")),"x","")</f>
        <v/>
      </c>
    </row>
    <row r="189" spans="1:12" s="109" customForma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7"/>
      <c r="H189" s="122"/>
      <c r="I189" s="74">
        <v>30000</v>
      </c>
      <c r="J189" s="75" t="s">
        <v>242</v>
      </c>
      <c r="K189" s="75" t="s">
        <v>54</v>
      </c>
      <c r="L189" s="134" t="str">
        <f>IF(AND('331-CT'!$E$7=TH!H189,OR(J189="331",K189="331")),"x","")</f>
        <v/>
      </c>
    </row>
    <row r="190" spans="1:12" s="109" customForma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7"/>
      <c r="H190" s="122"/>
      <c r="I190" s="74">
        <v>3000</v>
      </c>
      <c r="J190" s="95" t="s">
        <v>242</v>
      </c>
      <c r="K190" s="75" t="s">
        <v>54</v>
      </c>
      <c r="L190" s="134" t="str">
        <f>IF(AND('331-CT'!$E$7=TH!H190,OR(J190="331",K190="331")),"x","")</f>
        <v/>
      </c>
    </row>
    <row r="191" spans="1:12" s="109" customForma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7"/>
      <c r="H191" s="122"/>
      <c r="I191" s="74">
        <v>30000</v>
      </c>
      <c r="J191" s="75" t="s">
        <v>242</v>
      </c>
      <c r="K191" s="75" t="s">
        <v>54</v>
      </c>
      <c r="L191" s="134" t="str">
        <f>IF(AND('331-CT'!$E$7=TH!H191,OR(J191="331",K191="331")),"x","")</f>
        <v/>
      </c>
    </row>
    <row r="192" spans="1:12" s="109" customForma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7"/>
      <c r="H192" s="122"/>
      <c r="I192" s="74">
        <v>3000</v>
      </c>
      <c r="J192" s="95" t="s">
        <v>242</v>
      </c>
      <c r="K192" s="75" t="s">
        <v>54</v>
      </c>
      <c r="L192" s="134" t="str">
        <f>IF(AND('331-CT'!$E$7=TH!H192,OR(J192="331",K192="331")),"x","")</f>
        <v/>
      </c>
    </row>
    <row r="193" spans="1:12" s="109" customForma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7"/>
      <c r="H193" s="122"/>
      <c r="I193" s="74">
        <v>100000</v>
      </c>
      <c r="J193" s="75" t="s">
        <v>242</v>
      </c>
      <c r="K193" s="75" t="s">
        <v>54</v>
      </c>
      <c r="L193" s="134" t="str">
        <f>IF(AND('331-CT'!$E$7=TH!H193,OR(J193="331",K193="331")),"x","")</f>
        <v/>
      </c>
    </row>
    <row r="194" spans="1:12" s="109" customForma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7"/>
      <c r="H194" s="122"/>
      <c r="I194" s="74">
        <v>10000</v>
      </c>
      <c r="J194" s="95" t="s">
        <v>242</v>
      </c>
      <c r="K194" s="75" t="s">
        <v>54</v>
      </c>
      <c r="L194" s="134" t="str">
        <f>IF(AND('331-CT'!$E$7=TH!H194,OR(J194="331",K194="331")),"x","")</f>
        <v/>
      </c>
    </row>
    <row r="195" spans="1:12" s="109" customForma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7"/>
      <c r="H195" s="122"/>
      <c r="I195" s="74">
        <v>30000</v>
      </c>
      <c r="J195" s="75" t="s">
        <v>242</v>
      </c>
      <c r="K195" s="75" t="s">
        <v>54</v>
      </c>
      <c r="L195" s="134" t="str">
        <f>IF(AND('331-CT'!$E$7=TH!H195,OR(J195="331",K195="331")),"x","")</f>
        <v/>
      </c>
    </row>
    <row r="196" spans="1:12" s="109" customForma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7"/>
      <c r="H196" s="122"/>
      <c r="I196" s="74">
        <v>3000</v>
      </c>
      <c r="J196" s="95" t="s">
        <v>242</v>
      </c>
      <c r="K196" s="75" t="s">
        <v>54</v>
      </c>
      <c r="L196" s="134" t="str">
        <f>IF(AND('331-CT'!$E$7=TH!H196,OR(J196="331",K196="331")),"x","")</f>
        <v/>
      </c>
    </row>
    <row r="197" spans="1:12" s="109" customForma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7"/>
      <c r="H197" s="122"/>
      <c r="I197" s="74">
        <v>30000</v>
      </c>
      <c r="J197" s="75" t="s">
        <v>242</v>
      </c>
      <c r="K197" s="75" t="s">
        <v>54</v>
      </c>
      <c r="L197" s="134" t="str">
        <f>IF(AND('331-CT'!$E$7=TH!H197,OR(J197="331",K197="331")),"x","")</f>
        <v/>
      </c>
    </row>
    <row r="198" spans="1:12" s="109" customForma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7"/>
      <c r="H198" s="122"/>
      <c r="I198" s="74">
        <v>3000</v>
      </c>
      <c r="J198" s="95" t="s">
        <v>242</v>
      </c>
      <c r="K198" s="75" t="s">
        <v>54</v>
      </c>
      <c r="L198" s="134" t="str">
        <f>IF(AND('331-CT'!$E$7=TH!H198,OR(J198="331",K198="331")),"x","")</f>
        <v/>
      </c>
    </row>
    <row r="199" spans="1:12" s="109" customForma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7"/>
      <c r="H199" s="122"/>
      <c r="I199" s="74">
        <v>30000</v>
      </c>
      <c r="J199" s="75" t="s">
        <v>242</v>
      </c>
      <c r="K199" s="75" t="s">
        <v>54</v>
      </c>
      <c r="L199" s="134" t="str">
        <f>IF(AND('331-CT'!$E$7=TH!H199,OR(J199="331",K199="331")),"x","")</f>
        <v/>
      </c>
    </row>
    <row r="200" spans="1:12" s="109" customForma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7"/>
      <c r="H200" s="122"/>
      <c r="I200" s="74">
        <v>3000</v>
      </c>
      <c r="J200" s="95" t="s">
        <v>242</v>
      </c>
      <c r="K200" s="75" t="s">
        <v>54</v>
      </c>
      <c r="L200" s="134" t="str">
        <f>IF(AND('331-CT'!$E$7=TH!H200,OR(J200="331",K200="331")),"x","")</f>
        <v/>
      </c>
    </row>
    <row r="201" spans="1:12" s="109" customForma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7"/>
      <c r="H201" s="122"/>
      <c r="I201" s="74">
        <v>30000</v>
      </c>
      <c r="J201" s="75" t="s">
        <v>242</v>
      </c>
      <c r="K201" s="75" t="s">
        <v>54</v>
      </c>
      <c r="L201" s="134" t="str">
        <f>IF(AND('331-CT'!$E$7=TH!H201,OR(J201="331",K201="331")),"x","")</f>
        <v/>
      </c>
    </row>
    <row r="202" spans="1:12" s="109" customForma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7"/>
      <c r="H202" s="122"/>
      <c r="I202" s="74">
        <v>3000</v>
      </c>
      <c r="J202" s="95" t="s">
        <v>242</v>
      </c>
      <c r="K202" s="75" t="s">
        <v>54</v>
      </c>
      <c r="L202" s="134" t="str">
        <f>IF(AND('331-CT'!$E$7=TH!H202,OR(J202="331",K202="331")),"x","")</f>
        <v/>
      </c>
    </row>
    <row r="203" spans="1:12" s="109" customForma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7"/>
      <c r="H203" s="122"/>
      <c r="I203" s="74">
        <v>30000</v>
      </c>
      <c r="J203" s="75" t="s">
        <v>242</v>
      </c>
      <c r="K203" s="75" t="s">
        <v>54</v>
      </c>
      <c r="L203" s="134" t="str">
        <f>IF(AND('331-CT'!$E$7=TH!H203,OR(J203="331",K203="331")),"x","")</f>
        <v/>
      </c>
    </row>
    <row r="204" spans="1:12" s="109" customForma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7"/>
      <c r="H204" s="122"/>
      <c r="I204" s="74">
        <v>3000</v>
      </c>
      <c r="J204" s="95" t="s">
        <v>242</v>
      </c>
      <c r="K204" s="75" t="s">
        <v>54</v>
      </c>
      <c r="L204" s="134" t="str">
        <f>IF(AND('331-CT'!$E$7=TH!H204,OR(J204="331",K204="331")),"x","")</f>
        <v/>
      </c>
    </row>
    <row r="205" spans="1:12" s="109" customForma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7"/>
      <c r="H205" s="122"/>
      <c r="I205" s="74">
        <v>30000</v>
      </c>
      <c r="J205" s="75" t="s">
        <v>242</v>
      </c>
      <c r="K205" s="75" t="s">
        <v>54</v>
      </c>
      <c r="L205" s="134" t="str">
        <f>IF(AND('331-CT'!$E$7=TH!H205,OR(J205="331",K205="331")),"x","")</f>
        <v/>
      </c>
    </row>
    <row r="206" spans="1:12" s="109" customForma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7"/>
      <c r="H206" s="122"/>
      <c r="I206" s="74">
        <v>3000</v>
      </c>
      <c r="J206" s="95" t="s">
        <v>242</v>
      </c>
      <c r="K206" s="75" t="s">
        <v>54</v>
      </c>
      <c r="L206" s="134" t="str">
        <f>IF(AND('331-CT'!$E$7=TH!H206,OR(J206="331",K206="331")),"x","")</f>
        <v/>
      </c>
    </row>
    <row r="207" spans="1:12" s="109" customForma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577</v>
      </c>
      <c r="G207" s="267"/>
      <c r="H207" s="122" t="s">
        <v>267</v>
      </c>
      <c r="I207" s="74">
        <v>58000000</v>
      </c>
      <c r="J207" s="78" t="s">
        <v>39</v>
      </c>
      <c r="K207" s="75" t="s">
        <v>203</v>
      </c>
      <c r="L207" s="134" t="str">
        <f>IF(AND('331-CT'!$E$7=TH!H207,OR(J207="331",K207="331")),"x","")</f>
        <v/>
      </c>
    </row>
    <row r="208" spans="1:12" s="109" customForma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7"/>
      <c r="H208" s="122" t="s">
        <v>267</v>
      </c>
      <c r="I208" s="74">
        <v>58000000</v>
      </c>
      <c r="J208" s="75" t="s">
        <v>54</v>
      </c>
      <c r="K208" s="75" t="s">
        <v>39</v>
      </c>
      <c r="L208" s="134" t="str">
        <f>IF(AND('331-CT'!$E$7=TH!H208,OR(J208="331",K208="331")),"x","")</f>
        <v/>
      </c>
    </row>
    <row r="209" spans="1:12" s="109" customForma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7"/>
      <c r="H209" s="122" t="s">
        <v>86</v>
      </c>
      <c r="I209" s="74">
        <v>27500000</v>
      </c>
      <c r="J209" s="75" t="s">
        <v>18</v>
      </c>
      <c r="K209" s="75" t="s">
        <v>54</v>
      </c>
      <c r="L209" s="134" t="str">
        <f>IF(AND('331-CT'!$E$7=TH!H209,OR(J209="331",K209="331")),"x","")</f>
        <v/>
      </c>
    </row>
    <row r="210" spans="1:12" s="109" customForma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7"/>
      <c r="H210" s="120"/>
      <c r="I210" s="74">
        <v>20000</v>
      </c>
      <c r="J210" s="75" t="s">
        <v>242</v>
      </c>
      <c r="K210" s="75" t="s">
        <v>54</v>
      </c>
      <c r="L210" s="134" t="str">
        <f>IF(AND('331-CT'!$E$7=TH!H210,OR(J210="331",K210="331")),"x","")</f>
        <v/>
      </c>
    </row>
    <row r="211" spans="1:12" s="109" customForma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7"/>
      <c r="H211" s="120"/>
      <c r="I211" s="74">
        <v>2000</v>
      </c>
      <c r="J211" s="75" t="s">
        <v>19</v>
      </c>
      <c r="K211" s="75" t="s">
        <v>54</v>
      </c>
      <c r="L211" s="134" t="str">
        <f>IF(AND('331-CT'!$E$7=TH!H211,OR(J211="331",K211="331")),"x","")</f>
        <v/>
      </c>
    </row>
    <row r="212" spans="1:12" s="109" customForma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7"/>
      <c r="H212" s="122" t="s">
        <v>83</v>
      </c>
      <c r="I212" s="74">
        <v>29920000</v>
      </c>
      <c r="J212" s="75" t="s">
        <v>246</v>
      </c>
      <c r="K212" s="75" t="s">
        <v>54</v>
      </c>
      <c r="L212" s="134" t="str">
        <f>IF(AND('331-CT'!$E$7=TH!H212,OR(J212="331",K212="331")),"x","")</f>
        <v/>
      </c>
    </row>
    <row r="213" spans="1:12" s="109" customForma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7"/>
      <c r="H213" s="122"/>
      <c r="I213" s="74">
        <v>20000</v>
      </c>
      <c r="J213" s="75" t="s">
        <v>242</v>
      </c>
      <c r="K213" s="75" t="s">
        <v>54</v>
      </c>
      <c r="L213" s="134" t="str">
        <f>IF(AND('331-CT'!$E$7=TH!H213,OR(J213="331",K213="331")),"x","")</f>
        <v/>
      </c>
    </row>
    <row r="214" spans="1:12" s="109" customForma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7"/>
      <c r="H214" s="122"/>
      <c r="I214" s="74">
        <v>2000</v>
      </c>
      <c r="J214" s="75" t="s">
        <v>19</v>
      </c>
      <c r="K214" s="75" t="s">
        <v>54</v>
      </c>
      <c r="L214" s="134" t="str">
        <f>IF(AND('331-CT'!$E$7=TH!H214,OR(J214="331",K214="331")),"x","")</f>
        <v/>
      </c>
    </row>
    <row r="215" spans="1:12" s="109" customForma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577</v>
      </c>
      <c r="G215" s="267"/>
      <c r="H215" s="122" t="s">
        <v>267</v>
      </c>
      <c r="I215" s="74">
        <v>379000000</v>
      </c>
      <c r="J215" s="75" t="s">
        <v>39</v>
      </c>
      <c r="K215" s="75" t="s">
        <v>203</v>
      </c>
      <c r="L215" s="134" t="str">
        <f>IF(AND('331-CT'!$E$7=TH!H215,OR(J215="331",K215="331")),"x","")</f>
        <v/>
      </c>
    </row>
    <row r="216" spans="1:12" s="109" customForma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7"/>
      <c r="H216" s="122" t="s">
        <v>267</v>
      </c>
      <c r="I216" s="74">
        <v>379000000</v>
      </c>
      <c r="J216" s="75" t="s">
        <v>54</v>
      </c>
      <c r="K216" s="75" t="s">
        <v>39</v>
      </c>
      <c r="L216" s="134" t="str">
        <f>IF(AND('331-CT'!$E$7=TH!H216,OR(J216="331",K216="331")),"x","")</f>
        <v/>
      </c>
    </row>
    <row r="217" spans="1:12" s="109" customForma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7"/>
      <c r="H217" s="122"/>
      <c r="I217" s="74">
        <v>113634</v>
      </c>
      <c r="J217" s="75" t="s">
        <v>242</v>
      </c>
      <c r="K217" s="75" t="s">
        <v>54</v>
      </c>
      <c r="L217" s="134" t="str">
        <f>IF(AND('331-CT'!$E$7=TH!H217,OR(J217="331",K217="331")),"x","")</f>
        <v/>
      </c>
    </row>
    <row r="218" spans="1:12" s="109" customForma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7"/>
      <c r="H218" s="122"/>
      <c r="I218" s="74">
        <v>11363</v>
      </c>
      <c r="J218" s="75" t="s">
        <v>19</v>
      </c>
      <c r="K218" s="75" t="s">
        <v>54</v>
      </c>
      <c r="L218" s="134" t="str">
        <f>IF(AND('331-CT'!$E$7=TH!H218,OR(J218="331",K218="331")),"x","")</f>
        <v/>
      </c>
    </row>
    <row r="219" spans="1:12" s="109" customForma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7" t="s">
        <v>562</v>
      </c>
      <c r="H219" s="122" t="s">
        <v>83</v>
      </c>
      <c r="I219" s="74">
        <v>27200000</v>
      </c>
      <c r="J219" s="75" t="s">
        <v>242</v>
      </c>
      <c r="K219" s="75" t="s">
        <v>18</v>
      </c>
      <c r="L219" s="134" t="str">
        <f>IF(AND('331-CT'!$E$7=TH!H219,OR(J219="331",K219="331")),"x","")</f>
        <v/>
      </c>
    </row>
    <row r="220" spans="1:12" s="109" customForma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7" t="s">
        <v>562</v>
      </c>
      <c r="H220" s="122" t="s">
        <v>83</v>
      </c>
      <c r="I220" s="74">
        <v>2720000</v>
      </c>
      <c r="J220" s="75" t="s">
        <v>19</v>
      </c>
      <c r="K220" s="75" t="s">
        <v>18</v>
      </c>
      <c r="L220" s="134" t="str">
        <f>IF(AND('331-CT'!$E$7=TH!H220,OR(J220="331",K220="331")),"x","")</f>
        <v/>
      </c>
    </row>
    <row r="221" spans="1:12" s="109" customForma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577</v>
      </c>
      <c r="G221" s="267"/>
      <c r="H221" s="122" t="s">
        <v>267</v>
      </c>
      <c r="I221" s="74">
        <v>1500000</v>
      </c>
      <c r="J221" s="75" t="s">
        <v>39</v>
      </c>
      <c r="K221" s="75" t="s">
        <v>203</v>
      </c>
      <c r="L221" s="134" t="str">
        <f>IF(AND('331-CT'!$E$7=TH!H221,OR(J221="331",K221="331")),"x","")</f>
        <v/>
      </c>
    </row>
    <row r="222" spans="1:12" s="109" customForma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7"/>
      <c r="H222" s="122" t="s">
        <v>267</v>
      </c>
      <c r="I222" s="74">
        <v>1500000</v>
      </c>
      <c r="J222" s="75" t="s">
        <v>54</v>
      </c>
      <c r="K222" s="75" t="s">
        <v>39</v>
      </c>
      <c r="L222" s="134" t="str">
        <f>IF(AND('331-CT'!$E$7=TH!H222,OR(J222="331",K222="331")),"x","")</f>
        <v/>
      </c>
    </row>
    <row r="223" spans="1:12" s="109" customForma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7"/>
      <c r="H223" s="122"/>
      <c r="I223" s="74">
        <v>1500000</v>
      </c>
      <c r="J223" s="75" t="s">
        <v>242</v>
      </c>
      <c r="K223" s="75" t="s">
        <v>219</v>
      </c>
      <c r="L223" s="134" t="str">
        <f>IF(AND('331-CT'!$E$7=TH!H223,OR(J223="331",K223="331")),"x","")</f>
        <v/>
      </c>
    </row>
    <row r="224" spans="1:12" s="109" customForma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7"/>
      <c r="H224" s="122"/>
      <c r="I224" s="74">
        <v>1500000</v>
      </c>
      <c r="J224" s="75" t="s">
        <v>219</v>
      </c>
      <c r="K224" s="75" t="s">
        <v>54</v>
      </c>
      <c r="L224" s="134" t="str">
        <f>IF(AND('331-CT'!$E$7=TH!H224,OR(J224="331",K224="331")),"x","")</f>
        <v/>
      </c>
    </row>
    <row r="225" spans="1:12" s="109" customForma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7"/>
      <c r="H225" s="122"/>
      <c r="I225" s="74">
        <v>20000</v>
      </c>
      <c r="J225" s="75" t="s">
        <v>242</v>
      </c>
      <c r="K225" s="75" t="s">
        <v>54</v>
      </c>
      <c r="L225" s="134" t="str">
        <f>IF(AND('331-CT'!$E$7=TH!H225,OR(J225="331",K225="331")),"x","")</f>
        <v/>
      </c>
    </row>
    <row r="226" spans="1:12" s="109" customForma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7"/>
      <c r="H226" s="122"/>
      <c r="I226" s="74">
        <v>2000</v>
      </c>
      <c r="J226" s="75" t="s">
        <v>19</v>
      </c>
      <c r="K226" s="75" t="s">
        <v>54</v>
      </c>
      <c r="L226" s="134" t="str">
        <f>IF(AND('331-CT'!$E$7=TH!H226,OR(J226="331",K226="331")),"x","")</f>
        <v/>
      </c>
    </row>
    <row r="227" spans="1:12" s="109" customForma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576</v>
      </c>
      <c r="G227" s="267"/>
      <c r="H227" s="122" t="s">
        <v>574</v>
      </c>
      <c r="I227" s="74">
        <v>64000000</v>
      </c>
      <c r="J227" s="78" t="s">
        <v>54</v>
      </c>
      <c r="K227" s="75" t="s">
        <v>203</v>
      </c>
      <c r="L227" s="134" t="str">
        <f>IF(AND('331-CT'!$E$7=TH!H227,OR(J227="331",K227="331")),"x","")</f>
        <v/>
      </c>
    </row>
    <row r="228" spans="1:12" s="109" customForma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7"/>
      <c r="H228" s="122" t="s">
        <v>89</v>
      </c>
      <c r="I228" s="74">
        <v>43824000</v>
      </c>
      <c r="J228" s="75" t="s">
        <v>18</v>
      </c>
      <c r="K228" s="75" t="s">
        <v>54</v>
      </c>
      <c r="L228" s="134" t="str">
        <f>IF(AND('331-CT'!$E$7=TH!H228,OR(J228="331",K228="331")),"x","")</f>
        <v/>
      </c>
    </row>
    <row r="229" spans="1:12" s="109" customForma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7"/>
      <c r="H229" s="122"/>
      <c r="I229" s="74">
        <v>30000</v>
      </c>
      <c r="J229" s="75" t="s">
        <v>242</v>
      </c>
      <c r="K229" s="75" t="s">
        <v>54</v>
      </c>
      <c r="L229" s="134" t="str">
        <f>IF(AND('331-CT'!$E$7=TH!H229,OR(J229="331",K229="331")),"x","")</f>
        <v/>
      </c>
    </row>
    <row r="230" spans="1:12" s="109" customForma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7"/>
      <c r="H230" s="122"/>
      <c r="I230" s="74">
        <v>3000</v>
      </c>
      <c r="J230" s="78" t="s">
        <v>19</v>
      </c>
      <c r="K230" s="75" t="s">
        <v>54</v>
      </c>
      <c r="L230" s="134" t="str">
        <f>IF(AND('331-CT'!$E$7=TH!H230,OR(J230="331",K230="331")),"x","")</f>
        <v/>
      </c>
    </row>
    <row r="231" spans="1:12" s="109" customForma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7"/>
      <c r="H231" s="122" t="s">
        <v>91</v>
      </c>
      <c r="I231" s="74">
        <v>20000000</v>
      </c>
      <c r="J231" s="75" t="s">
        <v>18</v>
      </c>
      <c r="K231" s="75" t="s">
        <v>54</v>
      </c>
      <c r="L231" s="134" t="str">
        <f>IF(AND('331-CT'!$E$7=TH!H231,OR(J231="331",K231="331")),"x","")</f>
        <v/>
      </c>
    </row>
    <row r="232" spans="1:12" s="109" customForma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7"/>
      <c r="H232" s="122"/>
      <c r="I232" s="74">
        <v>22804</v>
      </c>
      <c r="J232" s="75" t="s">
        <v>242</v>
      </c>
      <c r="K232" s="75" t="s">
        <v>54</v>
      </c>
      <c r="L232" s="134" t="str">
        <f>IF(AND('331-CT'!$E$7=TH!H232,OR(J232="331",K232="331")),"x","")</f>
        <v/>
      </c>
    </row>
    <row r="233" spans="1:12" s="109" customForma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7"/>
      <c r="H233" s="122"/>
      <c r="I233" s="74">
        <v>2280</v>
      </c>
      <c r="J233" s="75" t="s">
        <v>19</v>
      </c>
      <c r="K233" s="75" t="s">
        <v>54</v>
      </c>
      <c r="L233" s="134" t="str">
        <f>IF(AND('331-CT'!$E$7=TH!H233,OR(J233="331",K233="331")),"x","")</f>
        <v/>
      </c>
    </row>
    <row r="234" spans="1:12" s="109" customForma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576</v>
      </c>
      <c r="G234" s="267"/>
      <c r="H234" s="120" t="s">
        <v>575</v>
      </c>
      <c r="I234" s="74">
        <v>76500000</v>
      </c>
      <c r="J234" s="75" t="s">
        <v>54</v>
      </c>
      <c r="K234" s="75" t="s">
        <v>203</v>
      </c>
      <c r="L234" s="134" t="str">
        <f>IF(AND('331-CT'!$E$7=TH!H234,OR(J234="331",K234="331")),"x","")</f>
        <v/>
      </c>
    </row>
    <row r="235" spans="1:12" s="109" customForma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7"/>
      <c r="H235" s="120" t="s">
        <v>89</v>
      </c>
      <c r="I235" s="74">
        <v>76462320</v>
      </c>
      <c r="J235" s="75" t="s">
        <v>18</v>
      </c>
      <c r="K235" s="75" t="s">
        <v>54</v>
      </c>
      <c r="L235" s="134" t="str">
        <f>IF(AND('331-CT'!$E$7=TH!H235,OR(J235="331",K235="331")),"x","")</f>
        <v/>
      </c>
    </row>
    <row r="236" spans="1:12" s="109" customForma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7"/>
      <c r="H236" s="122"/>
      <c r="I236" s="74">
        <v>32561</v>
      </c>
      <c r="J236" s="75" t="s">
        <v>242</v>
      </c>
      <c r="K236" s="75" t="s">
        <v>54</v>
      </c>
      <c r="L236" s="134" t="str">
        <f>IF(AND('331-CT'!$E$7=TH!H236,OR(J236="331",K236="331")),"x","")</f>
        <v/>
      </c>
    </row>
    <row r="237" spans="1:12" s="109" customForma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7"/>
      <c r="H237" s="122"/>
      <c r="I237" s="74">
        <v>3256</v>
      </c>
      <c r="J237" s="75" t="s">
        <v>19</v>
      </c>
      <c r="K237" s="75" t="s">
        <v>54</v>
      </c>
      <c r="L237" s="134" t="str">
        <f>IF(AND('331-CT'!$E$7=TH!H237,OR(J237="331",K237="331")),"x","")</f>
        <v/>
      </c>
    </row>
    <row r="238" spans="1:12" s="109" customForma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7"/>
      <c r="H238" s="122"/>
      <c r="I238" s="74">
        <v>30000</v>
      </c>
      <c r="J238" s="75" t="s">
        <v>242</v>
      </c>
      <c r="K238" s="75" t="s">
        <v>54</v>
      </c>
      <c r="L238" s="134" t="str">
        <f>IF(AND('331-CT'!$E$7=TH!H238,OR(J238="331",K238="331")),"x","")</f>
        <v/>
      </c>
    </row>
    <row r="239" spans="1:12" s="109" customForma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7"/>
      <c r="H239" s="122"/>
      <c r="I239" s="74">
        <v>3000</v>
      </c>
      <c r="J239" s="75" t="s">
        <v>19</v>
      </c>
      <c r="K239" s="75" t="s">
        <v>54</v>
      </c>
      <c r="L239" s="134" t="str">
        <f>IF(AND('331-CT'!$E$7=TH!H239,OR(J239="331",K239="331")),"x","")</f>
        <v/>
      </c>
    </row>
    <row r="240" spans="1:12" s="109" customForma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7"/>
      <c r="H240" s="122"/>
      <c r="I240" s="74">
        <v>30000</v>
      </c>
      <c r="J240" s="75" t="s">
        <v>242</v>
      </c>
      <c r="K240" s="75" t="s">
        <v>54</v>
      </c>
      <c r="L240" s="134" t="str">
        <f>IF(AND('331-CT'!$E$7=TH!H240,OR(J240="331",K240="331")),"x","")</f>
        <v/>
      </c>
    </row>
    <row r="241" spans="1:12" s="109" customForma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7"/>
      <c r="H241" s="120"/>
      <c r="I241" s="74">
        <v>3000</v>
      </c>
      <c r="J241" s="75" t="s">
        <v>19</v>
      </c>
      <c r="K241" s="75" t="s">
        <v>54</v>
      </c>
      <c r="L241" s="134" t="str">
        <f>IF(AND('331-CT'!$E$7=TH!H241,OR(J241="331",K241="331")),"x","")</f>
        <v/>
      </c>
    </row>
    <row r="242" spans="1:12" s="109" customForma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7"/>
      <c r="H242" s="120"/>
      <c r="I242" s="74">
        <v>30000</v>
      </c>
      <c r="J242" s="75" t="s">
        <v>242</v>
      </c>
      <c r="K242" s="75" t="s">
        <v>54</v>
      </c>
      <c r="L242" s="134" t="str">
        <f>IF(AND('331-CT'!$E$7=TH!H242,OR(J242="331",K242="331")),"x","")</f>
        <v/>
      </c>
    </row>
    <row r="243" spans="1:12" s="109" customForma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7"/>
      <c r="H243" s="122"/>
      <c r="I243" s="74">
        <v>3000</v>
      </c>
      <c r="J243" s="75" t="s">
        <v>19</v>
      </c>
      <c r="K243" s="75" t="s">
        <v>54</v>
      </c>
      <c r="L243" s="134" t="str">
        <f>IF(AND('331-CT'!$E$7=TH!H243,OR(J243="331",K243="331")),"x","")</f>
        <v/>
      </c>
    </row>
    <row r="244" spans="1:12" s="109" customForma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576</v>
      </c>
      <c r="G244" s="267"/>
      <c r="H244" s="122" t="s">
        <v>272</v>
      </c>
      <c r="I244" s="74">
        <v>133200000</v>
      </c>
      <c r="J244" s="75" t="s">
        <v>54</v>
      </c>
      <c r="K244" s="75" t="s">
        <v>203</v>
      </c>
      <c r="L244" s="134" t="str">
        <f>IF(AND('331-CT'!$E$7=TH!H244,OR(J244="331",K244="331")),"x","")</f>
        <v/>
      </c>
    </row>
    <row r="245" spans="1:12" s="109" customForma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7"/>
      <c r="H245" s="122" t="s">
        <v>89</v>
      </c>
      <c r="I245" s="74">
        <v>133147080</v>
      </c>
      <c r="J245" s="75" t="s">
        <v>18</v>
      </c>
      <c r="K245" s="75" t="s">
        <v>54</v>
      </c>
      <c r="L245" s="134" t="str">
        <f>IF(AND('331-CT'!$E$7=TH!H245,OR(J245="331",K245="331")),"x","")</f>
        <v/>
      </c>
    </row>
    <row r="246" spans="1:12" s="109" customForma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7"/>
      <c r="H246" s="122"/>
      <c r="I246" s="74">
        <v>52911</v>
      </c>
      <c r="J246" s="75" t="s">
        <v>242</v>
      </c>
      <c r="K246" s="75" t="s">
        <v>54</v>
      </c>
      <c r="L246" s="134" t="str">
        <f>IF(AND('331-CT'!$E$7=TH!H246,OR(J246="331",K246="331")),"x","")</f>
        <v/>
      </c>
    </row>
    <row r="247" spans="1:12" s="109" customForma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7"/>
      <c r="H247" s="122"/>
      <c r="I247" s="74">
        <v>5291</v>
      </c>
      <c r="J247" s="75" t="s">
        <v>19</v>
      </c>
      <c r="K247" s="75" t="s">
        <v>54</v>
      </c>
      <c r="L247" s="134" t="str">
        <f>IF(AND('331-CT'!$E$7=TH!H247,OR(J247="331",K247="331")),"x","")</f>
        <v/>
      </c>
    </row>
    <row r="248" spans="1:12" s="109" customForma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576</v>
      </c>
      <c r="G248" s="267"/>
      <c r="H248" s="122" t="s">
        <v>272</v>
      </c>
      <c r="I248" s="74">
        <v>30000000</v>
      </c>
      <c r="J248" s="75" t="s">
        <v>54</v>
      </c>
      <c r="K248" s="75" t="s">
        <v>203</v>
      </c>
      <c r="L248" s="134" t="str">
        <f>IF(AND('331-CT'!$E$7=TH!H248,OR(J248="331",K248="331")),"x","")</f>
        <v/>
      </c>
    </row>
    <row r="249" spans="1:12" s="109" customForma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7"/>
      <c r="H249" s="122" t="s">
        <v>90</v>
      </c>
      <c r="I249" s="74">
        <v>30000000</v>
      </c>
      <c r="J249" s="75" t="s">
        <v>18</v>
      </c>
      <c r="K249" s="75" t="s">
        <v>54</v>
      </c>
      <c r="L249" s="134" t="str">
        <f>IF(AND('331-CT'!$E$7=TH!H249,OR(J249="331",K249="331")),"x","")</f>
        <v/>
      </c>
    </row>
    <row r="250" spans="1:12" s="109" customForma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7"/>
      <c r="H250" s="122"/>
      <c r="I250" s="74">
        <v>20000</v>
      </c>
      <c r="J250" s="75" t="s">
        <v>242</v>
      </c>
      <c r="K250" s="75" t="s">
        <v>54</v>
      </c>
      <c r="L250" s="134" t="str">
        <f>IF(AND('331-CT'!$E$7=TH!H250,OR(J250="331",K250="331")),"x","")</f>
        <v/>
      </c>
    </row>
    <row r="251" spans="1:12" s="109" customForma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7"/>
      <c r="H251" s="122"/>
      <c r="I251" s="74">
        <v>2000</v>
      </c>
      <c r="J251" s="75" t="s">
        <v>19</v>
      </c>
      <c r="K251" s="75" t="s">
        <v>54</v>
      </c>
      <c r="L251" s="134" t="str">
        <f>IF(AND('331-CT'!$E$7=TH!H251,OR(J251="331",K251="331")),"x","")</f>
        <v/>
      </c>
    </row>
    <row r="252" spans="1:12" s="109" customForma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7" t="s">
        <v>563</v>
      </c>
      <c r="H252" s="122" t="s">
        <v>86</v>
      </c>
      <c r="I252" s="74">
        <v>55000000</v>
      </c>
      <c r="J252" s="75" t="s">
        <v>655</v>
      </c>
      <c r="K252" s="75" t="s">
        <v>18</v>
      </c>
      <c r="L252" s="134" t="str">
        <f>IF(AND('331-CT'!$E$7=TH!H252,OR(J252="331",K252="331")),"x","")</f>
        <v/>
      </c>
    </row>
    <row r="253" spans="1:12" s="109" customForma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7" t="s">
        <v>563</v>
      </c>
      <c r="H253" s="122" t="s">
        <v>86</v>
      </c>
      <c r="I253" s="74">
        <v>5500000</v>
      </c>
      <c r="J253" s="75" t="s">
        <v>19</v>
      </c>
      <c r="K253" s="75" t="s">
        <v>18</v>
      </c>
      <c r="L253" s="134" t="str">
        <f>IF(AND('331-CT'!$E$7=TH!H253,OR(J253="331",K253="331")),"x","")</f>
        <v/>
      </c>
    </row>
    <row r="254" spans="1:12" s="109" customForma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577</v>
      </c>
      <c r="G254" s="267"/>
      <c r="H254" s="122" t="s">
        <v>267</v>
      </c>
      <c r="I254" s="74">
        <v>33000000</v>
      </c>
      <c r="J254" s="75" t="s">
        <v>39</v>
      </c>
      <c r="K254" s="75" t="s">
        <v>203</v>
      </c>
      <c r="L254" s="134" t="str">
        <f>IF(AND('331-CT'!$E$7=TH!H254,OR(J254="331",K254="331")),"x","")</f>
        <v/>
      </c>
    </row>
    <row r="255" spans="1:12" s="109" customForma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7"/>
      <c r="H255" s="122" t="s">
        <v>267</v>
      </c>
      <c r="I255" s="74">
        <v>33000000</v>
      </c>
      <c r="J255" s="77" t="s">
        <v>54</v>
      </c>
      <c r="K255" s="75" t="s">
        <v>39</v>
      </c>
      <c r="L255" s="134" t="str">
        <f>IF(AND('331-CT'!$E$7=TH!H255,OR(J255="331",K255="331")),"x","")</f>
        <v/>
      </c>
    </row>
    <row r="256" spans="1:12" s="109" customForma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7"/>
      <c r="H256" s="122" t="s">
        <v>86</v>
      </c>
      <c r="I256" s="74">
        <v>33000000</v>
      </c>
      <c r="J256" s="75" t="s">
        <v>212</v>
      </c>
      <c r="K256" s="75" t="s">
        <v>54</v>
      </c>
      <c r="L256" s="134" t="str">
        <f>IF(AND('331-CT'!$E$7=TH!H256,OR(J256="331",K256="331")),"x","")</f>
        <v/>
      </c>
    </row>
    <row r="257" spans="1:12" s="109" customForma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7"/>
      <c r="H257" s="122"/>
      <c r="I257" s="74">
        <v>25000</v>
      </c>
      <c r="J257" s="75" t="s">
        <v>242</v>
      </c>
      <c r="K257" s="75" t="s">
        <v>54</v>
      </c>
      <c r="L257" s="134" t="str">
        <f>IF(AND('331-CT'!$E$7=TH!H257,OR(J257="331",K257="331")),"x","")</f>
        <v/>
      </c>
    </row>
    <row r="258" spans="1:12" s="109" customForma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7"/>
      <c r="H258" s="122"/>
      <c r="I258" s="74">
        <v>2500</v>
      </c>
      <c r="J258" s="77" t="s">
        <v>19</v>
      </c>
      <c r="K258" s="75" t="s">
        <v>54</v>
      </c>
      <c r="L258" s="134" t="str">
        <f>IF(AND('331-CT'!$E$7=TH!H258,OR(J258="331",K258="331")),"x","")</f>
        <v/>
      </c>
    </row>
    <row r="259" spans="1:12" s="109" customForma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576</v>
      </c>
      <c r="G259" s="267"/>
      <c r="H259" s="122" t="s">
        <v>272</v>
      </c>
      <c r="I259" s="74">
        <v>36500000</v>
      </c>
      <c r="J259" s="77" t="s">
        <v>54</v>
      </c>
      <c r="K259" s="75" t="s">
        <v>203</v>
      </c>
      <c r="L259" s="134" t="str">
        <f>IF(AND('331-CT'!$E$7=TH!H259,OR(J259="331",K259="331")),"x","")</f>
        <v/>
      </c>
    </row>
    <row r="260" spans="1:12" s="109" customForma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7"/>
      <c r="H260" s="122" t="s">
        <v>86</v>
      </c>
      <c r="I260" s="74">
        <v>33000000</v>
      </c>
      <c r="J260" s="75" t="s">
        <v>54</v>
      </c>
      <c r="K260" s="75" t="s">
        <v>212</v>
      </c>
      <c r="L260" s="134" t="str">
        <f>IF(AND('331-CT'!$E$7=TH!H260,OR(J260="331",K260="331")),"x","")</f>
        <v/>
      </c>
    </row>
    <row r="261" spans="1:12" s="109" customForma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7"/>
      <c r="H261" s="122" t="s">
        <v>86</v>
      </c>
      <c r="I261" s="74">
        <v>33000000</v>
      </c>
      <c r="J261" s="75" t="s">
        <v>18</v>
      </c>
      <c r="K261" s="75" t="s">
        <v>54</v>
      </c>
      <c r="L261" s="134" t="str">
        <f>IF(AND('331-CT'!$E$7=TH!H261,OR(J261="331",K261="331")),"x","")</f>
        <v/>
      </c>
    </row>
    <row r="262" spans="1:12" s="109" customForma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2"/>
      <c r="H262" s="122"/>
      <c r="I262" s="74">
        <v>25000</v>
      </c>
      <c r="J262" s="75" t="s">
        <v>242</v>
      </c>
      <c r="K262" s="75" t="s">
        <v>54</v>
      </c>
      <c r="L262" s="134" t="str">
        <f>IF(AND('331-CT'!$E$7=TH!H262,OR(J262="331",K262="331")),"x","")</f>
        <v/>
      </c>
    </row>
    <row r="263" spans="1:12" s="109" customForma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2"/>
      <c r="H263" s="122"/>
      <c r="I263" s="74">
        <v>2500</v>
      </c>
      <c r="J263" s="75" t="s">
        <v>19</v>
      </c>
      <c r="K263" s="75" t="s">
        <v>54</v>
      </c>
      <c r="L263" s="134" t="str">
        <f>IF(AND('331-CT'!$E$7=TH!H263,OR(J263="331",K263="331")),"x","")</f>
        <v/>
      </c>
    </row>
    <row r="264" spans="1:12" s="109" customForma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7"/>
      <c r="H264" s="122" t="s">
        <v>83</v>
      </c>
      <c r="I264" s="74">
        <v>36432000</v>
      </c>
      <c r="J264" s="77" t="s">
        <v>18</v>
      </c>
      <c r="K264" s="75" t="s">
        <v>54</v>
      </c>
      <c r="L264" s="134" t="str">
        <f>IF(AND('331-CT'!$E$7=TH!H264,OR(J264="331",K264="331")),"x","")</f>
        <v/>
      </c>
    </row>
    <row r="265" spans="1:12" s="109" customForma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7"/>
      <c r="H265" s="122"/>
      <c r="I265" s="74">
        <v>45000</v>
      </c>
      <c r="J265" s="75" t="s">
        <v>242</v>
      </c>
      <c r="K265" s="75" t="s">
        <v>54</v>
      </c>
      <c r="L265" s="134" t="str">
        <f>IF(AND('331-CT'!$E$7=TH!H265,OR(J265="331",K265="331")),"x","")</f>
        <v/>
      </c>
    </row>
    <row r="266" spans="1:12" s="109" customForma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7"/>
      <c r="H266" s="122"/>
      <c r="I266" s="74">
        <v>4500</v>
      </c>
      <c r="J266" s="75" t="s">
        <v>19</v>
      </c>
      <c r="K266" s="75" t="s">
        <v>54</v>
      </c>
      <c r="L266" s="134" t="str">
        <f>IF(AND('331-CT'!$E$7=TH!H266,OR(J266="331",K266="331")),"x","")</f>
        <v/>
      </c>
    </row>
    <row r="267" spans="1:12" s="109" customForma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2" t="s">
        <v>564</v>
      </c>
      <c r="H267" s="122" t="s">
        <v>83</v>
      </c>
      <c r="I267" s="74">
        <v>33120000</v>
      </c>
      <c r="J267" s="75" t="s">
        <v>242</v>
      </c>
      <c r="K267" s="75" t="s">
        <v>18</v>
      </c>
      <c r="L267" s="134" t="str">
        <f>IF(AND('331-CT'!$E$7=TH!H267,OR(J267="331",K267="331")),"x","")</f>
        <v/>
      </c>
    </row>
    <row r="268" spans="1:12" s="109" customForma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2" t="s">
        <v>564</v>
      </c>
      <c r="H268" s="122" t="s">
        <v>83</v>
      </c>
      <c r="I268" s="74">
        <v>3312000</v>
      </c>
      <c r="J268" s="75" t="s">
        <v>19</v>
      </c>
      <c r="K268" s="75" t="s">
        <v>18</v>
      </c>
      <c r="L268" s="134" t="str">
        <f>IF(AND('331-CT'!$E$7=TH!H268,OR(J268="331",K268="331")),"x","")</f>
        <v/>
      </c>
    </row>
    <row r="269" spans="1:12" s="109" customForma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576</v>
      </c>
      <c r="G269" s="272"/>
      <c r="H269" s="122" t="s">
        <v>272</v>
      </c>
      <c r="I269" s="74">
        <v>30000000</v>
      </c>
      <c r="J269" s="75" t="s">
        <v>54</v>
      </c>
      <c r="K269" s="75" t="s">
        <v>203</v>
      </c>
      <c r="L269" s="134" t="str">
        <f>IF(AND('331-CT'!$E$7=TH!H269,OR(J269="331",K269="331")),"x","")</f>
        <v/>
      </c>
    </row>
    <row r="270" spans="1:12" s="109" customForma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2"/>
      <c r="H270" s="122"/>
      <c r="I270" s="74">
        <v>50000</v>
      </c>
      <c r="J270" s="75" t="s">
        <v>242</v>
      </c>
      <c r="K270" s="75" t="s">
        <v>54</v>
      </c>
      <c r="L270" s="134" t="str">
        <f>IF(AND('331-CT'!$E$7=TH!H270,OR(J270="331",K270="331")),"x","")</f>
        <v/>
      </c>
    </row>
    <row r="271" spans="1:12" s="109" customForma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7"/>
      <c r="H271" s="122"/>
      <c r="I271" s="74">
        <v>5000</v>
      </c>
      <c r="J271" s="77" t="s">
        <v>19</v>
      </c>
      <c r="K271" s="75" t="s">
        <v>54</v>
      </c>
      <c r="L271" s="134" t="str">
        <f>IF(AND('331-CT'!$E$7=TH!H271,OR(J271="331",K271="331")),"x","")</f>
        <v/>
      </c>
    </row>
    <row r="272" spans="1:12" s="109" customForma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7"/>
      <c r="H272" s="122"/>
      <c r="I272" s="74">
        <v>50000</v>
      </c>
      <c r="J272" s="75" t="s">
        <v>242</v>
      </c>
      <c r="K272" s="75" t="s">
        <v>54</v>
      </c>
      <c r="L272" s="134" t="str">
        <f>IF(AND('331-CT'!$E$7=TH!H272,OR(J272="331",K272="331")),"x","")</f>
        <v/>
      </c>
    </row>
    <row r="273" spans="1:12" s="109" customForma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7"/>
      <c r="H273" s="122"/>
      <c r="I273" s="74">
        <v>5000</v>
      </c>
      <c r="J273" s="75" t="s">
        <v>19</v>
      </c>
      <c r="K273" s="75" t="s">
        <v>54</v>
      </c>
      <c r="L273" s="134" t="str">
        <f>IF(AND('331-CT'!$E$7=TH!H273,OR(J273="331",K273="331")),"x","")</f>
        <v/>
      </c>
    </row>
    <row r="274" spans="1:12" s="109" customForma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2"/>
      <c r="H274" s="122"/>
      <c r="I274" s="74">
        <v>50000</v>
      </c>
      <c r="J274" s="75" t="s">
        <v>242</v>
      </c>
      <c r="K274" s="75" t="s">
        <v>54</v>
      </c>
      <c r="L274" s="134" t="str">
        <f>IF(AND('331-CT'!$E$7=TH!H274,OR(J274="331",K274="331")),"x","")</f>
        <v/>
      </c>
    </row>
    <row r="275" spans="1:12" s="109" customForma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2"/>
      <c r="H275" s="122"/>
      <c r="I275" s="74">
        <v>5000</v>
      </c>
      <c r="J275" s="75" t="s">
        <v>19</v>
      </c>
      <c r="K275" s="75" t="s">
        <v>54</v>
      </c>
      <c r="L275" s="134" t="str">
        <f>IF(AND('331-CT'!$E$7=TH!H275,OR(J275="331",K275="331")),"x","")</f>
        <v/>
      </c>
    </row>
    <row r="276" spans="1:12" s="109" customForma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7"/>
      <c r="H276" s="122" t="s">
        <v>90</v>
      </c>
      <c r="I276" s="74">
        <v>30000000</v>
      </c>
      <c r="J276" s="75" t="s">
        <v>18</v>
      </c>
      <c r="K276" s="75" t="s">
        <v>54</v>
      </c>
      <c r="L276" s="134" t="str">
        <f>IF(AND('331-CT'!$E$7=TH!H276,OR(J276="331",K276="331")),"x","")</f>
        <v/>
      </c>
    </row>
    <row r="277" spans="1:12" s="109" customForma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7"/>
      <c r="H277" s="122"/>
      <c r="I277" s="74">
        <v>20000</v>
      </c>
      <c r="J277" s="75" t="s">
        <v>242</v>
      </c>
      <c r="K277" s="75" t="s">
        <v>54</v>
      </c>
      <c r="L277" s="134" t="str">
        <f>IF(AND('331-CT'!$E$7=TH!H277,OR(J277="331",K277="331")),"x","")</f>
        <v/>
      </c>
    </row>
    <row r="278" spans="1:12" s="109" customForma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7"/>
      <c r="H278" s="122"/>
      <c r="I278" s="74">
        <v>2000</v>
      </c>
      <c r="J278" s="75" t="s">
        <v>19</v>
      </c>
      <c r="K278" s="75" t="s">
        <v>54</v>
      </c>
      <c r="L278" s="134" t="str">
        <f>IF(AND('331-CT'!$E$7=TH!H278,OR(J278="331",K278="331")),"x","")</f>
        <v/>
      </c>
    </row>
    <row r="279" spans="1:12" s="109" customForma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7"/>
      <c r="H279" s="122"/>
      <c r="I279" s="74">
        <v>100000</v>
      </c>
      <c r="J279" s="75" t="s">
        <v>242</v>
      </c>
      <c r="K279" s="75" t="s">
        <v>54</v>
      </c>
      <c r="L279" s="134" t="str">
        <f>IF(AND('331-CT'!$E$7=TH!H279,OR(J279="331",K279="331")),"x","")</f>
        <v/>
      </c>
    </row>
    <row r="280" spans="1:12" s="109" customForma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7"/>
      <c r="H280" s="122"/>
      <c r="I280" s="74">
        <v>10000</v>
      </c>
      <c r="J280" s="75" t="s">
        <v>19</v>
      </c>
      <c r="K280" s="75" t="s">
        <v>54</v>
      </c>
      <c r="L280" s="134" t="str">
        <f>IF(AND('331-CT'!$E$7=TH!H280,OR(J280="331",K280="331")),"x","")</f>
        <v/>
      </c>
    </row>
    <row r="281" spans="1:12" s="109" customForma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7"/>
      <c r="H281" s="122" t="s">
        <v>89</v>
      </c>
      <c r="I281" s="74">
        <v>378779940</v>
      </c>
      <c r="J281" s="75" t="s">
        <v>18</v>
      </c>
      <c r="K281" s="75" t="s">
        <v>54</v>
      </c>
      <c r="L281" s="134" t="str">
        <f>IF(AND('331-CT'!$E$7=TH!H281,OR(J281="331",K281="331")),"x","")</f>
        <v/>
      </c>
    </row>
    <row r="282" spans="1:12" s="109" customForma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576</v>
      </c>
      <c r="G282" s="267"/>
      <c r="H282" s="122" t="s">
        <v>272</v>
      </c>
      <c r="I282" s="74">
        <v>20000000</v>
      </c>
      <c r="J282" s="78" t="s">
        <v>54</v>
      </c>
      <c r="K282" s="75" t="s">
        <v>203</v>
      </c>
      <c r="L282" s="134" t="str">
        <f>IF(AND('331-CT'!$E$7=TH!H282,OR(J282="331",K282="331")),"x","")</f>
        <v/>
      </c>
    </row>
    <row r="283" spans="1:12" s="109" customForma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7"/>
      <c r="H283" s="122" t="s">
        <v>91</v>
      </c>
      <c r="I283" s="74">
        <v>20000000</v>
      </c>
      <c r="J283" s="75" t="s">
        <v>18</v>
      </c>
      <c r="K283" s="75" t="s">
        <v>54</v>
      </c>
      <c r="L283" s="134" t="str">
        <f>IF(AND('331-CT'!$E$7=TH!H283,OR(J283="331",K283="331")),"x","")</f>
        <v/>
      </c>
    </row>
    <row r="284" spans="1:12" s="109" customForma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3"/>
      <c r="H284" s="132"/>
      <c r="I284" s="133">
        <v>45000</v>
      </c>
      <c r="J284" s="134" t="s">
        <v>242</v>
      </c>
      <c r="K284" s="134" t="s">
        <v>54</v>
      </c>
      <c r="L284" s="134" t="str">
        <f>IF(AND('331-CT'!$E$7=TH!H284,OR(J284="331",K284="331")),"x","")</f>
        <v/>
      </c>
    </row>
    <row r="285" spans="1:12" s="109" customForma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3"/>
      <c r="H285" s="132"/>
      <c r="I285" s="133">
        <v>4500</v>
      </c>
      <c r="J285" s="134" t="s">
        <v>19</v>
      </c>
      <c r="K285" s="134" t="s">
        <v>54</v>
      </c>
      <c r="L285" s="134" t="str">
        <f>IF(AND('331-CT'!$E$7=TH!H285,OR(J285="331",K285="331")),"x","")</f>
        <v/>
      </c>
    </row>
    <row r="286" spans="1:12" s="109" customForma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577</v>
      </c>
      <c r="G286" s="267"/>
      <c r="H286" s="122" t="s">
        <v>267</v>
      </c>
      <c r="I286" s="74">
        <v>50000000</v>
      </c>
      <c r="J286" s="75" t="s">
        <v>39</v>
      </c>
      <c r="K286" s="75" t="s">
        <v>203</v>
      </c>
      <c r="L286" s="134" t="str">
        <f>IF(AND('331-CT'!$E$7=TH!H286,OR(J286="331",K286="331")),"x","")</f>
        <v/>
      </c>
    </row>
    <row r="287" spans="1:12" s="109" customForma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7"/>
      <c r="H287" s="122" t="s">
        <v>267</v>
      </c>
      <c r="I287" s="74">
        <v>50000000</v>
      </c>
      <c r="J287" s="75" t="s">
        <v>54</v>
      </c>
      <c r="K287" s="75" t="s">
        <v>39</v>
      </c>
      <c r="L287" s="134" t="str">
        <f>IF(AND('331-CT'!$E$7=TH!H287,OR(J287="331",K287="331")),"x","")</f>
        <v/>
      </c>
    </row>
    <row r="288" spans="1:12" s="109" customForma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7"/>
      <c r="H288" s="122" t="s">
        <v>91</v>
      </c>
      <c r="I288" s="74">
        <v>50000000</v>
      </c>
      <c r="J288" s="75" t="s">
        <v>18</v>
      </c>
      <c r="K288" s="75" t="s">
        <v>54</v>
      </c>
      <c r="L288" s="134" t="str">
        <f>IF(AND('331-CT'!$E$7=TH!H288,OR(J288="331",K288="331")),"x","")</f>
        <v/>
      </c>
    </row>
    <row r="289" spans="1:12" s="109" customForma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7"/>
      <c r="H289" s="122"/>
      <c r="I289" s="74">
        <v>25000</v>
      </c>
      <c r="J289" s="75" t="s">
        <v>242</v>
      </c>
      <c r="K289" s="75" t="s">
        <v>54</v>
      </c>
      <c r="L289" s="134" t="str">
        <f>IF(AND('331-CT'!$E$7=TH!H289,OR(J289="331",K289="331")),"x","")</f>
        <v/>
      </c>
    </row>
    <row r="290" spans="1:12" s="109" customForma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7"/>
      <c r="H290" s="124"/>
      <c r="I290" s="74">
        <v>2500</v>
      </c>
      <c r="J290" s="75" t="s">
        <v>19</v>
      </c>
      <c r="K290" s="75" t="s">
        <v>54</v>
      </c>
      <c r="L290" s="134" t="str">
        <f>IF(AND('331-CT'!$E$7=TH!H290,OR(J290="331",K290="331")),"x","")</f>
        <v/>
      </c>
    </row>
    <row r="291" spans="1:12" s="109" customForma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577</v>
      </c>
      <c r="G291" s="267"/>
      <c r="H291" s="124" t="s">
        <v>267</v>
      </c>
      <c r="I291" s="74">
        <v>50000000</v>
      </c>
      <c r="J291" s="75" t="s">
        <v>39</v>
      </c>
      <c r="K291" s="75" t="s">
        <v>203</v>
      </c>
      <c r="L291" s="134" t="str">
        <f>IF(AND('331-CT'!$E$7=TH!H291,OR(J291="331",K291="331")),"x","")</f>
        <v/>
      </c>
    </row>
    <row r="292" spans="1:12" s="109" customForma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7"/>
      <c r="H292" s="122" t="s">
        <v>267</v>
      </c>
      <c r="I292" s="74">
        <v>50000000</v>
      </c>
      <c r="J292" s="75" t="s">
        <v>54</v>
      </c>
      <c r="K292" s="75" t="s">
        <v>39</v>
      </c>
      <c r="L292" s="134" t="str">
        <f>IF(AND('331-CT'!$E$7=TH!H292,OR(J292="331",K292="331")),"x","")</f>
        <v/>
      </c>
    </row>
    <row r="293" spans="1:12" s="109" customForma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7"/>
      <c r="H293" s="124" t="s">
        <v>91</v>
      </c>
      <c r="I293" s="74">
        <v>50000000</v>
      </c>
      <c r="J293" s="75" t="s">
        <v>18</v>
      </c>
      <c r="K293" s="75" t="s">
        <v>54</v>
      </c>
      <c r="L293" s="134" t="str">
        <f>IF(AND('331-CT'!$E$7=TH!H293,OR(J293="331",K293="331")),"x","")</f>
        <v/>
      </c>
    </row>
    <row r="294" spans="1:12" s="109" customForma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7"/>
      <c r="H294" s="122"/>
      <c r="I294" s="74">
        <v>25000</v>
      </c>
      <c r="J294" s="75" t="s">
        <v>242</v>
      </c>
      <c r="K294" s="75" t="s">
        <v>54</v>
      </c>
      <c r="L294" s="134" t="str">
        <f>IF(AND('331-CT'!$E$7=TH!H294,OR(J294="331",K294="331")),"x","")</f>
        <v/>
      </c>
    </row>
    <row r="295" spans="1:12" s="109" customForma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7"/>
      <c r="H295" s="122"/>
      <c r="I295" s="74">
        <v>2500</v>
      </c>
      <c r="J295" s="75" t="s">
        <v>19</v>
      </c>
      <c r="K295" s="75" t="s">
        <v>54</v>
      </c>
      <c r="L295" s="134" t="str">
        <f>IF(AND('331-CT'!$E$7=TH!H295,OR(J295="331",K295="331")),"x","")</f>
        <v/>
      </c>
    </row>
    <row r="296" spans="1:12" s="109" customForma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576</v>
      </c>
      <c r="G296" s="267"/>
      <c r="H296" s="124" t="s">
        <v>272</v>
      </c>
      <c r="I296" s="74">
        <v>253000000</v>
      </c>
      <c r="J296" s="75" t="s">
        <v>54</v>
      </c>
      <c r="K296" s="75" t="s">
        <v>203</v>
      </c>
      <c r="L296" s="134" t="str">
        <f>IF(AND('331-CT'!$E$7=TH!H296,OR(J296="331",K296="331")),"x","")</f>
        <v/>
      </c>
    </row>
    <row r="297" spans="1:12" s="109" customForma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7"/>
      <c r="H297" s="124" t="s">
        <v>89</v>
      </c>
      <c r="I297" s="74">
        <v>252519960</v>
      </c>
      <c r="J297" s="75" t="s">
        <v>18</v>
      </c>
      <c r="K297" s="75" t="s">
        <v>54</v>
      </c>
      <c r="L297" s="134" t="str">
        <f>IF(AND('331-CT'!$E$7=TH!H297,OR(J297="331",K297="331")),"x","")</f>
        <v/>
      </c>
    </row>
    <row r="298" spans="1:12" s="109" customForma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7"/>
      <c r="H298" s="124"/>
      <c r="I298" s="74">
        <v>151275</v>
      </c>
      <c r="J298" s="75" t="s">
        <v>242</v>
      </c>
      <c r="K298" s="75" t="s">
        <v>54</v>
      </c>
      <c r="L298" s="134" t="str">
        <f>IF(AND('331-CT'!$E$7=TH!H298,OR(J298="331",K298="331")),"x","")</f>
        <v/>
      </c>
    </row>
    <row r="299" spans="1:12" s="109" customForma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2"/>
      <c r="H299" s="7"/>
      <c r="I299" s="74">
        <v>15127</v>
      </c>
      <c r="J299" s="136" t="s">
        <v>19</v>
      </c>
      <c r="K299" s="136" t="s">
        <v>54</v>
      </c>
      <c r="L299" s="134" t="str">
        <f>IF(AND('331-CT'!$E$7=TH!H299,OR(J299="331",K299="331")),"x","")</f>
        <v/>
      </c>
    </row>
    <row r="300" spans="1:12" s="109" customForma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7"/>
      <c r="H300" s="122" t="s">
        <v>314</v>
      </c>
      <c r="I300" s="74">
        <v>1000000000</v>
      </c>
      <c r="J300" s="75" t="s">
        <v>54</v>
      </c>
      <c r="K300" s="75" t="s">
        <v>227</v>
      </c>
      <c r="L300" s="134" t="str">
        <f>IF(AND('331-CT'!$E$7=TH!H300,OR(J300="331",K300="331")),"x","")</f>
        <v/>
      </c>
    </row>
    <row r="301" spans="1:12" s="109" customForma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7"/>
      <c r="H301" s="122" t="s">
        <v>109</v>
      </c>
      <c r="I301" s="74">
        <v>50000000</v>
      </c>
      <c r="J301" s="75" t="s">
        <v>18</v>
      </c>
      <c r="K301" s="75" t="s">
        <v>54</v>
      </c>
      <c r="L301" s="134" t="str">
        <f>IF(AND('331-CT'!$E$7=TH!H301,OR(J301="331",K301="331")),"x","")</f>
        <v/>
      </c>
    </row>
    <row r="302" spans="1:12" s="109" customForma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7"/>
      <c r="H302" s="122"/>
      <c r="I302" s="74">
        <v>25000</v>
      </c>
      <c r="J302" s="75" t="s">
        <v>242</v>
      </c>
      <c r="K302" s="75" t="s">
        <v>54</v>
      </c>
      <c r="L302" s="134" t="str">
        <f>IF(AND('331-CT'!$E$7=TH!H302,OR(J302="331",K302="331")),"x","")</f>
        <v/>
      </c>
    </row>
    <row r="303" spans="1:12" s="109" customForma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7"/>
      <c r="H303" s="122"/>
      <c r="I303" s="74">
        <v>2500</v>
      </c>
      <c r="J303" s="75" t="s">
        <v>19</v>
      </c>
      <c r="K303" s="75" t="s">
        <v>54</v>
      </c>
      <c r="L303" s="134" t="str">
        <f>IF(AND('331-CT'!$E$7=TH!H303,OR(J303="331",K303="331")),"x","")</f>
        <v/>
      </c>
    </row>
    <row r="304" spans="1:12" s="109" customForma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7"/>
      <c r="H304" s="122" t="s">
        <v>108</v>
      </c>
      <c r="I304" s="74">
        <v>80000000</v>
      </c>
      <c r="J304" s="75" t="s">
        <v>18</v>
      </c>
      <c r="K304" s="75" t="s">
        <v>54</v>
      </c>
      <c r="L304" s="134" t="str">
        <f>IF(AND('331-CT'!$E$7=TH!H304,OR(J304="331",K304="331")),"x","")</f>
        <v/>
      </c>
    </row>
    <row r="305" spans="1:12" s="109" customForma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7"/>
      <c r="H305" s="122"/>
      <c r="I305" s="74">
        <v>24000</v>
      </c>
      <c r="J305" s="75" t="s">
        <v>242</v>
      </c>
      <c r="K305" s="75" t="s">
        <v>54</v>
      </c>
      <c r="L305" s="134" t="str">
        <f>IF(AND('331-CT'!$E$7=TH!H305,OR(J305="331",K305="331")),"x","")</f>
        <v/>
      </c>
    </row>
    <row r="306" spans="1:12" s="109" customForma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7"/>
      <c r="H306" s="122"/>
      <c r="I306" s="74">
        <v>2400</v>
      </c>
      <c r="J306" s="75" t="s">
        <v>19</v>
      </c>
      <c r="K306" s="75" t="s">
        <v>54</v>
      </c>
      <c r="L306" s="134" t="str">
        <f>IF(AND('331-CT'!$E$7=TH!H306,OR(J306="331",K306="331")),"x","")</f>
        <v/>
      </c>
    </row>
    <row r="307" spans="1:12" s="109" customForma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7"/>
      <c r="H307" s="122" t="s">
        <v>91</v>
      </c>
      <c r="I307" s="74">
        <v>50000000</v>
      </c>
      <c r="J307" s="75" t="s">
        <v>18</v>
      </c>
      <c r="K307" s="75" t="s">
        <v>54</v>
      </c>
      <c r="L307" s="134" t="str">
        <f>IF(AND('331-CT'!$E$7=TH!H307,OR(J307="331",K307="331")),"x","")</f>
        <v/>
      </c>
    </row>
    <row r="308" spans="1:12" s="109" customForma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7"/>
      <c r="H308" s="122"/>
      <c r="I308" s="74">
        <v>25000</v>
      </c>
      <c r="J308" s="78" t="s">
        <v>242</v>
      </c>
      <c r="K308" s="75" t="s">
        <v>54</v>
      </c>
      <c r="L308" s="134" t="str">
        <f>IF(AND('331-CT'!$E$7=TH!H308,OR(J308="331",K308="331")),"x","")</f>
        <v/>
      </c>
    </row>
    <row r="309" spans="1:12" s="109" customForma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7"/>
      <c r="H309" s="122"/>
      <c r="I309" s="74">
        <v>2500</v>
      </c>
      <c r="J309" s="75" t="s">
        <v>19</v>
      </c>
      <c r="K309" s="75" t="s">
        <v>54</v>
      </c>
      <c r="L309" s="134" t="str">
        <f>IF(AND('331-CT'!$E$7=TH!H309,OR(J309="331",K309="331")),"x","")</f>
        <v/>
      </c>
    </row>
    <row r="310" spans="1:12" s="109" customForma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7"/>
      <c r="H310" s="122" t="s">
        <v>89</v>
      </c>
      <c r="I310" s="74">
        <v>378779940</v>
      </c>
      <c r="J310" s="75" t="s">
        <v>18</v>
      </c>
      <c r="K310" s="75" t="s">
        <v>54</v>
      </c>
      <c r="L310" s="134" t="str">
        <f>IF(AND('331-CT'!$E$7=TH!H310,OR(J310="331",K310="331")),"x","")</f>
        <v/>
      </c>
    </row>
    <row r="311" spans="1:12" s="109" customForma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7"/>
      <c r="H311" s="122"/>
      <c r="I311" s="74">
        <v>113634</v>
      </c>
      <c r="J311" s="75" t="s">
        <v>242</v>
      </c>
      <c r="K311" s="75" t="s">
        <v>54</v>
      </c>
      <c r="L311" s="134" t="str">
        <f>IF(AND('331-CT'!$E$7=TH!H311,OR(J311="331",K311="331")),"x","")</f>
        <v/>
      </c>
    </row>
    <row r="312" spans="1:12" s="109" customForma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7"/>
      <c r="H312" s="122"/>
      <c r="I312" s="74">
        <v>11363</v>
      </c>
      <c r="J312" s="75" t="s">
        <v>19</v>
      </c>
      <c r="K312" s="75" t="s">
        <v>54</v>
      </c>
      <c r="L312" s="134" t="str">
        <f>IF(AND('331-CT'!$E$7=TH!H312,OR(J312="331",K312="331")),"x","")</f>
        <v/>
      </c>
    </row>
    <row r="313" spans="1:12" s="109" customForma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7"/>
      <c r="H313" s="122"/>
      <c r="I313" s="74">
        <v>40000</v>
      </c>
      <c r="J313" s="75" t="s">
        <v>242</v>
      </c>
      <c r="K313" s="75" t="s">
        <v>54</v>
      </c>
      <c r="L313" s="134" t="str">
        <f>IF(AND('331-CT'!$E$7=TH!H313,OR(J313="331",K313="331")),"x","")</f>
        <v/>
      </c>
    </row>
    <row r="314" spans="1:12" s="109" customForma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7"/>
      <c r="H314" s="122"/>
      <c r="I314" s="74">
        <v>4000</v>
      </c>
      <c r="J314" s="78" t="s">
        <v>19</v>
      </c>
      <c r="K314" s="75" t="s">
        <v>54</v>
      </c>
      <c r="L314" s="134" t="str">
        <f>IF(AND('331-CT'!$E$7=TH!H314,OR(J314="331",K314="331")),"x","")</f>
        <v/>
      </c>
    </row>
    <row r="315" spans="1:12" s="109" customForma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7" t="s">
        <v>565</v>
      </c>
      <c r="H315" s="123" t="s">
        <v>108</v>
      </c>
      <c r="I315" s="74">
        <v>72727273</v>
      </c>
      <c r="J315" s="75" t="s">
        <v>655</v>
      </c>
      <c r="K315" s="75" t="s">
        <v>18</v>
      </c>
      <c r="L315" s="134" t="str">
        <f>IF(AND('331-CT'!$E$7=TH!H315,OR(J315="331",K315="331")),"x","")</f>
        <v/>
      </c>
    </row>
    <row r="316" spans="1:12" s="109" customForma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7" t="s">
        <v>565</v>
      </c>
      <c r="H316" s="122" t="s">
        <v>108</v>
      </c>
      <c r="I316" s="74">
        <v>7272727</v>
      </c>
      <c r="J316" s="75" t="s">
        <v>19</v>
      </c>
      <c r="K316" s="75" t="s">
        <v>18</v>
      </c>
      <c r="L316" s="134" t="str">
        <f>IF(AND('331-CT'!$E$7=TH!H316,OR(J316="331",K316="331")),"x","")</f>
        <v/>
      </c>
    </row>
    <row r="317" spans="1:12" s="109" customForma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7"/>
      <c r="H317" s="122"/>
      <c r="I317" s="74">
        <v>38769</v>
      </c>
      <c r="J317" s="75" t="s">
        <v>54</v>
      </c>
      <c r="K317" s="75" t="s">
        <v>99</v>
      </c>
      <c r="L317" s="134" t="str">
        <f>IF(AND('331-CT'!$E$7=TH!H317,OR(J317="331",K317="331")),"x","")</f>
        <v/>
      </c>
    </row>
    <row r="318" spans="1:12" s="109" customForma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4" t="s">
        <v>100</v>
      </c>
      <c r="G318" s="274" t="s">
        <v>566</v>
      </c>
      <c r="H318" s="123" t="s">
        <v>89</v>
      </c>
      <c r="I318" s="74">
        <v>1443034000</v>
      </c>
      <c r="J318" s="75" t="s">
        <v>655</v>
      </c>
      <c r="K318" s="75" t="s">
        <v>18</v>
      </c>
      <c r="L318" s="134" t="str">
        <f>IF(AND('331-CT'!$E$7=TH!H318,OR(J318="331",K318="331")),"x","")</f>
        <v/>
      </c>
    </row>
    <row r="319" spans="1:12" s="109" customForma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7" t="s">
        <v>566</v>
      </c>
      <c r="H319" s="122" t="s">
        <v>89</v>
      </c>
      <c r="I319" s="74">
        <v>144303400</v>
      </c>
      <c r="J319" s="75" t="s">
        <v>19</v>
      </c>
      <c r="K319" s="75" t="s">
        <v>18</v>
      </c>
      <c r="L319" s="134" t="str">
        <f>IF(AND('331-CT'!$E$7=TH!H319,OR(J319="331",K319="331")),"x","")</f>
        <v/>
      </c>
    </row>
    <row r="320" spans="1:12" s="109" customForma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7"/>
      <c r="H320" s="122" t="s">
        <v>91</v>
      </c>
      <c r="I320" s="74">
        <v>50000000</v>
      </c>
      <c r="J320" s="75" t="s">
        <v>18</v>
      </c>
      <c r="K320" s="75" t="s">
        <v>54</v>
      </c>
      <c r="L320" s="134" t="str">
        <f>IF(AND('331-CT'!$E$7=TH!H320,OR(J320="331",K320="331")),"x","")</f>
        <v/>
      </c>
    </row>
    <row r="321" spans="1:12" s="109" customForma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7"/>
      <c r="H321" s="122"/>
      <c r="I321" s="74">
        <v>25000</v>
      </c>
      <c r="J321" s="75" t="s">
        <v>242</v>
      </c>
      <c r="K321" s="75" t="s">
        <v>54</v>
      </c>
      <c r="L321" s="134" t="str">
        <f>IF(AND('331-CT'!$E$7=TH!H321,OR(J321="331",K321="331")),"x","")</f>
        <v/>
      </c>
    </row>
    <row r="322" spans="1:12" s="109" customForma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7"/>
      <c r="H322" s="122"/>
      <c r="I322" s="74">
        <v>2500</v>
      </c>
      <c r="J322" s="75" t="s">
        <v>19</v>
      </c>
      <c r="K322" s="75" t="s">
        <v>54</v>
      </c>
      <c r="L322" s="134" t="str">
        <f>IF(AND('331-CT'!$E$7=TH!H322,OR(J322="331",K322="331")),"x","")</f>
        <v/>
      </c>
    </row>
    <row r="323" spans="1:12" s="109" customForma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577</v>
      </c>
      <c r="G323" s="267"/>
      <c r="H323" s="122" t="s">
        <v>267</v>
      </c>
      <c r="I323" s="74">
        <v>9000000</v>
      </c>
      <c r="J323" s="75" t="s">
        <v>39</v>
      </c>
      <c r="K323" s="75" t="s">
        <v>203</v>
      </c>
      <c r="L323" s="134" t="str">
        <f>IF(AND('331-CT'!$E$7=TH!H323,OR(J323="331",K323="331")),"x","")</f>
        <v/>
      </c>
    </row>
    <row r="324" spans="1:12" s="109" customForma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7"/>
      <c r="H324" s="122" t="s">
        <v>267</v>
      </c>
      <c r="I324" s="74">
        <v>9000000</v>
      </c>
      <c r="J324" s="75" t="s">
        <v>54</v>
      </c>
      <c r="K324" s="75" t="s">
        <v>39</v>
      </c>
      <c r="L324" s="134" t="str">
        <f>IF(AND('331-CT'!$E$7=TH!H324,OR(J324="331",K324="331")),"x","")</f>
        <v/>
      </c>
    </row>
    <row r="325" spans="1:12" s="109" customForma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5" t="s">
        <v>119</v>
      </c>
      <c r="G325" s="275"/>
      <c r="H325" s="9" t="s">
        <v>314</v>
      </c>
      <c r="I325" s="74">
        <v>8625463</v>
      </c>
      <c r="J325" s="75" t="s">
        <v>240</v>
      </c>
      <c r="K325" s="75" t="s">
        <v>54</v>
      </c>
      <c r="L325" s="134" t="str">
        <f>IF(AND('331-CT'!$E$7=TH!H325,OR(J325="331",K325="331")),"x","")</f>
        <v/>
      </c>
    </row>
    <row r="326" spans="1:12" s="109" customForma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7"/>
      <c r="H326" s="122" t="s">
        <v>111</v>
      </c>
      <c r="I326" s="74">
        <v>752610000</v>
      </c>
      <c r="J326" s="75" t="s">
        <v>18</v>
      </c>
      <c r="K326" s="75" t="s">
        <v>54</v>
      </c>
      <c r="L326" s="134" t="str">
        <f>IF(AND('331-CT'!$E$7=TH!H326,OR(J326="331",K326="331")),"x","")</f>
        <v/>
      </c>
    </row>
    <row r="327" spans="1:12" s="109" customForma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7"/>
      <c r="H327" s="122"/>
      <c r="I327" s="74">
        <v>225783</v>
      </c>
      <c r="J327" s="75" t="s">
        <v>242</v>
      </c>
      <c r="K327" s="75" t="s">
        <v>54</v>
      </c>
      <c r="L327" s="134" t="str">
        <f>IF(AND('331-CT'!$E$7=TH!H327,OR(J327="331",K327="331")),"x","")</f>
        <v/>
      </c>
    </row>
    <row r="328" spans="1:12" s="109" customForma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7"/>
      <c r="H328" s="9"/>
      <c r="I328" s="74">
        <v>22578</v>
      </c>
      <c r="J328" s="75" t="s">
        <v>19</v>
      </c>
      <c r="K328" s="75" t="s">
        <v>54</v>
      </c>
      <c r="L328" s="134" t="str">
        <f>IF(AND('331-CT'!$E$7=TH!H328,OR(J328="331",K328="331")),"x","")</f>
        <v/>
      </c>
    </row>
    <row r="329" spans="1:12" s="109" customForma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7"/>
      <c r="H329" s="122" t="s">
        <v>85</v>
      </c>
      <c r="I329" s="74">
        <v>800000000</v>
      </c>
      <c r="J329" s="75" t="s">
        <v>18</v>
      </c>
      <c r="K329" s="75" t="s">
        <v>54</v>
      </c>
      <c r="L329" s="134" t="str">
        <f>IF(AND('331-CT'!$E$7=TH!H329,OR(J329="331",K329="331")),"x","")</f>
        <v/>
      </c>
    </row>
    <row r="330" spans="1:12" s="109" customForma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7"/>
      <c r="H330" s="122"/>
      <c r="I330" s="74">
        <v>400000</v>
      </c>
      <c r="J330" s="75" t="s">
        <v>242</v>
      </c>
      <c r="K330" s="75" t="s">
        <v>54</v>
      </c>
      <c r="L330" s="134" t="str">
        <f>IF(AND('331-CT'!$E$7=TH!H330,OR(J330="331",K330="331")),"x","")</f>
        <v/>
      </c>
    </row>
    <row r="331" spans="1:12" s="109" customForma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3"/>
      <c r="H331" s="132"/>
      <c r="I331" s="133">
        <v>40000</v>
      </c>
      <c r="J331" s="134" t="s">
        <v>19</v>
      </c>
      <c r="K331" s="134" t="s">
        <v>54</v>
      </c>
      <c r="L331" s="134" t="str">
        <f>IF(AND('331-CT'!$E$7=TH!H331,OR(J331="331",K331="331")),"x","")</f>
        <v/>
      </c>
    </row>
    <row r="332" spans="1:12" s="109" customForma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313</v>
      </c>
      <c r="G332" s="273"/>
      <c r="H332" s="132" t="s">
        <v>315</v>
      </c>
      <c r="I332" s="133">
        <v>2000000000</v>
      </c>
      <c r="J332" s="134" t="s">
        <v>54</v>
      </c>
      <c r="K332" s="134" t="s">
        <v>227</v>
      </c>
      <c r="L332" s="134" t="str">
        <f>IF(AND('331-CT'!$E$7=TH!H332,OR(J332="331",K332="331")),"x","")</f>
        <v/>
      </c>
    </row>
    <row r="333" spans="1:12" s="109" customForma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7"/>
      <c r="H333" s="122"/>
      <c r="I333" s="74">
        <v>20000</v>
      </c>
      <c r="J333" s="75" t="s">
        <v>242</v>
      </c>
      <c r="K333" s="75" t="s">
        <v>54</v>
      </c>
      <c r="L333" s="134" t="str">
        <f>IF(AND('331-CT'!$E$7=TH!H333,OR(J333="331",K333="331")),"x","")</f>
        <v/>
      </c>
    </row>
    <row r="334" spans="1:12" s="109" customForma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2"/>
      <c r="H334" s="122"/>
      <c r="I334" s="74">
        <v>2000</v>
      </c>
      <c r="J334" s="75" t="s">
        <v>19</v>
      </c>
      <c r="K334" s="75" t="s">
        <v>54</v>
      </c>
      <c r="L334" s="134" t="str">
        <f>IF(AND('331-CT'!$E$7=TH!H334,OR(J334="331",K334="331")),"x","")</f>
        <v/>
      </c>
    </row>
    <row r="335" spans="1:12" s="109" customForma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7"/>
      <c r="H335" s="122"/>
      <c r="I335" s="74">
        <v>199881</v>
      </c>
      <c r="J335" s="75" t="s">
        <v>54</v>
      </c>
      <c r="K335" s="75" t="s">
        <v>99</v>
      </c>
      <c r="L335" s="134" t="str">
        <f>IF(AND('331-CT'!$E$7=TH!H335,OR(J335="331",K335="331")),"x","")</f>
        <v/>
      </c>
    </row>
    <row r="336" spans="1:12" s="109" customForma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7"/>
      <c r="H336" s="122"/>
      <c r="I336" s="74">
        <v>20000</v>
      </c>
      <c r="J336" s="75" t="s">
        <v>242</v>
      </c>
      <c r="K336" s="75" t="s">
        <v>54</v>
      </c>
      <c r="L336" s="134" t="str">
        <f>IF(AND('331-CT'!$E$7=TH!H336,OR(J336="331",K336="331")),"x","")</f>
        <v/>
      </c>
    </row>
    <row r="337" spans="1:12" s="109" customForma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7"/>
      <c r="H337" s="122"/>
      <c r="I337" s="74">
        <v>2000</v>
      </c>
      <c r="J337" s="75" t="s">
        <v>19</v>
      </c>
      <c r="K337" s="75" t="s">
        <v>54</v>
      </c>
      <c r="L337" s="134" t="str">
        <f>IF(AND('331-CT'!$E$7=TH!H337,OR(J337="331",K337="331")),"x","")</f>
        <v/>
      </c>
    </row>
    <row r="338" spans="1:12" s="109" customForma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7"/>
      <c r="H338" s="7"/>
      <c r="I338" s="74">
        <v>50000</v>
      </c>
      <c r="J338" s="75" t="s">
        <v>242</v>
      </c>
      <c r="K338" s="75" t="s">
        <v>54</v>
      </c>
      <c r="L338" s="134" t="str">
        <f>IF(AND('331-CT'!$E$7=TH!H338,OR(J338="331",K338="331")),"x","")</f>
        <v/>
      </c>
    </row>
    <row r="339" spans="1:12" s="109" customForma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7"/>
      <c r="H339" s="122"/>
      <c r="I339" s="74">
        <v>5000</v>
      </c>
      <c r="J339" s="75" t="s">
        <v>19</v>
      </c>
      <c r="K339" s="75" t="s">
        <v>54</v>
      </c>
      <c r="L339" s="134" t="str">
        <f>IF(AND('331-CT'!$E$7=TH!H339,OR(J339="331",K339="331")),"x","")</f>
        <v/>
      </c>
    </row>
    <row r="340" spans="1:12" s="109" customForma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7"/>
      <c r="H340" s="122"/>
      <c r="I340" s="74">
        <v>50000</v>
      </c>
      <c r="J340" s="75" t="s">
        <v>242</v>
      </c>
      <c r="K340" s="75" t="s">
        <v>54</v>
      </c>
      <c r="L340" s="134" t="str">
        <f>IF(AND('331-CT'!$E$7=TH!H340,OR(J340="331",K340="331")),"x","")</f>
        <v/>
      </c>
    </row>
    <row r="341" spans="1:12" s="109" customForma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7"/>
      <c r="H341" s="122"/>
      <c r="I341" s="74">
        <v>5000</v>
      </c>
      <c r="J341" s="75" t="s">
        <v>19</v>
      </c>
      <c r="K341" s="75" t="s">
        <v>54</v>
      </c>
      <c r="L341" s="134" t="str">
        <f>IF(AND('331-CT'!$E$7=TH!H341,OR(J341="331",K341="331")),"x","")</f>
        <v/>
      </c>
    </row>
    <row r="342" spans="1:12" s="109" customForma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2"/>
      <c r="H342" s="122"/>
      <c r="I342" s="74">
        <v>50000</v>
      </c>
      <c r="J342" s="75" t="s">
        <v>242</v>
      </c>
      <c r="K342" s="75" t="s">
        <v>54</v>
      </c>
      <c r="L342" s="134" t="str">
        <f>IF(AND('331-CT'!$E$7=TH!H342,OR(J342="331",K342="331")),"x","")</f>
        <v/>
      </c>
    </row>
    <row r="343" spans="1:12" s="109" customForma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2"/>
      <c r="H343" s="122"/>
      <c r="I343" s="74">
        <v>5000</v>
      </c>
      <c r="J343" s="75" t="s">
        <v>19</v>
      </c>
      <c r="K343" s="75" t="s">
        <v>54</v>
      </c>
      <c r="L343" s="134" t="str">
        <f>IF(AND('331-CT'!$E$7=TH!H343,OR(J343="331",K343="331")),"x","")</f>
        <v/>
      </c>
    </row>
    <row r="344" spans="1:12" s="109" customForma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2"/>
      <c r="H344" s="7" t="s">
        <v>129</v>
      </c>
      <c r="I344" s="74">
        <v>16327199</v>
      </c>
      <c r="J344" s="75" t="s">
        <v>18</v>
      </c>
      <c r="K344" s="75" t="s">
        <v>54</v>
      </c>
      <c r="L344" s="134" t="str">
        <f>IF(AND('331-CT'!$E$7=TH!H344,OR(J344="331",K344="331")),"x","")</f>
        <v/>
      </c>
    </row>
    <row r="345" spans="1:12" s="109" customForma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2"/>
      <c r="H345" s="7"/>
      <c r="I345" s="74">
        <v>25000</v>
      </c>
      <c r="J345" s="75" t="s">
        <v>242</v>
      </c>
      <c r="K345" s="75" t="s">
        <v>54</v>
      </c>
      <c r="L345" s="134" t="str">
        <f>IF(AND('331-CT'!$E$7=TH!H345,OR(J345="331",K345="331")),"x","")</f>
        <v/>
      </c>
    </row>
    <row r="346" spans="1:12" s="109" customForma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7"/>
      <c r="H346" s="124"/>
      <c r="I346" s="74">
        <v>2500</v>
      </c>
      <c r="J346" s="75" t="s">
        <v>19</v>
      </c>
      <c r="K346" s="75" t="s">
        <v>54</v>
      </c>
      <c r="L346" s="134" t="str">
        <f>IF(AND('331-CT'!$E$7=TH!H346,OR(J346="331",K346="331")),"x","")</f>
        <v/>
      </c>
    </row>
    <row r="347" spans="1:12" s="109" customForma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7"/>
      <c r="H347" s="122" t="s">
        <v>83</v>
      </c>
      <c r="I347" s="74">
        <v>34408000</v>
      </c>
      <c r="J347" s="75" t="s">
        <v>18</v>
      </c>
      <c r="K347" s="75" t="s">
        <v>54</v>
      </c>
      <c r="L347" s="134" t="str">
        <f>IF(AND('331-CT'!$E$7=TH!H347,OR(J347="331",K347="331")),"x","")</f>
        <v/>
      </c>
    </row>
    <row r="348" spans="1:12" s="109" customForma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7"/>
      <c r="H348" s="122"/>
      <c r="I348" s="74">
        <v>25000</v>
      </c>
      <c r="J348" s="75" t="s">
        <v>242</v>
      </c>
      <c r="K348" s="75" t="s">
        <v>54</v>
      </c>
      <c r="L348" s="134" t="str">
        <f>IF(AND('331-CT'!$E$7=TH!H348,OR(J348="331",K348="331")),"x","")</f>
        <v/>
      </c>
    </row>
    <row r="349" spans="1:12" s="109" customForma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7"/>
      <c r="H349" s="122"/>
      <c r="I349" s="74">
        <v>2500</v>
      </c>
      <c r="J349" s="75" t="s">
        <v>19</v>
      </c>
      <c r="K349" s="75" t="s">
        <v>54</v>
      </c>
      <c r="L349" s="134" t="str">
        <f>IF(AND('331-CT'!$E$7=TH!H349,OR(J349="331",K349="331")),"x","")</f>
        <v/>
      </c>
    </row>
    <row r="350" spans="1:12" s="109" customForma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7" t="s">
        <v>567</v>
      </c>
      <c r="H350" s="122" t="s">
        <v>132</v>
      </c>
      <c r="I350" s="74">
        <v>28000005</v>
      </c>
      <c r="J350" s="75" t="s">
        <v>655</v>
      </c>
      <c r="K350" s="75" t="s">
        <v>18</v>
      </c>
      <c r="L350" s="134" t="str">
        <f>IF(AND('331-CT'!$E$7=TH!H350,OR(J350="331",K350="331")),"x","")</f>
        <v/>
      </c>
    </row>
    <row r="351" spans="1:12" s="109" customForma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7" t="s">
        <v>567</v>
      </c>
      <c r="H351" s="122" t="s">
        <v>132</v>
      </c>
      <c r="I351" s="74">
        <v>2800000</v>
      </c>
      <c r="J351" s="75" t="s">
        <v>19</v>
      </c>
      <c r="K351" s="75" t="s">
        <v>18</v>
      </c>
      <c r="L351" s="134" t="str">
        <f>IF(AND('331-CT'!$E$7=TH!H351,OR(J351="331",K351="331")),"x","")</f>
        <v/>
      </c>
    </row>
    <row r="352" spans="1:12" s="109" customForma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7"/>
      <c r="H352" s="123" t="s">
        <v>89</v>
      </c>
      <c r="I352" s="74">
        <v>323824160</v>
      </c>
      <c r="J352" s="75" t="s">
        <v>18</v>
      </c>
      <c r="K352" s="75" t="s">
        <v>54</v>
      </c>
      <c r="L352" s="134" t="str">
        <f>IF(AND('331-CT'!$E$7=TH!H352,OR(J352="331",K352="331")),"x","")</f>
        <v/>
      </c>
    </row>
    <row r="353" spans="1:12" s="109" customForma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7"/>
      <c r="H353" s="9"/>
      <c r="I353" s="74">
        <v>97147</v>
      </c>
      <c r="J353" s="75" t="s">
        <v>242</v>
      </c>
      <c r="K353" s="75" t="s">
        <v>54</v>
      </c>
      <c r="L353" s="134" t="str">
        <f>IF(AND('331-CT'!$E$7=TH!H353,OR(J353="331",K353="331")),"x","")</f>
        <v/>
      </c>
    </row>
    <row r="354" spans="1:12" s="109" customForma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7"/>
      <c r="H354" s="122"/>
      <c r="I354" s="74">
        <v>9715</v>
      </c>
      <c r="J354" s="75" t="s">
        <v>19</v>
      </c>
      <c r="K354" s="75" t="s">
        <v>54</v>
      </c>
      <c r="L354" s="134" t="str">
        <f>IF(AND('331-CT'!$E$7=TH!H354,OR(J354="331",K354="331")),"x","")</f>
        <v/>
      </c>
    </row>
    <row r="355" spans="1:12" s="109" customForma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577</v>
      </c>
      <c r="G355" s="267"/>
      <c r="H355" s="122" t="s">
        <v>267</v>
      </c>
      <c r="I355" s="74">
        <v>25000000</v>
      </c>
      <c r="J355" s="75" t="s">
        <v>39</v>
      </c>
      <c r="K355" s="75" t="s">
        <v>203</v>
      </c>
      <c r="L355" s="134" t="str">
        <f>IF(AND('331-CT'!$E$7=TH!H355,OR(J355="331",K355="331")),"x","")</f>
        <v/>
      </c>
    </row>
    <row r="356" spans="1:12" s="109" customForma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7"/>
      <c r="H356" s="122" t="s">
        <v>267</v>
      </c>
      <c r="I356" s="74">
        <v>25000000</v>
      </c>
      <c r="J356" s="75" t="s">
        <v>54</v>
      </c>
      <c r="K356" s="75" t="s">
        <v>39</v>
      </c>
      <c r="L356" s="134" t="str">
        <f>IF(AND('331-CT'!$E$7=TH!H356,OR(J356="331",K356="331")),"x","")</f>
        <v/>
      </c>
    </row>
    <row r="357" spans="1:12" s="109" customForma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7"/>
      <c r="H357" s="122" t="s">
        <v>314</v>
      </c>
      <c r="I357" s="74">
        <v>8333333</v>
      </c>
      <c r="J357" s="75" t="s">
        <v>240</v>
      </c>
      <c r="K357" s="75" t="s">
        <v>54</v>
      </c>
      <c r="L357" s="134" t="str">
        <f>IF(AND('331-CT'!$E$7=TH!H357,OR(J357="331",K357="331")),"x","")</f>
        <v/>
      </c>
    </row>
    <row r="358" spans="1:12" s="109" customForma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7" t="s">
        <v>568</v>
      </c>
      <c r="H358" s="122" t="s">
        <v>91</v>
      </c>
      <c r="I358" s="74">
        <v>262727273</v>
      </c>
      <c r="J358" s="75" t="s">
        <v>655</v>
      </c>
      <c r="K358" s="75" t="s">
        <v>18</v>
      </c>
      <c r="L358" s="134" t="str">
        <f>IF(AND('331-CT'!$E$7=TH!H358,OR(J358="331",K358="331")),"x","")</f>
        <v/>
      </c>
    </row>
    <row r="359" spans="1:12" s="109" customForma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7" t="s">
        <v>568</v>
      </c>
      <c r="H359" s="9" t="s">
        <v>91</v>
      </c>
      <c r="I359" s="74">
        <v>26272727</v>
      </c>
      <c r="J359" s="75" t="s">
        <v>19</v>
      </c>
      <c r="K359" s="75" t="s">
        <v>18</v>
      </c>
      <c r="L359" s="134" t="str">
        <f>IF(AND('331-CT'!$E$7=TH!H359,OR(J359="331",K359="331")),"x","")</f>
        <v/>
      </c>
    </row>
    <row r="360" spans="1:12" s="109" customForma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7" t="s">
        <v>569</v>
      </c>
      <c r="H360" s="122" t="s">
        <v>83</v>
      </c>
      <c r="I360" s="74">
        <v>31280000</v>
      </c>
      <c r="J360" s="75" t="s">
        <v>242</v>
      </c>
      <c r="K360" s="75" t="s">
        <v>18</v>
      </c>
      <c r="L360" s="134" t="str">
        <f>IF(AND('331-CT'!$E$7=TH!H360,OR(J360="331",K360="331")),"x","")</f>
        <v/>
      </c>
    </row>
    <row r="361" spans="1:12" s="109" customForma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7" t="s">
        <v>569</v>
      </c>
      <c r="H361" s="122" t="s">
        <v>83</v>
      </c>
      <c r="I361" s="74">
        <v>3128000</v>
      </c>
      <c r="J361" s="75" t="s">
        <v>19</v>
      </c>
      <c r="K361" s="75" t="s">
        <v>18</v>
      </c>
      <c r="L361" s="134" t="str">
        <f>IF(AND('331-CT'!$E$7=TH!H361,OR(J361="331",K361="331")),"x","")</f>
        <v/>
      </c>
    </row>
    <row r="362" spans="1:12" s="109" customForma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7"/>
      <c r="H362" s="9" t="s">
        <v>317</v>
      </c>
      <c r="I362" s="74">
        <v>1600000000</v>
      </c>
      <c r="J362" s="75" t="s">
        <v>54</v>
      </c>
      <c r="K362" s="75" t="s">
        <v>227</v>
      </c>
      <c r="L362" s="134" t="str">
        <f>IF(AND('331-CT'!$E$7=TH!H362,OR(J362="331",K362="331")),"x","")</f>
        <v/>
      </c>
    </row>
    <row r="363" spans="1:12" s="109" customForma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7"/>
      <c r="H363" s="122" t="s">
        <v>85</v>
      </c>
      <c r="I363" s="74">
        <v>1500000000</v>
      </c>
      <c r="J363" s="75" t="s">
        <v>18</v>
      </c>
      <c r="K363" s="75" t="s">
        <v>54</v>
      </c>
      <c r="L363" s="134" t="str">
        <f>IF(AND('331-CT'!$E$7=TH!H363,OR(J363="331",K363="331")),"x","")</f>
        <v/>
      </c>
    </row>
    <row r="364" spans="1:12" s="109" customForma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7"/>
      <c r="H364" s="122"/>
      <c r="I364" s="74">
        <v>750000</v>
      </c>
      <c r="J364" s="75" t="s">
        <v>242</v>
      </c>
      <c r="K364" s="75" t="s">
        <v>54</v>
      </c>
      <c r="L364" s="134" t="str">
        <f>IF(AND('331-CT'!$E$7=TH!H364,OR(J364="331",K364="331")),"x","")</f>
        <v/>
      </c>
    </row>
    <row r="365" spans="1:12" s="109" customForma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7"/>
      <c r="H365" s="9"/>
      <c r="I365" s="74">
        <v>75000</v>
      </c>
      <c r="J365" s="75" t="s">
        <v>19</v>
      </c>
      <c r="K365" s="75" t="s">
        <v>54</v>
      </c>
      <c r="L365" s="134" t="str">
        <f>IF(AND('331-CT'!$E$7=TH!H365,OR(J365="331",K365="331")),"x","")</f>
        <v/>
      </c>
    </row>
    <row r="366" spans="1:12" s="109" customForma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7"/>
      <c r="H366" s="122"/>
      <c r="I366" s="74">
        <v>322248</v>
      </c>
      <c r="J366" s="75" t="s">
        <v>54</v>
      </c>
      <c r="K366" s="75" t="s">
        <v>99</v>
      </c>
      <c r="L366" s="134" t="str">
        <f>IF(AND('331-CT'!$E$7=TH!H366,OR(J366="331",K366="331")),"x","")</f>
        <v/>
      </c>
    </row>
    <row r="367" spans="1:12" s="109" customForma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7"/>
      <c r="H367" s="122" t="s">
        <v>132</v>
      </c>
      <c r="I367" s="74">
        <v>30800005</v>
      </c>
      <c r="J367" s="75" t="s">
        <v>18</v>
      </c>
      <c r="K367" s="75" t="s">
        <v>54</v>
      </c>
      <c r="L367" s="134" t="str">
        <f>IF(AND('331-CT'!$E$7=TH!H367,OR(J367="331",K367="331")),"x","")</f>
        <v/>
      </c>
    </row>
    <row r="368" spans="1:12" s="109" customForma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7"/>
      <c r="H368" s="9"/>
      <c r="I368" s="74">
        <v>25000</v>
      </c>
      <c r="J368" s="75" t="s">
        <v>242</v>
      </c>
      <c r="K368" s="75" t="s">
        <v>54</v>
      </c>
      <c r="L368" s="134" t="str">
        <f>IF(AND('331-CT'!$E$7=TH!H368,OR(J368="331",K368="331")),"x","")</f>
        <v/>
      </c>
    </row>
    <row r="369" spans="1:12" s="109" customForma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7"/>
      <c r="H369" s="122"/>
      <c r="I369" s="74">
        <v>2500</v>
      </c>
      <c r="J369" s="75" t="s">
        <v>19</v>
      </c>
      <c r="K369" s="75" t="s">
        <v>54</v>
      </c>
      <c r="L369" s="134" t="str">
        <f>IF(AND('331-CT'!$E$7=TH!H369,OR(J369="331",K369="331")),"x","")</f>
        <v/>
      </c>
    </row>
    <row r="370" spans="1:12" s="109" customForma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7"/>
      <c r="H370" s="123" t="s">
        <v>91</v>
      </c>
      <c r="I370" s="74">
        <v>49000000</v>
      </c>
      <c r="J370" s="75" t="s">
        <v>18</v>
      </c>
      <c r="K370" s="75" t="s">
        <v>54</v>
      </c>
      <c r="L370" s="134" t="str">
        <f>IF(AND('331-CT'!$E$7=TH!H370,OR(J370="331",K370="331")),"x","")</f>
        <v/>
      </c>
    </row>
    <row r="371" spans="1:12" s="109" customForma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7"/>
      <c r="H371" s="122"/>
      <c r="I371" s="74">
        <v>25000</v>
      </c>
      <c r="J371" s="75" t="s">
        <v>242</v>
      </c>
      <c r="K371" s="75" t="s">
        <v>54</v>
      </c>
      <c r="L371" s="134" t="str">
        <f>IF(AND('331-CT'!$E$7=TH!H371,OR(J371="331",K371="331")),"x","")</f>
        <v/>
      </c>
    </row>
    <row r="372" spans="1:12" s="109" customForma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7"/>
      <c r="H372" s="122"/>
      <c r="I372" s="74">
        <v>2500</v>
      </c>
      <c r="J372" s="75" t="s">
        <v>19</v>
      </c>
      <c r="K372" s="75" t="s">
        <v>54</v>
      </c>
      <c r="L372" s="134" t="str">
        <f>IF(AND('331-CT'!$E$7=TH!H372,OR(J372="331",K372="331")),"x","")</f>
        <v/>
      </c>
    </row>
    <row r="373" spans="1:12" s="109" customForma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7"/>
      <c r="H373" s="123" t="s">
        <v>111</v>
      </c>
      <c r="I373" s="74">
        <v>500000000</v>
      </c>
      <c r="J373" s="75" t="s">
        <v>18</v>
      </c>
      <c r="K373" s="75" t="s">
        <v>54</v>
      </c>
      <c r="L373" s="134" t="str">
        <f>IF(AND('331-CT'!$E$7=TH!H373,OR(J373="331",K373="331")),"x","")</f>
        <v/>
      </c>
    </row>
    <row r="374" spans="1:12" s="109" customForma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7"/>
      <c r="H374" s="122"/>
      <c r="I374" s="74">
        <v>150000</v>
      </c>
      <c r="J374" s="75" t="s">
        <v>242</v>
      </c>
      <c r="K374" s="75" t="s">
        <v>54</v>
      </c>
      <c r="L374" s="134" t="str">
        <f>IF(AND('331-CT'!$E$7=TH!H374,OR(J374="331",K374="331")),"x","")</f>
        <v/>
      </c>
    </row>
    <row r="375" spans="1:12" s="109" customForma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7"/>
      <c r="H375" s="122"/>
      <c r="I375" s="74">
        <v>15000</v>
      </c>
      <c r="J375" s="75" t="s">
        <v>19</v>
      </c>
      <c r="K375" s="75" t="s">
        <v>54</v>
      </c>
      <c r="L375" s="134" t="str">
        <f>IF(AND('331-CT'!$E$7=TH!H375,OR(J375="331",K375="331")),"x","")</f>
        <v/>
      </c>
    </row>
    <row r="376" spans="1:12" s="109" customForma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7" t="s">
        <v>570</v>
      </c>
      <c r="H376" s="124" t="s">
        <v>129</v>
      </c>
      <c r="I376" s="74">
        <v>14842908</v>
      </c>
      <c r="J376" s="75" t="s">
        <v>655</v>
      </c>
      <c r="K376" s="75" t="s">
        <v>18</v>
      </c>
      <c r="L376" s="134" t="str">
        <f>IF(AND('331-CT'!$E$7=TH!H376,OR(J376="331",K376="331")),"x","")</f>
        <v/>
      </c>
    </row>
    <row r="377" spans="1:12" s="109" customForma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7" t="s">
        <v>570</v>
      </c>
      <c r="H377" s="124" t="s">
        <v>129</v>
      </c>
      <c r="I377" s="74">
        <v>1484291</v>
      </c>
      <c r="J377" s="75" t="s">
        <v>19</v>
      </c>
      <c r="K377" s="75" t="s">
        <v>18</v>
      </c>
      <c r="L377" s="134" t="str">
        <f>IF(AND('331-CT'!$E$7=TH!H377,OR(J377="331",K377="331")),"x","")</f>
        <v/>
      </c>
    </row>
    <row r="378" spans="1:12" s="109" customForma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7" t="s">
        <v>521</v>
      </c>
      <c r="H378" s="124" t="s">
        <v>523</v>
      </c>
      <c r="I378" s="74">
        <v>2160000</v>
      </c>
      <c r="J378" s="75" t="s">
        <v>242</v>
      </c>
      <c r="K378" s="75" t="s">
        <v>203</v>
      </c>
      <c r="L378" s="134" t="str">
        <f>IF(AND('331-CT'!$E$7=TH!H378,OR(J378="331",K378="331")),"x","")</f>
        <v/>
      </c>
    </row>
    <row r="379" spans="1:12" s="109" customForma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7" t="s">
        <v>521</v>
      </c>
      <c r="H379" s="124" t="s">
        <v>523</v>
      </c>
      <c r="I379" s="74">
        <v>216000</v>
      </c>
      <c r="J379" s="75" t="s">
        <v>19</v>
      </c>
      <c r="K379" s="75" t="s">
        <v>203</v>
      </c>
      <c r="L379" s="134" t="str">
        <f>IF(AND('331-CT'!$E$7=TH!H379,OR(J379="331",K379="331")),"x","")</f>
        <v/>
      </c>
    </row>
    <row r="380" spans="1:12" s="109" customForma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577</v>
      </c>
      <c r="G380" s="267"/>
      <c r="H380" s="124" t="s">
        <v>267</v>
      </c>
      <c r="I380" s="74">
        <v>40500000</v>
      </c>
      <c r="J380" s="136" t="s">
        <v>39</v>
      </c>
      <c r="K380" s="136" t="s">
        <v>203</v>
      </c>
      <c r="L380" s="134" t="str">
        <f>IF(AND('331-CT'!$E$7=TH!H380,OR(J380="331",K380="331")),"x","")</f>
        <v/>
      </c>
    </row>
    <row r="381" spans="1:12" s="109" customForma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7"/>
      <c r="H381" s="124" t="s">
        <v>267</v>
      </c>
      <c r="I381" s="74">
        <v>40500000</v>
      </c>
      <c r="J381" s="136" t="s">
        <v>54</v>
      </c>
      <c r="K381" s="136" t="s">
        <v>39</v>
      </c>
      <c r="L381" s="134" t="str">
        <f>IF(AND('331-CT'!$E$7=TH!H381,OR(J381="331",K381="331")),"x","")</f>
        <v/>
      </c>
    </row>
    <row r="382" spans="1:12" s="109" customForma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7"/>
      <c r="H382" s="122" t="s">
        <v>314</v>
      </c>
      <c r="I382" s="74">
        <v>8614699</v>
      </c>
      <c r="J382" s="75" t="s">
        <v>240</v>
      </c>
      <c r="K382" s="75" t="s">
        <v>54</v>
      </c>
      <c r="L382" s="134" t="str">
        <f>IF(AND('331-CT'!$E$7=TH!H382,OR(J382="331",K382="331")),"x","")</f>
        <v/>
      </c>
    </row>
    <row r="383" spans="1:12" s="109" customForma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7"/>
      <c r="H383" s="122" t="s">
        <v>315</v>
      </c>
      <c r="I383" s="74">
        <v>31679861</v>
      </c>
      <c r="J383" s="75" t="s">
        <v>240</v>
      </c>
      <c r="K383" s="75" t="s">
        <v>54</v>
      </c>
      <c r="L383" s="134" t="str">
        <f>IF(AND('331-CT'!$E$7=TH!H383,OR(J383="331",K383="331")),"x","")</f>
        <v/>
      </c>
    </row>
    <row r="384" spans="1:12" s="109" customForma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7"/>
      <c r="H384" s="122" t="s">
        <v>85</v>
      </c>
      <c r="I384" s="74">
        <v>1000000000</v>
      </c>
      <c r="J384" s="75" t="s">
        <v>18</v>
      </c>
      <c r="K384" s="75" t="s">
        <v>54</v>
      </c>
      <c r="L384" s="134" t="str">
        <f>IF(AND('331-CT'!$E$7=TH!H384,OR(J384="331",K384="331")),"x","")</f>
        <v/>
      </c>
    </row>
    <row r="385" spans="1:12" s="109" customForma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7"/>
      <c r="H385" s="122"/>
      <c r="I385" s="74">
        <v>500000</v>
      </c>
      <c r="J385" s="75" t="s">
        <v>242</v>
      </c>
      <c r="K385" s="75" t="s">
        <v>54</v>
      </c>
      <c r="L385" s="134" t="str">
        <f>IF(AND('331-CT'!$E$7=TH!H385,OR(J385="331",K385="331")),"x","")</f>
        <v/>
      </c>
    </row>
    <row r="386" spans="1:12" s="109" customForma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7"/>
      <c r="H386" s="122"/>
      <c r="I386" s="74">
        <v>50000</v>
      </c>
      <c r="J386" s="75" t="s">
        <v>19</v>
      </c>
      <c r="K386" s="75" t="s">
        <v>54</v>
      </c>
      <c r="L386" s="134" t="str">
        <f>IF(AND('331-CT'!$E$7=TH!H386,OR(J386="331",K386="331")),"x","")</f>
        <v/>
      </c>
    </row>
    <row r="387" spans="1:12" s="109" customForma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7"/>
      <c r="H387" s="123" t="s">
        <v>316</v>
      </c>
      <c r="I387" s="74">
        <v>1500000000</v>
      </c>
      <c r="J387" s="75" t="s">
        <v>54</v>
      </c>
      <c r="K387" s="75" t="s">
        <v>227</v>
      </c>
      <c r="L387" s="134" t="str">
        <f>IF(AND('331-CT'!$E$7=TH!H387,OR(J387="331",K387="331")),"x","")</f>
        <v/>
      </c>
    </row>
    <row r="388" spans="1:12" s="109" customForma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7"/>
      <c r="H388" s="122"/>
      <c r="I388" s="74">
        <v>61267</v>
      </c>
      <c r="J388" s="75" t="s">
        <v>54</v>
      </c>
      <c r="K388" s="75" t="s">
        <v>99</v>
      </c>
      <c r="L388" s="134" t="str">
        <f>IF(AND('331-CT'!$E$7=TH!H388,OR(J388="331",K388="331")),"x","")</f>
        <v/>
      </c>
    </row>
    <row r="389" spans="1:12" s="109" customForma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7"/>
      <c r="H389" s="122" t="s">
        <v>85</v>
      </c>
      <c r="I389" s="74">
        <v>1000000000</v>
      </c>
      <c r="J389" s="75" t="s">
        <v>18</v>
      </c>
      <c r="K389" s="75" t="s">
        <v>54</v>
      </c>
      <c r="L389" s="134" t="str">
        <f>IF(AND('331-CT'!$E$7=TH!H389,OR(J389="331",K389="331")),"x","")</f>
        <v/>
      </c>
    </row>
    <row r="390" spans="1:12" s="109" customForma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7"/>
      <c r="H390" s="122" t="s">
        <v>318</v>
      </c>
      <c r="I390" s="74">
        <v>1000000000</v>
      </c>
      <c r="J390" s="75" t="s">
        <v>54</v>
      </c>
      <c r="K390" s="75" t="s">
        <v>227</v>
      </c>
      <c r="L390" s="134" t="str">
        <f>IF(AND('331-CT'!$E$7=TH!H390,OR(J390="331",K390="331")),"x","")</f>
        <v/>
      </c>
    </row>
    <row r="391" spans="1:12" s="109" customForma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2"/>
      <c r="H391" s="122" t="s">
        <v>314</v>
      </c>
      <c r="I391" s="74">
        <v>8336805</v>
      </c>
      <c r="J391" s="136" t="s">
        <v>240</v>
      </c>
      <c r="K391" s="75" t="s">
        <v>54</v>
      </c>
      <c r="L391" s="134" t="str">
        <f>IF(AND('331-CT'!$E$7=TH!H391,OR(J391="331",K391="331")),"x","")</f>
        <v/>
      </c>
    </row>
    <row r="392" spans="1:12" s="109" customForma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2"/>
      <c r="H392" s="122" t="s">
        <v>315</v>
      </c>
      <c r="I392" s="74">
        <v>16673611</v>
      </c>
      <c r="J392" s="136" t="s">
        <v>240</v>
      </c>
      <c r="K392" s="75" t="s">
        <v>54</v>
      </c>
      <c r="L392" s="134" t="str">
        <f>IF(AND('331-CT'!$E$7=TH!H392,OR(J392="331",K392="331")),"x","")</f>
        <v/>
      </c>
    </row>
    <row r="393" spans="1:12" s="109" customForma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7"/>
      <c r="H393" s="9" t="s">
        <v>317</v>
      </c>
      <c r="I393" s="74">
        <v>25788519</v>
      </c>
      <c r="J393" s="75" t="s">
        <v>240</v>
      </c>
      <c r="K393" s="75" t="s">
        <v>54</v>
      </c>
      <c r="L393" s="134" t="str">
        <f>IF(AND('331-CT'!$E$7=TH!H393,OR(J393="331",K393="331")),"x","")</f>
        <v/>
      </c>
    </row>
    <row r="394" spans="1:12" s="109" customForma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576</v>
      </c>
      <c r="G394" s="267"/>
      <c r="H394" s="122" t="s">
        <v>272</v>
      </c>
      <c r="I394" s="74">
        <v>51000000</v>
      </c>
      <c r="J394" s="75" t="s">
        <v>54</v>
      </c>
      <c r="K394" s="75" t="s">
        <v>203</v>
      </c>
      <c r="L394" s="134" t="str">
        <f>IF(AND('331-CT'!$E$7=TH!H394,OR(J394="331",K394="331")),"x","")</f>
        <v/>
      </c>
    </row>
    <row r="395" spans="1:12" s="109" customForma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7"/>
      <c r="H395" s="122"/>
      <c r="I395" s="74">
        <v>50000</v>
      </c>
      <c r="J395" s="75" t="s">
        <v>242</v>
      </c>
      <c r="K395" s="75" t="s">
        <v>54</v>
      </c>
      <c r="L395" s="134" t="str">
        <f>IF(AND('331-CT'!$E$7=TH!H395,OR(J395="331",K395="331")),"x","")</f>
        <v/>
      </c>
    </row>
    <row r="396" spans="1:12" s="109" customForma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7"/>
      <c r="H396" s="9"/>
      <c r="I396" s="74">
        <v>5000</v>
      </c>
      <c r="J396" s="75" t="s">
        <v>19</v>
      </c>
      <c r="K396" s="75" t="s">
        <v>54</v>
      </c>
      <c r="L396" s="134" t="str">
        <f>IF(AND('331-CT'!$E$7=TH!H396,OR(J396="331",K396="331")),"x","")</f>
        <v/>
      </c>
    </row>
    <row r="397" spans="1:12" s="109" customForma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7"/>
      <c r="H397" s="122"/>
      <c r="I397" s="74">
        <v>50000</v>
      </c>
      <c r="J397" s="75" t="s">
        <v>242</v>
      </c>
      <c r="K397" s="75" t="s">
        <v>54</v>
      </c>
      <c r="L397" s="134" t="str">
        <f>IF(AND('331-CT'!$E$7=TH!H397,OR(J397="331",K397="331")),"x","")</f>
        <v/>
      </c>
    </row>
    <row r="398" spans="1:12" s="109" customForma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7"/>
      <c r="H398" s="122"/>
      <c r="I398" s="74">
        <v>5000</v>
      </c>
      <c r="J398" s="75" t="s">
        <v>19</v>
      </c>
      <c r="K398" s="75" t="s">
        <v>54</v>
      </c>
      <c r="L398" s="134" t="str">
        <f>IF(AND('331-CT'!$E$7=TH!H398,OR(J398="331",K398="331")),"x","")</f>
        <v/>
      </c>
    </row>
    <row r="399" spans="1:12" s="109" customForma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2"/>
      <c r="H399" s="122"/>
      <c r="I399" s="74">
        <v>50000</v>
      </c>
      <c r="J399" s="75" t="s">
        <v>242</v>
      </c>
      <c r="K399" s="75" t="s">
        <v>54</v>
      </c>
      <c r="L399" s="134" t="str">
        <f>IF(AND('331-CT'!$E$7=TH!H399,OR(J399="331",K399="331")),"x","")</f>
        <v/>
      </c>
    </row>
    <row r="400" spans="1:12" s="109" customForma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2"/>
      <c r="H400" s="122"/>
      <c r="I400" s="74">
        <v>5000</v>
      </c>
      <c r="J400" s="75" t="s">
        <v>19</v>
      </c>
      <c r="K400" s="75" t="s">
        <v>54</v>
      </c>
      <c r="L400" s="134" t="str">
        <f>IF(AND('331-CT'!$E$7=TH!H400,OR(J400="331",K400="331")),"x","")</f>
        <v/>
      </c>
    </row>
    <row r="401" spans="1:12" s="109" customForma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2"/>
      <c r="H401" s="122"/>
      <c r="I401" s="74">
        <v>125079</v>
      </c>
      <c r="J401" s="75" t="s">
        <v>54</v>
      </c>
      <c r="K401" s="75" t="s">
        <v>99</v>
      </c>
      <c r="L401" s="134" t="str">
        <f>IF(AND('331-CT'!$E$7=TH!H401,OR(J401="331",K401="331")),"x","")</f>
        <v/>
      </c>
    </row>
    <row r="402" spans="1:12" s="109" customForma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576</v>
      </c>
      <c r="G402" s="272"/>
      <c r="H402" s="122" t="s">
        <v>272</v>
      </c>
      <c r="I402" s="74">
        <v>1000000</v>
      </c>
      <c r="J402" s="75" t="s">
        <v>54</v>
      </c>
      <c r="K402" s="75" t="s">
        <v>203</v>
      </c>
      <c r="L402" s="134" t="str">
        <f>IF(AND('331-CT'!$E$7=TH!H402,OR(J402="331",K402="331")),"x","")</f>
        <v/>
      </c>
    </row>
    <row r="403" spans="1:12" s="109" customForma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74">
        <v>500000</v>
      </c>
      <c r="J403" s="75" t="s">
        <v>242</v>
      </c>
      <c r="K403" s="75" t="s">
        <v>54</v>
      </c>
      <c r="L403" s="134" t="str">
        <f>IF(AND('331-CT'!$E$7=TH!H403,OR(J403="331",K403="331")),"x","")</f>
        <v/>
      </c>
    </row>
    <row r="404" spans="1:12" s="109" customForma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74">
        <v>50000</v>
      </c>
      <c r="J404" s="75" t="s">
        <v>19</v>
      </c>
      <c r="K404" s="75" t="s">
        <v>54</v>
      </c>
      <c r="L404" s="134" t="str">
        <f>IF(AND('331-CT'!$E$7=TH!H404,OR(J404="331",K404="331")),"x","")</f>
        <v/>
      </c>
    </row>
    <row r="405" spans="1:12" s="109" customForma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7"/>
      <c r="H405" s="122" t="s">
        <v>111</v>
      </c>
      <c r="I405" s="74">
        <v>500000000</v>
      </c>
      <c r="J405" s="78" t="s">
        <v>18</v>
      </c>
      <c r="K405" s="75" t="s">
        <v>54</v>
      </c>
      <c r="L405" s="134" t="str">
        <f>IF(AND('331-CT'!$E$7=TH!H405,OR(J405="331",K405="331")),"x","")</f>
        <v/>
      </c>
    </row>
    <row r="406" spans="1:12" s="109" customForma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7"/>
      <c r="H406" s="122"/>
      <c r="I406" s="74">
        <v>150000</v>
      </c>
      <c r="J406" s="75" t="s">
        <v>242</v>
      </c>
      <c r="K406" s="75" t="s">
        <v>54</v>
      </c>
      <c r="L406" s="134" t="str">
        <f>IF(AND('331-CT'!$E$7=TH!H406,OR(J406="331",K406="331")),"x","")</f>
        <v/>
      </c>
    </row>
    <row r="407" spans="1:12" s="109" customForma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7"/>
      <c r="H407" s="122"/>
      <c r="I407" s="74">
        <v>15000</v>
      </c>
      <c r="J407" s="75" t="s">
        <v>19</v>
      </c>
      <c r="K407" s="75" t="s">
        <v>54</v>
      </c>
      <c r="L407" s="134" t="str">
        <f>IF(AND('331-CT'!$E$7=TH!H407,OR(J407="331",K407="331")),"x","")</f>
        <v/>
      </c>
    </row>
    <row r="408" spans="1:12" s="109" customForma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577</v>
      </c>
      <c r="G408" s="267"/>
      <c r="H408" s="120" t="s">
        <v>267</v>
      </c>
      <c r="I408" s="74">
        <v>1500000</v>
      </c>
      <c r="J408" s="75" t="s">
        <v>39</v>
      </c>
      <c r="K408" s="75" t="s">
        <v>203</v>
      </c>
      <c r="L408" s="134" t="str">
        <f>IF(AND('331-CT'!$E$7=TH!H408,OR(J408="331",K408="331")),"x","")</f>
        <v/>
      </c>
    </row>
    <row r="409" spans="1:12" s="109" customForma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7"/>
      <c r="H409" s="120" t="s">
        <v>267</v>
      </c>
      <c r="I409" s="74">
        <v>1500000</v>
      </c>
      <c r="J409" s="75" t="s">
        <v>54</v>
      </c>
      <c r="K409" s="75" t="s">
        <v>39</v>
      </c>
      <c r="L409" s="134" t="str">
        <f>IF(AND('331-CT'!$E$7=TH!H409,OR(J409="331",K409="331")),"x","")</f>
        <v/>
      </c>
    </row>
    <row r="410" spans="1:12" s="109" customForma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7"/>
      <c r="H410" s="122"/>
      <c r="I410" s="74">
        <v>1500000</v>
      </c>
      <c r="J410" s="75" t="s">
        <v>242</v>
      </c>
      <c r="K410" s="75" t="s">
        <v>219</v>
      </c>
      <c r="L410" s="134" t="str">
        <f>IF(AND('331-CT'!$E$7=TH!H410,OR(J410="331",K410="331")),"x","")</f>
        <v/>
      </c>
    </row>
    <row r="411" spans="1:12" s="109" customForma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7"/>
      <c r="H411" s="122"/>
      <c r="I411" s="74">
        <v>1500000</v>
      </c>
      <c r="J411" s="75" t="s">
        <v>219</v>
      </c>
      <c r="K411" s="75" t="s">
        <v>54</v>
      </c>
      <c r="L411" s="134" t="str">
        <f>IF(AND('331-CT'!$E$7=TH!H411,OR(J411="331",K411="331")),"x","")</f>
        <v/>
      </c>
    </row>
    <row r="412" spans="1:12" s="109" customForma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7"/>
      <c r="H412" s="122"/>
      <c r="I412" s="74">
        <v>25000</v>
      </c>
      <c r="J412" s="75" t="s">
        <v>242</v>
      </c>
      <c r="K412" s="75" t="s">
        <v>54</v>
      </c>
      <c r="L412" s="134" t="str">
        <f>IF(AND('331-CT'!$E$7=TH!H412,OR(J412="331",K412="331")),"x","")</f>
        <v/>
      </c>
    </row>
    <row r="413" spans="1:12" s="109" customForma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7"/>
      <c r="H413" s="122"/>
      <c r="I413" s="74">
        <v>2500</v>
      </c>
      <c r="J413" s="75" t="s">
        <v>19</v>
      </c>
      <c r="K413" s="75" t="s">
        <v>54</v>
      </c>
      <c r="L413" s="134" t="str">
        <f>IF(AND('331-CT'!$E$7=TH!H413,OR(J413="331",K413="331")),"x","")</f>
        <v/>
      </c>
    </row>
    <row r="414" spans="1:12" s="109" customForma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576</v>
      </c>
      <c r="G414" s="267"/>
      <c r="H414" s="122" t="s">
        <v>272</v>
      </c>
      <c r="I414" s="74">
        <v>73000000</v>
      </c>
      <c r="J414" s="75" t="s">
        <v>54</v>
      </c>
      <c r="K414" s="75" t="s">
        <v>203</v>
      </c>
      <c r="L414" s="134" t="str">
        <f>IF(AND('331-CT'!$E$7=TH!H414,OR(J414="331",K414="331")),"x","")</f>
        <v/>
      </c>
    </row>
    <row r="415" spans="1:12" s="109" customForma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7"/>
      <c r="H415" s="122" t="s">
        <v>314</v>
      </c>
      <c r="I415" s="74">
        <v>8187032</v>
      </c>
      <c r="J415" s="75" t="s">
        <v>240</v>
      </c>
      <c r="K415" s="75" t="s">
        <v>54</v>
      </c>
      <c r="L415" s="134" t="str">
        <f>IF(AND('331-CT'!$E$7=TH!H415,OR(J415="331",K415="331")),"x","")</f>
        <v/>
      </c>
    </row>
    <row r="416" spans="1:12" s="109" customForma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7"/>
      <c r="H416" s="122" t="s">
        <v>315</v>
      </c>
      <c r="I416" s="74">
        <v>16374064</v>
      </c>
      <c r="J416" s="75" t="s">
        <v>240</v>
      </c>
      <c r="K416" s="75" t="s">
        <v>54</v>
      </c>
      <c r="L416" s="134" t="str">
        <f>IF(AND('331-CT'!$E$7=TH!H416,OR(J416="331",K416="331")),"x","")</f>
        <v/>
      </c>
    </row>
    <row r="417" spans="1:12" s="109" customForma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7"/>
      <c r="H417" s="122" t="s">
        <v>317</v>
      </c>
      <c r="I417" s="74">
        <v>13099251</v>
      </c>
      <c r="J417" s="75" t="s">
        <v>240</v>
      </c>
      <c r="K417" s="75" t="s">
        <v>54</v>
      </c>
      <c r="L417" s="134" t="str">
        <f>IF(AND('331-CT'!$E$7=TH!H417,OR(J417="331",K417="331")),"x","")</f>
        <v/>
      </c>
    </row>
    <row r="418" spans="1:12" s="109" customForma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7"/>
      <c r="H418" s="122" t="s">
        <v>316</v>
      </c>
      <c r="I418" s="74">
        <v>24310897</v>
      </c>
      <c r="J418" s="75" t="s">
        <v>240</v>
      </c>
      <c r="K418" s="75" t="s">
        <v>54</v>
      </c>
      <c r="L418" s="134" t="str">
        <f>IF(AND('331-CT'!$E$7=TH!H418,OR(J418="331",K418="331")),"x","")</f>
        <v/>
      </c>
    </row>
    <row r="419" spans="1:12" s="109" customForma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7"/>
      <c r="H419" s="122" t="s">
        <v>318</v>
      </c>
      <c r="I419" s="74">
        <v>10299815</v>
      </c>
      <c r="J419" s="75" t="s">
        <v>240</v>
      </c>
      <c r="K419" s="75" t="s">
        <v>54</v>
      </c>
      <c r="L419" s="134" t="str">
        <f>IF(AND('331-CT'!$E$7=TH!H419,OR(J419="331",K419="331")),"x","")</f>
        <v/>
      </c>
    </row>
    <row r="420" spans="1:12" s="109" customForma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7"/>
      <c r="H420" s="122"/>
      <c r="I420" s="74">
        <v>58551</v>
      </c>
      <c r="J420" s="75" t="s">
        <v>54</v>
      </c>
      <c r="K420" s="75" t="s">
        <v>99</v>
      </c>
      <c r="L420" s="134" t="str">
        <f>IF(AND('331-CT'!$E$7=TH!H420,OR(J420="331",K420="331")),"x","")</f>
        <v/>
      </c>
    </row>
    <row r="421" spans="1:12" s="109" customForma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7"/>
      <c r="H421" s="122" t="s">
        <v>319</v>
      </c>
      <c r="I421" s="74">
        <v>1500000000</v>
      </c>
      <c r="J421" s="75" t="s">
        <v>54</v>
      </c>
      <c r="K421" s="75" t="s">
        <v>227</v>
      </c>
      <c r="L421" s="134" t="str">
        <f>IF(AND('331-CT'!$E$7=TH!H421,OR(J421="331",K421="331")),"x","")</f>
        <v/>
      </c>
    </row>
    <row r="422" spans="1:12" s="109" customForma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7"/>
      <c r="H422" s="122" t="s">
        <v>138</v>
      </c>
      <c r="I422" s="74">
        <v>600000000</v>
      </c>
      <c r="J422" s="75" t="s">
        <v>18</v>
      </c>
      <c r="K422" s="75" t="s">
        <v>54</v>
      </c>
      <c r="L422" s="134" t="str">
        <f>IF(AND('331-CT'!$E$7=TH!H422,OR(J422="331",K422="331")),"x","")</f>
        <v/>
      </c>
    </row>
    <row r="423" spans="1:12" s="109" customForma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7"/>
      <c r="H423" s="122"/>
      <c r="I423" s="74">
        <v>180000</v>
      </c>
      <c r="J423" s="75" t="s">
        <v>242</v>
      </c>
      <c r="K423" s="75" t="s">
        <v>54</v>
      </c>
      <c r="L423" s="134" t="str">
        <f>IF(AND('331-CT'!$E$7=TH!H423,OR(J423="331",K423="331")),"x","")</f>
        <v/>
      </c>
    </row>
    <row r="424" spans="1:12" s="109" customForma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7"/>
      <c r="H424" s="122"/>
      <c r="I424" s="74">
        <v>18000</v>
      </c>
      <c r="J424" s="75" t="s">
        <v>19</v>
      </c>
      <c r="K424" s="75" t="s">
        <v>54</v>
      </c>
      <c r="L424" s="134" t="str">
        <f>IF(AND('331-CT'!$E$7=TH!H424,OR(J424="331",K424="331")),"x","")</f>
        <v/>
      </c>
    </row>
    <row r="425" spans="1:12" s="109" customForma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7"/>
      <c r="H425" s="122" t="s">
        <v>109</v>
      </c>
      <c r="I425" s="74">
        <v>50000000</v>
      </c>
      <c r="J425" s="78" t="s">
        <v>18</v>
      </c>
      <c r="K425" s="75" t="s">
        <v>54</v>
      </c>
      <c r="L425" s="134" t="str">
        <f>IF(AND('331-CT'!$E$7=TH!H425,OR(J425="331",K425="331")),"x","")</f>
        <v/>
      </c>
    </row>
    <row r="426" spans="1:12" s="109" customForma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7"/>
      <c r="H426" s="122"/>
      <c r="I426" s="74">
        <v>20000</v>
      </c>
      <c r="J426" s="75" t="s">
        <v>242</v>
      </c>
      <c r="K426" s="75" t="s">
        <v>54</v>
      </c>
      <c r="L426" s="134" t="str">
        <f>IF(AND('331-CT'!$E$7=TH!H426,OR(J426="331",K426="331")),"x","")</f>
        <v/>
      </c>
    </row>
    <row r="427" spans="1:12" s="109" customForma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7"/>
      <c r="H427" s="122"/>
      <c r="I427" s="74">
        <v>2000</v>
      </c>
      <c r="J427" s="75" t="s">
        <v>19</v>
      </c>
      <c r="K427" s="75" t="s">
        <v>54</v>
      </c>
      <c r="L427" s="134" t="str">
        <f>IF(AND('331-CT'!$E$7=TH!H427,OR(J427="331",K427="331")),"x","")</f>
        <v/>
      </c>
    </row>
    <row r="428" spans="1:12" s="109" customForma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7"/>
      <c r="H428" s="122" t="s">
        <v>85</v>
      </c>
      <c r="I428" s="74">
        <v>700000000</v>
      </c>
      <c r="J428" s="78" t="s">
        <v>18</v>
      </c>
      <c r="K428" s="75" t="s">
        <v>54</v>
      </c>
      <c r="L428" s="134" t="str">
        <f>IF(AND('331-CT'!$E$7=TH!H428,OR(J428="331",K428="331")),"x","")</f>
        <v/>
      </c>
    </row>
    <row r="429" spans="1:12" s="109" customForma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7"/>
      <c r="H429" s="122"/>
      <c r="I429" s="74">
        <v>350000</v>
      </c>
      <c r="J429" s="75" t="s">
        <v>242</v>
      </c>
      <c r="K429" s="75" t="s">
        <v>54</v>
      </c>
      <c r="L429" s="134" t="str">
        <f>IF(AND('331-CT'!$E$7=TH!H429,OR(J429="331",K429="331")),"x","")</f>
        <v/>
      </c>
    </row>
    <row r="430" spans="1:12" s="109" customForma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7"/>
      <c r="H430" s="122"/>
      <c r="I430" s="74">
        <v>35000</v>
      </c>
      <c r="J430" s="75" t="s">
        <v>19</v>
      </c>
      <c r="K430" s="75" t="s">
        <v>54</v>
      </c>
      <c r="L430" s="134" t="str">
        <f>IF(AND('331-CT'!$E$7=TH!H430,OR(J430="331",K430="331")),"x","")</f>
        <v/>
      </c>
    </row>
    <row r="431" spans="1:12" s="109" customForma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7"/>
      <c r="H431" s="122"/>
      <c r="I431" s="74">
        <v>45256</v>
      </c>
      <c r="J431" s="75" t="s">
        <v>54</v>
      </c>
      <c r="K431" s="75" t="s">
        <v>99</v>
      </c>
      <c r="L431" s="134" t="str">
        <f>IF(AND('331-CT'!$E$7=TH!H431,OR(J431="331",K431="331")),"x","")</f>
        <v/>
      </c>
    </row>
    <row r="432" spans="1:12" s="109" customForma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577</v>
      </c>
      <c r="G432" s="267"/>
      <c r="H432" s="120" t="s">
        <v>267</v>
      </c>
      <c r="I432" s="74">
        <v>60000000</v>
      </c>
      <c r="J432" s="75" t="s">
        <v>39</v>
      </c>
      <c r="K432" s="75" t="s">
        <v>203</v>
      </c>
      <c r="L432" s="134" t="str">
        <f>IF(AND('331-CT'!$E$7=TH!H432,OR(J432="331",K432="331")),"x","")</f>
        <v/>
      </c>
    </row>
    <row r="433" spans="1:12" s="109" customForma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7"/>
      <c r="H433" s="120" t="s">
        <v>267</v>
      </c>
      <c r="I433" s="74">
        <v>60000000</v>
      </c>
      <c r="J433" s="75" t="s">
        <v>54</v>
      </c>
      <c r="K433" s="75" t="s">
        <v>39</v>
      </c>
      <c r="L433" s="134" t="str">
        <f>IF(AND('331-CT'!$E$7=TH!H433,OR(J433="331",K433="331")),"x","")</f>
        <v/>
      </c>
    </row>
    <row r="434" spans="1:12" s="109" customForma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7"/>
      <c r="H434" s="122" t="s">
        <v>314</v>
      </c>
      <c r="I434" s="74">
        <v>8190270</v>
      </c>
      <c r="J434" s="75" t="s">
        <v>240</v>
      </c>
      <c r="K434" s="75" t="s">
        <v>54</v>
      </c>
      <c r="L434" s="134" t="str">
        <f>IF(AND('331-CT'!$E$7=TH!H434,OR(J434="331",K434="331")),"x","")</f>
        <v/>
      </c>
    </row>
    <row r="435" spans="1:12" s="109" customForma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7"/>
      <c r="H435" s="122" t="s">
        <v>315</v>
      </c>
      <c r="I435" s="74">
        <v>16380540</v>
      </c>
      <c r="J435" s="75" t="s">
        <v>240</v>
      </c>
      <c r="K435" s="75" t="s">
        <v>54</v>
      </c>
      <c r="L435" s="134" t="str">
        <f>IF(AND('331-CT'!$E$7=TH!H435,OR(J435="331",K435="331")),"x","")</f>
        <v/>
      </c>
    </row>
    <row r="436" spans="1:12" s="109" customForma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7"/>
      <c r="H436" s="122" t="s">
        <v>317</v>
      </c>
      <c r="I436" s="74">
        <v>13104432</v>
      </c>
      <c r="J436" s="75" t="s">
        <v>240</v>
      </c>
      <c r="K436" s="75" t="s">
        <v>54</v>
      </c>
      <c r="L436" s="134" t="str">
        <f>IF(AND('331-CT'!$E$7=TH!H436,OR(J436="331",K436="331")),"x","")</f>
        <v/>
      </c>
    </row>
    <row r="437" spans="1:12" s="109" customForma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7"/>
      <c r="H437" s="122" t="s">
        <v>316</v>
      </c>
      <c r="I437" s="74">
        <v>12285405</v>
      </c>
      <c r="J437" s="75" t="s">
        <v>240</v>
      </c>
      <c r="K437" s="75" t="s">
        <v>54</v>
      </c>
      <c r="L437" s="134" t="str">
        <f>IF(AND('331-CT'!$E$7=TH!H437,OR(J437="331",K437="331")),"x","")</f>
        <v/>
      </c>
    </row>
    <row r="438" spans="1:12" s="109" customForma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7"/>
      <c r="H438" s="122" t="s">
        <v>318</v>
      </c>
      <c r="I438" s="74">
        <v>8190270</v>
      </c>
      <c r="J438" s="75" t="s">
        <v>240</v>
      </c>
      <c r="K438" s="75" t="s">
        <v>54</v>
      </c>
      <c r="L438" s="134" t="str">
        <f>IF(AND('331-CT'!$E$7=TH!H438,OR(J438="331",K438="331")),"x","")</f>
        <v/>
      </c>
    </row>
    <row r="439" spans="1:12" s="109" customForma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577</v>
      </c>
      <c r="G439" s="267"/>
      <c r="H439" s="120" t="s">
        <v>267</v>
      </c>
      <c r="I439" s="74">
        <v>72000000</v>
      </c>
      <c r="J439" s="75" t="s">
        <v>39</v>
      </c>
      <c r="K439" s="75" t="s">
        <v>203</v>
      </c>
      <c r="L439" s="134" t="str">
        <f>IF(AND('331-CT'!$E$7=TH!H439,OR(J439="331",K439="331")),"x","")</f>
        <v/>
      </c>
    </row>
    <row r="440" spans="1:12" s="109" customForma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7"/>
      <c r="H440" s="120" t="s">
        <v>267</v>
      </c>
      <c r="I440" s="74">
        <v>72000000</v>
      </c>
      <c r="J440" s="75" t="s">
        <v>54</v>
      </c>
      <c r="K440" s="75" t="s">
        <v>39</v>
      </c>
      <c r="L440" s="134" t="str">
        <f>IF(AND('331-CT'!$E$7=TH!H440,OR(J440="331",K440="331")),"x","")</f>
        <v/>
      </c>
    </row>
    <row r="441" spans="1:12" s="109" customForma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7"/>
      <c r="H441" s="122" t="s">
        <v>314</v>
      </c>
      <c r="I441" s="74">
        <v>7400588</v>
      </c>
      <c r="J441" s="75" t="s">
        <v>240</v>
      </c>
      <c r="K441" s="75" t="s">
        <v>54</v>
      </c>
      <c r="L441" s="134" t="str">
        <f>IF(AND('331-CT'!$E$7=TH!H441,OR(J441="331",K441="331")),"x","")</f>
        <v/>
      </c>
    </row>
    <row r="442" spans="1:12" s="109" customForma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7"/>
      <c r="H442" s="122" t="s">
        <v>315</v>
      </c>
      <c r="I442" s="74">
        <v>14801176</v>
      </c>
      <c r="J442" s="75" t="s">
        <v>240</v>
      </c>
      <c r="K442" s="75" t="s">
        <v>54</v>
      </c>
      <c r="L442" s="134" t="str">
        <f>IF(AND('331-CT'!$E$7=TH!H442,OR(J442="331",K442="331")),"x","")</f>
        <v/>
      </c>
    </row>
    <row r="443" spans="1:12" s="109" customForma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7"/>
      <c r="H443" s="122" t="s">
        <v>317</v>
      </c>
      <c r="I443" s="74">
        <v>11840941</v>
      </c>
      <c r="J443" s="75" t="s">
        <v>240</v>
      </c>
      <c r="K443" s="75" t="s">
        <v>54</v>
      </c>
      <c r="L443" s="134" t="str">
        <f>IF(AND('331-CT'!$E$7=TH!H443,OR(J443="331",K443="331")),"x","")</f>
        <v/>
      </c>
    </row>
    <row r="444" spans="1:12" s="109" customForma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7"/>
      <c r="H444" s="122" t="s">
        <v>316</v>
      </c>
      <c r="I444" s="74">
        <v>11100882</v>
      </c>
      <c r="J444" s="75" t="s">
        <v>240</v>
      </c>
      <c r="K444" s="75" t="s">
        <v>54</v>
      </c>
      <c r="L444" s="134" t="str">
        <f>IF(AND('331-CT'!$E$7=TH!H444,OR(J444="331",K444="331")),"x","")</f>
        <v/>
      </c>
    </row>
    <row r="445" spans="1:12" s="109" customForma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7"/>
      <c r="H445" s="122" t="s">
        <v>318</v>
      </c>
      <c r="I445" s="74">
        <v>7400588</v>
      </c>
      <c r="J445" s="75" t="s">
        <v>240</v>
      </c>
      <c r="K445" s="75" t="s">
        <v>54</v>
      </c>
      <c r="L445" s="134" t="str">
        <f>IF(AND('331-CT'!$E$7=TH!H445,OR(J445="331",K445="331")),"x","")</f>
        <v/>
      </c>
    </row>
    <row r="446" spans="1:12" s="109" customForma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7"/>
      <c r="H446" s="122" t="s">
        <v>319</v>
      </c>
      <c r="I446" s="74">
        <v>19426543</v>
      </c>
      <c r="J446" s="75" t="s">
        <v>240</v>
      </c>
      <c r="K446" s="75" t="s">
        <v>54</v>
      </c>
      <c r="L446" s="134" t="str">
        <f>IF(AND('331-CT'!$E$7=TH!H446,OR(J446="331",K446="331")),"x","")</f>
        <v/>
      </c>
    </row>
    <row r="447" spans="1:12" s="109" customForma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7"/>
      <c r="H447" s="122"/>
      <c r="I447" s="74">
        <v>50000</v>
      </c>
      <c r="J447" s="75" t="s">
        <v>242</v>
      </c>
      <c r="K447" s="75" t="s">
        <v>54</v>
      </c>
      <c r="L447" s="134" t="str">
        <f>IF(AND('331-CT'!$E$7=TH!H447,OR(J447="331",K447="331")),"x","")</f>
        <v/>
      </c>
    </row>
    <row r="448" spans="1:12" s="109" customForma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7"/>
      <c r="H448" s="122"/>
      <c r="I448" s="74">
        <v>5000</v>
      </c>
      <c r="J448" s="75" t="s">
        <v>19</v>
      </c>
      <c r="K448" s="75" t="s">
        <v>54</v>
      </c>
      <c r="L448" s="134" t="str">
        <f>IF(AND('331-CT'!$E$7=TH!H448,OR(J448="331",K448="331")),"x","")</f>
        <v/>
      </c>
    </row>
    <row r="449" spans="1:12" s="109" customForma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7"/>
      <c r="H449" s="122"/>
      <c r="I449" s="74">
        <v>50000</v>
      </c>
      <c r="J449" s="75" t="s">
        <v>242</v>
      </c>
      <c r="K449" s="75" t="s">
        <v>54</v>
      </c>
      <c r="L449" s="134" t="str">
        <f>IF(AND('331-CT'!$E$7=TH!H449,OR(J449="331",K449="331")),"x","")</f>
        <v/>
      </c>
    </row>
    <row r="450" spans="1:12" s="109" customForma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7"/>
      <c r="H450" s="122"/>
      <c r="I450" s="74">
        <v>5000</v>
      </c>
      <c r="J450" s="75" t="s">
        <v>19</v>
      </c>
      <c r="K450" s="75" t="s">
        <v>54</v>
      </c>
      <c r="L450" s="134" t="str">
        <f>IF(AND('331-CT'!$E$7=TH!H450,OR(J450="331",K450="331")),"x","")</f>
        <v/>
      </c>
    </row>
    <row r="451" spans="1:12" s="109" customForma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7"/>
      <c r="H451" s="122"/>
      <c r="I451" s="74">
        <v>35634</v>
      </c>
      <c r="J451" s="75" t="s">
        <v>54</v>
      </c>
      <c r="K451" s="75" t="s">
        <v>99</v>
      </c>
      <c r="L451" s="134" t="str">
        <f>IF(AND('331-CT'!$E$7=TH!H451,OR(J451="331",K451="331")),"x","")</f>
        <v/>
      </c>
    </row>
    <row r="452" spans="1:12" s="109" customForma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7"/>
      <c r="H452" s="122" t="s">
        <v>320</v>
      </c>
      <c r="I452" s="74">
        <v>2000000000</v>
      </c>
      <c r="J452" s="75" t="s">
        <v>54</v>
      </c>
      <c r="K452" s="75" t="s">
        <v>227</v>
      </c>
      <c r="L452" s="134" t="str">
        <f>IF(AND('331-CT'!$E$7=TH!H452,OR(J452="331",K452="331")),"x","")</f>
        <v/>
      </c>
    </row>
    <row r="453" spans="1:12" s="109" customForma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7"/>
      <c r="H453" s="122" t="s">
        <v>138</v>
      </c>
      <c r="I453" s="74">
        <v>600000000</v>
      </c>
      <c r="J453" s="77" t="s">
        <v>18</v>
      </c>
      <c r="K453" s="75" t="s">
        <v>54</v>
      </c>
      <c r="L453" s="134" t="str">
        <f>IF(AND('331-CT'!$E$7=TH!H453,OR(J453="331",K453="331")),"x","")</f>
        <v/>
      </c>
    </row>
    <row r="454" spans="1:12" s="109" customForma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7"/>
      <c r="H454" s="122"/>
      <c r="I454" s="74">
        <v>180000</v>
      </c>
      <c r="J454" s="75" t="s">
        <v>242</v>
      </c>
      <c r="K454" s="75" t="s">
        <v>54</v>
      </c>
      <c r="L454" s="134" t="str">
        <f>IF(AND('331-CT'!$E$7=TH!H454,OR(J454="331",K454="331")),"x","")</f>
        <v/>
      </c>
    </row>
    <row r="455" spans="1:12" s="109" customForma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7"/>
      <c r="H455" s="122"/>
      <c r="I455" s="74">
        <v>18000</v>
      </c>
      <c r="J455" s="75" t="s">
        <v>19</v>
      </c>
      <c r="K455" s="75" t="s">
        <v>54</v>
      </c>
      <c r="L455" s="134" t="str">
        <f>IF(AND('331-CT'!$E$7=TH!H455,OR(J455="331",K455="331")),"x","")</f>
        <v/>
      </c>
    </row>
    <row r="456" spans="1:12" s="109" customForma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7"/>
      <c r="H456" s="122" t="s">
        <v>150</v>
      </c>
      <c r="I456" s="74">
        <v>360000000</v>
      </c>
      <c r="J456" s="77" t="s">
        <v>18</v>
      </c>
      <c r="K456" s="75" t="s">
        <v>54</v>
      </c>
      <c r="L456" s="134" t="str">
        <f>IF(AND('331-CT'!$E$7=TH!H456,OR(J456="331",K456="331")),"x","")</f>
        <v/>
      </c>
    </row>
    <row r="457" spans="1:12" s="109" customForma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7"/>
      <c r="H457" s="122" t="s">
        <v>111</v>
      </c>
      <c r="I457" s="74">
        <v>251000000</v>
      </c>
      <c r="J457" s="77" t="s">
        <v>18</v>
      </c>
      <c r="K457" s="75" t="s">
        <v>54</v>
      </c>
      <c r="L457" s="134" t="str">
        <f>IF(AND('331-CT'!$E$7=TH!H457,OR(J457="331",K457="331")),"x","")</f>
        <v/>
      </c>
    </row>
    <row r="458" spans="1:12" s="109" customForma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7"/>
      <c r="H458" s="122"/>
      <c r="I458" s="74">
        <v>75300</v>
      </c>
      <c r="J458" s="75" t="s">
        <v>242</v>
      </c>
      <c r="K458" s="75" t="s">
        <v>54</v>
      </c>
      <c r="L458" s="134" t="str">
        <f>IF(AND('331-CT'!$E$7=TH!H458,OR(J458="331",K458="331")),"x","")</f>
        <v/>
      </c>
    </row>
    <row r="459" spans="1:12" s="109" customForma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7"/>
      <c r="H459" s="122"/>
      <c r="I459" s="74">
        <v>7530</v>
      </c>
      <c r="J459" s="75" t="s">
        <v>19</v>
      </c>
      <c r="K459" s="75" t="s">
        <v>54</v>
      </c>
      <c r="L459" s="134" t="str">
        <f>IF(AND('331-CT'!$E$7=TH!H459,OR(J459="331",K459="331")),"x","")</f>
        <v/>
      </c>
    </row>
    <row r="460" spans="1:12" s="109" customForma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2" t="s">
        <v>524</v>
      </c>
      <c r="H460" s="122" t="s">
        <v>525</v>
      </c>
      <c r="I460" s="74">
        <v>17290000</v>
      </c>
      <c r="J460" s="75" t="s">
        <v>655</v>
      </c>
      <c r="K460" s="75" t="s">
        <v>203</v>
      </c>
      <c r="L460" s="134" t="str">
        <f>IF(AND('331-CT'!$E$7=TH!H460,OR(J460="331",K460="331")),"x","")</f>
        <v/>
      </c>
    </row>
    <row r="461" spans="1:12" s="109" customForma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2" t="s">
        <v>524</v>
      </c>
      <c r="H461" s="122" t="s">
        <v>525</v>
      </c>
      <c r="I461" s="74">
        <v>1729000</v>
      </c>
      <c r="J461" s="75" t="s">
        <v>19</v>
      </c>
      <c r="K461" s="75" t="s">
        <v>203</v>
      </c>
      <c r="L461" s="134" t="str">
        <f>IF(AND('331-CT'!$E$7=TH!H461,OR(J461="331",K461="331")),"x","")</f>
        <v/>
      </c>
    </row>
    <row r="462" spans="1:12" s="109" customForma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7"/>
      <c r="H462" s="122" t="s">
        <v>85</v>
      </c>
      <c r="I462" s="74">
        <v>500000000</v>
      </c>
      <c r="J462" s="77" t="s">
        <v>18</v>
      </c>
      <c r="K462" s="75" t="s">
        <v>54</v>
      </c>
      <c r="L462" s="134" t="str">
        <f>IF(AND('331-CT'!$E$7=TH!H462,OR(J462="331",K462="331")),"x","")</f>
        <v/>
      </c>
    </row>
    <row r="463" spans="1:12" s="109" customForma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7"/>
      <c r="H463" s="122"/>
      <c r="I463" s="74">
        <v>250000</v>
      </c>
      <c r="J463" s="75" t="s">
        <v>242</v>
      </c>
      <c r="K463" s="75" t="s">
        <v>54</v>
      </c>
      <c r="L463" s="134" t="str">
        <f>IF(AND('331-CT'!$E$7=TH!H463,OR(J463="331",K463="331")),"x","")</f>
        <v/>
      </c>
    </row>
    <row r="464" spans="1:12" s="109" customForma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7"/>
      <c r="H464" s="122"/>
      <c r="I464" s="74">
        <v>25000</v>
      </c>
      <c r="J464" s="75" t="s">
        <v>19</v>
      </c>
      <c r="K464" s="75" t="s">
        <v>54</v>
      </c>
      <c r="L464" s="134" t="str">
        <f>IF(AND('331-CT'!$E$7=TH!H464,OR(J464="331",K464="331")),"x","")</f>
        <v/>
      </c>
    </row>
    <row r="465" spans="1:12" s="109" customForma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2" t="s">
        <v>526</v>
      </c>
      <c r="H465" s="122" t="s">
        <v>525</v>
      </c>
      <c r="I465" s="74">
        <v>8170000</v>
      </c>
      <c r="J465" s="75" t="s">
        <v>655</v>
      </c>
      <c r="K465" s="75" t="s">
        <v>203</v>
      </c>
      <c r="L465" s="134" t="str">
        <f>IF(AND('331-CT'!$E$7=TH!H465,OR(J465="331",K465="331")),"x","")</f>
        <v/>
      </c>
    </row>
    <row r="466" spans="1:12" s="109" customForma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2" t="s">
        <v>526</v>
      </c>
      <c r="H466" s="122" t="s">
        <v>525</v>
      </c>
      <c r="I466" s="74">
        <v>817000</v>
      </c>
      <c r="J466" s="75" t="s">
        <v>19</v>
      </c>
      <c r="K466" s="75" t="s">
        <v>203</v>
      </c>
      <c r="L466" s="134" t="str">
        <f>IF(AND('331-CT'!$E$7=TH!H466,OR(J466="331",K466="331")),"x","")</f>
        <v/>
      </c>
    </row>
    <row r="467" spans="1:12" s="109" customForma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2" t="s">
        <v>527</v>
      </c>
      <c r="H467" s="122" t="s">
        <v>529</v>
      </c>
      <c r="I467" s="74">
        <v>17726430</v>
      </c>
      <c r="J467" s="75" t="s">
        <v>655</v>
      </c>
      <c r="K467" s="75" t="s">
        <v>203</v>
      </c>
      <c r="L467" s="134" t="str">
        <f>IF(AND('331-CT'!$E$7=TH!H467,OR(J467="331",K467="331")),"x","")</f>
        <v/>
      </c>
    </row>
    <row r="468" spans="1:12" s="109" customForma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2" t="s">
        <v>527</v>
      </c>
      <c r="H468" s="122" t="s">
        <v>529</v>
      </c>
      <c r="I468" s="74">
        <v>1772643</v>
      </c>
      <c r="J468" s="75" t="s">
        <v>19</v>
      </c>
      <c r="K468" s="75" t="s">
        <v>203</v>
      </c>
      <c r="L468" s="134" t="str">
        <f>IF(AND('331-CT'!$E$7=TH!H468,OR(J468="331",K468="331")),"x","")</f>
        <v/>
      </c>
    </row>
    <row r="469" spans="1:12" s="109" customForma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7"/>
      <c r="H469" s="122" t="s">
        <v>151</v>
      </c>
      <c r="I469" s="74">
        <v>195195000</v>
      </c>
      <c r="J469" s="77" t="s">
        <v>18</v>
      </c>
      <c r="K469" s="75" t="s">
        <v>54</v>
      </c>
      <c r="L469" s="134" t="str">
        <f>IF(AND('331-CT'!$E$7=TH!H469,OR(J469="331",K469="331")),"x","")</f>
        <v/>
      </c>
    </row>
    <row r="470" spans="1:12" s="109" customForma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7"/>
      <c r="H470" s="122"/>
      <c r="I470" s="74">
        <v>58559</v>
      </c>
      <c r="J470" s="75" t="s">
        <v>242</v>
      </c>
      <c r="K470" s="75" t="s">
        <v>54</v>
      </c>
      <c r="L470" s="134" t="str">
        <f>IF(AND('331-CT'!$E$7=TH!H470,OR(J470="331",K470="331")),"x","")</f>
        <v/>
      </c>
    </row>
    <row r="471" spans="1:12" s="109" customForma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7"/>
      <c r="H471" s="122"/>
      <c r="I471" s="74">
        <v>5856</v>
      </c>
      <c r="J471" s="75" t="s">
        <v>19</v>
      </c>
      <c r="K471" s="75" t="s">
        <v>54</v>
      </c>
      <c r="L471" s="134" t="str">
        <f>IF(AND('331-CT'!$E$7=TH!H471,OR(J471="331",K471="331")),"x","")</f>
        <v/>
      </c>
    </row>
    <row r="472" spans="1:12" s="109" customForma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2" t="s">
        <v>528</v>
      </c>
      <c r="H472" s="122" t="s">
        <v>529</v>
      </c>
      <c r="I472" s="74">
        <v>17424628</v>
      </c>
      <c r="J472" s="75" t="s">
        <v>655</v>
      </c>
      <c r="K472" s="75" t="s">
        <v>203</v>
      </c>
      <c r="L472" s="134" t="str">
        <f>IF(AND('331-CT'!$E$7=TH!H472,OR(J472="331",K472="331")),"x","")</f>
        <v/>
      </c>
    </row>
    <row r="473" spans="1:12" s="109" customForma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2" t="s">
        <v>528</v>
      </c>
      <c r="H473" s="122" t="s">
        <v>529</v>
      </c>
      <c r="I473" s="74">
        <v>1742463</v>
      </c>
      <c r="J473" s="75" t="s">
        <v>19</v>
      </c>
      <c r="K473" s="75" t="s">
        <v>203</v>
      </c>
      <c r="L473" s="134" t="str">
        <f>IF(AND('331-CT'!$E$7=TH!H473,OR(J473="331",K473="331")),"x","")</f>
        <v/>
      </c>
    </row>
    <row r="474" spans="1:12" s="109" customForma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7"/>
      <c r="H474" s="122" t="s">
        <v>314</v>
      </c>
      <c r="I474" s="74">
        <v>8180556</v>
      </c>
      <c r="J474" s="75" t="s">
        <v>240</v>
      </c>
      <c r="K474" s="75" t="s">
        <v>54</v>
      </c>
      <c r="L474" s="134" t="str">
        <f>IF(AND('331-CT'!$E$7=TH!H474,OR(J474="331",K474="331")),"x","")</f>
        <v/>
      </c>
    </row>
    <row r="475" spans="1:12" s="135" customForma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7"/>
      <c r="H475" s="122" t="s">
        <v>315</v>
      </c>
      <c r="I475" s="74">
        <v>16361111</v>
      </c>
      <c r="J475" s="75" t="s">
        <v>240</v>
      </c>
      <c r="K475" s="75" t="s">
        <v>54</v>
      </c>
      <c r="L475" s="134" t="str">
        <f>IF(AND('331-CT'!$E$7=TH!H475,OR(J475="331",K475="331")),"x","")</f>
        <v/>
      </c>
    </row>
    <row r="476" spans="1:12" s="135" customForma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7"/>
      <c r="H476" s="122" t="s">
        <v>317</v>
      </c>
      <c r="I476" s="74">
        <v>13088889</v>
      </c>
      <c r="J476" s="75" t="s">
        <v>240</v>
      </c>
      <c r="K476" s="75" t="s">
        <v>54</v>
      </c>
      <c r="L476" s="134" t="str">
        <f>IF(AND('331-CT'!$E$7=TH!H476,OR(J476="331",K476="331")),"x","")</f>
        <v/>
      </c>
    </row>
    <row r="477" spans="1:12" s="109" customForma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7"/>
      <c r="H477" s="122" t="s">
        <v>316</v>
      </c>
      <c r="I477" s="74">
        <v>12270833</v>
      </c>
      <c r="J477" s="75" t="s">
        <v>240</v>
      </c>
      <c r="K477" s="75" t="s">
        <v>54</v>
      </c>
      <c r="L477" s="134" t="str">
        <f>IF(AND('331-CT'!$E$7=TH!H477,OR(J477="331",K477="331")),"x","")</f>
        <v/>
      </c>
    </row>
    <row r="478" spans="1:12" s="109" customForma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7"/>
      <c r="H478" s="122" t="s">
        <v>318</v>
      </c>
      <c r="I478" s="74">
        <v>8180556</v>
      </c>
      <c r="J478" s="75" t="s">
        <v>240</v>
      </c>
      <c r="K478" s="75" t="s">
        <v>54</v>
      </c>
      <c r="L478" s="134" t="str">
        <f>IF(AND('331-CT'!$E$7=TH!H478,OR(J478="331",K478="331")),"x","")</f>
        <v/>
      </c>
    </row>
    <row r="479" spans="1:12" s="109" customForma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7"/>
      <c r="H479" s="122" t="s">
        <v>319</v>
      </c>
      <c r="I479" s="74">
        <v>12270833</v>
      </c>
      <c r="J479" s="75" t="s">
        <v>240</v>
      </c>
      <c r="K479" s="75" t="s">
        <v>54</v>
      </c>
      <c r="L479" s="134" t="str">
        <f>IF(AND('331-CT'!$E$7=TH!H479,OR(J479="331",K479="331")),"x","")</f>
        <v/>
      </c>
    </row>
    <row r="480" spans="1:12" s="109" customForma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576</v>
      </c>
      <c r="G480" s="267"/>
      <c r="H480" s="122" t="s">
        <v>272</v>
      </c>
      <c r="I480" s="74">
        <v>71000000</v>
      </c>
      <c r="J480" s="78" t="s">
        <v>54</v>
      </c>
      <c r="K480" s="75" t="s">
        <v>203</v>
      </c>
      <c r="L480" s="134" t="str">
        <f>IF(AND('331-CT'!$E$7=TH!H480,OR(J480="331",K480="331")),"x","")</f>
        <v/>
      </c>
    </row>
    <row r="481" spans="1:12" s="109" customForma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7"/>
      <c r="H481" s="122" t="s">
        <v>321</v>
      </c>
      <c r="I481" s="74">
        <v>1400000000</v>
      </c>
      <c r="J481" s="75" t="s">
        <v>54</v>
      </c>
      <c r="K481" s="75" t="s">
        <v>227</v>
      </c>
      <c r="L481" s="134" t="str">
        <f>IF(AND('331-CT'!$E$7=TH!H481,OR(J481="331",K481="331")),"x","")</f>
        <v/>
      </c>
    </row>
    <row r="482" spans="1:12" s="109" customForma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277</v>
      </c>
      <c r="G482" s="273" t="s">
        <v>530</v>
      </c>
      <c r="H482" s="132" t="s">
        <v>188</v>
      </c>
      <c r="I482" s="133">
        <v>3714800</v>
      </c>
      <c r="J482" s="134" t="s">
        <v>242</v>
      </c>
      <c r="K482" s="134" t="s">
        <v>203</v>
      </c>
      <c r="L482" s="134" t="str">
        <f>IF(AND('331-CT'!$E$7=TH!H482,OR(J482="331",K482="331")),"x","")</f>
        <v/>
      </c>
    </row>
    <row r="483" spans="1:12" s="109" customForma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278</v>
      </c>
      <c r="G483" s="273" t="s">
        <v>530</v>
      </c>
      <c r="H483" s="132" t="s">
        <v>188</v>
      </c>
      <c r="I483" s="133">
        <v>185740</v>
      </c>
      <c r="J483" s="134" t="s">
        <v>19</v>
      </c>
      <c r="K483" s="134" t="s">
        <v>203</v>
      </c>
      <c r="L483" s="134" t="str">
        <f>IF(AND('331-CT'!$E$7=TH!H483,OR(J483="331",K483="331")),"x","")</f>
        <v/>
      </c>
    </row>
    <row r="484" spans="1:12" s="109" customForma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7"/>
      <c r="H484" s="122" t="s">
        <v>85</v>
      </c>
      <c r="I484" s="74">
        <v>500000000</v>
      </c>
      <c r="J484" s="75" t="s">
        <v>18</v>
      </c>
      <c r="K484" s="75" t="s">
        <v>54</v>
      </c>
      <c r="L484" s="134" t="str">
        <f>IF(AND('331-CT'!$E$7=TH!H484,OR(J484="331",K484="331")),"x","")</f>
        <v/>
      </c>
    </row>
    <row r="485" spans="1:12" s="109" customForma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7"/>
      <c r="H485" s="122"/>
      <c r="I485" s="74">
        <v>250000</v>
      </c>
      <c r="J485" s="75" t="s">
        <v>242</v>
      </c>
      <c r="K485" s="75" t="s">
        <v>54</v>
      </c>
      <c r="L485" s="134" t="str">
        <f>IF(AND('331-CT'!$E$7=TH!H485,OR(J485="331",K485="331")),"x","")</f>
        <v/>
      </c>
    </row>
    <row r="486" spans="1:12" s="109" customForma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7"/>
      <c r="H486" s="122" t="s">
        <v>152</v>
      </c>
      <c r="I486" s="74">
        <v>100000000</v>
      </c>
      <c r="J486" s="75" t="s">
        <v>18</v>
      </c>
      <c r="K486" s="75" t="s">
        <v>54</v>
      </c>
      <c r="L486" s="134" t="str">
        <f>IF(AND('331-CT'!$E$7=TH!H486,OR(J486="331",K486="331")),"x","")</f>
        <v/>
      </c>
    </row>
    <row r="487" spans="1:12" s="109" customForma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7"/>
      <c r="H487" s="122"/>
      <c r="I487" s="74">
        <v>25000</v>
      </c>
      <c r="J487" s="75" t="s">
        <v>19</v>
      </c>
      <c r="K487" s="75" t="s">
        <v>54</v>
      </c>
      <c r="L487" s="134" t="str">
        <f>IF(AND('331-CT'!$E$7=TH!H487,OR(J487="331",K487="331")),"x","")</f>
        <v/>
      </c>
    </row>
    <row r="488" spans="1:12" s="109" customForma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7"/>
      <c r="H488" s="124"/>
      <c r="I488" s="74">
        <v>30000</v>
      </c>
      <c r="J488" s="75" t="s">
        <v>242</v>
      </c>
      <c r="K488" s="75" t="s">
        <v>54</v>
      </c>
      <c r="L488" s="134" t="str">
        <f>IF(AND('331-CT'!$E$7=TH!H488,OR(J488="331",K488="331")),"x","")</f>
        <v/>
      </c>
    </row>
    <row r="489" spans="1:12" s="109" customForma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7"/>
      <c r="H489" s="124"/>
      <c r="I489" s="74">
        <v>3000</v>
      </c>
      <c r="J489" s="75" t="s">
        <v>19</v>
      </c>
      <c r="K489" s="75" t="s">
        <v>54</v>
      </c>
      <c r="L489" s="134" t="str">
        <f>IF(AND('331-CT'!$E$7=TH!H489,OR(J489="331",K489="331")),"x","")</f>
        <v/>
      </c>
    </row>
    <row r="490" spans="1:12" s="109" customForma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7"/>
      <c r="H490" s="122"/>
      <c r="I490" s="74">
        <v>195198</v>
      </c>
      <c r="J490" s="75" t="s">
        <v>54</v>
      </c>
      <c r="K490" s="75" t="s">
        <v>99</v>
      </c>
      <c r="L490" s="134" t="str">
        <f>IF(AND('331-CT'!$E$7=TH!H490,OR(J490="331",K490="331")),"x","")</f>
        <v/>
      </c>
    </row>
    <row r="491" spans="1:12" s="109" customForma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7"/>
      <c r="H491" s="124" t="s">
        <v>138</v>
      </c>
      <c r="I491" s="74">
        <v>500000000</v>
      </c>
      <c r="J491" s="75" t="s">
        <v>18</v>
      </c>
      <c r="K491" s="75" t="s">
        <v>54</v>
      </c>
      <c r="L491" s="134" t="str">
        <f>IF(AND('331-CT'!$E$7=TH!H491,OR(J491="331",K491="331")),"x","")</f>
        <v/>
      </c>
    </row>
    <row r="492" spans="1:12" s="109" customForma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7"/>
      <c r="H492" s="122"/>
      <c r="I492" s="74">
        <v>150000</v>
      </c>
      <c r="J492" s="75" t="s">
        <v>242</v>
      </c>
      <c r="K492" s="75" t="s">
        <v>54</v>
      </c>
      <c r="L492" s="134" t="str">
        <f>IF(AND('331-CT'!$E$7=TH!H492,OR(J492="331",K492="331")),"x","")</f>
        <v/>
      </c>
    </row>
    <row r="493" spans="1:12" s="109" customForma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7"/>
      <c r="H493" s="122"/>
      <c r="I493" s="74">
        <v>15000</v>
      </c>
      <c r="J493" s="75" t="s">
        <v>19</v>
      </c>
      <c r="K493" s="75" t="s">
        <v>54</v>
      </c>
      <c r="L493" s="134" t="str">
        <f>IF(AND('331-CT'!$E$7=TH!H493,OR(J493="331",K493="331")),"x","")</f>
        <v/>
      </c>
    </row>
    <row r="494" spans="1:12" s="109" customForma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7"/>
      <c r="H494" s="124" t="s">
        <v>300</v>
      </c>
      <c r="I494" s="74">
        <v>100000000</v>
      </c>
      <c r="J494" s="75" t="s">
        <v>18</v>
      </c>
      <c r="K494" s="75" t="s">
        <v>54</v>
      </c>
      <c r="L494" s="134" t="str">
        <f>IF(AND('331-CT'!$E$7=TH!H494,OR(J494="331",K494="331")),"x","")</f>
        <v/>
      </c>
    </row>
    <row r="495" spans="1:12" s="109" customForma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7"/>
      <c r="H495" s="124"/>
      <c r="I495" s="74">
        <v>30000</v>
      </c>
      <c r="J495" s="75" t="s">
        <v>242</v>
      </c>
      <c r="K495" s="75" t="s">
        <v>54</v>
      </c>
      <c r="L495" s="134" t="str">
        <f>IF(AND('331-CT'!$E$7=TH!H495,OR(J495="331",K495="331")),"x","")</f>
        <v/>
      </c>
    </row>
    <row r="496" spans="1:12" s="109" customForma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7"/>
      <c r="H496" s="124"/>
      <c r="I496" s="74">
        <v>3000</v>
      </c>
      <c r="J496" s="75" t="s">
        <v>19</v>
      </c>
      <c r="K496" s="75" t="s">
        <v>54</v>
      </c>
      <c r="L496" s="134" t="str">
        <f>IF(AND('331-CT'!$E$7=TH!H496,OR(J496="331",K496="331")),"x","")</f>
        <v/>
      </c>
    </row>
    <row r="497" spans="1:12" s="109" customForma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284</v>
      </c>
      <c r="G497" s="272" t="s">
        <v>571</v>
      </c>
      <c r="H497" s="7" t="s">
        <v>285</v>
      </c>
      <c r="I497" s="74">
        <v>30440000</v>
      </c>
      <c r="J497" s="136" t="s">
        <v>655</v>
      </c>
      <c r="K497" s="136" t="s">
        <v>18</v>
      </c>
      <c r="L497" s="134" t="str">
        <f>IF(AND('331-CT'!$E$7=TH!H497,OR(J497="331",K497="331")),"x","")</f>
        <v/>
      </c>
    </row>
    <row r="498" spans="1:12" s="109" customForma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7"/>
      <c r="H498" s="122" t="s">
        <v>751</v>
      </c>
      <c r="I498" s="74">
        <v>150000000</v>
      </c>
      <c r="J498" s="75" t="s">
        <v>212</v>
      </c>
      <c r="K498" s="75" t="s">
        <v>54</v>
      </c>
      <c r="L498" s="134" t="str">
        <f>IF(AND('331-CT'!$E$7=TH!H498,OR(J498="331",K498="331")),"x","")</f>
        <v/>
      </c>
    </row>
    <row r="499" spans="1:12" s="109" customForma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7"/>
      <c r="H499" s="122"/>
      <c r="I499" s="74">
        <v>75000</v>
      </c>
      <c r="J499" s="75" t="s">
        <v>242</v>
      </c>
      <c r="K499" s="75" t="s">
        <v>54</v>
      </c>
      <c r="L499" s="134" t="str">
        <f>IF(AND('331-CT'!$E$7=TH!H499,OR(J499="331",K499="331")),"x","")</f>
        <v/>
      </c>
    </row>
    <row r="500" spans="1:12" s="109" customForma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7"/>
      <c r="H500" s="122"/>
      <c r="I500" s="74">
        <v>7500</v>
      </c>
      <c r="J500" s="75" t="s">
        <v>19</v>
      </c>
      <c r="K500" s="75" t="s">
        <v>54</v>
      </c>
      <c r="L500" s="134" t="str">
        <f>IF(AND('331-CT'!$E$7=TH!H500,OR(J500="331",K500="331")),"x","")</f>
        <v/>
      </c>
    </row>
    <row r="501" spans="1:12" s="109" customForma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7"/>
      <c r="H501" s="122" t="s">
        <v>751</v>
      </c>
      <c r="I501" s="74">
        <v>150000000</v>
      </c>
      <c r="J501" s="75" t="s">
        <v>54</v>
      </c>
      <c r="K501" s="75" t="s">
        <v>212</v>
      </c>
      <c r="L501" s="134" t="str">
        <f>IF(AND('331-CT'!$E$7=TH!H501,OR(J501="331",K501="331")),"x","")</f>
        <v/>
      </c>
    </row>
    <row r="502" spans="1:12" s="109" customForma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7"/>
      <c r="H502" s="122" t="s">
        <v>172</v>
      </c>
      <c r="I502" s="74">
        <v>150000000</v>
      </c>
      <c r="J502" s="75" t="s">
        <v>18</v>
      </c>
      <c r="K502" s="75" t="s">
        <v>54</v>
      </c>
      <c r="L502" s="134" t="str">
        <f>IF(AND('331-CT'!$E$7=TH!H502,OR(J502="331",K502="331")),"x","")</f>
        <v/>
      </c>
    </row>
    <row r="503" spans="1:12" s="109" customForma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7"/>
      <c r="H503" s="122"/>
      <c r="I503" s="74">
        <v>75000</v>
      </c>
      <c r="J503" s="75" t="s">
        <v>242</v>
      </c>
      <c r="K503" s="75" t="s">
        <v>54</v>
      </c>
      <c r="L503" s="134" t="str">
        <f>IF(AND('331-CT'!$E$7=TH!H503,OR(J503="331",K503="331")),"x","")</f>
        <v/>
      </c>
    </row>
    <row r="504" spans="1:12" s="109" customForma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7"/>
      <c r="H504" s="122"/>
      <c r="I504" s="74">
        <v>7500</v>
      </c>
      <c r="J504" s="75" t="s">
        <v>19</v>
      </c>
      <c r="K504" s="75" t="s">
        <v>54</v>
      </c>
      <c r="L504" s="134" t="str">
        <f>IF(AND('331-CT'!$E$7=TH!H504,OR(J504="331",K504="331")),"x","")</f>
        <v/>
      </c>
    </row>
    <row r="505" spans="1:12" s="109" customForma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7"/>
      <c r="H505" s="122" t="s">
        <v>322</v>
      </c>
      <c r="I505" s="74">
        <v>1500000000</v>
      </c>
      <c r="J505" s="75" t="s">
        <v>54</v>
      </c>
      <c r="K505" s="75" t="s">
        <v>227</v>
      </c>
      <c r="L505" s="134" t="str">
        <f>IF(AND('331-CT'!$E$7=TH!H505,OR(J505="331",K505="331")),"x","")</f>
        <v/>
      </c>
    </row>
    <row r="506" spans="1:12" s="109" customForma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7"/>
      <c r="H506" s="122" t="s">
        <v>85</v>
      </c>
      <c r="I506" s="74">
        <v>500000000</v>
      </c>
      <c r="J506" s="78" t="s">
        <v>18</v>
      </c>
      <c r="K506" s="75" t="s">
        <v>54</v>
      </c>
      <c r="L506" s="134" t="str">
        <f>IF(AND('331-CT'!$E$7=TH!H506,OR(J506="331",K506="331")),"x","")</f>
        <v/>
      </c>
    </row>
    <row r="507" spans="1:12" s="109" customForma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7"/>
      <c r="H507" s="122"/>
      <c r="I507" s="74">
        <v>250000</v>
      </c>
      <c r="J507" s="75" t="s">
        <v>242</v>
      </c>
      <c r="K507" s="75" t="s">
        <v>54</v>
      </c>
      <c r="L507" s="134" t="str">
        <f>IF(AND('331-CT'!$E$7=TH!H507,OR(J507="331",K507="331")),"x","")</f>
        <v/>
      </c>
    </row>
    <row r="508" spans="1:12" s="109" customForma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7"/>
      <c r="H508" s="122"/>
      <c r="I508" s="74">
        <v>25000</v>
      </c>
      <c r="J508" s="75" t="s">
        <v>19</v>
      </c>
      <c r="K508" s="75" t="s">
        <v>54</v>
      </c>
      <c r="L508" s="134" t="str">
        <f>IF(AND('331-CT'!$E$7=TH!H508,OR(J508="331",K508="331")),"x","")</f>
        <v/>
      </c>
    </row>
    <row r="509" spans="1:12" s="109" customForma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7"/>
      <c r="H509" s="122" t="s">
        <v>138</v>
      </c>
      <c r="I509" s="74">
        <v>500000000</v>
      </c>
      <c r="J509" s="75" t="s">
        <v>18</v>
      </c>
      <c r="K509" s="75" t="s">
        <v>54</v>
      </c>
      <c r="L509" s="134" t="str">
        <f>IF(AND('331-CT'!$E$7=TH!H509,OR(J509="331",K509="331")),"x","")</f>
        <v/>
      </c>
    </row>
    <row r="510" spans="1:12" s="109" customForma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7"/>
      <c r="H510" s="122"/>
      <c r="I510" s="74">
        <v>150000</v>
      </c>
      <c r="J510" s="75" t="s">
        <v>242</v>
      </c>
      <c r="K510" s="75" t="s">
        <v>54</v>
      </c>
      <c r="L510" s="134" t="str">
        <f>IF(AND('331-CT'!$E$7=TH!H510,OR(J510="331",K510="331")),"x","")</f>
        <v/>
      </c>
    </row>
    <row r="511" spans="1:12" s="109" customForma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7"/>
      <c r="H511" s="122"/>
      <c r="I511" s="74">
        <v>15000</v>
      </c>
      <c r="J511" s="75" t="s">
        <v>19</v>
      </c>
      <c r="K511" s="75" t="s">
        <v>54</v>
      </c>
      <c r="L511" s="134" t="str">
        <f>IF(AND('331-CT'!$E$7=TH!H511,OR(J511="331",K511="331")),"x","")</f>
        <v/>
      </c>
    </row>
    <row r="512" spans="1:12" s="109" customForma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576</v>
      </c>
      <c r="G512" s="267"/>
      <c r="H512" s="122" t="s">
        <v>272</v>
      </c>
      <c r="I512" s="74">
        <v>97000000</v>
      </c>
      <c r="J512" s="78" t="s">
        <v>54</v>
      </c>
      <c r="K512" s="75" t="s">
        <v>203</v>
      </c>
      <c r="L512" s="134" t="str">
        <f>IF(AND('331-CT'!$E$7=TH!H512,OR(J512="331",K512="331")),"x","")</f>
        <v/>
      </c>
    </row>
    <row r="513" spans="1:12" s="109" customForma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7"/>
      <c r="H513" s="123" t="s">
        <v>314</v>
      </c>
      <c r="I513" s="74">
        <v>7916667</v>
      </c>
      <c r="J513" s="75" t="s">
        <v>240</v>
      </c>
      <c r="K513" s="75" t="s">
        <v>54</v>
      </c>
      <c r="L513" s="134" t="str">
        <f>IF(AND('331-CT'!$E$7=TH!H513,OR(J513="331",K513="331")),"x","")</f>
        <v/>
      </c>
    </row>
    <row r="514" spans="1:12" s="109" customForma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7"/>
      <c r="H514" s="122" t="s">
        <v>315</v>
      </c>
      <c r="I514" s="74">
        <v>15833333</v>
      </c>
      <c r="J514" s="75" t="s">
        <v>240</v>
      </c>
      <c r="K514" s="75" t="s">
        <v>54</v>
      </c>
      <c r="L514" s="134" t="str">
        <f>IF(AND('331-CT'!$E$7=TH!H514,OR(J514="331",K514="331")),"x","")</f>
        <v/>
      </c>
    </row>
    <row r="515" spans="1:12" s="109" customForma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7"/>
      <c r="H515" s="122" t="s">
        <v>317</v>
      </c>
      <c r="I515" s="74">
        <v>12666667</v>
      </c>
      <c r="J515" s="75" t="s">
        <v>240</v>
      </c>
      <c r="K515" s="75" t="s">
        <v>54</v>
      </c>
      <c r="L515" s="134" t="str">
        <f>IF(AND('331-CT'!$E$7=TH!H515,OR(J515="331",K515="331")),"x","")</f>
        <v/>
      </c>
    </row>
    <row r="516" spans="1:12" s="109" customForma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4" t="s">
        <v>144</v>
      </c>
      <c r="G516" s="274"/>
      <c r="H516" s="123" t="s">
        <v>316</v>
      </c>
      <c r="I516" s="74">
        <v>11879701</v>
      </c>
      <c r="J516" s="75" t="s">
        <v>240</v>
      </c>
      <c r="K516" s="75" t="s">
        <v>54</v>
      </c>
      <c r="L516" s="134" t="str">
        <f>IF(AND('331-CT'!$E$7=TH!H516,OR(J516="331",K516="331")),"x","")</f>
        <v/>
      </c>
    </row>
    <row r="517" spans="1:12" s="109" customForma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7"/>
      <c r="H517" s="122" t="s">
        <v>318</v>
      </c>
      <c r="I517" s="74">
        <v>7916667</v>
      </c>
      <c r="J517" s="75" t="s">
        <v>240</v>
      </c>
      <c r="K517" s="75" t="s">
        <v>54</v>
      </c>
      <c r="L517" s="134" t="str">
        <f>IF(AND('331-CT'!$E$7=TH!H517,OR(J517="331",K517="331")),"x","")</f>
        <v/>
      </c>
    </row>
    <row r="518" spans="1:12" s="109" customForma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7"/>
      <c r="H518" s="122" t="s">
        <v>319</v>
      </c>
      <c r="I518" s="74">
        <v>11875000</v>
      </c>
      <c r="J518" s="75" t="s">
        <v>240</v>
      </c>
      <c r="K518" s="75" t="s">
        <v>54</v>
      </c>
      <c r="L518" s="134" t="str">
        <f>IF(AND('331-CT'!$E$7=TH!H518,OR(J518="331",K518="331")),"x","")</f>
        <v/>
      </c>
    </row>
    <row r="519" spans="1:12" s="109" customForma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273</v>
      </c>
      <c r="G519" s="267"/>
      <c r="H519" s="122" t="s">
        <v>320</v>
      </c>
      <c r="I519" s="74">
        <v>29027778</v>
      </c>
      <c r="J519" s="75" t="s">
        <v>240</v>
      </c>
      <c r="K519" s="75" t="s">
        <v>54</v>
      </c>
      <c r="L519" s="134" t="str">
        <f>IF(AND('331-CT'!$E$7=TH!H519,OR(J519="331",K519="331")),"x","")</f>
        <v/>
      </c>
    </row>
    <row r="520" spans="1:12" s="109" customForma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7"/>
      <c r="H520" s="122" t="s">
        <v>172</v>
      </c>
      <c r="I520" s="74">
        <v>150000000</v>
      </c>
      <c r="J520" s="75" t="s">
        <v>18</v>
      </c>
      <c r="K520" s="75" t="s">
        <v>54</v>
      </c>
      <c r="L520" s="134" t="str">
        <f>IF(AND('331-CT'!$E$7=TH!H520,OR(J520="331",K520="331")),"x","")</f>
        <v/>
      </c>
    </row>
    <row r="521" spans="1:12" s="109" customForma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7"/>
      <c r="H521" s="122"/>
      <c r="I521" s="74">
        <v>75000</v>
      </c>
      <c r="J521" s="75" t="s">
        <v>242</v>
      </c>
      <c r="K521" s="75" t="s">
        <v>54</v>
      </c>
      <c r="L521" s="134" t="str">
        <f>IF(AND('331-CT'!$E$7=TH!H521,OR(J521="331",K521="331")),"x","")</f>
        <v/>
      </c>
    </row>
    <row r="522" spans="1:12" s="109" customForma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7"/>
      <c r="H522" s="122"/>
      <c r="I522" s="74">
        <v>7500</v>
      </c>
      <c r="J522" s="75" t="s">
        <v>19</v>
      </c>
      <c r="K522" s="75" t="s">
        <v>54</v>
      </c>
      <c r="L522" s="134" t="str">
        <f>IF(AND('331-CT'!$E$7=TH!H522,OR(J522="331",K522="331")),"x","")</f>
        <v/>
      </c>
    </row>
    <row r="523" spans="1:12" s="109" customForma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5" t="s">
        <v>110</v>
      </c>
      <c r="G523" s="275"/>
      <c r="H523" s="9" t="s">
        <v>109</v>
      </c>
      <c r="I523" s="74">
        <v>50000000</v>
      </c>
      <c r="J523" s="75" t="s">
        <v>18</v>
      </c>
      <c r="K523" s="75" t="s">
        <v>54</v>
      </c>
      <c r="L523" s="134" t="str">
        <f>IF(AND('331-CT'!$E$7=TH!H523,OR(J523="331",K523="331")),"x","")</f>
        <v/>
      </c>
    </row>
    <row r="524" spans="1:12" s="109" customForma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7"/>
      <c r="H524" s="122"/>
      <c r="I524" s="74">
        <v>25000</v>
      </c>
      <c r="J524" s="75" t="s">
        <v>242</v>
      </c>
      <c r="K524" s="75" t="s">
        <v>54</v>
      </c>
      <c r="L524" s="134" t="str">
        <f>IF(AND('331-CT'!$E$7=TH!H524,OR(J524="331",K524="331")),"x","")</f>
        <v/>
      </c>
    </row>
    <row r="525" spans="1:12" s="109" customForma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7"/>
      <c r="H525" s="122"/>
      <c r="I525" s="74">
        <v>2500</v>
      </c>
      <c r="J525" s="75" t="s">
        <v>19</v>
      </c>
      <c r="K525" s="75" t="s">
        <v>54</v>
      </c>
      <c r="L525" s="134" t="str">
        <f>IF(AND('331-CT'!$E$7=TH!H525,OR(J525="331",K525="331")),"x","")</f>
        <v/>
      </c>
    </row>
    <row r="526" spans="1:12" s="109" customForma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276</v>
      </c>
      <c r="G526" s="267"/>
      <c r="H526" s="9" t="s">
        <v>190</v>
      </c>
      <c r="I526" s="74">
        <v>200000000</v>
      </c>
      <c r="J526" s="75" t="s">
        <v>18</v>
      </c>
      <c r="K526" s="75" t="s">
        <v>54</v>
      </c>
      <c r="L526" s="134" t="str">
        <f>IF(AND('331-CT'!$E$7=TH!H526,OR(J526="331",K526="331")),"x","")</f>
        <v/>
      </c>
    </row>
    <row r="527" spans="1:12" s="109" customForma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7"/>
      <c r="H527" s="122"/>
      <c r="I527" s="74">
        <v>100000</v>
      </c>
      <c r="J527" s="75" t="s">
        <v>242</v>
      </c>
      <c r="K527" s="75" t="s">
        <v>54</v>
      </c>
      <c r="L527" s="134" t="str">
        <f>IF(AND('331-CT'!$E$7=TH!H527,OR(J527="331",K527="331")),"x","")</f>
        <v/>
      </c>
    </row>
    <row r="528" spans="1:12" s="109" customForma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7"/>
      <c r="H528" s="122"/>
      <c r="I528" s="74">
        <v>10000</v>
      </c>
      <c r="J528" s="75" t="s">
        <v>19</v>
      </c>
      <c r="K528" s="75" t="s">
        <v>54</v>
      </c>
      <c r="L528" s="134" t="str">
        <f>IF(AND('331-CT'!$E$7=TH!H528,OR(J528="331",K528="331")),"x","")</f>
        <v/>
      </c>
    </row>
    <row r="529" spans="1:12" s="109" customForma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287</v>
      </c>
      <c r="G529" s="273" t="s">
        <v>531</v>
      </c>
      <c r="H529" s="132" t="s">
        <v>188</v>
      </c>
      <c r="I529" s="133">
        <v>2020200</v>
      </c>
      <c r="J529" s="134" t="s">
        <v>242</v>
      </c>
      <c r="K529" s="134" t="s">
        <v>203</v>
      </c>
      <c r="L529" s="134" t="str">
        <f>IF(AND('331-CT'!$E$7=TH!H529,OR(J529="331",K529="331")),"x","")</f>
        <v/>
      </c>
    </row>
    <row r="530" spans="1:12" s="109" customForma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288</v>
      </c>
      <c r="G530" s="273" t="s">
        <v>531</v>
      </c>
      <c r="H530" s="132" t="s">
        <v>188</v>
      </c>
      <c r="I530" s="133">
        <v>101010</v>
      </c>
      <c r="J530" s="134" t="s">
        <v>19</v>
      </c>
      <c r="K530" s="134" t="s">
        <v>203</v>
      </c>
      <c r="L530" s="134" t="str">
        <f>IF(AND('331-CT'!$E$7=TH!H530,OR(J530="331",K530="331")),"x","")</f>
        <v/>
      </c>
    </row>
    <row r="531" spans="1:12" s="109" customForma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7"/>
      <c r="H531" s="122"/>
      <c r="I531" s="74">
        <v>192904</v>
      </c>
      <c r="J531" s="75" t="s">
        <v>54</v>
      </c>
      <c r="K531" s="75" t="s">
        <v>99</v>
      </c>
      <c r="L531" s="134" t="str">
        <f>IF(AND('331-CT'!$E$7=TH!H531,OR(J531="331",K531="331")),"x","")</f>
        <v/>
      </c>
    </row>
    <row r="532" spans="1:12" s="109" customForma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270</v>
      </c>
      <c r="G532" s="272" t="s">
        <v>532</v>
      </c>
      <c r="H532" s="122" t="s">
        <v>271</v>
      </c>
      <c r="I532" s="74">
        <v>27530000</v>
      </c>
      <c r="J532" s="75" t="s">
        <v>655</v>
      </c>
      <c r="K532" s="75" t="s">
        <v>203</v>
      </c>
      <c r="L532" s="134" t="str">
        <f>IF(AND('331-CT'!$E$7=TH!H532,OR(J532="331",K532="331")),"x","")</f>
        <v/>
      </c>
    </row>
    <row r="533" spans="1:12" s="109" customForma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274</v>
      </c>
      <c r="G533" s="267"/>
      <c r="H533" s="122" t="s">
        <v>269</v>
      </c>
      <c r="I533" s="74">
        <v>200000000</v>
      </c>
      <c r="J533" s="75" t="s">
        <v>18</v>
      </c>
      <c r="K533" s="75" t="s">
        <v>54</v>
      </c>
      <c r="L533" s="134" t="str">
        <f>IF(AND('331-CT'!$E$7=TH!H533,OR(J533="331",K533="331")),"x","")</f>
        <v/>
      </c>
    </row>
    <row r="534" spans="1:12" s="109" customForma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7"/>
      <c r="H534" s="122"/>
      <c r="I534" s="74">
        <v>100000</v>
      </c>
      <c r="J534" s="75" t="s">
        <v>242</v>
      </c>
      <c r="K534" s="75" t="s">
        <v>54</v>
      </c>
      <c r="L534" s="134" t="str">
        <f>IF(AND('331-CT'!$E$7=TH!H534,OR(J534="331",K534="331")),"x","")</f>
        <v/>
      </c>
    </row>
    <row r="535" spans="1:12" s="109" customForma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7"/>
      <c r="H535" s="122"/>
      <c r="I535" s="74">
        <v>10000</v>
      </c>
      <c r="J535" s="75" t="s">
        <v>19</v>
      </c>
      <c r="K535" s="75" t="s">
        <v>54</v>
      </c>
      <c r="L535" s="134" t="str">
        <f>IF(AND('331-CT'!$E$7=TH!H535,OR(J535="331",K535="331")),"x","")</f>
        <v/>
      </c>
    </row>
    <row r="536" spans="1:12" s="135" customForma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283</v>
      </c>
      <c r="G536" s="267"/>
      <c r="H536" s="7" t="s">
        <v>83</v>
      </c>
      <c r="I536" s="74">
        <v>36432000</v>
      </c>
      <c r="J536" s="75" t="s">
        <v>18</v>
      </c>
      <c r="K536" s="75" t="s">
        <v>54</v>
      </c>
      <c r="L536" s="134" t="str">
        <f>IF(AND('331-CT'!$E$7=TH!H536,OR(J536="331",K536="331")),"x","")</f>
        <v/>
      </c>
    </row>
    <row r="537" spans="1:12" s="135" customForma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7"/>
      <c r="H537" s="122"/>
      <c r="I537" s="74">
        <v>25000</v>
      </c>
      <c r="J537" s="75" t="s">
        <v>242</v>
      </c>
      <c r="K537" s="75" t="s">
        <v>54</v>
      </c>
      <c r="L537" s="134" t="str">
        <f>IF(AND('331-CT'!$E$7=TH!H537,OR(J537="331",K537="331")),"x","")</f>
        <v/>
      </c>
    </row>
    <row r="538" spans="1:12" s="109" customForma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7"/>
      <c r="H538" s="122"/>
      <c r="I538" s="74">
        <v>2500</v>
      </c>
      <c r="J538" s="75" t="s">
        <v>19</v>
      </c>
      <c r="K538" s="75" t="s">
        <v>54</v>
      </c>
      <c r="L538" s="134" t="str">
        <f>IF(AND('331-CT'!$E$7=TH!H538,OR(J538="331",K538="331")),"x","")</f>
        <v/>
      </c>
    </row>
    <row r="539" spans="1:12" s="109" customForma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279</v>
      </c>
      <c r="G539" s="267" t="s">
        <v>533</v>
      </c>
      <c r="H539" s="122" t="s">
        <v>280</v>
      </c>
      <c r="I539" s="74">
        <v>1000000</v>
      </c>
      <c r="J539" s="75" t="s">
        <v>242</v>
      </c>
      <c r="K539" s="75" t="s">
        <v>203</v>
      </c>
      <c r="L539" s="134" t="str">
        <f>IF(AND('331-CT'!$E$7=TH!H539,OR(J539="331",K539="331")),"x","")</f>
        <v/>
      </c>
    </row>
    <row r="540" spans="1:12" s="109" customForma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281</v>
      </c>
      <c r="G540" s="272" t="s">
        <v>534</v>
      </c>
      <c r="H540" s="122" t="s">
        <v>280</v>
      </c>
      <c r="I540" s="74">
        <v>45455</v>
      </c>
      <c r="J540" s="75" t="s">
        <v>242</v>
      </c>
      <c r="K540" s="75" t="s">
        <v>203</v>
      </c>
      <c r="L540" s="134" t="str">
        <f>IF(AND('331-CT'!$E$7=TH!H540,OR(J540="331",K540="331")),"x","")</f>
        <v/>
      </c>
    </row>
    <row r="541" spans="1:12" s="109" customForma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282</v>
      </c>
      <c r="G541" s="272" t="s">
        <v>534</v>
      </c>
      <c r="H541" s="122" t="s">
        <v>280</v>
      </c>
      <c r="I541" s="74">
        <v>4545</v>
      </c>
      <c r="J541" s="75" t="s">
        <v>19</v>
      </c>
      <c r="K541" s="75" t="s">
        <v>203</v>
      </c>
      <c r="L541" s="134" t="str">
        <f>IF(AND('331-CT'!$E$7=TH!H541,OR(J541="331",K541="331")),"x","")</f>
        <v/>
      </c>
    </row>
    <row r="542" spans="1:12" s="109" customForma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275</v>
      </c>
      <c r="G542" s="272" t="s">
        <v>572</v>
      </c>
      <c r="H542" s="7" t="s">
        <v>83</v>
      </c>
      <c r="I542" s="74">
        <v>33120000</v>
      </c>
      <c r="J542" s="75" t="s">
        <v>242</v>
      </c>
      <c r="K542" s="75" t="s">
        <v>18</v>
      </c>
      <c r="L542" s="134" t="str">
        <f>IF(AND('331-CT'!$E$7=TH!H542,OR(J542="331",K542="331")),"x","")</f>
        <v/>
      </c>
    </row>
    <row r="543" spans="1:12" s="109" customForma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286</v>
      </c>
      <c r="G543" s="272" t="s">
        <v>572</v>
      </c>
      <c r="H543" s="7" t="s">
        <v>83</v>
      </c>
      <c r="I543" s="74">
        <v>3312000</v>
      </c>
      <c r="J543" s="75" t="s">
        <v>19</v>
      </c>
      <c r="K543" s="75" t="s">
        <v>18</v>
      </c>
      <c r="L543" s="134" t="str">
        <f>IF(AND('331-CT'!$E$7=TH!H543,OR(J543="331",K543="331")),"x","")</f>
        <v/>
      </c>
    </row>
    <row r="544" spans="1:12" s="109" customForma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301</v>
      </c>
      <c r="G544" s="267"/>
      <c r="H544" s="124" t="s">
        <v>300</v>
      </c>
      <c r="I544" s="74">
        <v>100000000</v>
      </c>
      <c r="J544" s="75" t="s">
        <v>18</v>
      </c>
      <c r="K544" s="75" t="s">
        <v>54</v>
      </c>
      <c r="L544" s="134" t="str">
        <f>IF(AND('331-CT'!$E$7=TH!H544,OR(J544="331",K544="331")),"x","")</f>
        <v/>
      </c>
    </row>
    <row r="545" spans="1:12" s="109" customForma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7"/>
      <c r="H545" s="122"/>
      <c r="I545" s="74">
        <v>50000</v>
      </c>
      <c r="J545" s="75" t="s">
        <v>242</v>
      </c>
      <c r="K545" s="75" t="s">
        <v>54</v>
      </c>
      <c r="L545" s="134" t="str">
        <f>IF(AND('331-CT'!$E$7=TH!H545,OR(J545="331",K545="331")),"x","")</f>
        <v/>
      </c>
    </row>
    <row r="546" spans="1:12" s="109" customForma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7"/>
      <c r="H546" s="122"/>
      <c r="I546" s="74">
        <v>5000</v>
      </c>
      <c r="J546" s="75" t="s">
        <v>19</v>
      </c>
      <c r="K546" s="75" t="s">
        <v>54</v>
      </c>
      <c r="L546" s="134" t="str">
        <f>IF(AND('331-CT'!$E$7=TH!H546,OR(J546="331",K546="331")),"x","")</f>
        <v/>
      </c>
    </row>
    <row r="547" spans="1:12" s="109" customForma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301</v>
      </c>
      <c r="G547" s="267"/>
      <c r="H547" s="122" t="s">
        <v>172</v>
      </c>
      <c r="I547" s="74">
        <v>50000000</v>
      </c>
      <c r="J547" s="75" t="s">
        <v>18</v>
      </c>
      <c r="K547" s="75" t="s">
        <v>54</v>
      </c>
      <c r="L547" s="134" t="str">
        <f>IF(AND('331-CT'!$E$7=TH!H547,OR(J547="331",K547="331")),"x","")</f>
        <v/>
      </c>
    </row>
    <row r="548" spans="1:12" s="109" customForma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7"/>
      <c r="H548" s="122"/>
      <c r="I548" s="74">
        <v>25000</v>
      </c>
      <c r="J548" s="75" t="s">
        <v>242</v>
      </c>
      <c r="K548" s="75" t="s">
        <v>54</v>
      </c>
      <c r="L548" s="134" t="str">
        <f>IF(AND('331-CT'!$E$7=TH!H548,OR(J548="331",K548="331")),"x","")</f>
        <v/>
      </c>
    </row>
    <row r="549" spans="1:12" s="109" customForma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7"/>
      <c r="H549" s="122"/>
      <c r="I549" s="74">
        <v>2500</v>
      </c>
      <c r="J549" s="75" t="s">
        <v>19</v>
      </c>
      <c r="K549" s="75" t="s">
        <v>54</v>
      </c>
      <c r="L549" s="134" t="str">
        <f>IF(AND('331-CT'!$E$7=TH!H549,OR(J549="331",K549="331")),"x","")</f>
        <v/>
      </c>
    </row>
    <row r="550" spans="1:12" s="109" customForma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323</v>
      </c>
      <c r="G550" s="267"/>
      <c r="H550" s="123" t="s">
        <v>324</v>
      </c>
      <c r="I550" s="74">
        <v>1500000000</v>
      </c>
      <c r="J550" s="75" t="s">
        <v>54</v>
      </c>
      <c r="K550" s="75" t="s">
        <v>227</v>
      </c>
      <c r="L550" s="134" t="str">
        <f>IF(AND('331-CT'!$E$7=TH!H550,OR(J550="331",K550="331")),"x","")</f>
        <v/>
      </c>
    </row>
    <row r="551" spans="1:12" s="109" customForma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301</v>
      </c>
      <c r="G551" s="267"/>
      <c r="H551" s="9" t="s">
        <v>138</v>
      </c>
      <c r="I551" s="74">
        <v>500000000</v>
      </c>
      <c r="J551" s="75" t="s">
        <v>18</v>
      </c>
      <c r="K551" s="75" t="s">
        <v>54</v>
      </c>
      <c r="L551" s="134" t="str">
        <f>IF(AND('331-CT'!$E$7=TH!H551,OR(J551="331",K551="331")),"x","")</f>
        <v/>
      </c>
    </row>
    <row r="552" spans="1:12" s="109" customForma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7"/>
      <c r="H552" s="122"/>
      <c r="I552" s="74">
        <v>150000</v>
      </c>
      <c r="J552" s="75" t="s">
        <v>242</v>
      </c>
      <c r="K552" s="75" t="s">
        <v>54</v>
      </c>
      <c r="L552" s="134" t="str">
        <f>IF(AND('331-CT'!$E$7=TH!H552,OR(J552="331",K552="331")),"x","")</f>
        <v/>
      </c>
    </row>
    <row r="553" spans="1:12" s="109" customForma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7"/>
      <c r="H553" s="122"/>
      <c r="I553" s="74">
        <v>15000</v>
      </c>
      <c r="J553" s="75" t="s">
        <v>19</v>
      </c>
      <c r="K553" s="75" t="s">
        <v>54</v>
      </c>
      <c r="L553" s="134" t="str">
        <f>IF(AND('331-CT'!$E$7=TH!H553,OR(J553="331",K553="331")),"x","")</f>
        <v/>
      </c>
    </row>
    <row r="554" spans="1:12" s="109" customForma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301</v>
      </c>
      <c r="G554" s="267"/>
      <c r="H554" s="122" t="s">
        <v>172</v>
      </c>
      <c r="I554" s="74">
        <v>200000000</v>
      </c>
      <c r="J554" s="75" t="s">
        <v>18</v>
      </c>
      <c r="K554" s="75" t="s">
        <v>54</v>
      </c>
      <c r="L554" s="134" t="str">
        <f>IF(AND('331-CT'!$E$7=TH!H554,OR(J554="331",K554="331")),"x","")</f>
        <v/>
      </c>
    </row>
    <row r="555" spans="1:12" s="109" customForma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7"/>
      <c r="H555" s="122"/>
      <c r="I555" s="74">
        <v>100000</v>
      </c>
      <c r="J555" s="75" t="s">
        <v>242</v>
      </c>
      <c r="K555" s="75" t="s">
        <v>54</v>
      </c>
      <c r="L555" s="134" t="str">
        <f>IF(AND('331-CT'!$E$7=TH!H555,OR(J555="331",K555="331")),"x","")</f>
        <v/>
      </c>
    </row>
    <row r="556" spans="1:12" s="109" customForma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7"/>
      <c r="H556" s="122"/>
      <c r="I556" s="74">
        <v>10000</v>
      </c>
      <c r="J556" s="75" t="s">
        <v>19</v>
      </c>
      <c r="K556" s="75" t="s">
        <v>54</v>
      </c>
      <c r="L556" s="134" t="str">
        <f>IF(AND('331-CT'!$E$7=TH!H556,OR(J556="331",K556="331")),"x","")</f>
        <v/>
      </c>
    </row>
    <row r="557" spans="1:12" s="109" customForma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301</v>
      </c>
      <c r="G557" s="267"/>
      <c r="H557" s="9" t="s">
        <v>151</v>
      </c>
      <c r="I557" s="74">
        <v>140000000</v>
      </c>
      <c r="J557" s="75" t="s">
        <v>18</v>
      </c>
      <c r="K557" s="75" t="s">
        <v>54</v>
      </c>
      <c r="L557" s="134" t="str">
        <f>IF(AND('331-CT'!$E$7=TH!H557,OR(J557="331",K557="331")),"x","")</f>
        <v/>
      </c>
    </row>
    <row r="558" spans="1:12" s="109" customForma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7"/>
      <c r="H558" s="122"/>
      <c r="I558" s="74">
        <v>42000</v>
      </c>
      <c r="J558" s="75" t="s">
        <v>242</v>
      </c>
      <c r="K558" s="75" t="s">
        <v>54</v>
      </c>
      <c r="L558" s="134" t="str">
        <f>IF(AND('331-CT'!$E$7=TH!H558,OR(J558="331",K558="331")),"x","")</f>
        <v/>
      </c>
    </row>
    <row r="559" spans="1:12" s="109" customForma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7"/>
      <c r="H559" s="122"/>
      <c r="I559" s="74">
        <v>4200</v>
      </c>
      <c r="J559" s="75" t="s">
        <v>19</v>
      </c>
      <c r="K559" s="75" t="s">
        <v>54</v>
      </c>
      <c r="L559" s="134" t="str">
        <f>IF(AND('331-CT'!$E$7=TH!H559,OR(J559="331",K559="331")),"x","")</f>
        <v/>
      </c>
    </row>
    <row r="560" spans="1:12" s="109" customForma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301</v>
      </c>
      <c r="G560" s="267"/>
      <c r="H560" s="9" t="s">
        <v>111</v>
      </c>
      <c r="I560" s="74">
        <v>200000000</v>
      </c>
      <c r="J560" s="75" t="s">
        <v>18</v>
      </c>
      <c r="K560" s="75" t="s">
        <v>54</v>
      </c>
      <c r="L560" s="134" t="str">
        <f>IF(AND('331-CT'!$E$7=TH!H560,OR(J560="331",K560="331")),"x","")</f>
        <v/>
      </c>
    </row>
    <row r="561" spans="1:12" s="109" customForma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7"/>
      <c r="H561" s="122"/>
      <c r="I561" s="74">
        <v>60000</v>
      </c>
      <c r="J561" s="75" t="s">
        <v>242</v>
      </c>
      <c r="K561" s="75" t="s">
        <v>54</v>
      </c>
      <c r="L561" s="134" t="str">
        <f>IF(AND('331-CT'!$E$7=TH!H561,OR(J561="331",K561="331")),"x","")</f>
        <v/>
      </c>
    </row>
    <row r="562" spans="1:12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7"/>
      <c r="H562" s="122"/>
      <c r="I562" s="74">
        <v>6000</v>
      </c>
      <c r="J562" s="75" t="s">
        <v>19</v>
      </c>
      <c r="K562" s="75" t="s">
        <v>54</v>
      </c>
      <c r="L562" s="134" t="str">
        <f>IF(AND('331-CT'!$E$7=TH!H562,OR(J562="331",K562="331")),"x","")</f>
        <v/>
      </c>
    </row>
    <row r="563" spans="1:12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301</v>
      </c>
      <c r="G563" s="267"/>
      <c r="H563" s="9" t="s">
        <v>302</v>
      </c>
      <c r="I563" s="74">
        <v>171000000</v>
      </c>
      <c r="J563" s="75" t="s">
        <v>18</v>
      </c>
      <c r="K563" s="75" t="s">
        <v>54</v>
      </c>
      <c r="L563" s="134" t="str">
        <f>IF(AND('331-CT'!$E$7=TH!H563,OR(J563="331",K563="331")),"x","")</f>
        <v/>
      </c>
    </row>
    <row r="564" spans="1:12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301</v>
      </c>
      <c r="G564" s="267"/>
      <c r="H564" s="122" t="s">
        <v>285</v>
      </c>
      <c r="I564" s="74">
        <v>30440000</v>
      </c>
      <c r="J564" s="75" t="s">
        <v>18</v>
      </c>
      <c r="K564" s="75" t="s">
        <v>54</v>
      </c>
      <c r="L564" s="134" t="str">
        <f>IF(AND('331-CT'!$E$7=TH!H564,OR(J564="331",K564="331")),"x","")</f>
        <v/>
      </c>
    </row>
    <row r="565" spans="1:12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7"/>
      <c r="H565" s="122"/>
      <c r="I565" s="74">
        <v>25000</v>
      </c>
      <c r="J565" s="75" t="s">
        <v>242</v>
      </c>
      <c r="K565" s="75" t="s">
        <v>54</v>
      </c>
      <c r="L565" s="134" t="str">
        <f>IF(AND('331-CT'!$E$7=TH!H565,OR(J565="331",K565="331")),"x","")</f>
        <v/>
      </c>
    </row>
    <row r="566" spans="1:12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7"/>
      <c r="H566" s="123"/>
      <c r="I566" s="74">
        <v>2500</v>
      </c>
      <c r="J566" s="75" t="s">
        <v>19</v>
      </c>
      <c r="K566" s="75" t="s">
        <v>54</v>
      </c>
      <c r="L566" s="134" t="str">
        <f>IF(AND('331-CT'!$E$7=TH!H566,OR(J566="331",K566="331")),"x","")</f>
        <v/>
      </c>
    </row>
    <row r="567" spans="1:12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7"/>
      <c r="H567" s="122"/>
      <c r="I567" s="74">
        <v>85500</v>
      </c>
      <c r="J567" s="75" t="s">
        <v>242</v>
      </c>
      <c r="K567" s="75" t="s">
        <v>54</v>
      </c>
      <c r="L567" s="134" t="str">
        <f>IF(AND('331-CT'!$E$7=TH!H567,OR(J567="331",K567="331")),"x","")</f>
        <v/>
      </c>
    </row>
    <row r="568" spans="1:12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7"/>
      <c r="H568" s="122"/>
      <c r="I568" s="74">
        <v>8550</v>
      </c>
      <c r="J568" s="75" t="s">
        <v>19</v>
      </c>
      <c r="K568" s="75" t="s">
        <v>54</v>
      </c>
      <c r="L568" s="134" t="str">
        <f>IF(AND('331-CT'!$E$7=TH!H568,OR(J568="331",K568="331")),"x","")</f>
        <v/>
      </c>
    </row>
    <row r="569" spans="1:12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301</v>
      </c>
      <c r="G569" s="267"/>
      <c r="H569" s="9" t="s">
        <v>300</v>
      </c>
      <c r="I569" s="74">
        <v>100000000</v>
      </c>
      <c r="J569" s="75" t="s">
        <v>18</v>
      </c>
      <c r="K569" s="75" t="s">
        <v>54</v>
      </c>
      <c r="L569" s="134" t="str">
        <f>IF(AND('331-CT'!$E$7=TH!H569,OR(J569="331",K569="331")),"x","")</f>
        <v/>
      </c>
    </row>
    <row r="570" spans="1:12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7"/>
      <c r="H570" s="122"/>
      <c r="I570" s="74">
        <v>50000</v>
      </c>
      <c r="J570" s="75" t="s">
        <v>242</v>
      </c>
      <c r="K570" s="75" t="s">
        <v>54</v>
      </c>
      <c r="L570" s="134" t="str">
        <f>IF(AND('331-CT'!$E$7=TH!H570,OR(J570="331",K570="331")),"x","")</f>
        <v/>
      </c>
    </row>
    <row r="571" spans="1:12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7"/>
      <c r="H571" s="123"/>
      <c r="I571" s="74">
        <v>5000</v>
      </c>
      <c r="J571" s="75" t="s">
        <v>19</v>
      </c>
      <c r="K571" s="75" t="s">
        <v>54</v>
      </c>
      <c r="L571" s="134" t="str">
        <f>IF(AND('331-CT'!$E$7=TH!H571,OR(J571="331",K571="331")),"x","")</f>
        <v/>
      </c>
    </row>
    <row r="572" spans="1:12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7"/>
      <c r="H572" s="122"/>
      <c r="I572" s="74">
        <v>88048</v>
      </c>
      <c r="J572" s="75" t="s">
        <v>54</v>
      </c>
      <c r="K572" s="75" t="s">
        <v>99</v>
      </c>
      <c r="L572" s="134" t="str">
        <f>IF(AND('331-CT'!$E$7=TH!H572,OR(J572="331",K572="331")),"x","")</f>
        <v/>
      </c>
    </row>
    <row r="573" spans="1:12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576</v>
      </c>
      <c r="G573" s="267"/>
      <c r="H573" s="122" t="s">
        <v>272</v>
      </c>
      <c r="I573" s="74">
        <v>116000000</v>
      </c>
      <c r="J573" s="75" t="s">
        <v>54</v>
      </c>
      <c r="K573" s="75" t="s">
        <v>203</v>
      </c>
      <c r="L573" s="134" t="str">
        <f>IF(AND('331-CT'!$E$7=TH!H573,OR(J573="331",K573="331")),"x","")</f>
        <v/>
      </c>
    </row>
    <row r="574" spans="1:12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298</v>
      </c>
      <c r="G574" s="267" t="s">
        <v>297</v>
      </c>
      <c r="H574" s="124" t="s">
        <v>300</v>
      </c>
      <c r="I574" s="74">
        <v>173764636</v>
      </c>
      <c r="J574" s="75" t="s">
        <v>655</v>
      </c>
      <c r="K574" s="75" t="s">
        <v>18</v>
      </c>
      <c r="L574" s="134" t="str">
        <f>IF(AND('331-CT'!$E$7=TH!H574,OR(J574="331",K574="331")),"x","")</f>
        <v/>
      </c>
    </row>
    <row r="575" spans="1:12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299</v>
      </c>
      <c r="G575" s="267" t="s">
        <v>297</v>
      </c>
      <c r="H575" s="124" t="s">
        <v>300</v>
      </c>
      <c r="I575" s="74">
        <v>17376464</v>
      </c>
      <c r="J575" s="75" t="s">
        <v>19</v>
      </c>
      <c r="K575" s="75" t="s">
        <v>18</v>
      </c>
      <c r="L575" s="134" t="str">
        <f>IF(AND('331-CT'!$E$7=TH!H575,OR(J575="331",K575="331")),"x","")</f>
        <v/>
      </c>
    </row>
    <row r="576" spans="1:12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295</v>
      </c>
      <c r="G576" s="267" t="s">
        <v>294</v>
      </c>
      <c r="H576" s="124" t="s">
        <v>300</v>
      </c>
      <c r="I576" s="74">
        <v>46033273</v>
      </c>
      <c r="J576" s="75" t="s">
        <v>655</v>
      </c>
      <c r="K576" s="75" t="s">
        <v>18</v>
      </c>
      <c r="L576" s="134" t="str">
        <f>IF(AND('331-CT'!$E$7=TH!H576,OR(J576="331",K576="331")),"x","")</f>
        <v/>
      </c>
    </row>
    <row r="577" spans="1:12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296</v>
      </c>
      <c r="G577" s="267" t="s">
        <v>294</v>
      </c>
      <c r="H577" s="124" t="s">
        <v>300</v>
      </c>
      <c r="I577" s="74">
        <v>4603327</v>
      </c>
      <c r="J577" s="75" t="s">
        <v>19</v>
      </c>
      <c r="K577" s="75" t="s">
        <v>18</v>
      </c>
      <c r="L577" s="134" t="str">
        <f>IF(AND('331-CT'!$E$7=TH!H577,OR(J577="331",K577="331")),"x","")</f>
        <v/>
      </c>
    </row>
    <row r="578" spans="1:12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291</v>
      </c>
      <c r="G578" s="267" t="s">
        <v>293</v>
      </c>
      <c r="H578" s="124" t="s">
        <v>300</v>
      </c>
      <c r="I578" s="74">
        <v>12290909</v>
      </c>
      <c r="J578" s="136" t="s">
        <v>655</v>
      </c>
      <c r="K578" s="136" t="s">
        <v>18</v>
      </c>
      <c r="L578" s="134" t="str">
        <f>IF(AND('331-CT'!$E$7=TH!H578,OR(J578="331",K578="331")),"x","")</f>
        <v/>
      </c>
    </row>
    <row r="579" spans="1:12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292</v>
      </c>
      <c r="G579" s="267" t="s">
        <v>293</v>
      </c>
      <c r="H579" s="124" t="s">
        <v>300</v>
      </c>
      <c r="I579" s="74">
        <v>1229091</v>
      </c>
      <c r="J579" s="136" t="s">
        <v>19</v>
      </c>
      <c r="K579" s="136" t="s">
        <v>18</v>
      </c>
      <c r="L579" s="134" t="str">
        <f>IF(AND('331-CT'!$E$7=TH!H579,OR(J579="331",K579="331")),"x","")</f>
        <v/>
      </c>
    </row>
    <row r="580" spans="1:12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7"/>
      <c r="H580" s="122" t="s">
        <v>314</v>
      </c>
      <c r="I580" s="74">
        <v>8203223</v>
      </c>
      <c r="J580" s="75" t="s">
        <v>240</v>
      </c>
      <c r="K580" s="75" t="s">
        <v>54</v>
      </c>
      <c r="L580" s="134" t="str">
        <f>IF(AND('331-CT'!$E$7=TH!H580,OR(J580="331",K580="331")),"x","")</f>
        <v/>
      </c>
    </row>
    <row r="581" spans="1:12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7"/>
      <c r="H581" s="122" t="s">
        <v>315</v>
      </c>
      <c r="I581" s="74">
        <v>16406445</v>
      </c>
      <c r="J581" s="75" t="s">
        <v>240</v>
      </c>
      <c r="K581" s="75" t="s">
        <v>54</v>
      </c>
      <c r="L581" s="134" t="str">
        <f>IF(AND('331-CT'!$E$7=TH!H581,OR(J581="331",K581="331")),"x","")</f>
        <v/>
      </c>
    </row>
    <row r="582" spans="1:12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7"/>
      <c r="H582" s="122" t="s">
        <v>317</v>
      </c>
      <c r="I582" s="74">
        <v>13125156</v>
      </c>
      <c r="J582" s="75" t="s">
        <v>240</v>
      </c>
      <c r="K582" s="75" t="s">
        <v>54</v>
      </c>
      <c r="L582" s="134" t="str">
        <f>IF(AND('331-CT'!$E$7=TH!H582,OR(J582="331",K582="331")),"x","")</f>
        <v/>
      </c>
    </row>
    <row r="583" spans="1:12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7"/>
      <c r="H583" s="122" t="s">
        <v>316</v>
      </c>
      <c r="I583" s="74">
        <v>12304833</v>
      </c>
      <c r="J583" s="75" t="s">
        <v>240</v>
      </c>
      <c r="K583" s="75" t="s">
        <v>54</v>
      </c>
      <c r="L583" s="134" t="str">
        <f>IF(AND('331-CT'!$E$7=TH!H583,OR(J583="331",K583="331")),"x","")</f>
        <v/>
      </c>
    </row>
    <row r="584" spans="1:12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7"/>
      <c r="H584" s="122" t="s">
        <v>318</v>
      </c>
      <c r="I584" s="74">
        <v>8203223</v>
      </c>
      <c r="J584" s="75" t="s">
        <v>240</v>
      </c>
      <c r="K584" s="75" t="s">
        <v>54</v>
      </c>
      <c r="L584" s="134" t="str">
        <f>IF(AND('331-CT'!$E$7=TH!H584,OR(J584="331",K584="331")),"x","")</f>
        <v/>
      </c>
    </row>
    <row r="585" spans="1:12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7"/>
      <c r="H585" s="123" t="s">
        <v>319</v>
      </c>
      <c r="I585" s="74">
        <v>12304833</v>
      </c>
      <c r="J585" s="75" t="s">
        <v>240</v>
      </c>
      <c r="K585" s="75" t="s">
        <v>54</v>
      </c>
      <c r="L585" s="134" t="str">
        <f>IF(AND('331-CT'!$E$7=TH!H585,OR(J585="331",K585="331")),"x","")</f>
        <v/>
      </c>
    </row>
    <row r="586" spans="1:12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273</v>
      </c>
      <c r="G586" s="267"/>
      <c r="H586" s="122" t="s">
        <v>320</v>
      </c>
      <c r="I586" s="74">
        <v>16407126</v>
      </c>
      <c r="J586" s="75" t="s">
        <v>240</v>
      </c>
      <c r="K586" s="75" t="s">
        <v>54</v>
      </c>
      <c r="L586" s="134" t="str">
        <f>IF(AND('331-CT'!$E$7=TH!H586,OR(J586="331",K586="331")),"x","")</f>
        <v/>
      </c>
    </row>
    <row r="587" spans="1:12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303</v>
      </c>
      <c r="G587" s="267"/>
      <c r="H587" s="122" t="s">
        <v>321</v>
      </c>
      <c r="I587" s="74">
        <v>22228087</v>
      </c>
      <c r="J587" s="75" t="s">
        <v>240</v>
      </c>
      <c r="K587" s="75" t="s">
        <v>54</v>
      </c>
      <c r="L587" s="134" t="str">
        <f>IF(AND('331-CT'!$E$7=TH!H587,OR(J587="331",K587="331")),"x","")</f>
        <v/>
      </c>
    </row>
    <row r="588" spans="1:12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304</v>
      </c>
      <c r="G588" s="267"/>
      <c r="H588" s="122" t="s">
        <v>322</v>
      </c>
      <c r="I588" s="74">
        <v>14289484</v>
      </c>
      <c r="J588" s="75" t="s">
        <v>240</v>
      </c>
      <c r="K588" s="75" t="s">
        <v>54</v>
      </c>
      <c r="L588" s="134" t="str">
        <f>IF(AND('331-CT'!$E$7=TH!H588,OR(J588="331",K588="331")),"x","")</f>
        <v/>
      </c>
    </row>
    <row r="589" spans="1:12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289</v>
      </c>
      <c r="G589" s="272" t="s">
        <v>563</v>
      </c>
      <c r="H589" s="122" t="s">
        <v>85</v>
      </c>
      <c r="I589" s="74">
        <v>6818181818</v>
      </c>
      <c r="J589" s="136" t="s">
        <v>655</v>
      </c>
      <c r="K589" s="75" t="s">
        <v>18</v>
      </c>
      <c r="L589" s="134" t="str">
        <f>IF(AND('331-CT'!$E$7=TH!H589,OR(J589="331",K589="331")),"x","")</f>
        <v/>
      </c>
    </row>
    <row r="590" spans="1:12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290</v>
      </c>
      <c r="G590" s="272" t="s">
        <v>563</v>
      </c>
      <c r="H590" s="122" t="s">
        <v>85</v>
      </c>
      <c r="I590" s="74">
        <v>681818182</v>
      </c>
      <c r="J590" s="136" t="s">
        <v>19</v>
      </c>
      <c r="K590" s="75" t="s">
        <v>18</v>
      </c>
      <c r="L590" s="134" t="str">
        <f>IF(AND('331-CT'!$E$7=TH!H590,OR(J590="331",K590="331")),"x","")</f>
        <v/>
      </c>
    </row>
    <row r="591" spans="1:12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301</v>
      </c>
      <c r="G591" s="267"/>
      <c r="H591" s="9" t="s">
        <v>305</v>
      </c>
      <c r="I591" s="74">
        <v>45000000</v>
      </c>
      <c r="J591" s="75" t="s">
        <v>18</v>
      </c>
      <c r="K591" s="75" t="s">
        <v>54</v>
      </c>
      <c r="L591" s="134" t="str">
        <f>IF(AND('331-CT'!$E$7=TH!H591,OR(J591="331",K591="331")),"x","")</f>
        <v/>
      </c>
    </row>
    <row r="592" spans="1:12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7"/>
      <c r="H592" s="122"/>
      <c r="I592" s="74">
        <v>20000</v>
      </c>
      <c r="J592" s="75" t="s">
        <v>242</v>
      </c>
      <c r="K592" s="75" t="s">
        <v>54</v>
      </c>
      <c r="L592" s="134" t="str">
        <f>IF(AND('331-CT'!$E$7=TH!H592,OR(J592="331",K592="331")),"x","")</f>
        <v/>
      </c>
    </row>
    <row r="593" spans="1:12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7"/>
      <c r="H593" s="122"/>
      <c r="I593" s="74">
        <v>2000</v>
      </c>
      <c r="J593" s="75" t="s">
        <v>19</v>
      </c>
      <c r="K593" s="75" t="s">
        <v>54</v>
      </c>
      <c r="L593" s="134" t="str">
        <f>IF(AND('331-CT'!$E$7=TH!H593,OR(J593="331",K593="331")),"x","")</f>
        <v/>
      </c>
    </row>
    <row r="594" spans="1:12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301</v>
      </c>
      <c r="G594" s="267"/>
      <c r="H594" s="9" t="s">
        <v>306</v>
      </c>
      <c r="I594" s="74">
        <v>100000000</v>
      </c>
      <c r="J594" s="75" t="s">
        <v>18</v>
      </c>
      <c r="K594" s="75" t="s">
        <v>54</v>
      </c>
      <c r="L594" s="134" t="str">
        <f>IF(AND('331-CT'!$E$7=TH!H594,OR(J594="331",K594="331")),"x","")</f>
        <v/>
      </c>
    </row>
    <row r="595" spans="1:12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7"/>
      <c r="H595" s="122"/>
      <c r="I595" s="74">
        <v>30000</v>
      </c>
      <c r="J595" s="75" t="s">
        <v>242</v>
      </c>
      <c r="K595" s="75" t="s">
        <v>54</v>
      </c>
      <c r="L595" s="134" t="str">
        <f>IF(AND('331-CT'!$E$7=TH!H595,OR(J595="331",K595="331")),"x","")</f>
        <v/>
      </c>
    </row>
    <row r="596" spans="1:12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7"/>
      <c r="H596" s="122"/>
      <c r="I596" s="74">
        <v>3000</v>
      </c>
      <c r="J596" s="75" t="s">
        <v>19</v>
      </c>
      <c r="K596" s="75" t="s">
        <v>54</v>
      </c>
      <c r="L596" s="134" t="str">
        <f>IF(AND('331-CT'!$E$7=TH!H596,OR(J596="331",K596="331")),"x","")</f>
        <v/>
      </c>
    </row>
    <row r="597" spans="1:12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330</v>
      </c>
      <c r="G597" s="272" t="s">
        <v>535</v>
      </c>
      <c r="H597" s="122" t="s">
        <v>331</v>
      </c>
      <c r="I597" s="74">
        <v>3127345</v>
      </c>
      <c r="J597" s="75" t="s">
        <v>655</v>
      </c>
      <c r="K597" s="75" t="s">
        <v>203</v>
      </c>
      <c r="L597" s="134" t="str">
        <f>IF(AND('331-CT'!$E$7=TH!H597,OR(J597="331",K597="331")),"x","")</f>
        <v/>
      </c>
    </row>
    <row r="598" spans="1:12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332</v>
      </c>
      <c r="G598" s="272" t="s">
        <v>535</v>
      </c>
      <c r="H598" s="122" t="s">
        <v>331</v>
      </c>
      <c r="I598" s="74">
        <v>312734</v>
      </c>
      <c r="J598" s="75" t="s">
        <v>19</v>
      </c>
      <c r="K598" s="75" t="s">
        <v>203</v>
      </c>
      <c r="L598" s="134" t="str">
        <f>IF(AND('331-CT'!$E$7=TH!H598,OR(J598="331",K598="331")),"x","")</f>
        <v/>
      </c>
    </row>
    <row r="599" spans="1:12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333</v>
      </c>
      <c r="G599" s="272" t="s">
        <v>536</v>
      </c>
      <c r="H599" s="122" t="s">
        <v>335</v>
      </c>
      <c r="I599" s="74">
        <v>9662500</v>
      </c>
      <c r="J599" s="75" t="s">
        <v>655</v>
      </c>
      <c r="K599" s="75" t="s">
        <v>203</v>
      </c>
      <c r="L599" s="134" t="str">
        <f>IF(AND('331-CT'!$E$7=TH!H599,OR(J599="331",K599="331")),"x","")</f>
        <v/>
      </c>
    </row>
    <row r="600" spans="1:12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334</v>
      </c>
      <c r="G600" s="272" t="s">
        <v>536</v>
      </c>
      <c r="H600" s="122" t="s">
        <v>335</v>
      </c>
      <c r="I600" s="74">
        <v>966250</v>
      </c>
      <c r="J600" s="75" t="s">
        <v>19</v>
      </c>
      <c r="K600" s="75" t="s">
        <v>203</v>
      </c>
      <c r="L600" s="134" t="str">
        <f>IF(AND('331-CT'!$E$7=TH!H600,OR(J600="331",K600="331")),"x","")</f>
        <v/>
      </c>
    </row>
    <row r="601" spans="1:12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310</v>
      </c>
      <c r="G601" s="137" t="s">
        <v>309</v>
      </c>
      <c r="H601" s="9" t="s">
        <v>312</v>
      </c>
      <c r="I601" s="74">
        <v>19645867</v>
      </c>
      <c r="J601" s="75" t="s">
        <v>655</v>
      </c>
      <c r="K601" s="75" t="s">
        <v>18</v>
      </c>
      <c r="L601" s="134" t="str">
        <f>IF(AND('331-CT'!$E$7=TH!H601,OR(J601="331",K601="331")),"x","")</f>
        <v/>
      </c>
    </row>
    <row r="602" spans="1:12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311</v>
      </c>
      <c r="G602" s="137" t="s">
        <v>309</v>
      </c>
      <c r="H602" s="9" t="s">
        <v>312</v>
      </c>
      <c r="I602" s="74">
        <v>1964587</v>
      </c>
      <c r="J602" s="75" t="s">
        <v>19</v>
      </c>
      <c r="K602" s="75" t="s">
        <v>18</v>
      </c>
      <c r="L602" s="134" t="str">
        <f>IF(AND('331-CT'!$E$7=TH!H602,OR(J602="331",K602="331")),"x","")</f>
        <v/>
      </c>
    </row>
    <row r="603" spans="1:12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576</v>
      </c>
      <c r="G603" s="267"/>
      <c r="H603" s="122" t="s">
        <v>272</v>
      </c>
      <c r="I603" s="74">
        <v>30000000</v>
      </c>
      <c r="J603" s="75" t="s">
        <v>54</v>
      </c>
      <c r="K603" s="75" t="s">
        <v>203</v>
      </c>
      <c r="L603" s="134" t="str">
        <f>IF(AND('331-CT'!$E$7=TH!H603,OR(J603="331",K603="331")),"x","")</f>
        <v/>
      </c>
    </row>
    <row r="604" spans="1:12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336</v>
      </c>
      <c r="G604" s="273" t="s">
        <v>537</v>
      </c>
      <c r="H604" s="132" t="s">
        <v>188</v>
      </c>
      <c r="I604" s="133">
        <v>2012800</v>
      </c>
      <c r="J604" s="134" t="s">
        <v>242</v>
      </c>
      <c r="K604" s="134" t="s">
        <v>203</v>
      </c>
      <c r="L604" s="134" t="str">
        <f>IF(AND('331-CT'!$E$7=TH!H604,OR(J604="331",K604="331")),"x","")</f>
        <v/>
      </c>
    </row>
    <row r="605" spans="1:12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337</v>
      </c>
      <c r="G605" s="272" t="s">
        <v>537</v>
      </c>
      <c r="H605" s="132" t="s">
        <v>188</v>
      </c>
      <c r="I605" s="74">
        <v>100640</v>
      </c>
      <c r="J605" s="75" t="s">
        <v>19</v>
      </c>
      <c r="K605" s="75" t="s">
        <v>203</v>
      </c>
      <c r="L605" s="134" t="str">
        <f>IF(AND('331-CT'!$E$7=TH!H605,OR(J605="331",K605="331")),"x","")</f>
        <v/>
      </c>
    </row>
    <row r="606" spans="1:12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333</v>
      </c>
      <c r="G606" s="272" t="s">
        <v>538</v>
      </c>
      <c r="H606" s="122" t="s">
        <v>335</v>
      </c>
      <c r="I606" s="74">
        <v>9662500</v>
      </c>
      <c r="J606" s="75" t="s">
        <v>655</v>
      </c>
      <c r="K606" s="75" t="s">
        <v>203</v>
      </c>
      <c r="L606" s="134" t="str">
        <f>IF(AND('331-CT'!$E$7=TH!H606,OR(J606="331",K606="331")),"x","")</f>
        <v/>
      </c>
    </row>
    <row r="607" spans="1:12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334</v>
      </c>
      <c r="G607" s="272" t="s">
        <v>538</v>
      </c>
      <c r="H607" s="122" t="s">
        <v>335</v>
      </c>
      <c r="I607" s="74">
        <v>966250</v>
      </c>
      <c r="J607" s="75" t="s">
        <v>19</v>
      </c>
      <c r="K607" s="75" t="s">
        <v>203</v>
      </c>
      <c r="L607" s="134" t="str">
        <f>IF(AND('331-CT'!$E$7=TH!H607,OR(J607="331",K607="331")),"x","")</f>
        <v/>
      </c>
    </row>
    <row r="608" spans="1:12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325</v>
      </c>
      <c r="G608" s="267"/>
      <c r="H608" s="122" t="s">
        <v>326</v>
      </c>
      <c r="I608" s="74">
        <v>1500000000</v>
      </c>
      <c r="J608" s="75" t="s">
        <v>54</v>
      </c>
      <c r="K608" s="75" t="s">
        <v>227</v>
      </c>
      <c r="L608" s="134" t="str">
        <f>IF(AND('331-CT'!$E$7=TH!H608,OR(J608="331",K608="331")),"x","")</f>
        <v/>
      </c>
    </row>
    <row r="609" spans="1:12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301</v>
      </c>
      <c r="G609" s="267"/>
      <c r="H609" s="9" t="s">
        <v>306</v>
      </c>
      <c r="I609" s="74">
        <v>200000000</v>
      </c>
      <c r="J609" s="75" t="s">
        <v>18</v>
      </c>
      <c r="K609" s="75" t="s">
        <v>54</v>
      </c>
      <c r="L609" s="134" t="str">
        <f>IF(AND('331-CT'!$E$7=TH!H609,OR(J609="331",K609="331")),"x","")</f>
        <v/>
      </c>
    </row>
    <row r="610" spans="1:12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7"/>
      <c r="H610" s="122"/>
      <c r="I610" s="74">
        <v>60000</v>
      </c>
      <c r="J610" s="75" t="s">
        <v>242</v>
      </c>
      <c r="K610" s="75" t="s">
        <v>54</v>
      </c>
      <c r="L610" s="134" t="str">
        <f>IF(AND('331-CT'!$E$7=TH!H610,OR(J610="331",K610="331")),"x","")</f>
        <v/>
      </c>
    </row>
    <row r="611" spans="1:12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7"/>
      <c r="H611" s="122"/>
      <c r="I611" s="74">
        <v>6000</v>
      </c>
      <c r="J611" s="75" t="s">
        <v>19</v>
      </c>
      <c r="K611" s="75" t="s">
        <v>54</v>
      </c>
      <c r="L611" s="134" t="str">
        <f>IF(AND('331-CT'!$E$7=TH!H611,OR(J611="331",K611="331")),"x","")</f>
        <v/>
      </c>
    </row>
    <row r="612" spans="1:12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301</v>
      </c>
      <c r="G612" s="267"/>
      <c r="H612" s="122" t="s">
        <v>85</v>
      </c>
      <c r="I612" s="74">
        <v>1000000000</v>
      </c>
      <c r="J612" s="75" t="s">
        <v>18</v>
      </c>
      <c r="K612" s="75" t="s">
        <v>54</v>
      </c>
      <c r="L612" s="134" t="str">
        <f>IF(AND('331-CT'!$E$7=TH!H612,OR(J612="331",K612="331")),"x","")</f>
        <v/>
      </c>
    </row>
    <row r="613" spans="1:12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7"/>
      <c r="H613" s="122"/>
      <c r="I613" s="74">
        <v>500000</v>
      </c>
      <c r="J613" s="75" t="s">
        <v>242</v>
      </c>
      <c r="K613" s="75" t="s">
        <v>54</v>
      </c>
      <c r="L613" s="134" t="str">
        <f>IF(AND('331-CT'!$E$7=TH!H613,OR(J613="331",K613="331")),"x","")</f>
        <v/>
      </c>
    </row>
    <row r="614" spans="1:12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7"/>
      <c r="H614" s="122"/>
      <c r="I614" s="74">
        <v>50000</v>
      </c>
      <c r="J614" s="75" t="s">
        <v>19</v>
      </c>
      <c r="K614" s="75" t="s">
        <v>54</v>
      </c>
      <c r="L614" s="134" t="str">
        <f>IF(AND('331-CT'!$E$7=TH!H614,OR(J614="331",K614="331")),"x","")</f>
        <v/>
      </c>
    </row>
    <row r="615" spans="1:12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289</v>
      </c>
      <c r="G615" s="272" t="s">
        <v>573</v>
      </c>
      <c r="H615" s="122" t="s">
        <v>85</v>
      </c>
      <c r="I615" s="74">
        <v>909090909</v>
      </c>
      <c r="J615" s="136" t="s">
        <v>655</v>
      </c>
      <c r="K615" s="75" t="s">
        <v>18</v>
      </c>
      <c r="L615" s="134" t="str">
        <f>IF(AND('331-CT'!$E$7=TH!H615,OR(J615="331",K615="331")),"x","")</f>
        <v/>
      </c>
    </row>
    <row r="616" spans="1:12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290</v>
      </c>
      <c r="G616" s="272" t="s">
        <v>573</v>
      </c>
      <c r="H616" s="122" t="s">
        <v>85</v>
      </c>
      <c r="I616" s="74">
        <v>90909091</v>
      </c>
      <c r="J616" s="136" t="s">
        <v>19</v>
      </c>
      <c r="K616" s="75" t="s">
        <v>18</v>
      </c>
      <c r="L616" s="134" t="str">
        <f>IF(AND('331-CT'!$E$7=TH!H616,OR(J616="331",K616="331")),"x","")</f>
        <v/>
      </c>
    </row>
    <row r="617" spans="1:12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301</v>
      </c>
      <c r="G617" s="267"/>
      <c r="H617" s="9" t="s">
        <v>190</v>
      </c>
      <c r="I617" s="74">
        <v>250000000</v>
      </c>
      <c r="J617" s="75" t="s">
        <v>18</v>
      </c>
      <c r="K617" s="75" t="s">
        <v>54</v>
      </c>
      <c r="L617" s="134" t="str">
        <f>IF(AND('331-CT'!$E$7=TH!H617,OR(J617="331",K617="331")),"x","")</f>
        <v/>
      </c>
    </row>
    <row r="618" spans="1:12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7"/>
      <c r="H618" s="122"/>
      <c r="I618" s="74">
        <v>125000</v>
      </c>
      <c r="J618" s="75" t="s">
        <v>242</v>
      </c>
      <c r="K618" s="75" t="s">
        <v>54</v>
      </c>
      <c r="L618" s="134" t="str">
        <f>IF(AND('331-CT'!$E$7=TH!H618,OR(J618="331",K618="331")),"x","")</f>
        <v/>
      </c>
    </row>
    <row r="619" spans="1:12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7"/>
      <c r="H619" s="122"/>
      <c r="I619" s="74">
        <v>12500</v>
      </c>
      <c r="J619" s="75" t="s">
        <v>19</v>
      </c>
      <c r="K619" s="75" t="s">
        <v>54</v>
      </c>
      <c r="L619" s="134" t="str">
        <f>IF(AND('331-CT'!$E$7=TH!H619,OR(J619="331",K619="331")),"x","")</f>
        <v/>
      </c>
    </row>
    <row r="620" spans="1:12" ht="13.5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307</v>
      </c>
      <c r="G620" s="267"/>
      <c r="H620" s="9" t="s">
        <v>312</v>
      </c>
      <c r="I620" s="74">
        <v>21610454</v>
      </c>
      <c r="J620" s="75" t="s">
        <v>18</v>
      </c>
      <c r="K620" s="75" t="s">
        <v>54</v>
      </c>
      <c r="L620" s="134" t="str">
        <f>IF(AND('331-CT'!$E$7=TH!H620,OR(J620="331",K620="331")),"x","")</f>
        <v/>
      </c>
    </row>
    <row r="621" spans="1:12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576</v>
      </c>
      <c r="G621" s="267"/>
      <c r="H621" s="122" t="s">
        <v>308</v>
      </c>
      <c r="I621" s="74">
        <v>500000000</v>
      </c>
      <c r="J621" s="75" t="s">
        <v>54</v>
      </c>
      <c r="K621" s="75" t="s">
        <v>203</v>
      </c>
      <c r="L621" s="134" t="str">
        <f>IF(AND('331-CT'!$E$7=TH!H621,OR(J621="331",K621="331")),"x","")</f>
        <v/>
      </c>
    </row>
    <row r="622" spans="1:12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338</v>
      </c>
      <c r="G622" s="272" t="s">
        <v>539</v>
      </c>
      <c r="H622" s="122" t="s">
        <v>339</v>
      </c>
      <c r="I622" s="74">
        <v>2400000</v>
      </c>
      <c r="J622" s="75" t="s">
        <v>655</v>
      </c>
      <c r="K622" s="75" t="s">
        <v>203</v>
      </c>
      <c r="L622" s="134" t="str">
        <f>IF(AND('331-CT'!$E$7=TH!H622,OR(J622="331",K622="331")),"x","")</f>
        <v/>
      </c>
    </row>
    <row r="623" spans="1:12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340</v>
      </c>
      <c r="G623" s="272" t="s">
        <v>540</v>
      </c>
      <c r="H623" s="122" t="s">
        <v>280</v>
      </c>
      <c r="I623" s="74">
        <v>38267</v>
      </c>
      <c r="J623" s="75" t="s">
        <v>242</v>
      </c>
      <c r="K623" s="75" t="s">
        <v>203</v>
      </c>
      <c r="L623" s="134" t="str">
        <f>IF(AND('331-CT'!$E$7=TH!H623,OR(J623="331",K623="331")),"x","")</f>
        <v/>
      </c>
    </row>
    <row r="624" spans="1:12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341</v>
      </c>
      <c r="G624" s="272" t="s">
        <v>540</v>
      </c>
      <c r="H624" s="122" t="s">
        <v>280</v>
      </c>
      <c r="I624" s="74">
        <v>3827</v>
      </c>
      <c r="J624" s="75" t="s">
        <v>19</v>
      </c>
      <c r="K624" s="75" t="s">
        <v>203</v>
      </c>
      <c r="L624" s="134" t="str">
        <f>IF(AND('331-CT'!$E$7=TH!H624,OR(J624="331",K624="331")),"x","")</f>
        <v/>
      </c>
    </row>
    <row r="625" spans="1:12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342</v>
      </c>
      <c r="G625" s="272" t="s">
        <v>541</v>
      </c>
      <c r="H625" s="122" t="s">
        <v>280</v>
      </c>
      <c r="I625" s="74">
        <v>15300</v>
      </c>
      <c r="J625" s="75" t="s">
        <v>242</v>
      </c>
      <c r="K625" s="75" t="s">
        <v>203</v>
      </c>
      <c r="L625" s="134" t="str">
        <f>IF(AND('331-CT'!$E$7=TH!H625,OR(J625="331",K625="331")),"x","")</f>
        <v/>
      </c>
    </row>
    <row r="626" spans="1:12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343</v>
      </c>
      <c r="G626" s="272" t="s">
        <v>541</v>
      </c>
      <c r="H626" s="122" t="s">
        <v>280</v>
      </c>
      <c r="I626" s="74">
        <v>1530</v>
      </c>
      <c r="J626" s="75" t="s">
        <v>19</v>
      </c>
      <c r="K626" s="75" t="s">
        <v>203</v>
      </c>
      <c r="L626" s="134" t="str">
        <f>IF(AND('331-CT'!$E$7=TH!H626,OR(J626="331",K626="331")),"x","")</f>
        <v/>
      </c>
    </row>
    <row r="627" spans="1:12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344</v>
      </c>
      <c r="G627" s="272" t="s">
        <v>542</v>
      </c>
      <c r="H627" s="122" t="s">
        <v>280</v>
      </c>
      <c r="I627" s="74">
        <v>133000</v>
      </c>
      <c r="J627" s="75" t="s">
        <v>242</v>
      </c>
      <c r="K627" s="75" t="s">
        <v>203</v>
      </c>
      <c r="L627" s="134" t="str">
        <f>IF(AND('331-CT'!$E$7=TH!H627,OR(J627="331",K627="331")),"x","")</f>
        <v/>
      </c>
    </row>
    <row r="628" spans="1:12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345</v>
      </c>
      <c r="G628" s="272" t="s">
        <v>542</v>
      </c>
      <c r="H628" s="122" t="s">
        <v>280</v>
      </c>
      <c r="I628" s="74">
        <v>13300</v>
      </c>
      <c r="J628" s="75" t="s">
        <v>19</v>
      </c>
      <c r="K628" s="75" t="s">
        <v>203</v>
      </c>
      <c r="L628" s="134" t="str">
        <f>IF(AND('331-CT'!$E$7=TH!H628,OR(J628="331",K628="331")),"x","")</f>
        <v/>
      </c>
    </row>
    <row r="629" spans="1:12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328</v>
      </c>
      <c r="G629" s="267" t="s">
        <v>327</v>
      </c>
      <c r="H629" s="9" t="s">
        <v>305</v>
      </c>
      <c r="I629" s="74">
        <v>136478605</v>
      </c>
      <c r="J629" s="75" t="s">
        <v>655</v>
      </c>
      <c r="K629" s="75" t="s">
        <v>18</v>
      </c>
      <c r="L629" s="134" t="str">
        <f>IF(AND('331-CT'!$E$7=TH!H629,OR(J629="331",K629="331")),"x","")</f>
        <v/>
      </c>
    </row>
    <row r="630" spans="1:12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329</v>
      </c>
      <c r="G630" s="267" t="s">
        <v>327</v>
      </c>
      <c r="H630" s="9" t="s">
        <v>305</v>
      </c>
      <c r="I630" s="74">
        <v>13647861</v>
      </c>
      <c r="J630" s="75" t="s">
        <v>19</v>
      </c>
      <c r="K630" s="75" t="s">
        <v>18</v>
      </c>
      <c r="L630" s="134" t="str">
        <f>IF(AND('331-CT'!$E$7=TH!H630,OR(J630="331",K630="331")),"x","")</f>
        <v/>
      </c>
    </row>
    <row r="631" spans="1:12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603</v>
      </c>
      <c r="G631" s="267"/>
      <c r="H631" s="9" t="s">
        <v>305</v>
      </c>
      <c r="I631" s="74">
        <v>327600</v>
      </c>
      <c r="J631" s="75" t="s">
        <v>242</v>
      </c>
      <c r="K631" s="75" t="s">
        <v>18</v>
      </c>
      <c r="L631" s="134" t="str">
        <f>IF(AND('331-CT'!$E$7=TH!H631,OR(J631="331",K631="331")),"x","")</f>
        <v/>
      </c>
    </row>
    <row r="632" spans="1:12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415</v>
      </c>
      <c r="G632" s="267"/>
      <c r="H632" s="122" t="s">
        <v>751</v>
      </c>
      <c r="I632" s="74">
        <v>105126466</v>
      </c>
      <c r="J632" s="75" t="s">
        <v>212</v>
      </c>
      <c r="K632" s="75" t="s">
        <v>54</v>
      </c>
      <c r="L632" s="134" t="str">
        <f>IF(AND('331-CT'!$E$7=TH!H632,OR(J632="331",K632="331")),"x","")</f>
        <v/>
      </c>
    </row>
    <row r="633" spans="1:12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423</v>
      </c>
      <c r="G633" s="267"/>
      <c r="H633" s="122"/>
      <c r="I633" s="74">
        <v>327600</v>
      </c>
      <c r="J633" s="75" t="s">
        <v>242</v>
      </c>
      <c r="K633" s="75" t="s">
        <v>54</v>
      </c>
      <c r="L633" s="134" t="str">
        <f>IF(AND('331-CT'!$E$7=TH!H633,OR(J633="331",K633="331")),"x","")</f>
        <v/>
      </c>
    </row>
    <row r="634" spans="1:12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301</v>
      </c>
      <c r="G634" s="267"/>
      <c r="H634" s="9" t="s">
        <v>305</v>
      </c>
      <c r="I634" s="74">
        <v>105454066</v>
      </c>
      <c r="J634" s="75" t="s">
        <v>18</v>
      </c>
      <c r="K634" s="75" t="s">
        <v>54</v>
      </c>
      <c r="L634" s="134" t="str">
        <f>IF(AND('331-CT'!$E$7=TH!H634,OR(J634="331",K634="331")),"x","")</f>
        <v/>
      </c>
    </row>
    <row r="635" spans="1:12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7"/>
      <c r="H635" s="9"/>
      <c r="I635" s="74">
        <v>31636</v>
      </c>
      <c r="J635" s="75" t="s">
        <v>242</v>
      </c>
      <c r="K635" s="75" t="s">
        <v>54</v>
      </c>
      <c r="L635" s="134" t="str">
        <f>IF(AND('331-CT'!$E$7=TH!H635,OR(J635="331",K635="331")),"x","")</f>
        <v/>
      </c>
    </row>
    <row r="636" spans="1:12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7"/>
      <c r="H636" s="9"/>
      <c r="I636" s="74">
        <v>3164</v>
      </c>
      <c r="J636" s="75" t="s">
        <v>19</v>
      </c>
      <c r="K636" s="75" t="s">
        <v>54</v>
      </c>
      <c r="L636" s="134" t="str">
        <f>IF(AND('331-CT'!$E$7=TH!H636,OR(J636="331",K636="331")),"x","")</f>
        <v/>
      </c>
    </row>
    <row r="637" spans="1:12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301</v>
      </c>
      <c r="G637" s="267"/>
      <c r="H637" s="9" t="s">
        <v>300</v>
      </c>
      <c r="I637" s="74">
        <v>55297700</v>
      </c>
      <c r="J637" s="75" t="s">
        <v>18</v>
      </c>
      <c r="K637" s="75" t="s">
        <v>54</v>
      </c>
      <c r="L637" s="134" t="str">
        <f>IF(AND('331-CT'!$E$7=TH!H637,OR(J637="331",K637="331")),"x","")</f>
        <v/>
      </c>
    </row>
    <row r="638" spans="1:12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7"/>
      <c r="H638" s="122"/>
      <c r="I638" s="74">
        <v>20000</v>
      </c>
      <c r="J638" s="75" t="s">
        <v>242</v>
      </c>
      <c r="K638" s="75" t="s">
        <v>54</v>
      </c>
      <c r="L638" s="134" t="str">
        <f>IF(AND('331-CT'!$E$7=TH!H638,OR(J638="331",K638="331")),"x","")</f>
        <v/>
      </c>
    </row>
    <row r="639" spans="1:12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7"/>
      <c r="H639" s="122"/>
      <c r="I639" s="74">
        <v>2000</v>
      </c>
      <c r="J639" s="75" t="s">
        <v>19</v>
      </c>
      <c r="K639" s="75" t="s">
        <v>54</v>
      </c>
      <c r="L639" s="134" t="str">
        <f>IF(AND('331-CT'!$E$7=TH!H639,OR(J639="331",K639="331")),"x","")</f>
        <v/>
      </c>
    </row>
    <row r="640" spans="1:12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416</v>
      </c>
      <c r="G640" s="267"/>
      <c r="H640" s="122" t="s">
        <v>417</v>
      </c>
      <c r="I640" s="74">
        <v>1500000000</v>
      </c>
      <c r="J640" s="75" t="s">
        <v>54</v>
      </c>
      <c r="K640" s="75" t="s">
        <v>227</v>
      </c>
      <c r="L640" s="134" t="str">
        <f>IF(AND('331-CT'!$E$7=TH!H640,OR(J640="331",K640="331")),"x","")</f>
        <v/>
      </c>
    </row>
    <row r="641" spans="1:12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301</v>
      </c>
      <c r="G641" s="267"/>
      <c r="H641" s="9" t="s">
        <v>269</v>
      </c>
      <c r="I641" s="74">
        <v>500000000</v>
      </c>
      <c r="J641" s="75" t="s">
        <v>18</v>
      </c>
      <c r="K641" s="75" t="s">
        <v>54</v>
      </c>
      <c r="L641" s="134" t="str">
        <f>IF(AND('331-CT'!$E$7=TH!H641,OR(J641="331",K641="331")),"x","")</f>
        <v/>
      </c>
    </row>
    <row r="642" spans="1:12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7"/>
      <c r="H642" s="122"/>
      <c r="I642" s="74">
        <v>250000</v>
      </c>
      <c r="J642" s="75" t="s">
        <v>242</v>
      </c>
      <c r="K642" s="75" t="s">
        <v>54</v>
      </c>
      <c r="L642" s="134" t="str">
        <f>IF(AND('331-CT'!$E$7=TH!H642,OR(J642="331",K642="331")),"x","")</f>
        <v/>
      </c>
    </row>
    <row r="643" spans="1:12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7"/>
      <c r="H643" s="122"/>
      <c r="I643" s="74">
        <v>25000</v>
      </c>
      <c r="J643" s="75" t="s">
        <v>19</v>
      </c>
      <c r="K643" s="75" t="s">
        <v>54</v>
      </c>
      <c r="L643" s="134" t="str">
        <f>IF(AND('331-CT'!$E$7=TH!H643,OR(J643="331",K643="331")),"x","")</f>
        <v/>
      </c>
    </row>
    <row r="644" spans="1:12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301</v>
      </c>
      <c r="G644" s="267"/>
      <c r="H644" s="9" t="s">
        <v>172</v>
      </c>
      <c r="I644" s="74">
        <v>100000000</v>
      </c>
      <c r="J644" s="75" t="s">
        <v>18</v>
      </c>
      <c r="K644" s="75" t="s">
        <v>54</v>
      </c>
      <c r="L644" s="134" t="str">
        <f>IF(AND('331-CT'!$E$7=TH!H644,OR(J644="331",K644="331")),"x","")</f>
        <v/>
      </c>
    </row>
    <row r="645" spans="1:12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7"/>
      <c r="H645" s="122"/>
      <c r="I645" s="74">
        <v>50000</v>
      </c>
      <c r="J645" s="75" t="s">
        <v>242</v>
      </c>
      <c r="K645" s="75" t="s">
        <v>54</v>
      </c>
      <c r="L645" s="134" t="str">
        <f>IF(AND('331-CT'!$E$7=TH!H645,OR(J645="331",K645="331")),"x","")</f>
        <v/>
      </c>
    </row>
    <row r="646" spans="1:12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7"/>
      <c r="H646" s="122"/>
      <c r="I646" s="74">
        <v>5000</v>
      </c>
      <c r="J646" s="75" t="s">
        <v>19</v>
      </c>
      <c r="K646" s="75" t="s">
        <v>54</v>
      </c>
      <c r="L646" s="134" t="str">
        <f>IF(AND('331-CT'!$E$7=TH!H646,OR(J646="331",K646="331")),"x","")</f>
        <v/>
      </c>
    </row>
    <row r="647" spans="1:12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301</v>
      </c>
      <c r="G647" s="267"/>
      <c r="H647" s="9" t="s">
        <v>138</v>
      </c>
      <c r="I647" s="74">
        <v>500000000</v>
      </c>
      <c r="J647" s="75" t="s">
        <v>18</v>
      </c>
      <c r="K647" s="75" t="s">
        <v>54</v>
      </c>
      <c r="L647" s="134" t="str">
        <f>IF(AND('331-CT'!$E$7=TH!H647,OR(J647="331",K647="331")),"x","")</f>
        <v/>
      </c>
    </row>
    <row r="648" spans="1:12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7"/>
      <c r="H648" s="122"/>
      <c r="I648" s="74">
        <v>150000</v>
      </c>
      <c r="J648" s="75" t="s">
        <v>242</v>
      </c>
      <c r="K648" s="75" t="s">
        <v>54</v>
      </c>
      <c r="L648" s="134" t="str">
        <f>IF(AND('331-CT'!$E$7=TH!H648,OR(J648="331",K648="331")),"x","")</f>
        <v/>
      </c>
    </row>
    <row r="649" spans="1:12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7"/>
      <c r="H649" s="122"/>
      <c r="I649" s="74">
        <v>15000</v>
      </c>
      <c r="J649" s="75" t="s">
        <v>19</v>
      </c>
      <c r="K649" s="75" t="s">
        <v>54</v>
      </c>
      <c r="L649" s="134" t="str">
        <f>IF(AND('331-CT'!$E$7=TH!H649,OR(J649="331",K649="331")),"x","")</f>
        <v/>
      </c>
    </row>
    <row r="650" spans="1:12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301</v>
      </c>
      <c r="G650" s="267"/>
      <c r="H650" s="9" t="s">
        <v>111</v>
      </c>
      <c r="I650" s="74">
        <v>400000000</v>
      </c>
      <c r="J650" s="75" t="s">
        <v>18</v>
      </c>
      <c r="K650" s="75" t="s">
        <v>54</v>
      </c>
      <c r="L650" s="134" t="str">
        <f>IF(AND('331-CT'!$E$7=TH!H650,OR(J650="331",K650="331")),"x","")</f>
        <v/>
      </c>
    </row>
    <row r="651" spans="1:12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7"/>
      <c r="H651" s="122"/>
      <c r="I651" s="74">
        <v>120000</v>
      </c>
      <c r="J651" s="75" t="s">
        <v>242</v>
      </c>
      <c r="K651" s="75" t="s">
        <v>54</v>
      </c>
      <c r="L651" s="134" t="str">
        <f>IF(AND('331-CT'!$E$7=TH!H651,OR(J651="331",K651="331")),"x","")</f>
        <v/>
      </c>
    </row>
    <row r="652" spans="1:12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7"/>
      <c r="H652" s="122"/>
      <c r="I652" s="74">
        <v>12000</v>
      </c>
      <c r="J652" s="75" t="s">
        <v>19</v>
      </c>
      <c r="K652" s="75" t="s">
        <v>54</v>
      </c>
      <c r="L652" s="134" t="str">
        <f>IF(AND('331-CT'!$E$7=TH!H652,OR(J652="331",K652="331")),"x","")</f>
        <v/>
      </c>
    </row>
    <row r="653" spans="1:12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338</v>
      </c>
      <c r="G653" s="272" t="s">
        <v>543</v>
      </c>
      <c r="H653" s="122" t="s">
        <v>339</v>
      </c>
      <c r="I653" s="74">
        <v>1200000</v>
      </c>
      <c r="J653" s="75" t="s">
        <v>655</v>
      </c>
      <c r="K653" s="75" t="s">
        <v>203</v>
      </c>
      <c r="L653" s="134" t="str">
        <f>IF(AND('331-CT'!$E$7=TH!H653,OR(J653="331",K653="331")),"x","")</f>
        <v/>
      </c>
    </row>
    <row r="654" spans="1:12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353</v>
      </c>
      <c r="G654" s="267" t="s">
        <v>352</v>
      </c>
      <c r="H654" s="122" t="s">
        <v>300</v>
      </c>
      <c r="I654" s="74">
        <v>93590909</v>
      </c>
      <c r="J654" s="75" t="s">
        <v>655</v>
      </c>
      <c r="K654" s="75" t="s">
        <v>18</v>
      </c>
      <c r="L654" s="134" t="str">
        <f>IF(AND('331-CT'!$E$7=TH!H654,OR(J654="331",K654="331")),"x","")</f>
        <v/>
      </c>
    </row>
    <row r="655" spans="1:12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354</v>
      </c>
      <c r="G655" s="267" t="s">
        <v>352</v>
      </c>
      <c r="H655" s="122" t="s">
        <v>300</v>
      </c>
      <c r="I655" s="74">
        <v>9359091</v>
      </c>
      <c r="J655" s="75" t="s">
        <v>19</v>
      </c>
      <c r="K655" s="75" t="s">
        <v>18</v>
      </c>
      <c r="L655" s="134" t="str">
        <f>IF(AND('331-CT'!$E$7=TH!H655,OR(J655="331",K655="331")),"x","")</f>
        <v/>
      </c>
    </row>
    <row r="656" spans="1:12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350</v>
      </c>
      <c r="G656" s="267" t="s">
        <v>349</v>
      </c>
      <c r="H656" s="122" t="s">
        <v>300</v>
      </c>
      <c r="I656" s="74">
        <v>171163636</v>
      </c>
      <c r="J656" s="75" t="s">
        <v>655</v>
      </c>
      <c r="K656" s="75" t="s">
        <v>18</v>
      </c>
      <c r="L656" s="134" t="str">
        <f>IF(AND('331-CT'!$E$7=TH!H656,OR(J656="331",K656="331")),"x","")</f>
        <v/>
      </c>
    </row>
    <row r="657" spans="1:12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351</v>
      </c>
      <c r="G657" s="267" t="s">
        <v>349</v>
      </c>
      <c r="H657" s="122" t="s">
        <v>300</v>
      </c>
      <c r="I657" s="74">
        <v>17116364</v>
      </c>
      <c r="J657" s="75" t="s">
        <v>19</v>
      </c>
      <c r="K657" s="75" t="s">
        <v>18</v>
      </c>
      <c r="L657" s="134" t="str">
        <f>IF(AND('331-CT'!$E$7=TH!H657,OR(J657="331",K657="331")),"x","")</f>
        <v/>
      </c>
    </row>
    <row r="658" spans="1:12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7"/>
      <c r="H658" s="122" t="s">
        <v>314</v>
      </c>
      <c r="I658" s="74">
        <v>7916667</v>
      </c>
      <c r="J658" s="75" t="s">
        <v>240</v>
      </c>
      <c r="K658" s="75" t="s">
        <v>54</v>
      </c>
      <c r="L658" s="134" t="str">
        <f>IF(AND('331-CT'!$E$7=TH!H658,OR(J658="331",K658="331")),"x","")</f>
        <v/>
      </c>
    </row>
    <row r="659" spans="1:12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7"/>
      <c r="H659" s="122" t="s">
        <v>315</v>
      </c>
      <c r="I659" s="74">
        <v>15833333</v>
      </c>
      <c r="J659" s="75" t="s">
        <v>240</v>
      </c>
      <c r="K659" s="75" t="s">
        <v>54</v>
      </c>
      <c r="L659" s="134" t="str">
        <f>IF(AND('331-CT'!$E$7=TH!H659,OR(J659="331",K659="331")),"x","")</f>
        <v/>
      </c>
    </row>
    <row r="660" spans="1:12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7"/>
      <c r="H660" s="122" t="s">
        <v>317</v>
      </c>
      <c r="I660" s="74">
        <v>12666667</v>
      </c>
      <c r="J660" s="75" t="s">
        <v>240</v>
      </c>
      <c r="K660" s="75" t="s">
        <v>54</v>
      </c>
      <c r="L660" s="134" t="str">
        <f>IF(AND('331-CT'!$E$7=TH!H660,OR(J660="331",K660="331")),"x","")</f>
        <v/>
      </c>
    </row>
    <row r="661" spans="1:12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7"/>
      <c r="H661" s="122" t="s">
        <v>316</v>
      </c>
      <c r="I661" s="74">
        <v>11875000</v>
      </c>
      <c r="J661" s="75" t="s">
        <v>240</v>
      </c>
      <c r="K661" s="75" t="s">
        <v>54</v>
      </c>
      <c r="L661" s="134" t="str">
        <f>IF(AND('331-CT'!$E$7=TH!H661,OR(J661="331",K661="331")),"x","")</f>
        <v/>
      </c>
    </row>
    <row r="662" spans="1:12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7"/>
      <c r="H662" s="122" t="s">
        <v>318</v>
      </c>
      <c r="I662" s="74">
        <v>7916667</v>
      </c>
      <c r="J662" s="75" t="s">
        <v>240</v>
      </c>
      <c r="K662" s="75" t="s">
        <v>54</v>
      </c>
      <c r="L662" s="134" t="str">
        <f>IF(AND('331-CT'!$E$7=TH!H662,OR(J662="331",K662="331")),"x","")</f>
        <v/>
      </c>
    </row>
    <row r="663" spans="1:12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7"/>
      <c r="H663" s="123" t="s">
        <v>319</v>
      </c>
      <c r="I663" s="74">
        <v>11875000</v>
      </c>
      <c r="J663" s="75" t="s">
        <v>240</v>
      </c>
      <c r="K663" s="75" t="s">
        <v>54</v>
      </c>
      <c r="L663" s="134" t="str">
        <f>IF(AND('331-CT'!$E$7=TH!H663,OR(J663="331",K663="331")),"x","")</f>
        <v/>
      </c>
    </row>
    <row r="664" spans="1:12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273</v>
      </c>
      <c r="G664" s="267"/>
      <c r="H664" s="122" t="s">
        <v>320</v>
      </c>
      <c r="I664" s="74">
        <v>15833333</v>
      </c>
      <c r="J664" s="75" t="s">
        <v>240</v>
      </c>
      <c r="K664" s="75" t="s">
        <v>54</v>
      </c>
      <c r="L664" s="134" t="str">
        <f>IF(AND('331-CT'!$E$7=TH!H664,OR(J664="331",K664="331")),"x","")</f>
        <v/>
      </c>
    </row>
    <row r="665" spans="1:12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303</v>
      </c>
      <c r="G665" s="267"/>
      <c r="H665" s="122" t="s">
        <v>321</v>
      </c>
      <c r="I665" s="74">
        <v>11083333</v>
      </c>
      <c r="J665" s="75" t="s">
        <v>240</v>
      </c>
      <c r="K665" s="75" t="s">
        <v>54</v>
      </c>
      <c r="L665" s="134" t="str">
        <f>IF(AND('331-CT'!$E$7=TH!H665,OR(J665="331",K665="331")),"x","")</f>
        <v/>
      </c>
    </row>
    <row r="666" spans="1:12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304</v>
      </c>
      <c r="G666" s="267"/>
      <c r="H666" s="122" t="s">
        <v>322</v>
      </c>
      <c r="I666" s="74">
        <v>11875000</v>
      </c>
      <c r="J666" s="75" t="s">
        <v>240</v>
      </c>
      <c r="K666" s="75" t="s">
        <v>54</v>
      </c>
      <c r="L666" s="134" t="str">
        <f>IF(AND('331-CT'!$E$7=TH!H666,OR(J666="331",K666="331")),"x","")</f>
        <v/>
      </c>
    </row>
    <row r="667" spans="1:12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418</v>
      </c>
      <c r="G667" s="267"/>
      <c r="H667" s="122" t="s">
        <v>324</v>
      </c>
      <c r="I667" s="74">
        <v>15833333</v>
      </c>
      <c r="J667" s="75" t="s">
        <v>240</v>
      </c>
      <c r="K667" s="75" t="s">
        <v>54</v>
      </c>
      <c r="L667" s="134" t="str">
        <f>IF(AND('331-CT'!$E$7=TH!H667,OR(J667="331",K667="331")),"x","")</f>
        <v/>
      </c>
    </row>
    <row r="668" spans="1:12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576</v>
      </c>
      <c r="G668" s="267"/>
      <c r="H668" s="122" t="s">
        <v>272</v>
      </c>
      <c r="I668" s="74">
        <v>500000000</v>
      </c>
      <c r="J668" s="75" t="s">
        <v>54</v>
      </c>
      <c r="K668" s="75" t="s">
        <v>203</v>
      </c>
      <c r="L668" s="134" t="str">
        <f>IF(AND('331-CT'!$E$7=TH!H668,OR(J668="331",K668="331")),"x","")</f>
        <v/>
      </c>
    </row>
    <row r="669" spans="1:12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350</v>
      </c>
      <c r="G669" s="267" t="s">
        <v>355</v>
      </c>
      <c r="H669" s="122" t="s">
        <v>300</v>
      </c>
      <c r="I669" s="74">
        <v>136384091</v>
      </c>
      <c r="J669" s="75" t="s">
        <v>655</v>
      </c>
      <c r="K669" s="75" t="s">
        <v>18</v>
      </c>
      <c r="L669" s="134" t="str">
        <f>IF(AND('331-CT'!$E$7=TH!H669,OR(J669="331",K669="331")),"x","")</f>
        <v/>
      </c>
    </row>
    <row r="670" spans="1:12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351</v>
      </c>
      <c r="G670" s="267" t="s">
        <v>355</v>
      </c>
      <c r="H670" s="122" t="s">
        <v>300</v>
      </c>
      <c r="I670" s="74">
        <v>13638409</v>
      </c>
      <c r="J670" s="75" t="s">
        <v>19</v>
      </c>
      <c r="K670" s="75" t="s">
        <v>18</v>
      </c>
      <c r="L670" s="134" t="str">
        <f>IF(AND('331-CT'!$E$7=TH!H670,OR(J670="331",K670="331")),"x","")</f>
        <v/>
      </c>
    </row>
    <row r="671" spans="1:12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358</v>
      </c>
      <c r="G671" s="267" t="s">
        <v>356</v>
      </c>
      <c r="H671" s="122" t="s">
        <v>357</v>
      </c>
      <c r="I671" s="74">
        <v>48236364</v>
      </c>
      <c r="J671" s="75" t="s">
        <v>655</v>
      </c>
      <c r="K671" s="75" t="s">
        <v>18</v>
      </c>
      <c r="L671" s="134" t="str">
        <f>IF(AND('331-CT'!$E$7=TH!H671,OR(J671="331",K671="331")),"x","")</f>
        <v/>
      </c>
    </row>
    <row r="672" spans="1:12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359</v>
      </c>
      <c r="G672" s="267" t="s">
        <v>356</v>
      </c>
      <c r="H672" s="122" t="s">
        <v>357</v>
      </c>
      <c r="I672" s="74">
        <v>4823636</v>
      </c>
      <c r="J672" s="75" t="s">
        <v>19</v>
      </c>
      <c r="K672" s="75" t="s">
        <v>18</v>
      </c>
      <c r="L672" s="134" t="str">
        <f>IF(AND('331-CT'!$E$7=TH!H672,OR(J672="331",K672="331")),"x","")</f>
        <v/>
      </c>
    </row>
    <row r="673" spans="1:12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347</v>
      </c>
      <c r="G673" s="272" t="s">
        <v>544</v>
      </c>
      <c r="H673" s="122" t="s">
        <v>348</v>
      </c>
      <c r="I673" s="74">
        <v>1275000</v>
      </c>
      <c r="J673" s="75" t="s">
        <v>19</v>
      </c>
      <c r="K673" s="75" t="s">
        <v>203</v>
      </c>
      <c r="L673" s="134" t="str">
        <f>IF(AND('331-CT'!$E$7=TH!H673,OR(J673="331",K673="331")),"x","")</f>
        <v/>
      </c>
    </row>
    <row r="674" spans="1:12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346</v>
      </c>
      <c r="G674" s="272" t="s">
        <v>544</v>
      </c>
      <c r="H674" s="122" t="s">
        <v>348</v>
      </c>
      <c r="I674" s="74">
        <v>12750000</v>
      </c>
      <c r="J674" s="75" t="s">
        <v>655</v>
      </c>
      <c r="K674" s="75" t="s">
        <v>203</v>
      </c>
      <c r="L674" s="134" t="str">
        <f>IF(AND('331-CT'!$E$7=TH!H674,OR(J674="331",K674="331")),"x","")</f>
        <v/>
      </c>
    </row>
    <row r="675" spans="1:12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463</v>
      </c>
      <c r="G675" s="267" t="s">
        <v>410</v>
      </c>
      <c r="H675" s="122" t="s">
        <v>190</v>
      </c>
      <c r="I675" s="74">
        <v>90286944</v>
      </c>
      <c r="J675" s="75" t="s">
        <v>655</v>
      </c>
      <c r="K675" s="75" t="s">
        <v>18</v>
      </c>
      <c r="L675" s="134" t="str">
        <f>IF(AND('331-CT'!$E$7=TH!H675,OR(J675="331",K675="331")),"x","")</f>
        <v/>
      </c>
    </row>
    <row r="676" spans="1:12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411</v>
      </c>
      <c r="G676" s="267" t="s">
        <v>410</v>
      </c>
      <c r="H676" s="122" t="s">
        <v>190</v>
      </c>
      <c r="I676" s="74">
        <v>9028694</v>
      </c>
      <c r="J676" s="75" t="s">
        <v>19</v>
      </c>
      <c r="K676" s="75" t="s">
        <v>18</v>
      </c>
      <c r="L676" s="134" t="str">
        <f>IF(AND('331-CT'!$E$7=TH!H676,OR(J676="331",K676="331")),"x","")</f>
        <v/>
      </c>
    </row>
    <row r="677" spans="1:12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7"/>
      <c r="H677" s="122"/>
      <c r="I677" s="74">
        <v>141171</v>
      </c>
      <c r="J677" s="75" t="s">
        <v>54</v>
      </c>
      <c r="K677" s="75" t="s">
        <v>99</v>
      </c>
      <c r="L677" s="134" t="str">
        <f>IF(AND('331-CT'!$E$7=TH!H677,OR(J677="331",K677="331")),"x","")</f>
        <v/>
      </c>
    </row>
    <row r="678" spans="1:12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301</v>
      </c>
      <c r="G678" s="267"/>
      <c r="H678" s="122" t="s">
        <v>85</v>
      </c>
      <c r="I678" s="74">
        <v>300000000</v>
      </c>
      <c r="J678" s="75" t="s">
        <v>18</v>
      </c>
      <c r="K678" s="75" t="s">
        <v>54</v>
      </c>
      <c r="L678" s="134" t="str">
        <f>IF(AND('331-CT'!$E$7=TH!H678,OR(J678="331",K678="331")),"x","")</f>
        <v/>
      </c>
    </row>
    <row r="679" spans="1:12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7"/>
      <c r="H679" s="122"/>
      <c r="I679" s="74">
        <v>150000</v>
      </c>
      <c r="J679" s="75" t="s">
        <v>242</v>
      </c>
      <c r="K679" s="75" t="s">
        <v>54</v>
      </c>
      <c r="L679" s="134" t="str">
        <f>IF(AND('331-CT'!$E$7=TH!H679,OR(J679="331",K679="331")),"x","")</f>
        <v/>
      </c>
    </row>
    <row r="680" spans="1:12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7"/>
      <c r="H680" s="122"/>
      <c r="I680" s="74">
        <v>15000</v>
      </c>
      <c r="J680" s="75" t="s">
        <v>19</v>
      </c>
      <c r="K680" s="75" t="s">
        <v>54</v>
      </c>
      <c r="L680" s="134" t="str">
        <f>IF(AND('331-CT'!$E$7=TH!H680,OR(J680="331",K680="331")),"x","")</f>
        <v/>
      </c>
    </row>
    <row r="681" spans="1:12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463</v>
      </c>
      <c r="G681" s="267" t="s">
        <v>412</v>
      </c>
      <c r="H681" s="122" t="s">
        <v>190</v>
      </c>
      <c r="I681" s="74">
        <v>477767318</v>
      </c>
      <c r="J681" s="75" t="s">
        <v>655</v>
      </c>
      <c r="K681" s="75" t="s">
        <v>18</v>
      </c>
      <c r="L681" s="134" t="str">
        <f>IF(AND('331-CT'!$E$7=TH!H681,OR(J681="331",K681="331")),"x","")</f>
        <v/>
      </c>
    </row>
    <row r="682" spans="1:12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411</v>
      </c>
      <c r="G682" s="267" t="s">
        <v>412</v>
      </c>
      <c r="H682" s="122" t="s">
        <v>190</v>
      </c>
      <c r="I682" s="74">
        <v>47776731</v>
      </c>
      <c r="J682" s="75" t="s">
        <v>19</v>
      </c>
      <c r="K682" s="75" t="s">
        <v>18</v>
      </c>
      <c r="L682" s="134" t="str">
        <f>IF(AND('331-CT'!$E$7=TH!H682,OR(J682="331",K682="331")),"x","")</f>
        <v/>
      </c>
    </row>
    <row r="683" spans="1:12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463</v>
      </c>
      <c r="G683" s="267" t="s">
        <v>413</v>
      </c>
      <c r="H683" s="122" t="s">
        <v>190</v>
      </c>
      <c r="I683" s="74">
        <v>54892744</v>
      </c>
      <c r="J683" s="75" t="s">
        <v>655</v>
      </c>
      <c r="K683" s="75" t="s">
        <v>18</v>
      </c>
      <c r="L683" s="134" t="str">
        <f>IF(AND('331-CT'!$E$7=TH!H683,OR(J683="331",K683="331")),"x","")</f>
        <v/>
      </c>
    </row>
    <row r="684" spans="1:12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411</v>
      </c>
      <c r="G684" s="267" t="s">
        <v>413</v>
      </c>
      <c r="H684" s="9" t="s">
        <v>190</v>
      </c>
      <c r="I684" s="74">
        <v>5489274</v>
      </c>
      <c r="J684" s="75" t="s">
        <v>19</v>
      </c>
      <c r="K684" s="75" t="s">
        <v>18</v>
      </c>
      <c r="L684" s="134" t="str">
        <f>IF(AND('331-CT'!$E$7=TH!H684,OR(J684="331",K684="331")),"x","")</f>
        <v/>
      </c>
    </row>
    <row r="685" spans="1:12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419</v>
      </c>
      <c r="G685" s="267"/>
      <c r="H685" s="122" t="s">
        <v>357</v>
      </c>
      <c r="I685" s="74">
        <v>53060000</v>
      </c>
      <c r="J685" s="75" t="s">
        <v>18</v>
      </c>
      <c r="K685" s="75" t="s">
        <v>54</v>
      </c>
      <c r="L685" s="134" t="str">
        <f>IF(AND('331-CT'!$E$7=TH!H685,OR(J685="331",K685="331")),"x","")</f>
        <v/>
      </c>
    </row>
    <row r="686" spans="1:12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7"/>
      <c r="H686" s="122"/>
      <c r="I686" s="74">
        <v>20000</v>
      </c>
      <c r="J686" s="75" t="s">
        <v>242</v>
      </c>
      <c r="K686" s="75" t="s">
        <v>54</v>
      </c>
      <c r="L686" s="134" t="str">
        <f>IF(AND('331-CT'!$E$7=TH!H686,OR(J686="331",K686="331")),"x","")</f>
        <v/>
      </c>
    </row>
    <row r="687" spans="1:12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7"/>
      <c r="H687" s="122"/>
      <c r="I687" s="74">
        <v>2000</v>
      </c>
      <c r="J687" s="75" t="s">
        <v>19</v>
      </c>
      <c r="K687" s="75" t="s">
        <v>54</v>
      </c>
      <c r="L687" s="134" t="str">
        <f>IF(AND('331-CT'!$E$7=TH!H687,OR(J687="331",K687="331")),"x","")</f>
        <v/>
      </c>
    </row>
    <row r="688" spans="1:12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301</v>
      </c>
      <c r="G688" s="267"/>
      <c r="H688" s="122" t="s">
        <v>407</v>
      </c>
      <c r="I688" s="74">
        <v>90000000</v>
      </c>
      <c r="J688" s="75" t="s">
        <v>18</v>
      </c>
      <c r="K688" s="75" t="s">
        <v>54</v>
      </c>
      <c r="L688" s="134" t="str">
        <f>IF(AND('331-CT'!$E$7=TH!H688,OR(J688="331",K688="331")),"x","")</f>
        <v>x</v>
      </c>
    </row>
    <row r="689" spans="1:12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7"/>
      <c r="H689" s="122"/>
      <c r="I689" s="74">
        <v>45000</v>
      </c>
      <c r="J689" s="75" t="s">
        <v>242</v>
      </c>
      <c r="K689" s="75" t="s">
        <v>54</v>
      </c>
      <c r="L689" s="134" t="str">
        <f>IF(AND('331-CT'!$E$7=TH!H689,OR(J689="331",K689="331")),"x","")</f>
        <v/>
      </c>
    </row>
    <row r="690" spans="1:12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7"/>
      <c r="H690" s="122"/>
      <c r="I690" s="74">
        <v>4500</v>
      </c>
      <c r="J690" s="75" t="s">
        <v>19</v>
      </c>
      <c r="K690" s="75" t="s">
        <v>54</v>
      </c>
      <c r="L690" s="134" t="str">
        <f>IF(AND('331-CT'!$E$7=TH!H690,OR(J690="331",K690="331")),"x","")</f>
        <v/>
      </c>
    </row>
    <row r="691" spans="1:12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301</v>
      </c>
      <c r="G691" s="267"/>
      <c r="H691" s="122" t="s">
        <v>300</v>
      </c>
      <c r="I691" s="74">
        <v>200000000</v>
      </c>
      <c r="J691" s="75" t="s">
        <v>18</v>
      </c>
      <c r="K691" s="75" t="s">
        <v>54</v>
      </c>
      <c r="L691" s="134" t="str">
        <f>IF(AND('331-CT'!$E$7=TH!H691,OR(J691="331",K691="331")),"x","")</f>
        <v/>
      </c>
    </row>
    <row r="692" spans="1:12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7"/>
      <c r="H692" s="122"/>
      <c r="I692" s="74">
        <v>100000</v>
      </c>
      <c r="J692" s="75" t="s">
        <v>242</v>
      </c>
      <c r="K692" s="75" t="s">
        <v>54</v>
      </c>
      <c r="L692" s="134" t="str">
        <f>IF(AND('331-CT'!$E$7=TH!H692,OR(J692="331",K692="331")),"x","")</f>
        <v/>
      </c>
    </row>
    <row r="693" spans="1:12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7"/>
      <c r="H693" s="122"/>
      <c r="I693" s="74">
        <v>10000</v>
      </c>
      <c r="J693" s="75" t="s">
        <v>19</v>
      </c>
      <c r="K693" s="75" t="s">
        <v>54</v>
      </c>
      <c r="L693" s="134" t="str">
        <f>IF(AND('331-CT'!$E$7=TH!H693,OR(J693="331",K693="331")),"x","")</f>
        <v/>
      </c>
    </row>
    <row r="694" spans="1:12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420</v>
      </c>
      <c r="G694" s="267"/>
      <c r="H694" s="122"/>
      <c r="I694" s="74">
        <v>500000</v>
      </c>
      <c r="J694" s="75" t="s">
        <v>54</v>
      </c>
      <c r="K694" s="75" t="s">
        <v>244</v>
      </c>
      <c r="L694" s="134" t="str">
        <f>IF(AND('331-CT'!$E$7=TH!H694,OR(J694="331",K694="331")),"x","")</f>
        <v/>
      </c>
    </row>
    <row r="695" spans="1:12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421</v>
      </c>
      <c r="G695" s="267"/>
      <c r="H695" s="122" t="s">
        <v>422</v>
      </c>
      <c r="I695" s="74">
        <v>1000000000</v>
      </c>
      <c r="J695" s="75" t="s">
        <v>54</v>
      </c>
      <c r="K695" s="75" t="s">
        <v>227</v>
      </c>
      <c r="L695" s="134" t="str">
        <f>IF(AND('331-CT'!$E$7=TH!H695,OR(J695="331",K695="331")),"x","")</f>
        <v/>
      </c>
    </row>
    <row r="696" spans="1:12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579</v>
      </c>
      <c r="G696" s="267"/>
      <c r="H696" s="122" t="s">
        <v>431</v>
      </c>
      <c r="I696" s="74">
        <v>1000000000</v>
      </c>
      <c r="J696" s="75" t="s">
        <v>203</v>
      </c>
      <c r="K696" s="75" t="s">
        <v>39</v>
      </c>
      <c r="L696" s="134" t="str">
        <f>IF(AND('331-CT'!$E$7=TH!H696,OR(J696="331",K696="331")),"x","")</f>
        <v/>
      </c>
    </row>
    <row r="697" spans="1:12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424</v>
      </c>
      <c r="G697" s="267"/>
      <c r="H697" s="122" t="s">
        <v>751</v>
      </c>
      <c r="I697" s="74">
        <v>105126466</v>
      </c>
      <c r="J697" s="75" t="s">
        <v>54</v>
      </c>
      <c r="K697" s="75" t="s">
        <v>212</v>
      </c>
      <c r="L697" s="134" t="str">
        <f>IF(AND('331-CT'!$E$7=TH!H697,OR(J697="331",K697="331")),"x","")</f>
        <v/>
      </c>
    </row>
    <row r="698" spans="1:12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301</v>
      </c>
      <c r="G698" s="267"/>
      <c r="H698" s="122" t="s">
        <v>172</v>
      </c>
      <c r="I698" s="74">
        <v>400000000</v>
      </c>
      <c r="J698" s="75" t="s">
        <v>18</v>
      </c>
      <c r="K698" s="75" t="s">
        <v>54</v>
      </c>
      <c r="L698" s="134" t="str">
        <f>IF(AND('331-CT'!$E$7=TH!H698,OR(J698="331",K698="331")),"x","")</f>
        <v/>
      </c>
    </row>
    <row r="699" spans="1:12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7"/>
      <c r="H699" s="122"/>
      <c r="I699" s="74">
        <v>150000</v>
      </c>
      <c r="J699" s="75" t="s">
        <v>242</v>
      </c>
      <c r="K699" s="75" t="s">
        <v>54</v>
      </c>
      <c r="L699" s="134" t="str">
        <f>IF(AND('331-CT'!$E$7=TH!H699,OR(J699="331",K699="331")),"x","")</f>
        <v/>
      </c>
    </row>
    <row r="700" spans="1:12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7"/>
      <c r="H700" s="122"/>
      <c r="I700" s="74">
        <v>15000</v>
      </c>
      <c r="J700" s="75" t="s">
        <v>19</v>
      </c>
      <c r="K700" s="75" t="s">
        <v>54</v>
      </c>
      <c r="L700" s="134" t="str">
        <f>IF(AND('331-CT'!$E$7=TH!H700,OR(J700="331",K700="331")),"x","")</f>
        <v/>
      </c>
    </row>
    <row r="701" spans="1:12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301</v>
      </c>
      <c r="G701" s="267"/>
      <c r="H701" s="122" t="s">
        <v>190</v>
      </c>
      <c r="I701" s="74">
        <v>300000000</v>
      </c>
      <c r="J701" s="75" t="s">
        <v>18</v>
      </c>
      <c r="K701" s="75" t="s">
        <v>54</v>
      </c>
      <c r="L701" s="134" t="str">
        <f>IF(AND('331-CT'!$E$7=TH!H701,OR(J701="331",K701="331")),"x","")</f>
        <v/>
      </c>
    </row>
    <row r="702" spans="1:12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7"/>
      <c r="H702" s="122"/>
      <c r="I702" s="74">
        <v>120000</v>
      </c>
      <c r="J702" s="75" t="s">
        <v>242</v>
      </c>
      <c r="K702" s="75" t="s">
        <v>54</v>
      </c>
      <c r="L702" s="134" t="str">
        <f>IF(AND('331-CT'!$E$7=TH!H702,OR(J702="331",K702="331")),"x","")</f>
        <v/>
      </c>
    </row>
    <row r="703" spans="1:12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7"/>
      <c r="H703" s="122"/>
      <c r="I703" s="74">
        <v>12000</v>
      </c>
      <c r="J703" s="75" t="s">
        <v>19</v>
      </c>
      <c r="K703" s="75" t="s">
        <v>54</v>
      </c>
      <c r="L703" s="134" t="str">
        <f>IF(AND('331-CT'!$E$7=TH!H703,OR(J703="331",K703="331")),"x","")</f>
        <v/>
      </c>
    </row>
    <row r="704" spans="1:12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435</v>
      </c>
      <c r="G704" s="267" t="s">
        <v>546</v>
      </c>
      <c r="H704" s="122" t="s">
        <v>436</v>
      </c>
      <c r="I704" s="74">
        <v>15450000</v>
      </c>
      <c r="J704" s="75" t="s">
        <v>655</v>
      </c>
      <c r="K704" s="75" t="s">
        <v>203</v>
      </c>
      <c r="L704" s="134" t="str">
        <f>IF(AND('331-CT'!$E$7=TH!H704,OR(J704="331",K704="331")),"x","")</f>
        <v/>
      </c>
    </row>
    <row r="705" spans="1:12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437</v>
      </c>
      <c r="G705" s="267" t="s">
        <v>546</v>
      </c>
      <c r="H705" s="122" t="s">
        <v>436</v>
      </c>
      <c r="I705" s="74">
        <v>1545000</v>
      </c>
      <c r="J705" s="75" t="s">
        <v>19</v>
      </c>
      <c r="K705" s="75" t="s">
        <v>203</v>
      </c>
      <c r="L705" s="134" t="str">
        <f>IF(AND('331-CT'!$E$7=TH!H705,OR(J705="331",K705="331")),"x","")</f>
        <v/>
      </c>
    </row>
    <row r="706" spans="1:12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432</v>
      </c>
      <c r="G706" s="267" t="s">
        <v>545</v>
      </c>
      <c r="H706" s="122" t="s">
        <v>434</v>
      </c>
      <c r="I706" s="74">
        <v>13500000</v>
      </c>
      <c r="J706" s="75" t="s">
        <v>655</v>
      </c>
      <c r="K706" s="75" t="s">
        <v>203</v>
      </c>
      <c r="L706" s="134" t="str">
        <f>IF(AND('331-CT'!$E$7=TH!H706,OR(J706="331",K706="331")),"x","")</f>
        <v/>
      </c>
    </row>
    <row r="707" spans="1:12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433</v>
      </c>
      <c r="G707" s="267" t="s">
        <v>545</v>
      </c>
      <c r="H707" s="9" t="s">
        <v>434</v>
      </c>
      <c r="I707" s="74">
        <v>1350000</v>
      </c>
      <c r="J707" s="75" t="s">
        <v>19</v>
      </c>
      <c r="K707" s="75" t="s">
        <v>203</v>
      </c>
      <c r="L707" s="134" t="str">
        <f>IF(AND('331-CT'!$E$7=TH!H707,OR(J707="331",K707="331")),"x","")</f>
        <v/>
      </c>
    </row>
    <row r="708" spans="1:12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435</v>
      </c>
      <c r="G708" s="267" t="s">
        <v>547</v>
      </c>
      <c r="H708" s="122" t="s">
        <v>436</v>
      </c>
      <c r="I708" s="74">
        <v>15450000</v>
      </c>
      <c r="J708" s="75" t="s">
        <v>655</v>
      </c>
      <c r="K708" s="75" t="s">
        <v>203</v>
      </c>
      <c r="L708" s="134" t="str">
        <f>IF(AND('331-CT'!$E$7=TH!H708,OR(J708="331",K708="331")),"x","")</f>
        <v/>
      </c>
    </row>
    <row r="709" spans="1:12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437</v>
      </c>
      <c r="G709" s="267" t="s">
        <v>547</v>
      </c>
      <c r="H709" s="122" t="s">
        <v>436</v>
      </c>
      <c r="I709" s="74">
        <v>1545000</v>
      </c>
      <c r="J709" s="75" t="s">
        <v>19</v>
      </c>
      <c r="K709" s="75" t="s">
        <v>203</v>
      </c>
      <c r="L709" s="134" t="str">
        <f>IF(AND('331-CT'!$E$7=TH!H709,OR(J709="331",K709="331")),"x","")</f>
        <v/>
      </c>
    </row>
    <row r="710" spans="1:12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435</v>
      </c>
      <c r="G710" s="267" t="s">
        <v>548</v>
      </c>
      <c r="H710" s="9" t="s">
        <v>436</v>
      </c>
      <c r="I710" s="74">
        <v>15450000</v>
      </c>
      <c r="J710" s="75" t="s">
        <v>655</v>
      </c>
      <c r="K710" s="75" t="s">
        <v>203</v>
      </c>
      <c r="L710" s="134" t="str">
        <f>IF(AND('331-CT'!$E$7=TH!H710,OR(J710="331",K710="331")),"x","")</f>
        <v/>
      </c>
    </row>
    <row r="711" spans="1:12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437</v>
      </c>
      <c r="G711" s="267" t="s">
        <v>548</v>
      </c>
      <c r="H711" s="122" t="s">
        <v>436</v>
      </c>
      <c r="I711" s="74">
        <v>1545000</v>
      </c>
      <c r="J711" s="75" t="s">
        <v>19</v>
      </c>
      <c r="K711" s="75" t="s">
        <v>203</v>
      </c>
      <c r="L711" s="134" t="str">
        <f>IF(AND('331-CT'!$E$7=TH!H711,OR(J711="331",K711="331")),"x","")</f>
        <v/>
      </c>
    </row>
    <row r="712" spans="1:12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435</v>
      </c>
      <c r="G712" s="267" t="s">
        <v>549</v>
      </c>
      <c r="H712" s="122" t="s">
        <v>436</v>
      </c>
      <c r="I712" s="74">
        <v>5150000</v>
      </c>
      <c r="J712" s="75" t="s">
        <v>655</v>
      </c>
      <c r="K712" s="75" t="s">
        <v>203</v>
      </c>
      <c r="L712" s="134" t="str">
        <f>IF(AND('331-CT'!$E$7=TH!H712,OR(J712="331",K712="331")),"x","")</f>
        <v/>
      </c>
    </row>
    <row r="713" spans="1:12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437</v>
      </c>
      <c r="G713" s="267" t="s">
        <v>549</v>
      </c>
      <c r="H713" s="9" t="s">
        <v>436</v>
      </c>
      <c r="I713" s="74">
        <v>515000</v>
      </c>
      <c r="J713" s="75" t="s">
        <v>19</v>
      </c>
      <c r="K713" s="75" t="s">
        <v>203</v>
      </c>
      <c r="L713" s="134" t="str">
        <f>IF(AND('331-CT'!$E$7=TH!H713,OR(J713="331",K713="331")),"x","")</f>
        <v/>
      </c>
    </row>
    <row r="714" spans="1:12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301</v>
      </c>
      <c r="G714" s="267"/>
      <c r="H714" s="122" t="s">
        <v>407</v>
      </c>
      <c r="I714" s="74">
        <v>50000000</v>
      </c>
      <c r="J714" s="75" t="s">
        <v>18</v>
      </c>
      <c r="K714" s="75" t="s">
        <v>54</v>
      </c>
      <c r="L714" s="134" t="str">
        <f>IF(AND('331-CT'!$E$7=TH!H714,OR(J714="331",K714="331")),"x","")</f>
        <v>x</v>
      </c>
    </row>
    <row r="715" spans="1:12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7"/>
      <c r="H715" s="122"/>
      <c r="I715" s="74">
        <v>25000</v>
      </c>
      <c r="J715" s="75" t="s">
        <v>242</v>
      </c>
      <c r="K715" s="75" t="s">
        <v>54</v>
      </c>
      <c r="L715" s="134" t="str">
        <f>IF(AND('331-CT'!$E$7=TH!H715,OR(J715="331",K715="331")),"x","")</f>
        <v/>
      </c>
    </row>
    <row r="716" spans="1:12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7"/>
      <c r="H716" s="122"/>
      <c r="I716" s="74">
        <v>2500</v>
      </c>
      <c r="J716" s="75" t="s">
        <v>19</v>
      </c>
      <c r="K716" s="75" t="s">
        <v>54</v>
      </c>
      <c r="L716" s="134" t="str">
        <f>IF(AND('331-CT'!$E$7=TH!H716,OR(J716="331",K716="331")),"x","")</f>
        <v/>
      </c>
    </row>
    <row r="717" spans="1:12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446</v>
      </c>
      <c r="G717" s="267" t="s">
        <v>445</v>
      </c>
      <c r="H717" s="122" t="s">
        <v>111</v>
      </c>
      <c r="I717" s="74">
        <v>2000000000</v>
      </c>
      <c r="J717" s="75" t="s">
        <v>655</v>
      </c>
      <c r="K717" s="75" t="s">
        <v>18</v>
      </c>
      <c r="L717" s="134" t="str">
        <f>IF(AND('331-CT'!$E$7=TH!H717,OR(J717="331",K717="331")),"x","")</f>
        <v/>
      </c>
    </row>
    <row r="718" spans="1:12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447</v>
      </c>
      <c r="G718" s="268" t="s">
        <v>445</v>
      </c>
      <c r="H718" s="132" t="s">
        <v>111</v>
      </c>
      <c r="I718" s="133">
        <v>200000000</v>
      </c>
      <c r="J718" s="134" t="s">
        <v>19</v>
      </c>
      <c r="K718" s="134" t="s">
        <v>18</v>
      </c>
      <c r="L718" s="134" t="str">
        <f>IF(AND('331-CT'!$E$7=TH!H718,OR(J718="331",K718="331")),"x","")</f>
        <v/>
      </c>
    </row>
    <row r="719" spans="1:12" ht="13.5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455</v>
      </c>
      <c r="G719" s="267"/>
      <c r="H719" s="122" t="s">
        <v>456</v>
      </c>
      <c r="I719" s="74">
        <v>1000000000</v>
      </c>
      <c r="J719" s="75" t="s">
        <v>54</v>
      </c>
      <c r="K719" s="75" t="s">
        <v>227</v>
      </c>
      <c r="L719" s="134" t="str">
        <f>IF(AND('331-CT'!$E$7=TH!H719,OR(J719="331",K719="331")),"x","")</f>
        <v/>
      </c>
    </row>
    <row r="720" spans="1:12" ht="13.5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439</v>
      </c>
      <c r="G720" s="267" t="s">
        <v>438</v>
      </c>
      <c r="H720" s="9" t="s">
        <v>441</v>
      </c>
      <c r="I720" s="74">
        <v>30000000</v>
      </c>
      <c r="J720" s="75" t="s">
        <v>655</v>
      </c>
      <c r="K720" s="75" t="s">
        <v>18</v>
      </c>
      <c r="L720" s="134" t="str">
        <f>IF(AND('331-CT'!$E$7=TH!H720,OR(J720="331",K720="331")),"x","")</f>
        <v/>
      </c>
    </row>
    <row r="721" spans="1:12" ht="13.5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440</v>
      </c>
      <c r="G721" s="267" t="s">
        <v>438</v>
      </c>
      <c r="H721" s="122" t="s">
        <v>441</v>
      </c>
      <c r="I721" s="74">
        <v>3000000</v>
      </c>
      <c r="J721" s="75" t="s">
        <v>19</v>
      </c>
      <c r="K721" s="75" t="s">
        <v>18</v>
      </c>
      <c r="L721" s="134" t="str">
        <f>IF(AND('331-CT'!$E$7=TH!H721,OR(J721="331",K721="331")),"x","")</f>
        <v/>
      </c>
    </row>
    <row r="722" spans="1:12" ht="13.5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443</v>
      </c>
      <c r="G722" s="267" t="s">
        <v>442</v>
      </c>
      <c r="H722" s="122" t="s">
        <v>481</v>
      </c>
      <c r="I722" s="74">
        <v>545120000</v>
      </c>
      <c r="J722" s="75" t="s">
        <v>655</v>
      </c>
      <c r="K722" s="75" t="s">
        <v>18</v>
      </c>
      <c r="L722" s="134" t="str">
        <f>IF(AND('331-CT'!$E$7=TH!H722,OR(J722="331",K722="331")),"x","")</f>
        <v/>
      </c>
    </row>
    <row r="723" spans="1:12" ht="13.5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444</v>
      </c>
      <c r="G723" s="267" t="s">
        <v>442</v>
      </c>
      <c r="H723" s="9" t="s">
        <v>481</v>
      </c>
      <c r="I723" s="74">
        <v>54512000</v>
      </c>
      <c r="J723" s="75" t="s">
        <v>19</v>
      </c>
      <c r="K723" s="75" t="s">
        <v>18</v>
      </c>
      <c r="L723" s="134" t="str">
        <f>IF(AND('331-CT'!$E$7=TH!H723,OR(J723="331",K723="331")),"x","")</f>
        <v/>
      </c>
    </row>
    <row r="724" spans="1:12" ht="13.5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301</v>
      </c>
      <c r="G724" s="267"/>
      <c r="H724" s="122" t="s">
        <v>306</v>
      </c>
      <c r="I724" s="74">
        <v>500000000</v>
      </c>
      <c r="J724" s="75" t="s">
        <v>18</v>
      </c>
      <c r="K724" s="75" t="s">
        <v>54</v>
      </c>
      <c r="L724" s="134" t="str">
        <f>IF(AND('331-CT'!$E$7=TH!H724,OR(J724="331",K724="331")),"x","")</f>
        <v/>
      </c>
    </row>
    <row r="725" spans="1:12" s="226" customFormat="1" ht="13.5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7"/>
      <c r="H725" s="122"/>
      <c r="I725" s="74">
        <v>150000</v>
      </c>
      <c r="J725" s="75" t="s">
        <v>242</v>
      </c>
      <c r="K725" s="75" t="s">
        <v>54</v>
      </c>
      <c r="L725" s="134" t="str">
        <f>IF(AND('331-CT'!$E$7=TH!H725,OR(J725="331",K725="331")),"x","")</f>
        <v/>
      </c>
    </row>
    <row r="726" spans="1:12" ht="13.5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2"/>
      <c r="H726" s="122"/>
      <c r="I726" s="74">
        <v>15000</v>
      </c>
      <c r="J726" s="75" t="s">
        <v>19</v>
      </c>
      <c r="K726" s="75" t="s">
        <v>54</v>
      </c>
      <c r="L726" s="134" t="str">
        <f>IF(AND('331-CT'!$E$7=TH!H726,OR(J726="331",K726="331")),"x","")</f>
        <v/>
      </c>
    </row>
    <row r="727" spans="1:12" ht="13.5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576</v>
      </c>
      <c r="G727" s="272"/>
      <c r="H727" s="122" t="s">
        <v>272</v>
      </c>
      <c r="I727" s="74">
        <v>500000000</v>
      </c>
      <c r="J727" s="75" t="s">
        <v>54</v>
      </c>
      <c r="K727" s="75" t="s">
        <v>203</v>
      </c>
      <c r="L727" s="134" t="str">
        <f>IF(AND('331-CT'!$E$7=TH!H727,OR(J727="331",K727="331")),"x","")</f>
        <v/>
      </c>
    </row>
    <row r="728" spans="1:12" ht="13.5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457</v>
      </c>
      <c r="G728" s="272" t="s">
        <v>550</v>
      </c>
      <c r="H728" s="122" t="s">
        <v>458</v>
      </c>
      <c r="I728" s="74">
        <v>3660000</v>
      </c>
      <c r="J728" s="75" t="s">
        <v>655</v>
      </c>
      <c r="K728" s="75" t="s">
        <v>203</v>
      </c>
      <c r="L728" s="134" t="str">
        <f>IF(AND('331-CT'!$E$7=TH!H728,OR(J728="331",K728="331")),"x","")</f>
        <v/>
      </c>
    </row>
    <row r="729" spans="1:12" ht="13.5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448</v>
      </c>
      <c r="G729" s="272" t="s">
        <v>551</v>
      </c>
      <c r="H729" s="122" t="s">
        <v>451</v>
      </c>
      <c r="I729" s="74">
        <v>6636364</v>
      </c>
      <c r="J729" s="75" t="s">
        <v>655</v>
      </c>
      <c r="K729" s="75" t="s">
        <v>203</v>
      </c>
      <c r="L729" s="134" t="str">
        <f>IF(AND('331-CT'!$E$7=TH!H729,OR(J729="331",K729="331")),"x","")</f>
        <v/>
      </c>
    </row>
    <row r="730" spans="1:12" ht="13.5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449</v>
      </c>
      <c r="G730" s="272" t="s">
        <v>551</v>
      </c>
      <c r="H730" s="122" t="s">
        <v>451</v>
      </c>
      <c r="I730" s="74">
        <v>663636</v>
      </c>
      <c r="J730" s="75" t="s">
        <v>19</v>
      </c>
      <c r="K730" s="75" t="s">
        <v>203</v>
      </c>
      <c r="L730" s="134" t="str">
        <f>IF(AND('331-CT'!$E$7=TH!H730,OR(J730="331",K730="331")),"x","")</f>
        <v/>
      </c>
    </row>
    <row r="731" spans="1:12" ht="13.5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450</v>
      </c>
      <c r="G731" s="272" t="s">
        <v>552</v>
      </c>
      <c r="H731" s="122" t="s">
        <v>452</v>
      </c>
      <c r="I731" s="74">
        <v>4700000</v>
      </c>
      <c r="J731" s="75" t="s">
        <v>655</v>
      </c>
      <c r="K731" s="75" t="s">
        <v>203</v>
      </c>
      <c r="L731" s="134" t="str">
        <f>IF(AND('331-CT'!$E$7=TH!H731,OR(J731="331",K731="331")),"x","")</f>
        <v/>
      </c>
    </row>
    <row r="732" spans="1:12" ht="13.5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2"/>
      <c r="H732" s="122" t="s">
        <v>314</v>
      </c>
      <c r="I732" s="74">
        <v>8180556</v>
      </c>
      <c r="J732" s="75" t="s">
        <v>240</v>
      </c>
      <c r="K732" s="75" t="s">
        <v>54</v>
      </c>
      <c r="L732" s="134" t="str">
        <f>IF(AND('331-CT'!$E$7=TH!H732,OR(J732="331",K732="331")),"x","")</f>
        <v/>
      </c>
    </row>
    <row r="733" spans="1:12" ht="13.5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2"/>
      <c r="H733" s="122" t="s">
        <v>315</v>
      </c>
      <c r="I733" s="74">
        <v>16361111</v>
      </c>
      <c r="J733" s="75" t="s">
        <v>240</v>
      </c>
      <c r="K733" s="75" t="s">
        <v>54</v>
      </c>
      <c r="L733" s="134" t="str">
        <f>IF(AND('331-CT'!$E$7=TH!H733,OR(J733="331",K733="331")),"x","")</f>
        <v/>
      </c>
    </row>
    <row r="734" spans="1:12" ht="13.5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2"/>
      <c r="H734" s="122" t="s">
        <v>317</v>
      </c>
      <c r="I734" s="74">
        <v>13088889</v>
      </c>
      <c r="J734" s="75" t="s">
        <v>240</v>
      </c>
      <c r="K734" s="75" t="s">
        <v>54</v>
      </c>
      <c r="L734" s="134" t="str">
        <f>IF(AND('331-CT'!$E$7=TH!H734,OR(J734="331",K734="331")),"x","")</f>
        <v/>
      </c>
    </row>
    <row r="735" spans="1:12" ht="13.5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2"/>
      <c r="H735" s="122" t="s">
        <v>316</v>
      </c>
      <c r="I735" s="74">
        <v>12270833</v>
      </c>
      <c r="J735" s="75" t="s">
        <v>240</v>
      </c>
      <c r="K735" s="75" t="s">
        <v>54</v>
      </c>
      <c r="L735" s="134" t="str">
        <f>IF(AND('331-CT'!$E$7=TH!H735,OR(J735="331",K735="331")),"x","")</f>
        <v/>
      </c>
    </row>
    <row r="736" spans="1:12" ht="13.5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7"/>
      <c r="H736" s="9" t="s">
        <v>318</v>
      </c>
      <c r="I736" s="74">
        <v>8180556</v>
      </c>
      <c r="J736" s="75" t="s">
        <v>240</v>
      </c>
      <c r="K736" s="75" t="s">
        <v>54</v>
      </c>
      <c r="L736" s="134" t="str">
        <f>IF(AND('331-CT'!$E$7=TH!H736,OR(J736="331",K736="331")),"x","")</f>
        <v/>
      </c>
    </row>
    <row r="737" spans="1:12" ht="13.5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7"/>
      <c r="H737" s="122" t="s">
        <v>319</v>
      </c>
      <c r="I737" s="74">
        <v>12270833</v>
      </c>
      <c r="J737" s="75" t="s">
        <v>240</v>
      </c>
      <c r="K737" s="75" t="s">
        <v>54</v>
      </c>
      <c r="L737" s="134" t="str">
        <f>IF(AND('331-CT'!$E$7=TH!H737,OR(J737="331",K737="331")),"x","")</f>
        <v/>
      </c>
    </row>
    <row r="738" spans="1:12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273</v>
      </c>
      <c r="G738" s="267"/>
      <c r="H738" s="122" t="s">
        <v>320</v>
      </c>
      <c r="I738" s="74">
        <v>16361111</v>
      </c>
      <c r="J738" s="75" t="s">
        <v>240</v>
      </c>
      <c r="K738" s="75" t="s">
        <v>54</v>
      </c>
      <c r="L738" s="134" t="str">
        <f>IF(AND('331-CT'!$E$7=TH!H738,OR(J738="331",K738="331")),"x","")</f>
        <v/>
      </c>
    </row>
    <row r="739" spans="1:12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303</v>
      </c>
      <c r="G739" s="267"/>
      <c r="H739" s="122" t="s">
        <v>321</v>
      </c>
      <c r="I739" s="74">
        <v>11452778</v>
      </c>
      <c r="J739" s="75" t="s">
        <v>240</v>
      </c>
      <c r="K739" s="75" t="s">
        <v>54</v>
      </c>
      <c r="L739" s="134" t="str">
        <f>IF(AND('331-CT'!$E$7=TH!H739,OR(J739="331",K739="331")),"x","")</f>
        <v/>
      </c>
    </row>
    <row r="740" spans="1:12" ht="13.5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304</v>
      </c>
      <c r="G740" s="267"/>
      <c r="H740" s="122" t="s">
        <v>322</v>
      </c>
      <c r="I740" s="74">
        <v>12270833</v>
      </c>
      <c r="J740" s="75" t="s">
        <v>240</v>
      </c>
      <c r="K740" s="75" t="s">
        <v>54</v>
      </c>
      <c r="L740" s="134" t="str">
        <f>IF(AND('331-CT'!$E$7=TH!H740,OR(J740="331",K740="331")),"x","")</f>
        <v/>
      </c>
    </row>
    <row r="741" spans="1:12" ht="13.5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418</v>
      </c>
      <c r="G741" s="267"/>
      <c r="H741" s="122" t="s">
        <v>324</v>
      </c>
      <c r="I741" s="74">
        <v>12270833</v>
      </c>
      <c r="J741" s="75" t="s">
        <v>240</v>
      </c>
      <c r="K741" s="75" t="s">
        <v>54</v>
      </c>
      <c r="L741" s="134" t="str">
        <f>IF(AND('331-CT'!$E$7=TH!H741,OR(J741="331",K741="331")),"x","")</f>
        <v/>
      </c>
    </row>
    <row r="742" spans="1:12" ht="13.5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465</v>
      </c>
      <c r="G742" s="267"/>
      <c r="H742" s="122" t="s">
        <v>326</v>
      </c>
      <c r="I742" s="74">
        <v>19000000</v>
      </c>
      <c r="J742" s="75" t="s">
        <v>240</v>
      </c>
      <c r="K742" s="75" t="s">
        <v>54</v>
      </c>
      <c r="L742" s="134" t="str">
        <f>IF(AND('331-CT'!$E$7=TH!H742,OR(J742="331",K742="331")),"x","")</f>
        <v/>
      </c>
    </row>
    <row r="743" spans="1:12" ht="13.5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466</v>
      </c>
      <c r="G743" s="267"/>
      <c r="H743" s="122" t="s">
        <v>417</v>
      </c>
      <c r="I743" s="74">
        <v>15833333</v>
      </c>
      <c r="J743" s="75" t="s">
        <v>240</v>
      </c>
      <c r="K743" s="75" t="s">
        <v>54</v>
      </c>
      <c r="L743" s="134" t="str">
        <f>IF(AND('331-CT'!$E$7=TH!H743,OR(J743="331",K743="331")),"x","")</f>
        <v/>
      </c>
    </row>
    <row r="744" spans="1:12" ht="13.5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467</v>
      </c>
      <c r="G744" s="267"/>
      <c r="H744" s="125" t="s">
        <v>441</v>
      </c>
      <c r="I744" s="74">
        <v>33000000</v>
      </c>
      <c r="J744" s="75" t="s">
        <v>18</v>
      </c>
      <c r="K744" s="75" t="s">
        <v>54</v>
      </c>
      <c r="L744" s="134" t="str">
        <f>IF(AND('331-CT'!$E$7=TH!H744,OR(J744="331",K744="331")),"x","")</f>
        <v/>
      </c>
    </row>
    <row r="745" spans="1:12" ht="13.5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7"/>
      <c r="H745" s="125"/>
      <c r="I745" s="74">
        <v>20000</v>
      </c>
      <c r="J745" s="75" t="s">
        <v>242</v>
      </c>
      <c r="K745" s="75" t="s">
        <v>54</v>
      </c>
      <c r="L745" s="134" t="str">
        <f>IF(AND('331-CT'!$E$7=TH!H745,OR(J745="331",K745="331")),"x","")</f>
        <v/>
      </c>
    </row>
    <row r="746" spans="1:12" ht="13.5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7"/>
      <c r="H746" s="9"/>
      <c r="I746" s="74">
        <v>2000</v>
      </c>
      <c r="J746" s="75" t="s">
        <v>19</v>
      </c>
      <c r="K746" s="75" t="s">
        <v>54</v>
      </c>
      <c r="L746" s="134" t="str">
        <f>IF(AND('331-CT'!$E$7=TH!H746,OR(J746="331",K746="331")),"x","")</f>
        <v/>
      </c>
    </row>
    <row r="747" spans="1:12" ht="13.5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463</v>
      </c>
      <c r="G747" s="267" t="s">
        <v>462</v>
      </c>
      <c r="H747" s="122" t="s">
        <v>190</v>
      </c>
      <c r="I747" s="74">
        <v>268648390</v>
      </c>
      <c r="J747" s="75" t="s">
        <v>655</v>
      </c>
      <c r="K747" s="75" t="s">
        <v>18</v>
      </c>
      <c r="L747" s="134" t="str">
        <f>IF(AND('331-CT'!$E$7=TH!H747,OR(J747="331",K747="331")),"x","")</f>
        <v/>
      </c>
    </row>
    <row r="748" spans="1:12" ht="13.5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464</v>
      </c>
      <c r="G748" s="267" t="s">
        <v>462</v>
      </c>
      <c r="H748" s="122" t="s">
        <v>190</v>
      </c>
      <c r="I748" s="74">
        <v>26864839</v>
      </c>
      <c r="J748" s="75" t="s">
        <v>19</v>
      </c>
      <c r="K748" s="75" t="s">
        <v>18</v>
      </c>
      <c r="L748" s="134" t="str">
        <f>IF(AND('331-CT'!$E$7=TH!H748,OR(J748="331",K748="331")),"x","")</f>
        <v/>
      </c>
    </row>
    <row r="749" spans="1:12" ht="13.5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472</v>
      </c>
      <c r="G749" s="267" t="s">
        <v>471</v>
      </c>
      <c r="H749" s="122" t="s">
        <v>300</v>
      </c>
      <c r="I749" s="74">
        <v>54327273</v>
      </c>
      <c r="J749" s="75" t="s">
        <v>655</v>
      </c>
      <c r="K749" s="75" t="s">
        <v>18</v>
      </c>
      <c r="L749" s="134" t="str">
        <f>IF(AND('331-CT'!$E$7=TH!H749,OR(J749="331",K749="331")),"x","")</f>
        <v/>
      </c>
    </row>
    <row r="750" spans="1:12" ht="13.5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473</v>
      </c>
      <c r="G750" s="272" t="s">
        <v>471</v>
      </c>
      <c r="H750" s="122" t="s">
        <v>300</v>
      </c>
      <c r="I750" s="74">
        <v>5432727</v>
      </c>
      <c r="J750" s="75" t="s">
        <v>19</v>
      </c>
      <c r="K750" s="75" t="s">
        <v>18</v>
      </c>
      <c r="L750" s="134" t="str">
        <f>IF(AND('331-CT'!$E$7=TH!H750,OR(J750="331",K750="331")),"x","")</f>
        <v/>
      </c>
    </row>
    <row r="751" spans="1:12" ht="14.25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495</v>
      </c>
      <c r="E751" s="73">
        <v>42236</v>
      </c>
      <c r="F751" s="76" t="s">
        <v>459</v>
      </c>
      <c r="G751" s="272" t="s">
        <v>553</v>
      </c>
      <c r="H751" s="122" t="s">
        <v>460</v>
      </c>
      <c r="I751" s="74">
        <v>15500000</v>
      </c>
      <c r="J751" s="75" t="s">
        <v>655</v>
      </c>
      <c r="K751" s="75" t="s">
        <v>203</v>
      </c>
      <c r="L751" s="134" t="str">
        <f>IF(AND('331-CT'!$E$7=TH!H751,OR(J751="331",K751="331")),"x","")</f>
        <v/>
      </c>
    </row>
    <row r="752" spans="1:12" ht="14.25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496</v>
      </c>
      <c r="E752" s="73">
        <v>42236</v>
      </c>
      <c r="F752" s="76" t="s">
        <v>459</v>
      </c>
      <c r="G752" s="272" t="s">
        <v>554</v>
      </c>
      <c r="H752" s="122" t="s">
        <v>461</v>
      </c>
      <c r="I752" s="74">
        <v>3300000</v>
      </c>
      <c r="J752" s="75" t="s">
        <v>655</v>
      </c>
      <c r="K752" s="75" t="s">
        <v>203</v>
      </c>
      <c r="L752" s="134" t="str">
        <f>IF(AND('331-CT'!$E$7=TH!H752,OR(J752="331",K752="331")),"x","")</f>
        <v/>
      </c>
    </row>
    <row r="753" spans="1:12" ht="14.25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301</v>
      </c>
      <c r="G753" s="272"/>
      <c r="H753" s="122" t="s">
        <v>86</v>
      </c>
      <c r="I753" s="74">
        <v>128400000</v>
      </c>
      <c r="J753" s="75" t="s">
        <v>18</v>
      </c>
      <c r="K753" s="75" t="s">
        <v>54</v>
      </c>
      <c r="L753" s="134" t="str">
        <f>IF(AND('331-CT'!$E$7=TH!H753,OR(J753="331",K753="331")),"x","")</f>
        <v/>
      </c>
    </row>
    <row r="754" spans="1:12" ht="14.25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7"/>
      <c r="H754" s="122"/>
      <c r="I754" s="74">
        <v>60000</v>
      </c>
      <c r="J754" s="75" t="s">
        <v>242</v>
      </c>
      <c r="K754" s="75" t="s">
        <v>54</v>
      </c>
      <c r="L754" s="134" t="str">
        <f>IF(AND('331-CT'!$E$7=TH!H754,OR(J754="331",K754="331")),"x","")</f>
        <v/>
      </c>
    </row>
    <row r="755" spans="1:12" ht="14.25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7"/>
      <c r="H755" s="122"/>
      <c r="I755" s="74">
        <v>6000</v>
      </c>
      <c r="J755" s="75" t="s">
        <v>19</v>
      </c>
      <c r="K755" s="75" t="s">
        <v>54</v>
      </c>
      <c r="L755" s="134" t="str">
        <f>IF(AND('331-CT'!$E$7=TH!H755,OR(J755="331",K755="331")),"x","")</f>
        <v/>
      </c>
    </row>
    <row r="756" spans="1:12" ht="14.25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468</v>
      </c>
      <c r="G756" s="267"/>
      <c r="H756" s="122" t="s">
        <v>481</v>
      </c>
      <c r="I756" s="74">
        <v>200000000</v>
      </c>
      <c r="J756" s="75" t="s">
        <v>18</v>
      </c>
      <c r="K756" s="75" t="s">
        <v>54</v>
      </c>
      <c r="L756" s="134" t="str">
        <f>IF(AND('331-CT'!$E$7=TH!H756,OR(J756="331",K756="331")),"x","")</f>
        <v/>
      </c>
    </row>
    <row r="757" spans="1:12" ht="14.25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7"/>
      <c r="H757" s="122"/>
      <c r="I757" s="74">
        <v>64200</v>
      </c>
      <c r="J757" s="75" t="s">
        <v>242</v>
      </c>
      <c r="K757" s="75" t="s">
        <v>54</v>
      </c>
      <c r="L757" s="134" t="str">
        <f>IF(AND('331-CT'!$E$7=TH!H757,OR(J757="331",K757="331")),"x","")</f>
        <v/>
      </c>
    </row>
    <row r="758" spans="1:12" ht="14.25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7"/>
      <c r="H758" s="122"/>
      <c r="I758" s="74">
        <v>6420</v>
      </c>
      <c r="J758" s="75" t="s">
        <v>19</v>
      </c>
      <c r="K758" s="75" t="s">
        <v>54</v>
      </c>
      <c r="L758" s="134" t="str">
        <f>IF(AND('331-CT'!$E$7=TH!H758,OR(J758="331",K758="331")),"x","")</f>
        <v/>
      </c>
    </row>
    <row r="759" spans="1:12" ht="14.25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497</v>
      </c>
      <c r="E759" s="73">
        <v>42237</v>
      </c>
      <c r="F759" s="76" t="s">
        <v>482</v>
      </c>
      <c r="G759" s="267" t="s">
        <v>555</v>
      </c>
      <c r="H759" s="122" t="s">
        <v>188</v>
      </c>
      <c r="I759" s="74">
        <v>3922000</v>
      </c>
      <c r="J759" s="75" t="s">
        <v>242</v>
      </c>
      <c r="K759" s="75" t="s">
        <v>203</v>
      </c>
      <c r="L759" s="134" t="str">
        <f>IF(AND('331-CT'!$E$7=TH!H759,OR(J759="331",K759="331")),"x","")</f>
        <v/>
      </c>
    </row>
    <row r="760" spans="1:12" ht="14.25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497</v>
      </c>
      <c r="E760" s="73">
        <v>42237</v>
      </c>
      <c r="F760" s="76" t="s">
        <v>483</v>
      </c>
      <c r="G760" s="267" t="s">
        <v>555</v>
      </c>
      <c r="H760" s="122" t="s">
        <v>188</v>
      </c>
      <c r="I760" s="74">
        <v>196100</v>
      </c>
      <c r="J760" s="75" t="s">
        <v>19</v>
      </c>
      <c r="K760" s="75" t="s">
        <v>203</v>
      </c>
      <c r="L760" s="134" t="str">
        <f>IF(AND('331-CT'!$E$7=TH!H760,OR(J760="331",K760="331")),"x","")</f>
        <v/>
      </c>
    </row>
    <row r="761" spans="1:12" ht="14.25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7"/>
      <c r="H761" s="122"/>
      <c r="I761" s="74">
        <v>186494</v>
      </c>
      <c r="J761" s="75" t="s">
        <v>54</v>
      </c>
      <c r="K761" s="75" t="s">
        <v>99</v>
      </c>
      <c r="L761" s="134" t="str">
        <f>IF(AND('331-CT'!$E$7=TH!H761,OR(J761="331",K761="331")),"x","")</f>
        <v/>
      </c>
    </row>
    <row r="762" spans="1:12" ht="14.25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498</v>
      </c>
      <c r="E762" s="73">
        <v>42241</v>
      </c>
      <c r="F762" s="76" t="s">
        <v>469</v>
      </c>
      <c r="G762" s="267" t="s">
        <v>556</v>
      </c>
      <c r="H762" s="122" t="s">
        <v>470</v>
      </c>
      <c r="I762" s="74">
        <v>2990000</v>
      </c>
      <c r="J762" s="75" t="s">
        <v>655</v>
      </c>
      <c r="K762" s="75" t="s">
        <v>203</v>
      </c>
      <c r="L762" s="134" t="str">
        <f>IF(AND('331-CT'!$E$7=TH!H762,OR(J762="331",K762="331")),"x","")</f>
        <v/>
      </c>
    </row>
    <row r="763" spans="1:12" ht="14.25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301</v>
      </c>
      <c r="G763" s="267"/>
      <c r="H763" s="122" t="s">
        <v>407</v>
      </c>
      <c r="I763" s="74">
        <v>50000000</v>
      </c>
      <c r="J763" s="75" t="s">
        <v>18</v>
      </c>
      <c r="K763" s="75" t="s">
        <v>54</v>
      </c>
      <c r="L763" s="134" t="str">
        <f>IF(AND('331-CT'!$E$7=TH!H763,OR(J763="331",K763="331")),"x","")</f>
        <v>x</v>
      </c>
    </row>
    <row r="764" spans="1:12" ht="14.25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7"/>
      <c r="H764" s="122"/>
      <c r="I764" s="74">
        <v>25000</v>
      </c>
      <c r="J764" s="75" t="s">
        <v>242</v>
      </c>
      <c r="K764" s="75" t="s">
        <v>54</v>
      </c>
      <c r="L764" s="134" t="str">
        <f>IF(AND('331-CT'!$E$7=TH!H764,OR(J764="331",K764="331")),"x","")</f>
        <v/>
      </c>
    </row>
    <row r="765" spans="1:12" ht="14.25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7"/>
      <c r="H765" s="122"/>
      <c r="I765" s="74">
        <v>2500</v>
      </c>
      <c r="J765" s="75" t="s">
        <v>19</v>
      </c>
      <c r="K765" s="75" t="s">
        <v>54</v>
      </c>
      <c r="L765" s="134" t="str">
        <f>IF(AND('331-CT'!$E$7=TH!H765,OR(J765="331",K765="331")),"x","")</f>
        <v/>
      </c>
    </row>
    <row r="766" spans="1:12" ht="14.25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301</v>
      </c>
      <c r="G766" s="267"/>
      <c r="H766" s="9" t="s">
        <v>269</v>
      </c>
      <c r="I766" s="74">
        <v>500000000</v>
      </c>
      <c r="J766" s="75" t="s">
        <v>18</v>
      </c>
      <c r="K766" s="75" t="s">
        <v>54</v>
      </c>
      <c r="L766" s="134" t="str">
        <f>IF(AND('331-CT'!$E$7=TH!H766,OR(J766="331",K766="331")),"x","")</f>
        <v/>
      </c>
    </row>
    <row r="767" spans="1:12" ht="14.25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7"/>
      <c r="H767" s="122"/>
      <c r="I767" s="74">
        <v>250000</v>
      </c>
      <c r="J767" s="75" t="s">
        <v>242</v>
      </c>
      <c r="K767" s="75" t="s">
        <v>54</v>
      </c>
      <c r="L767" s="134" t="str">
        <f>IF(AND('331-CT'!$E$7=TH!H767,OR(J767="331",K767="331")),"x","")</f>
        <v/>
      </c>
    </row>
    <row r="768" spans="1:12" ht="14.25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7"/>
      <c r="H768" s="122"/>
      <c r="I768" s="74">
        <v>25000</v>
      </c>
      <c r="J768" s="75" t="s">
        <v>19</v>
      </c>
      <c r="K768" s="75" t="s">
        <v>54</v>
      </c>
      <c r="L768" s="134" t="str">
        <f>IF(AND('331-CT'!$E$7=TH!H768,OR(J768="331",K768="331")),"x","")</f>
        <v/>
      </c>
    </row>
    <row r="769" spans="1:12" ht="14.25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475</v>
      </c>
      <c r="G769" s="267" t="s">
        <v>474</v>
      </c>
      <c r="H769" s="122" t="s">
        <v>138</v>
      </c>
      <c r="I769" s="74">
        <v>2000000000</v>
      </c>
      <c r="J769" s="75" t="s">
        <v>655</v>
      </c>
      <c r="K769" s="75" t="s">
        <v>18</v>
      </c>
      <c r="L769" s="134" t="str">
        <f>IF(AND('331-CT'!$E$7=TH!H769,OR(J769="331",K769="331")),"x","")</f>
        <v/>
      </c>
    </row>
    <row r="770" spans="1:12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476</v>
      </c>
      <c r="G770" s="267" t="s">
        <v>474</v>
      </c>
      <c r="H770" s="122" t="s">
        <v>138</v>
      </c>
      <c r="I770" s="74">
        <v>200000000</v>
      </c>
      <c r="J770" s="75" t="s">
        <v>19</v>
      </c>
      <c r="K770" s="75" t="s">
        <v>18</v>
      </c>
      <c r="L770" s="134" t="str">
        <f>IF(AND('331-CT'!$E$7=TH!H770,OR(J770="331",K770="331")),"x","")</f>
        <v/>
      </c>
    </row>
    <row r="771" spans="1:12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579</v>
      </c>
      <c r="G771" s="267"/>
      <c r="H771" s="122" t="s">
        <v>431</v>
      </c>
      <c r="I771" s="74">
        <v>2000000000</v>
      </c>
      <c r="J771" s="75" t="s">
        <v>203</v>
      </c>
      <c r="K771" s="75" t="s">
        <v>39</v>
      </c>
      <c r="L771" s="134" t="str">
        <f>IF(AND('331-CT'!$E$7=TH!H771,OR(J771="331",K771="331")),"x","")</f>
        <v/>
      </c>
    </row>
    <row r="772" spans="1:12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478</v>
      </c>
      <c r="G772" s="267" t="s">
        <v>477</v>
      </c>
      <c r="H772" s="122" t="s">
        <v>302</v>
      </c>
      <c r="I772" s="74">
        <v>362727273</v>
      </c>
      <c r="J772" s="75" t="s">
        <v>655</v>
      </c>
      <c r="K772" s="75" t="s">
        <v>18</v>
      </c>
      <c r="L772" s="134" t="str">
        <f>IF(AND('331-CT'!$E$7=TH!H772,OR(J772="331",K772="331")),"x","")</f>
        <v/>
      </c>
    </row>
    <row r="773" spans="1:12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478</v>
      </c>
      <c r="G773" s="272" t="s">
        <v>477</v>
      </c>
      <c r="H773" s="122" t="s">
        <v>302</v>
      </c>
      <c r="I773" s="74">
        <v>36272727</v>
      </c>
      <c r="J773" s="75" t="s">
        <v>19</v>
      </c>
      <c r="K773" s="75" t="s">
        <v>18</v>
      </c>
      <c r="L773" s="134" t="str">
        <f>IF(AND('331-CT'!$E$7=TH!H773,OR(J773="331",K773="331")),"x","")</f>
        <v/>
      </c>
    </row>
    <row r="774" spans="1:12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499</v>
      </c>
      <c r="E774" s="73">
        <v>42251</v>
      </c>
      <c r="F774" s="76" t="s">
        <v>576</v>
      </c>
      <c r="G774" s="272"/>
      <c r="H774" s="122" t="s">
        <v>272</v>
      </c>
      <c r="I774" s="74">
        <v>300000000</v>
      </c>
      <c r="J774" s="75" t="s">
        <v>54</v>
      </c>
      <c r="K774" s="75" t="s">
        <v>203</v>
      </c>
      <c r="L774" s="134" t="str">
        <f>IF(AND('331-CT'!$E$7=TH!H774,OR(J774="331",K774="331")),"x","")</f>
        <v/>
      </c>
    </row>
    <row r="775" spans="1:12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301</v>
      </c>
      <c r="G775" s="267"/>
      <c r="H775" s="122" t="s">
        <v>302</v>
      </c>
      <c r="I775" s="74">
        <v>228000000</v>
      </c>
      <c r="J775" s="75" t="s">
        <v>18</v>
      </c>
      <c r="K775" s="75" t="s">
        <v>54</v>
      </c>
      <c r="L775" s="134" t="str">
        <f>IF(AND('331-CT'!$E$7=TH!H775,OR(J775="331",K775="331")),"x","")</f>
        <v/>
      </c>
    </row>
    <row r="776" spans="1:12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7"/>
      <c r="H776" s="122"/>
      <c r="I776" s="74">
        <v>114000</v>
      </c>
      <c r="J776" s="75" t="s">
        <v>242</v>
      </c>
      <c r="K776" s="75" t="s">
        <v>54</v>
      </c>
      <c r="L776" s="134" t="str">
        <f>IF(AND('331-CT'!$E$7=TH!H776,OR(J776="331",K776="331")),"x","")</f>
        <v/>
      </c>
    </row>
    <row r="777" spans="1:12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7"/>
      <c r="H777" s="122"/>
      <c r="I777" s="74">
        <v>11400</v>
      </c>
      <c r="J777" s="75" t="s">
        <v>19</v>
      </c>
      <c r="K777" s="75" t="s">
        <v>54</v>
      </c>
      <c r="L777" s="134" t="str">
        <f>IF(AND('331-CT'!$E$7=TH!H777,OR(J777="331",K777="331")),"x","")</f>
        <v/>
      </c>
    </row>
    <row r="778" spans="1:12" s="109" customFormat="1">
      <c r="A778" s="72">
        <f t="shared" si="29"/>
        <v>2015</v>
      </c>
      <c r="B778" s="72">
        <f t="shared" si="30"/>
        <v>9</v>
      </c>
      <c r="C778" s="259">
        <v>42251</v>
      </c>
      <c r="D778" s="259" t="s">
        <v>17</v>
      </c>
      <c r="E778" s="259">
        <v>42251</v>
      </c>
      <c r="F778" s="246" t="s">
        <v>301</v>
      </c>
      <c r="G778" s="324"/>
      <c r="H778" s="125" t="s">
        <v>190</v>
      </c>
      <c r="I778" s="260">
        <v>150000000</v>
      </c>
      <c r="J778" s="261" t="s">
        <v>18</v>
      </c>
      <c r="K778" s="261" t="s">
        <v>54</v>
      </c>
      <c r="L778" s="134" t="str">
        <f>IF(AND('331-CT'!$E$7=TH!H778,OR(J778="331",K778="331")),"x","")</f>
        <v/>
      </c>
    </row>
    <row r="779" spans="1:12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7"/>
      <c r="H779" s="122"/>
      <c r="I779" s="74">
        <v>95000</v>
      </c>
      <c r="J779" s="75" t="s">
        <v>242</v>
      </c>
      <c r="K779" s="75" t="s">
        <v>54</v>
      </c>
      <c r="L779" s="134" t="str">
        <f>IF(AND('331-CT'!$E$7=TH!H779,OR(J779="331",K779="331")),"x","")</f>
        <v/>
      </c>
    </row>
    <row r="780" spans="1:12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7"/>
      <c r="H780" s="122"/>
      <c r="I780" s="74">
        <v>9500</v>
      </c>
      <c r="J780" s="75" t="s">
        <v>19</v>
      </c>
      <c r="K780" s="75" t="s">
        <v>54</v>
      </c>
      <c r="L780" s="134" t="str">
        <f>IF(AND('331-CT'!$E$7=TH!H780,OR(J780="331",K780="331")),"x","")</f>
        <v/>
      </c>
    </row>
    <row r="781" spans="1:12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301</v>
      </c>
      <c r="G781" s="273"/>
      <c r="H781" s="132" t="s">
        <v>407</v>
      </c>
      <c r="I781" s="133">
        <v>50000000</v>
      </c>
      <c r="J781" s="134" t="s">
        <v>18</v>
      </c>
      <c r="K781" s="134" t="s">
        <v>54</v>
      </c>
      <c r="L781" s="134" t="str">
        <f>IF(AND('331-CT'!$E$7=TH!H781,OR(J781="331",K781="331")),"x","")</f>
        <v>x</v>
      </c>
    </row>
    <row r="782" spans="1:12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2"/>
      <c r="H782" s="122"/>
      <c r="I782" s="74">
        <v>25000</v>
      </c>
      <c r="J782" s="75" t="s">
        <v>242</v>
      </c>
      <c r="K782" s="75" t="s">
        <v>54</v>
      </c>
      <c r="L782" s="134" t="str">
        <f>IF(AND('331-CT'!$E$7=TH!H782,OR(J782="331",K782="331")),"x","")</f>
        <v/>
      </c>
    </row>
    <row r="783" spans="1:12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7"/>
      <c r="H783" s="122"/>
      <c r="I783" s="74">
        <v>2500</v>
      </c>
      <c r="J783" s="75" t="s">
        <v>19</v>
      </c>
      <c r="K783" s="75" t="s">
        <v>54</v>
      </c>
      <c r="L783" s="134" t="str">
        <f>IF(AND('331-CT'!$E$7=TH!H783,OR(J783="331",K783="331")),"x","")</f>
        <v/>
      </c>
    </row>
    <row r="784" spans="1:12">
      <c r="A784" s="72">
        <f t="shared" si="29"/>
        <v>2015</v>
      </c>
      <c r="B784" s="72">
        <f t="shared" si="30"/>
        <v>9</v>
      </c>
      <c r="C784" s="73">
        <v>42254</v>
      </c>
      <c r="D784" s="73" t="s">
        <v>500</v>
      </c>
      <c r="E784" s="73">
        <v>42254</v>
      </c>
      <c r="F784" s="76" t="s">
        <v>479</v>
      </c>
      <c r="G784" s="272"/>
      <c r="H784" s="122" t="s">
        <v>431</v>
      </c>
      <c r="I784" s="74">
        <v>1591000</v>
      </c>
      <c r="J784" s="75" t="s">
        <v>242</v>
      </c>
      <c r="K784" s="75" t="s">
        <v>203</v>
      </c>
      <c r="L784" s="134" t="str">
        <f>IF(AND('331-CT'!$E$7=TH!H784,OR(J784="331",K784="331")),"x","")</f>
        <v/>
      </c>
    </row>
    <row r="785" spans="1:12">
      <c r="A785" s="72">
        <f t="shared" si="29"/>
        <v>2015</v>
      </c>
      <c r="B785" s="72">
        <f t="shared" si="30"/>
        <v>9</v>
      </c>
      <c r="C785" s="73">
        <v>42254</v>
      </c>
      <c r="D785" s="73" t="s">
        <v>500</v>
      </c>
      <c r="E785" s="73">
        <v>42254</v>
      </c>
      <c r="F785" s="76" t="s">
        <v>480</v>
      </c>
      <c r="G785" s="267"/>
      <c r="H785" s="122" t="s">
        <v>431</v>
      </c>
      <c r="I785" s="74">
        <v>159000</v>
      </c>
      <c r="J785" s="75" t="s">
        <v>19</v>
      </c>
      <c r="K785" s="75" t="s">
        <v>203</v>
      </c>
      <c r="L785" s="134" t="str">
        <f>IF(AND('331-CT'!$E$7=TH!H785,OR(J785="331",K785="331")),"x","")</f>
        <v/>
      </c>
    </row>
    <row r="786" spans="1:12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492</v>
      </c>
      <c r="G786" s="267" t="s">
        <v>491</v>
      </c>
      <c r="H786" s="122" t="s">
        <v>300</v>
      </c>
      <c r="I786" s="74">
        <v>104460564</v>
      </c>
      <c r="J786" s="75" t="s">
        <v>655</v>
      </c>
      <c r="K786" s="75" t="s">
        <v>18</v>
      </c>
      <c r="L786" s="134" t="str">
        <f>IF(AND('331-CT'!$E$7=TH!H786,OR(J786="331",K786="331")),"x","")</f>
        <v/>
      </c>
    </row>
    <row r="787" spans="1:12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493</v>
      </c>
      <c r="G787" s="267" t="s">
        <v>491</v>
      </c>
      <c r="H787" s="122" t="s">
        <v>300</v>
      </c>
      <c r="I787" s="74">
        <v>10446056</v>
      </c>
      <c r="J787" s="75" t="s">
        <v>19</v>
      </c>
      <c r="K787" s="75" t="s">
        <v>18</v>
      </c>
      <c r="L787" s="134" t="str">
        <f>IF(AND('331-CT'!$E$7=TH!H787,OR(J787="331",K787="331")),"x","")</f>
        <v/>
      </c>
    </row>
    <row r="788" spans="1:12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501</v>
      </c>
      <c r="E788" s="73">
        <v>42263</v>
      </c>
      <c r="F788" s="76" t="s">
        <v>485</v>
      </c>
      <c r="G788" s="267" t="s">
        <v>557</v>
      </c>
      <c r="H788" s="122" t="s">
        <v>484</v>
      </c>
      <c r="I788" s="74">
        <v>16600000</v>
      </c>
      <c r="J788" s="75" t="s">
        <v>655</v>
      </c>
      <c r="K788" s="75" t="s">
        <v>203</v>
      </c>
      <c r="L788" s="134" t="str">
        <f>IF(AND('331-CT'!$E$7=TH!H788,OR(J788="331",K788="331")),"x","")</f>
        <v/>
      </c>
    </row>
    <row r="789" spans="1:12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501</v>
      </c>
      <c r="E789" s="73">
        <v>42263</v>
      </c>
      <c r="F789" s="76" t="s">
        <v>486</v>
      </c>
      <c r="G789" s="267" t="s">
        <v>557</v>
      </c>
      <c r="H789" s="122" t="s">
        <v>484</v>
      </c>
      <c r="I789" s="74">
        <v>1660000</v>
      </c>
      <c r="J789" s="75" t="s">
        <v>19</v>
      </c>
      <c r="K789" s="75" t="s">
        <v>203</v>
      </c>
      <c r="L789" s="134" t="str">
        <f>IF(AND('331-CT'!$E$7=TH!H789,OR(J789="331",K789="331")),"x","")</f>
        <v/>
      </c>
    </row>
    <row r="790" spans="1:12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502</v>
      </c>
      <c r="E790" s="73">
        <v>42264</v>
      </c>
      <c r="F790" s="76" t="s">
        <v>487</v>
      </c>
      <c r="G790" s="267" t="s">
        <v>558</v>
      </c>
      <c r="H790" s="122" t="s">
        <v>484</v>
      </c>
      <c r="I790" s="74">
        <v>18032000</v>
      </c>
      <c r="J790" s="75" t="s">
        <v>655</v>
      </c>
      <c r="K790" s="75" t="s">
        <v>203</v>
      </c>
      <c r="L790" s="134" t="str">
        <f>IF(AND('331-CT'!$E$7=TH!H790,OR(J790="331",K790="331")),"x","")</f>
        <v/>
      </c>
    </row>
    <row r="791" spans="1:12" s="262" customFormat="1" ht="15" customHeight="1">
      <c r="A791" s="258">
        <f t="shared" si="31"/>
        <v>2015</v>
      </c>
      <c r="B791" s="258">
        <f t="shared" si="32"/>
        <v>9</v>
      </c>
      <c r="C791" s="259">
        <v>42264</v>
      </c>
      <c r="D791" s="73" t="s">
        <v>502</v>
      </c>
      <c r="E791" s="259">
        <v>42264</v>
      </c>
      <c r="F791" s="246" t="s">
        <v>488</v>
      </c>
      <c r="G791" s="267" t="s">
        <v>558</v>
      </c>
      <c r="H791" s="125" t="s">
        <v>484</v>
      </c>
      <c r="I791" s="260">
        <v>1803200</v>
      </c>
      <c r="J791" s="261" t="s">
        <v>19</v>
      </c>
      <c r="K791" s="261" t="s">
        <v>203</v>
      </c>
      <c r="L791" s="134" t="str">
        <f>IF(AND('331-CT'!$E$7=TH!H791,OR(J791="331",K791="331")),"x","")</f>
        <v/>
      </c>
    </row>
    <row r="792" spans="1:12" s="262" customFormat="1" ht="15" customHeight="1">
      <c r="A792" s="258">
        <f t="shared" si="31"/>
        <v>2015</v>
      </c>
      <c r="B792" s="258">
        <f t="shared" si="32"/>
        <v>9</v>
      </c>
      <c r="C792" s="259">
        <v>42265</v>
      </c>
      <c r="D792" s="73" t="s">
        <v>503</v>
      </c>
      <c r="E792" s="259">
        <v>42265</v>
      </c>
      <c r="F792" s="246" t="s">
        <v>489</v>
      </c>
      <c r="G792" s="267" t="s">
        <v>559</v>
      </c>
      <c r="H792" s="125" t="s">
        <v>484</v>
      </c>
      <c r="I792" s="260">
        <v>11650000</v>
      </c>
      <c r="J792" s="261" t="s">
        <v>655</v>
      </c>
      <c r="K792" s="261" t="s">
        <v>203</v>
      </c>
      <c r="L792" s="134" t="str">
        <f>IF(AND('331-CT'!$E$7=TH!H792,OR(J792="331",K792="331")),"x","")</f>
        <v/>
      </c>
    </row>
    <row r="793" spans="1:12" s="295" customFormat="1" ht="15" customHeight="1">
      <c r="A793" s="290">
        <f t="shared" si="31"/>
        <v>2015</v>
      </c>
      <c r="B793" s="290">
        <f t="shared" si="32"/>
        <v>9</v>
      </c>
      <c r="C793" s="291">
        <v>42265</v>
      </c>
      <c r="D793" s="130" t="s">
        <v>503</v>
      </c>
      <c r="E793" s="291">
        <v>42265</v>
      </c>
      <c r="F793" s="292" t="s">
        <v>490</v>
      </c>
      <c r="G793" s="268" t="s">
        <v>559</v>
      </c>
      <c r="H793" s="132" t="s">
        <v>484</v>
      </c>
      <c r="I793" s="293">
        <v>1165000</v>
      </c>
      <c r="J793" s="294" t="s">
        <v>19</v>
      </c>
      <c r="K793" s="294" t="s">
        <v>203</v>
      </c>
      <c r="L793" s="134" t="str">
        <f>IF(AND('331-CT'!$E$7=TH!H793,OR(J793="331",K793="331")),"x","")</f>
        <v/>
      </c>
    </row>
    <row r="794" spans="1:12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504</v>
      </c>
      <c r="E794" s="73">
        <v>42266</v>
      </c>
      <c r="F794" s="76" t="s">
        <v>587</v>
      </c>
      <c r="G794" s="137" t="s">
        <v>583</v>
      </c>
      <c r="H794" s="9" t="s">
        <v>585</v>
      </c>
      <c r="I794" s="74">
        <v>1682000</v>
      </c>
      <c r="J794" s="261" t="s">
        <v>655</v>
      </c>
      <c r="K794" s="75" t="s">
        <v>203</v>
      </c>
      <c r="L794" s="134" t="str">
        <f>IF(AND('331-CT'!$E$7=TH!H794,OR(J794="331",K794="331")),"x","")</f>
        <v/>
      </c>
    </row>
    <row r="795" spans="1:12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504</v>
      </c>
      <c r="E795" s="73">
        <v>42266</v>
      </c>
      <c r="F795" s="76" t="s">
        <v>582</v>
      </c>
      <c r="G795" s="137" t="s">
        <v>584</v>
      </c>
      <c r="H795" s="9" t="s">
        <v>586</v>
      </c>
      <c r="I795" s="74">
        <v>8200000</v>
      </c>
      <c r="J795" s="75" t="s">
        <v>655</v>
      </c>
      <c r="K795" s="75" t="s">
        <v>203</v>
      </c>
      <c r="L795" s="134" t="str">
        <f>IF(AND('331-CT'!$E$7=TH!H795,OR(J795="331",K795="331")),"x","")</f>
        <v/>
      </c>
    </row>
    <row r="796" spans="1:12" s="252" customForma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505</v>
      </c>
      <c r="E796" s="73">
        <v>42266</v>
      </c>
      <c r="F796" s="76" t="s">
        <v>576</v>
      </c>
      <c r="G796" s="267"/>
      <c r="H796" s="122" t="s">
        <v>272</v>
      </c>
      <c r="I796" s="74">
        <v>200000000</v>
      </c>
      <c r="J796" s="75" t="s">
        <v>54</v>
      </c>
      <c r="K796" s="75" t="s">
        <v>203</v>
      </c>
      <c r="L796" s="134" t="str">
        <f>IF(AND('331-CT'!$E$7=TH!H796,OR(J796="331",K796="331")),"x","")</f>
        <v/>
      </c>
    </row>
    <row r="797" spans="1:12" s="252" customForma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301</v>
      </c>
      <c r="G797" s="267"/>
      <c r="H797" s="9" t="s">
        <v>300</v>
      </c>
      <c r="I797" s="74">
        <v>201012500</v>
      </c>
      <c r="J797" s="75" t="s">
        <v>18</v>
      </c>
      <c r="K797" s="75" t="s">
        <v>54</v>
      </c>
      <c r="L797" s="134" t="str">
        <f>IF(AND('331-CT'!$E$7=TH!H797,OR(J797="331",K797="331")),"x","")</f>
        <v/>
      </c>
    </row>
    <row r="798" spans="1:12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7"/>
      <c r="H798" s="122"/>
      <c r="I798" s="74">
        <v>120506</v>
      </c>
      <c r="J798" s="75" t="s">
        <v>242</v>
      </c>
      <c r="K798" s="75" t="s">
        <v>54</v>
      </c>
      <c r="L798" s="134" t="str">
        <f>IF(AND('331-CT'!$E$7=TH!H798,OR(J798="331",K798="331")),"x","")</f>
        <v/>
      </c>
    </row>
    <row r="799" spans="1:12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7"/>
      <c r="H799" s="122"/>
      <c r="I799" s="74">
        <v>12051</v>
      </c>
      <c r="J799" s="75" t="s">
        <v>19</v>
      </c>
      <c r="K799" s="75" t="s">
        <v>54</v>
      </c>
      <c r="L799" s="134" t="str">
        <f>IF(AND('331-CT'!$E$7=TH!H799,OR(J799="331",K799="331")),"x","")</f>
        <v/>
      </c>
    </row>
    <row r="800" spans="1:12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7"/>
      <c r="H800" s="122" t="s">
        <v>314</v>
      </c>
      <c r="I800" s="74">
        <v>8180556</v>
      </c>
      <c r="J800" s="75" t="s">
        <v>240</v>
      </c>
      <c r="K800" s="75" t="s">
        <v>54</v>
      </c>
      <c r="L800" s="134" t="str">
        <f>IF(AND('331-CT'!$E$7=TH!H800,OR(J800="331",K800="331")),"x","")</f>
        <v/>
      </c>
    </row>
    <row r="801" spans="1:12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7"/>
      <c r="H801" s="122" t="s">
        <v>315</v>
      </c>
      <c r="I801" s="74">
        <v>16361111</v>
      </c>
      <c r="J801" s="75" t="s">
        <v>240</v>
      </c>
      <c r="K801" s="75" t="s">
        <v>54</v>
      </c>
      <c r="L801" s="134" t="str">
        <f>IF(AND('331-CT'!$E$7=TH!H801,OR(J801="331",K801="331")),"x","")</f>
        <v/>
      </c>
    </row>
    <row r="802" spans="1:12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7"/>
      <c r="H802" s="122" t="s">
        <v>317</v>
      </c>
      <c r="I802" s="74">
        <v>13088889</v>
      </c>
      <c r="J802" s="75" t="s">
        <v>240</v>
      </c>
      <c r="K802" s="75" t="s">
        <v>54</v>
      </c>
      <c r="L802" s="134" t="str">
        <f>IF(AND('331-CT'!$E$7=TH!H802,OR(J802="331",K802="331")),"x","")</f>
        <v/>
      </c>
    </row>
    <row r="803" spans="1:12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7"/>
      <c r="H803" s="122" t="s">
        <v>316</v>
      </c>
      <c r="I803" s="74">
        <v>12270833</v>
      </c>
      <c r="J803" s="75" t="s">
        <v>240</v>
      </c>
      <c r="K803" s="75" t="s">
        <v>54</v>
      </c>
      <c r="L803" s="134" t="str">
        <f>IF(AND('331-CT'!$E$7=TH!H803,OR(J803="331",K803="331")),"x","")</f>
        <v/>
      </c>
    </row>
    <row r="804" spans="1:12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7"/>
      <c r="H804" s="122" t="s">
        <v>318</v>
      </c>
      <c r="I804" s="74">
        <v>8180556</v>
      </c>
      <c r="J804" s="75" t="s">
        <v>240</v>
      </c>
      <c r="K804" s="75" t="s">
        <v>54</v>
      </c>
      <c r="L804" s="134" t="str">
        <f>IF(AND('331-CT'!$E$7=TH!H804,OR(J804="331",K804="331")),"x","")</f>
        <v/>
      </c>
    </row>
    <row r="805" spans="1:12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7"/>
      <c r="H805" s="122" t="s">
        <v>319</v>
      </c>
      <c r="I805" s="74">
        <v>12270833</v>
      </c>
      <c r="J805" s="75" t="s">
        <v>240</v>
      </c>
      <c r="K805" s="75" t="s">
        <v>54</v>
      </c>
      <c r="L805" s="134" t="str">
        <f>IF(AND('331-CT'!$E$7=TH!H805,OR(J805="331",K805="331")),"x","")</f>
        <v/>
      </c>
    </row>
    <row r="806" spans="1:12">
      <c r="A806" s="247">
        <f t="shared" si="31"/>
        <v>2015</v>
      </c>
      <c r="B806" s="247">
        <f t="shared" si="32"/>
        <v>9</v>
      </c>
      <c r="C806" s="248">
        <v>42266</v>
      </c>
      <c r="D806" s="73" t="s">
        <v>17</v>
      </c>
      <c r="E806" s="248">
        <v>42266</v>
      </c>
      <c r="F806" s="249" t="s">
        <v>273</v>
      </c>
      <c r="G806" s="269"/>
      <c r="H806" s="250" t="s">
        <v>320</v>
      </c>
      <c r="I806" s="251">
        <v>16361111</v>
      </c>
      <c r="J806" s="136" t="s">
        <v>240</v>
      </c>
      <c r="K806" s="136" t="s">
        <v>54</v>
      </c>
      <c r="L806" s="134" t="str">
        <f>IF(AND('331-CT'!$E$7=TH!H806,OR(J806="331",K806="331")),"x","")</f>
        <v/>
      </c>
    </row>
    <row r="807" spans="1:12">
      <c r="A807" s="247">
        <f t="shared" si="31"/>
        <v>2015</v>
      </c>
      <c r="B807" s="247">
        <f t="shared" si="32"/>
        <v>9</v>
      </c>
      <c r="C807" s="248">
        <v>42266</v>
      </c>
      <c r="D807" s="73" t="s">
        <v>17</v>
      </c>
      <c r="E807" s="248">
        <v>42266</v>
      </c>
      <c r="F807" s="249" t="s">
        <v>303</v>
      </c>
      <c r="G807" s="269"/>
      <c r="H807" s="250" t="s">
        <v>321</v>
      </c>
      <c r="I807" s="251">
        <v>11452778</v>
      </c>
      <c r="J807" s="136" t="s">
        <v>240</v>
      </c>
      <c r="K807" s="136" t="s">
        <v>54</v>
      </c>
      <c r="L807" s="134" t="str">
        <f>IF(AND('331-CT'!$E$7=TH!H807,OR(J807="331",K807="331")),"x","")</f>
        <v/>
      </c>
    </row>
    <row r="808" spans="1:12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304</v>
      </c>
      <c r="G808" s="137"/>
      <c r="H808" s="122" t="s">
        <v>322</v>
      </c>
      <c r="I808" s="74">
        <v>12270833</v>
      </c>
      <c r="J808" s="75" t="s">
        <v>240</v>
      </c>
      <c r="K808" s="75" t="s">
        <v>54</v>
      </c>
      <c r="L808" s="134" t="str">
        <f>IF(AND('331-CT'!$E$7=TH!H808,OR(J808="331",K808="331")),"x","")</f>
        <v/>
      </c>
    </row>
    <row r="809" spans="1:12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418</v>
      </c>
      <c r="G809" s="137"/>
      <c r="H809" s="122" t="s">
        <v>324</v>
      </c>
      <c r="I809" s="74">
        <v>12270833</v>
      </c>
      <c r="J809" s="75" t="s">
        <v>240</v>
      </c>
      <c r="K809" s="75" t="s">
        <v>54</v>
      </c>
      <c r="L809" s="134" t="str">
        <f>IF(AND('331-CT'!$E$7=TH!H809,OR(J809="331",K809="331")),"x","")</f>
        <v/>
      </c>
    </row>
    <row r="810" spans="1:12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465</v>
      </c>
      <c r="G810" s="272"/>
      <c r="H810" s="122" t="s">
        <v>326</v>
      </c>
      <c r="I810" s="74">
        <v>12270833</v>
      </c>
      <c r="J810" s="75" t="s">
        <v>240</v>
      </c>
      <c r="K810" s="75" t="s">
        <v>54</v>
      </c>
      <c r="L810" s="134" t="str">
        <f>IF(AND('331-CT'!$E$7=TH!H810,OR(J810="331",K810="331")),"x","")</f>
        <v/>
      </c>
    </row>
    <row r="811" spans="1:12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466</v>
      </c>
      <c r="G811" s="272"/>
      <c r="H811" s="122" t="s">
        <v>417</v>
      </c>
      <c r="I811" s="74">
        <v>12270833</v>
      </c>
      <c r="J811" s="75" t="s">
        <v>240</v>
      </c>
      <c r="K811" s="75" t="s">
        <v>54</v>
      </c>
      <c r="L811" s="134" t="str">
        <f>IF(AND('331-CT'!$E$7=TH!H811,OR(J811="331",K811="331")),"x","")</f>
        <v/>
      </c>
    </row>
    <row r="812" spans="1:12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580</v>
      </c>
      <c r="G812" s="272"/>
      <c r="H812" s="122" t="s">
        <v>422</v>
      </c>
      <c r="I812" s="74">
        <v>13458333</v>
      </c>
      <c r="J812" s="75" t="s">
        <v>240</v>
      </c>
      <c r="K812" s="75" t="s">
        <v>54</v>
      </c>
      <c r="L812" s="134" t="str">
        <f>IF(AND('331-CT'!$E$7=TH!H812,OR(J812="331",K812="331")),"x","")</f>
        <v/>
      </c>
    </row>
    <row r="813" spans="1:12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581</v>
      </c>
      <c r="G813" s="272"/>
      <c r="H813" s="122" t="s">
        <v>456</v>
      </c>
      <c r="I813" s="74">
        <v>9763889</v>
      </c>
      <c r="J813" s="75" t="s">
        <v>240</v>
      </c>
      <c r="K813" s="75" t="s">
        <v>54</v>
      </c>
      <c r="L813" s="134" t="str">
        <f>IF(AND('331-CT'!$E$7=TH!H813,OR(J813="331",K813="331")),"x","")</f>
        <v/>
      </c>
    </row>
    <row r="814" spans="1:12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611</v>
      </c>
      <c r="G814" s="272"/>
      <c r="H814" s="122"/>
      <c r="I814" s="74">
        <v>50000</v>
      </c>
      <c r="J814" s="75" t="s">
        <v>242</v>
      </c>
      <c r="K814" s="75" t="s">
        <v>54</v>
      </c>
      <c r="L814" s="134" t="str">
        <f>IF(AND('331-CT'!$E$7=TH!H814,OR(J814="331",K814="331")),"x","")</f>
        <v/>
      </c>
    </row>
    <row r="815" spans="1:12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2"/>
      <c r="H815" s="122"/>
      <c r="I815" s="74">
        <v>5000</v>
      </c>
      <c r="J815" s="75" t="s">
        <v>19</v>
      </c>
      <c r="K815" s="75" t="s">
        <v>54</v>
      </c>
      <c r="L815" s="134" t="str">
        <f>IF(AND('331-CT'!$E$7=TH!H815,OR(J815="331",K815="331")),"x","")</f>
        <v/>
      </c>
    </row>
    <row r="816" spans="1:12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612</v>
      </c>
      <c r="G816" s="272"/>
      <c r="H816" s="122"/>
      <c r="I816" s="74">
        <v>50000</v>
      </c>
      <c r="J816" s="75" t="s">
        <v>242</v>
      </c>
      <c r="K816" s="75" t="s">
        <v>54</v>
      </c>
      <c r="L816" s="134" t="str">
        <f>IF(AND('331-CT'!$E$7=TH!H816,OR(J816="331",K816="331")),"x","")</f>
        <v/>
      </c>
    </row>
    <row r="817" spans="1:12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2"/>
      <c r="H817" s="122"/>
      <c r="I817" s="74">
        <v>5000</v>
      </c>
      <c r="J817" s="75" t="s">
        <v>19</v>
      </c>
      <c r="K817" s="75" t="s">
        <v>54</v>
      </c>
      <c r="L817" s="134" t="str">
        <f>IF(AND('331-CT'!$E$7=TH!H817,OR(J817="331",K817="331")),"x","")</f>
        <v/>
      </c>
    </row>
    <row r="818" spans="1:12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7"/>
      <c r="H818" s="122"/>
      <c r="I818" s="74">
        <v>100000</v>
      </c>
      <c r="J818" s="75" t="s">
        <v>242</v>
      </c>
      <c r="K818" s="75" t="s">
        <v>54</v>
      </c>
      <c r="L818" s="134" t="str">
        <f>IF(AND('331-CT'!$E$7=TH!H818,OR(J818="331",K818="331")),"x","")</f>
        <v/>
      </c>
    </row>
    <row r="819" spans="1:12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7"/>
      <c r="H819" s="122"/>
      <c r="I819" s="74">
        <v>10000</v>
      </c>
      <c r="J819" s="75" t="s">
        <v>19</v>
      </c>
      <c r="K819" s="75" t="s">
        <v>54</v>
      </c>
      <c r="L819" s="134" t="str">
        <f>IF(AND('331-CT'!$E$7=TH!H819,OR(J819="331",K819="331")),"x","")</f>
        <v/>
      </c>
    </row>
    <row r="820" spans="1:12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506</v>
      </c>
      <c r="E820" s="73">
        <v>42275</v>
      </c>
      <c r="F820" s="76" t="s">
        <v>576</v>
      </c>
      <c r="G820" s="267"/>
      <c r="H820" s="122" t="s">
        <v>272</v>
      </c>
      <c r="I820" s="74">
        <v>400000000</v>
      </c>
      <c r="J820" s="75" t="s">
        <v>54</v>
      </c>
      <c r="K820" s="75" t="s">
        <v>203</v>
      </c>
      <c r="L820" s="134" t="str">
        <f>IF(AND('331-CT'!$E$7=TH!H820,OR(J820="331",K820="331")),"x","")</f>
        <v/>
      </c>
    </row>
    <row r="821" spans="1:12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595</v>
      </c>
      <c r="G821" s="267" t="s">
        <v>592</v>
      </c>
      <c r="H821" s="122" t="s">
        <v>280</v>
      </c>
      <c r="I821" s="74">
        <v>490600</v>
      </c>
      <c r="J821" s="75" t="s">
        <v>242</v>
      </c>
      <c r="K821" s="75" t="s">
        <v>203</v>
      </c>
      <c r="L821" s="134" t="str">
        <f>IF(AND('331-CT'!$E$7=TH!H821,OR(J821="331",K821="331")),"x","")</f>
        <v/>
      </c>
    </row>
    <row r="822" spans="1:12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596</v>
      </c>
      <c r="G822" s="267" t="s">
        <v>592</v>
      </c>
      <c r="H822" s="122" t="s">
        <v>280</v>
      </c>
      <c r="I822" s="74">
        <v>49060</v>
      </c>
      <c r="J822" s="75" t="s">
        <v>19</v>
      </c>
      <c r="K822" s="75" t="s">
        <v>203</v>
      </c>
      <c r="L822" s="134" t="str">
        <f>IF(AND('331-CT'!$E$7=TH!H822,OR(J822="331",K822="331")),"x","")</f>
        <v/>
      </c>
    </row>
    <row r="823" spans="1:12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588</v>
      </c>
      <c r="G823" s="267" t="s">
        <v>589</v>
      </c>
      <c r="H823" s="122" t="s">
        <v>590</v>
      </c>
      <c r="I823" s="74">
        <v>12818181</v>
      </c>
      <c r="J823" s="75" t="s">
        <v>655</v>
      </c>
      <c r="K823" s="75" t="s">
        <v>203</v>
      </c>
      <c r="L823" s="134" t="str">
        <f>IF(AND('331-CT'!$E$7=TH!H823,OR(J823="331",K823="331")),"x","")</f>
        <v/>
      </c>
    </row>
    <row r="824" spans="1:12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591</v>
      </c>
      <c r="G824" s="267" t="s">
        <v>589</v>
      </c>
      <c r="H824" s="122" t="s">
        <v>590</v>
      </c>
      <c r="I824" s="74">
        <v>1281819</v>
      </c>
      <c r="J824" s="75" t="s">
        <v>19</v>
      </c>
      <c r="K824" s="75" t="s">
        <v>203</v>
      </c>
      <c r="L824" s="134" t="str">
        <f>IF(AND('331-CT'!$E$7=TH!H824,OR(J824="331",K824="331")),"x","")</f>
        <v/>
      </c>
    </row>
    <row r="825" spans="1:12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597</v>
      </c>
      <c r="G825" s="267"/>
      <c r="H825" s="122"/>
      <c r="I825" s="74">
        <v>1336364</v>
      </c>
      <c r="J825" s="75" t="s">
        <v>242</v>
      </c>
      <c r="K825" s="75" t="s">
        <v>203</v>
      </c>
      <c r="L825" s="134" t="str">
        <f>IF(AND('331-CT'!$E$7=TH!H825,OR(J825="331",K825="331")),"x","")</f>
        <v/>
      </c>
    </row>
    <row r="826" spans="1:12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598</v>
      </c>
      <c r="G826" s="267"/>
      <c r="H826" s="122"/>
      <c r="I826" s="74">
        <v>133636</v>
      </c>
      <c r="J826" s="75" t="s">
        <v>19</v>
      </c>
      <c r="K826" s="75" t="s">
        <v>203</v>
      </c>
      <c r="L826" s="134" t="str">
        <f>IF(AND('331-CT'!$E$7=TH!H826,OR(J826="331",K826="331")),"x","")</f>
        <v/>
      </c>
    </row>
    <row r="827" spans="1:12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604</v>
      </c>
      <c r="G827" s="267" t="s">
        <v>605</v>
      </c>
      <c r="H827" s="122" t="s">
        <v>436</v>
      </c>
      <c r="I827" s="74">
        <v>18000000</v>
      </c>
      <c r="J827" s="75" t="s">
        <v>655</v>
      </c>
      <c r="K827" s="75" t="s">
        <v>203</v>
      </c>
      <c r="L827" s="134" t="str">
        <f>IF(AND('331-CT'!$E$7=TH!H827,OR(J827="331",K827="331")),"x","")</f>
        <v/>
      </c>
    </row>
    <row r="828" spans="1:12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610</v>
      </c>
      <c r="G828" s="267" t="s">
        <v>605</v>
      </c>
      <c r="H828" s="122" t="s">
        <v>436</v>
      </c>
      <c r="I828" s="74">
        <v>1800000</v>
      </c>
      <c r="J828" s="75" t="s">
        <v>19</v>
      </c>
      <c r="K828" s="75" t="s">
        <v>203</v>
      </c>
      <c r="L828" s="134" t="str">
        <f>IF(AND('331-CT'!$E$7=TH!H828,OR(J828="331",K828="331")),"x","")</f>
        <v/>
      </c>
    </row>
    <row r="829" spans="1:12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463</v>
      </c>
      <c r="G829" s="267" t="s">
        <v>593</v>
      </c>
      <c r="H829" s="122" t="s">
        <v>190</v>
      </c>
      <c r="I829" s="74">
        <v>90910870</v>
      </c>
      <c r="J829" s="75" t="s">
        <v>655</v>
      </c>
      <c r="K829" s="75" t="s">
        <v>18</v>
      </c>
      <c r="L829" s="134" t="str">
        <f>IF(AND('331-CT'!$E$7=TH!H829,OR(J829="331",K829="331")),"x","")</f>
        <v/>
      </c>
    </row>
    <row r="830" spans="1:12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464</v>
      </c>
      <c r="G830" s="267" t="s">
        <v>593</v>
      </c>
      <c r="H830" s="122" t="s">
        <v>190</v>
      </c>
      <c r="I830" s="74">
        <v>9091087</v>
      </c>
      <c r="J830" s="75" t="s">
        <v>19</v>
      </c>
      <c r="K830" s="75" t="s">
        <v>18</v>
      </c>
      <c r="L830" s="134" t="str">
        <f>IF(AND('331-CT'!$E$7=TH!H830,OR(J830="331",K830="331")),"x","")</f>
        <v/>
      </c>
    </row>
    <row r="831" spans="1:12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463</v>
      </c>
      <c r="G831" s="267" t="s">
        <v>594</v>
      </c>
      <c r="H831" s="122" t="s">
        <v>190</v>
      </c>
      <c r="I831" s="74">
        <v>73661009</v>
      </c>
      <c r="J831" s="75" t="s">
        <v>655</v>
      </c>
      <c r="K831" s="75" t="s">
        <v>18</v>
      </c>
      <c r="L831" s="134" t="str">
        <f>IF(AND('331-CT'!$E$7=TH!H831,OR(J831="331",K831="331")),"x","")</f>
        <v/>
      </c>
    </row>
    <row r="832" spans="1:12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464</v>
      </c>
      <c r="G832" s="267" t="s">
        <v>594</v>
      </c>
      <c r="H832" s="122" t="s">
        <v>190</v>
      </c>
      <c r="I832" s="74">
        <v>7366100</v>
      </c>
      <c r="J832" s="75" t="s">
        <v>19</v>
      </c>
      <c r="K832" s="75" t="s">
        <v>18</v>
      </c>
      <c r="L832" s="134" t="str">
        <f>IF(AND('331-CT'!$E$7=TH!H832,OR(J832="331",K832="331")),"x","")</f>
        <v/>
      </c>
    </row>
    <row r="833" spans="1:12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653</v>
      </c>
      <c r="G833" s="267" t="s">
        <v>648</v>
      </c>
      <c r="H833" s="122" t="s">
        <v>649</v>
      </c>
      <c r="I833" s="74">
        <v>10285400</v>
      </c>
      <c r="J833" s="75" t="s">
        <v>242</v>
      </c>
      <c r="K833" s="75" t="s">
        <v>203</v>
      </c>
      <c r="L833" s="134" t="str">
        <f>IF(AND('331-CT'!$E$7=TH!H833,OR(J833="331",K833="331")),"x","")</f>
        <v/>
      </c>
    </row>
    <row r="834" spans="1:12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654</v>
      </c>
      <c r="G834" s="267" t="s">
        <v>648</v>
      </c>
      <c r="H834" s="122" t="s">
        <v>649</v>
      </c>
      <c r="I834" s="74">
        <v>1028540</v>
      </c>
      <c r="J834" s="75" t="s">
        <v>19</v>
      </c>
      <c r="K834" s="75" t="s">
        <v>203</v>
      </c>
      <c r="L834" s="134" t="str">
        <f>IF(AND('331-CT'!$E$7=TH!H834,OR(J834="331",K834="331")),"x","")</f>
        <v/>
      </c>
    </row>
    <row r="835" spans="1:12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613</v>
      </c>
      <c r="G835" s="267"/>
      <c r="H835" s="122"/>
      <c r="I835" s="74">
        <v>50000</v>
      </c>
      <c r="J835" s="75" t="s">
        <v>242</v>
      </c>
      <c r="K835" s="75" t="s">
        <v>54</v>
      </c>
      <c r="L835" s="134" t="str">
        <f>IF(AND('331-CT'!$E$7=TH!H835,OR(J835="331",K835="331")),"x","")</f>
        <v/>
      </c>
    </row>
    <row r="836" spans="1:12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7"/>
      <c r="H836" s="122"/>
      <c r="I836" s="74">
        <v>5000</v>
      </c>
      <c r="J836" s="75" t="s">
        <v>19</v>
      </c>
      <c r="K836" s="75" t="s">
        <v>54</v>
      </c>
      <c r="L836" s="134" t="str">
        <f>IF(AND('331-CT'!$E$7=TH!H836,OR(J836="331",K836="331")),"x","")</f>
        <v/>
      </c>
    </row>
    <row r="837" spans="1:12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614</v>
      </c>
      <c r="G837" s="267"/>
      <c r="H837" s="122"/>
      <c r="I837" s="74">
        <v>50000</v>
      </c>
      <c r="J837" s="75" t="s">
        <v>242</v>
      </c>
      <c r="K837" s="75" t="s">
        <v>54</v>
      </c>
      <c r="L837" s="134" t="str">
        <f>IF(AND('331-CT'!$E$7=TH!H837,OR(J837="331",K837="331")),"x","")</f>
        <v/>
      </c>
    </row>
    <row r="838" spans="1:12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7"/>
      <c r="H838" s="122"/>
      <c r="I838" s="74">
        <v>5000</v>
      </c>
      <c r="J838" s="75" t="s">
        <v>19</v>
      </c>
      <c r="K838" s="75" t="s">
        <v>54</v>
      </c>
      <c r="L838" s="134" t="str">
        <f>IF(AND('331-CT'!$E$7=TH!H838,OR(J838="331",K838="331")),"x","")</f>
        <v/>
      </c>
    </row>
    <row r="839" spans="1:12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7"/>
      <c r="H839" s="122"/>
      <c r="I839" s="74">
        <v>55871</v>
      </c>
      <c r="J839" s="75" t="s">
        <v>54</v>
      </c>
      <c r="K839" s="75" t="s">
        <v>99</v>
      </c>
      <c r="L839" s="134" t="str">
        <f>IF(AND('331-CT'!$E$7=TH!H839,OR(J839="331",K839="331")),"x","")</f>
        <v/>
      </c>
    </row>
    <row r="840" spans="1:12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615</v>
      </c>
      <c r="G840" s="267"/>
      <c r="H840" s="122" t="s">
        <v>306</v>
      </c>
      <c r="I840" s="74">
        <v>400000000</v>
      </c>
      <c r="J840" s="75" t="s">
        <v>18</v>
      </c>
      <c r="K840" s="75" t="s">
        <v>54</v>
      </c>
      <c r="L840" s="134" t="str">
        <f>IF(AND('331-CT'!$E$7=TH!H840,OR(J840="331",K840="331")),"x","")</f>
        <v/>
      </c>
    </row>
    <row r="841" spans="1:12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7"/>
      <c r="H841" s="122"/>
      <c r="I841" s="74">
        <v>232510</v>
      </c>
      <c r="J841" s="75" t="s">
        <v>242</v>
      </c>
      <c r="K841" s="75" t="s">
        <v>54</v>
      </c>
      <c r="L841" s="134" t="str">
        <f>IF(AND('331-CT'!$E$7=TH!H841,OR(J841="331",K841="331")),"x","")</f>
        <v/>
      </c>
    </row>
    <row r="842" spans="1:12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7"/>
      <c r="H842" s="122"/>
      <c r="I842" s="74">
        <v>23251</v>
      </c>
      <c r="J842" s="75" t="s">
        <v>19</v>
      </c>
      <c r="K842" s="75" t="s">
        <v>54</v>
      </c>
      <c r="L842" s="134" t="str">
        <f>IF(AND('331-CT'!$E$7=TH!H842,OR(J842="331",K842="331")),"x","")</f>
        <v/>
      </c>
    </row>
    <row r="843" spans="1:12">
      <c r="A843" s="72">
        <f t="shared" si="33"/>
        <v>2015</v>
      </c>
      <c r="B843" s="72">
        <f t="shared" si="34"/>
        <v>10</v>
      </c>
      <c r="C843" s="325">
        <v>42278</v>
      </c>
      <c r="D843" s="325" t="s">
        <v>133</v>
      </c>
      <c r="E843" s="325">
        <v>42278</v>
      </c>
      <c r="F843" s="326" t="s">
        <v>725</v>
      </c>
      <c r="G843" s="327" t="s">
        <v>726</v>
      </c>
      <c r="H843" s="328" t="s">
        <v>727</v>
      </c>
      <c r="I843" s="74">
        <v>15000000</v>
      </c>
      <c r="J843" s="329" t="s">
        <v>655</v>
      </c>
      <c r="K843" s="329" t="s">
        <v>203</v>
      </c>
      <c r="L843" s="134" t="str">
        <f>IF(AND('331-CT'!$E$7=TH!H843,OR(J843="331",K843="331")),"x","")</f>
        <v/>
      </c>
    </row>
    <row r="844" spans="1:12">
      <c r="A844" s="72">
        <f t="shared" si="33"/>
        <v>2015</v>
      </c>
      <c r="B844" s="72">
        <f t="shared" si="34"/>
        <v>10</v>
      </c>
      <c r="C844" s="325">
        <v>42278</v>
      </c>
      <c r="D844" s="325" t="s">
        <v>133</v>
      </c>
      <c r="E844" s="325">
        <v>42278</v>
      </c>
      <c r="F844" s="326" t="s">
        <v>728</v>
      </c>
      <c r="G844" s="327" t="s">
        <v>726</v>
      </c>
      <c r="H844" s="328" t="s">
        <v>727</v>
      </c>
      <c r="I844" s="74">
        <v>1500000</v>
      </c>
      <c r="J844" s="329" t="s">
        <v>19</v>
      </c>
      <c r="K844" s="329" t="s">
        <v>203</v>
      </c>
      <c r="L844" s="134" t="str">
        <f>IF(AND('331-CT'!$E$7=TH!H844,OR(J844="331",K844="331")),"x","")</f>
        <v/>
      </c>
    </row>
    <row r="845" spans="1:12">
      <c r="A845" s="72">
        <f t="shared" si="33"/>
        <v>2015</v>
      </c>
      <c r="B845" s="72">
        <f t="shared" si="34"/>
        <v>10</v>
      </c>
      <c r="C845" s="325">
        <v>42279</v>
      </c>
      <c r="D845" s="325" t="s">
        <v>134</v>
      </c>
      <c r="E845" s="325">
        <v>42279</v>
      </c>
      <c r="F845" s="326" t="s">
        <v>576</v>
      </c>
      <c r="G845" s="327"/>
      <c r="H845" s="328" t="s">
        <v>272</v>
      </c>
      <c r="I845" s="74">
        <v>600000000</v>
      </c>
      <c r="J845" s="329" t="s">
        <v>54</v>
      </c>
      <c r="K845" s="329" t="s">
        <v>203</v>
      </c>
      <c r="L845" s="134" t="str">
        <f>IF(AND('331-CT'!$E$7=TH!H845,OR(J845="331",K845="331")),"x","")</f>
        <v/>
      </c>
    </row>
    <row r="846" spans="1:12">
      <c r="A846" s="72">
        <f t="shared" si="33"/>
        <v>2015</v>
      </c>
      <c r="B846" s="72">
        <f t="shared" si="34"/>
        <v>10</v>
      </c>
      <c r="C846" s="325">
        <v>42279</v>
      </c>
      <c r="D846" s="325" t="s">
        <v>135</v>
      </c>
      <c r="E846" s="325">
        <v>42279</v>
      </c>
      <c r="F846" s="326" t="s">
        <v>604</v>
      </c>
      <c r="G846" s="327" t="s">
        <v>606</v>
      </c>
      <c r="H846" s="328" t="s">
        <v>436</v>
      </c>
      <c r="I846" s="74">
        <v>18000000</v>
      </c>
      <c r="J846" s="329" t="s">
        <v>655</v>
      </c>
      <c r="K846" s="329" t="s">
        <v>203</v>
      </c>
      <c r="L846" s="134" t="str">
        <f>IF(AND('331-CT'!$E$7=TH!H846,OR(J846="331",K846="331")),"x","")</f>
        <v/>
      </c>
    </row>
    <row r="847" spans="1:12">
      <c r="A847" s="72">
        <f t="shared" si="33"/>
        <v>2015</v>
      </c>
      <c r="B847" s="72">
        <f t="shared" si="34"/>
        <v>10</v>
      </c>
      <c r="C847" s="325">
        <v>42279</v>
      </c>
      <c r="D847" s="325" t="s">
        <v>135</v>
      </c>
      <c r="E847" s="325">
        <v>42279</v>
      </c>
      <c r="F847" s="326" t="s">
        <v>610</v>
      </c>
      <c r="G847" s="327" t="s">
        <v>606</v>
      </c>
      <c r="H847" s="328" t="s">
        <v>436</v>
      </c>
      <c r="I847" s="74">
        <v>1800000</v>
      </c>
      <c r="J847" s="329" t="s">
        <v>19</v>
      </c>
      <c r="K847" s="329" t="s">
        <v>203</v>
      </c>
      <c r="L847" s="134" t="str">
        <f>IF(AND('331-CT'!$E$7=TH!H847,OR(J847="331",K847="331")),"x","")</f>
        <v/>
      </c>
    </row>
    <row r="848" spans="1:12">
      <c r="A848" s="72">
        <f t="shared" si="33"/>
        <v>2015</v>
      </c>
      <c r="B848" s="72">
        <f t="shared" si="34"/>
        <v>10</v>
      </c>
      <c r="C848" s="325">
        <v>42279</v>
      </c>
      <c r="D848" s="325" t="s">
        <v>78</v>
      </c>
      <c r="E848" s="325">
        <v>42279</v>
      </c>
      <c r="F848" s="326" t="s">
        <v>599</v>
      </c>
      <c r="G848" s="327" t="s">
        <v>601</v>
      </c>
      <c r="H848" s="328" t="s">
        <v>602</v>
      </c>
      <c r="I848" s="74">
        <v>68181818</v>
      </c>
      <c r="J848" s="329" t="s">
        <v>655</v>
      </c>
      <c r="K848" s="329" t="s">
        <v>18</v>
      </c>
      <c r="L848" s="134" t="str">
        <f>IF(AND('331-CT'!$E$7=TH!H848,OR(J848="331",K848="331")),"x","")</f>
        <v/>
      </c>
    </row>
    <row r="849" spans="1:12">
      <c r="A849" s="72">
        <f t="shared" si="33"/>
        <v>2015</v>
      </c>
      <c r="B849" s="72">
        <f t="shared" si="34"/>
        <v>10</v>
      </c>
      <c r="C849" s="325">
        <v>42279</v>
      </c>
      <c r="D849" s="325" t="s">
        <v>78</v>
      </c>
      <c r="E849" s="325">
        <v>42279</v>
      </c>
      <c r="F849" s="326" t="s">
        <v>600</v>
      </c>
      <c r="G849" s="327" t="s">
        <v>601</v>
      </c>
      <c r="H849" s="328" t="s">
        <v>602</v>
      </c>
      <c r="I849" s="74">
        <v>6818182</v>
      </c>
      <c r="J849" s="329" t="s">
        <v>19</v>
      </c>
      <c r="K849" s="329" t="s">
        <v>18</v>
      </c>
      <c r="L849" s="134" t="str">
        <f>IF(AND('331-CT'!$E$7=TH!H849,OR(J849="331",K849="331")),"x","")</f>
        <v/>
      </c>
    </row>
    <row r="850" spans="1:12">
      <c r="A850" s="72">
        <f t="shared" si="33"/>
        <v>2015</v>
      </c>
      <c r="B850" s="72">
        <f t="shared" si="34"/>
        <v>10</v>
      </c>
      <c r="C850" s="325">
        <v>42279</v>
      </c>
      <c r="D850" s="325" t="s">
        <v>17</v>
      </c>
      <c r="E850" s="325">
        <v>42279</v>
      </c>
      <c r="F850" s="326" t="s">
        <v>615</v>
      </c>
      <c r="G850" s="327"/>
      <c r="H850" s="328" t="s">
        <v>190</v>
      </c>
      <c r="I850" s="74">
        <v>150000000</v>
      </c>
      <c r="J850" s="329" t="s">
        <v>18</v>
      </c>
      <c r="K850" s="329" t="s">
        <v>54</v>
      </c>
      <c r="L850" s="134" t="str">
        <f>IF(AND('331-CT'!$E$7=TH!H850,OR(J850="331",K850="331")),"x","")</f>
        <v/>
      </c>
    </row>
    <row r="851" spans="1:12">
      <c r="A851" s="72">
        <f t="shared" si="33"/>
        <v>2015</v>
      </c>
      <c r="B851" s="72">
        <f t="shared" si="34"/>
        <v>10</v>
      </c>
      <c r="C851" s="325">
        <v>42279</v>
      </c>
      <c r="D851" s="325" t="s">
        <v>17</v>
      </c>
      <c r="E851" s="325">
        <v>42279</v>
      </c>
      <c r="F851" s="326" t="s">
        <v>34</v>
      </c>
      <c r="G851" s="327"/>
      <c r="H851" s="328"/>
      <c r="I851" s="74">
        <v>112587</v>
      </c>
      <c r="J851" s="329" t="s">
        <v>242</v>
      </c>
      <c r="K851" s="329" t="s">
        <v>54</v>
      </c>
      <c r="L851" s="134" t="str">
        <f>IF(AND('331-CT'!$E$7=TH!H851,OR(J851="331",K851="331")),"x","")</f>
        <v/>
      </c>
    </row>
    <row r="852" spans="1:12">
      <c r="A852" s="72">
        <f t="shared" si="33"/>
        <v>2015</v>
      </c>
      <c r="B852" s="72">
        <f t="shared" si="34"/>
        <v>10</v>
      </c>
      <c r="C852" s="325">
        <v>42279</v>
      </c>
      <c r="D852" s="325" t="s">
        <v>17</v>
      </c>
      <c r="E852" s="325">
        <v>42279</v>
      </c>
      <c r="F852" s="326" t="s">
        <v>35</v>
      </c>
      <c r="G852" s="327"/>
      <c r="H852" s="328"/>
      <c r="I852" s="74">
        <v>11259</v>
      </c>
      <c r="J852" s="329" t="s">
        <v>19</v>
      </c>
      <c r="K852" s="329" t="s">
        <v>54</v>
      </c>
      <c r="L852" s="134" t="str">
        <f>IF(AND('331-CT'!$E$7=TH!H852,OR(J852="331",K852="331")),"x","")</f>
        <v/>
      </c>
    </row>
    <row r="853" spans="1:12">
      <c r="A853" s="72">
        <f t="shared" si="33"/>
        <v>2015</v>
      </c>
      <c r="B853" s="72">
        <f t="shared" si="34"/>
        <v>10</v>
      </c>
      <c r="C853" s="325">
        <v>42279</v>
      </c>
      <c r="D853" s="325" t="s">
        <v>17</v>
      </c>
      <c r="E853" s="325">
        <v>42279</v>
      </c>
      <c r="F853" s="326" t="s">
        <v>615</v>
      </c>
      <c r="G853" s="327"/>
      <c r="H853" s="328" t="s">
        <v>269</v>
      </c>
      <c r="I853" s="74">
        <v>400000000</v>
      </c>
      <c r="J853" s="329" t="s">
        <v>18</v>
      </c>
      <c r="K853" s="329" t="s">
        <v>54</v>
      </c>
      <c r="L853" s="134" t="str">
        <f>IF(AND('331-CT'!$E$7=TH!H853,OR(J853="331",K853="331")),"x","")</f>
        <v/>
      </c>
    </row>
    <row r="854" spans="1:12">
      <c r="A854" s="72">
        <f t="shared" si="33"/>
        <v>2015</v>
      </c>
      <c r="B854" s="72">
        <f t="shared" si="34"/>
        <v>10</v>
      </c>
      <c r="C854" s="325">
        <v>42279</v>
      </c>
      <c r="D854" s="325" t="s">
        <v>17</v>
      </c>
      <c r="E854" s="325">
        <v>42279</v>
      </c>
      <c r="F854" s="326" t="s">
        <v>34</v>
      </c>
      <c r="G854" s="327"/>
      <c r="H854" s="328"/>
      <c r="I854" s="74">
        <v>320000</v>
      </c>
      <c r="J854" s="329" t="s">
        <v>242</v>
      </c>
      <c r="K854" s="329" t="s">
        <v>54</v>
      </c>
      <c r="L854" s="134" t="str">
        <f>IF(AND('331-CT'!$E$7=TH!H854,OR(J854="331",K854="331")),"x","")</f>
        <v/>
      </c>
    </row>
    <row r="855" spans="1:12">
      <c r="A855" s="72">
        <f t="shared" si="33"/>
        <v>2015</v>
      </c>
      <c r="B855" s="72">
        <f t="shared" si="34"/>
        <v>10</v>
      </c>
      <c r="C855" s="325">
        <v>42279</v>
      </c>
      <c r="D855" s="325" t="s">
        <v>17</v>
      </c>
      <c r="E855" s="325">
        <v>42279</v>
      </c>
      <c r="F855" s="326" t="s">
        <v>35</v>
      </c>
      <c r="G855" s="327"/>
      <c r="H855" s="328"/>
      <c r="I855" s="74">
        <v>32000</v>
      </c>
      <c r="J855" s="329" t="s">
        <v>19</v>
      </c>
      <c r="K855" s="329" t="s">
        <v>54</v>
      </c>
      <c r="L855" s="134" t="str">
        <f>IF(AND('331-CT'!$E$7=TH!H855,OR(J855="331",K855="331")),"x","")</f>
        <v/>
      </c>
    </row>
    <row r="856" spans="1:12">
      <c r="A856" s="72">
        <f t="shared" si="33"/>
        <v>2015</v>
      </c>
      <c r="B856" s="72">
        <f t="shared" si="34"/>
        <v>10</v>
      </c>
      <c r="C856" s="325">
        <v>42280</v>
      </c>
      <c r="D856" s="325" t="s">
        <v>154</v>
      </c>
      <c r="E856" s="325">
        <v>42280</v>
      </c>
      <c r="F856" s="326" t="s">
        <v>604</v>
      </c>
      <c r="G856" s="327" t="s">
        <v>607</v>
      </c>
      <c r="H856" s="328" t="s">
        <v>436</v>
      </c>
      <c r="I856" s="74">
        <v>18000000</v>
      </c>
      <c r="J856" s="329" t="s">
        <v>655</v>
      </c>
      <c r="K856" s="329" t="s">
        <v>203</v>
      </c>
      <c r="L856" s="134" t="str">
        <f>IF(AND('331-CT'!$E$7=TH!H856,OR(J856="331",K856="331")),"x","")</f>
        <v/>
      </c>
    </row>
    <row r="857" spans="1:12">
      <c r="A857" s="72">
        <f t="shared" si="33"/>
        <v>2015</v>
      </c>
      <c r="B857" s="72">
        <f t="shared" si="34"/>
        <v>10</v>
      </c>
      <c r="C857" s="325">
        <v>42280</v>
      </c>
      <c r="D857" s="325" t="s">
        <v>154</v>
      </c>
      <c r="E857" s="325">
        <v>42280</v>
      </c>
      <c r="F857" s="326" t="s">
        <v>610</v>
      </c>
      <c r="G857" s="330" t="s">
        <v>607</v>
      </c>
      <c r="H857" s="328" t="s">
        <v>436</v>
      </c>
      <c r="I857" s="74">
        <v>1800000</v>
      </c>
      <c r="J857" s="329" t="s">
        <v>19</v>
      </c>
      <c r="K857" s="329" t="s">
        <v>203</v>
      </c>
      <c r="L857" s="134" t="str">
        <f>IF(AND('331-CT'!$E$7=TH!H857,OR(J857="331",K857="331")),"x","")</f>
        <v/>
      </c>
    </row>
    <row r="858" spans="1:12">
      <c r="A858" s="72">
        <f t="shared" si="33"/>
        <v>2015</v>
      </c>
      <c r="B858" s="72">
        <f t="shared" si="34"/>
        <v>10</v>
      </c>
      <c r="C858" s="325">
        <v>42281</v>
      </c>
      <c r="D858" s="325" t="s">
        <v>157</v>
      </c>
      <c r="E858" s="325">
        <v>42281</v>
      </c>
      <c r="F858" s="326" t="s">
        <v>604</v>
      </c>
      <c r="G858" s="330" t="s">
        <v>608</v>
      </c>
      <c r="H858" s="328" t="s">
        <v>436</v>
      </c>
      <c r="I858" s="74">
        <v>18000000</v>
      </c>
      <c r="J858" s="329" t="s">
        <v>655</v>
      </c>
      <c r="K858" s="329" t="s">
        <v>203</v>
      </c>
      <c r="L858" s="134" t="str">
        <f>IF(AND('331-CT'!$E$7=TH!H858,OR(J858="331",K858="331")),"x","")</f>
        <v/>
      </c>
    </row>
    <row r="859" spans="1:12">
      <c r="A859" s="72">
        <f t="shared" si="33"/>
        <v>2015</v>
      </c>
      <c r="B859" s="72">
        <f t="shared" si="34"/>
        <v>10</v>
      </c>
      <c r="C859" s="325">
        <v>42281</v>
      </c>
      <c r="D859" s="325" t="s">
        <v>157</v>
      </c>
      <c r="E859" s="325">
        <v>42281</v>
      </c>
      <c r="F859" s="326" t="s">
        <v>610</v>
      </c>
      <c r="G859" s="330" t="s">
        <v>608</v>
      </c>
      <c r="H859" s="328" t="s">
        <v>436</v>
      </c>
      <c r="I859" s="74">
        <v>1800000</v>
      </c>
      <c r="J859" s="329" t="s">
        <v>19</v>
      </c>
      <c r="K859" s="329" t="s">
        <v>203</v>
      </c>
      <c r="L859" s="134" t="str">
        <f>IF(AND('331-CT'!$E$7=TH!H859,OR(J859="331",K859="331")),"x","")</f>
        <v/>
      </c>
    </row>
    <row r="860" spans="1:12">
      <c r="A860" s="72">
        <f t="shared" si="33"/>
        <v>2015</v>
      </c>
      <c r="B860" s="72">
        <f t="shared" si="34"/>
        <v>10</v>
      </c>
      <c r="C860" s="325">
        <v>42281</v>
      </c>
      <c r="D860" s="325" t="s">
        <v>158</v>
      </c>
      <c r="E860" s="325">
        <v>42281</v>
      </c>
      <c r="F860" s="326" t="s">
        <v>616</v>
      </c>
      <c r="G860" s="330" t="s">
        <v>617</v>
      </c>
      <c r="H860" s="328" t="s">
        <v>620</v>
      </c>
      <c r="I860" s="74">
        <v>7848182</v>
      </c>
      <c r="J860" s="329" t="s">
        <v>655</v>
      </c>
      <c r="K860" s="329" t="s">
        <v>203</v>
      </c>
      <c r="L860" s="134" t="str">
        <f>IF(AND('331-CT'!$E$7=TH!H860,OR(J860="331",K860="331")),"x","")</f>
        <v/>
      </c>
    </row>
    <row r="861" spans="1:12">
      <c r="A861" s="72">
        <f t="shared" si="33"/>
        <v>2015</v>
      </c>
      <c r="B861" s="72">
        <f t="shared" si="34"/>
        <v>10</v>
      </c>
      <c r="C861" s="325">
        <v>42281</v>
      </c>
      <c r="D861" s="325" t="s">
        <v>158</v>
      </c>
      <c r="E861" s="325">
        <v>42281</v>
      </c>
      <c r="F861" s="326" t="s">
        <v>619</v>
      </c>
      <c r="G861" s="330" t="s">
        <v>617</v>
      </c>
      <c r="H861" s="328" t="s">
        <v>620</v>
      </c>
      <c r="I861" s="74">
        <v>784818</v>
      </c>
      <c r="J861" s="329" t="s">
        <v>19</v>
      </c>
      <c r="K861" s="329" t="s">
        <v>203</v>
      </c>
      <c r="L861" s="134" t="str">
        <f>IF(AND('331-CT'!$E$7=TH!H861,OR(J861="331",K861="331")),"x","")</f>
        <v/>
      </c>
    </row>
    <row r="862" spans="1:12">
      <c r="A862" s="72">
        <f t="shared" si="33"/>
        <v>2015</v>
      </c>
      <c r="B862" s="72">
        <f t="shared" si="34"/>
        <v>10</v>
      </c>
      <c r="C862" s="325">
        <v>42281</v>
      </c>
      <c r="D862" s="325" t="s">
        <v>158</v>
      </c>
      <c r="E862" s="325">
        <v>42281</v>
      </c>
      <c r="F862" s="326" t="s">
        <v>621</v>
      </c>
      <c r="G862" s="330" t="s">
        <v>618</v>
      </c>
      <c r="H862" s="9" t="s">
        <v>620</v>
      </c>
      <c r="I862" s="74">
        <v>6666364</v>
      </c>
      <c r="J862" s="329" t="s">
        <v>655</v>
      </c>
      <c r="K862" s="329" t="s">
        <v>203</v>
      </c>
      <c r="L862" s="134" t="str">
        <f>IF(AND('331-CT'!$E$7=TH!H862,OR(J862="331",K862="331")),"x","")</f>
        <v/>
      </c>
    </row>
    <row r="863" spans="1:12">
      <c r="A863" s="72">
        <f t="shared" si="33"/>
        <v>2015</v>
      </c>
      <c r="B863" s="72">
        <f t="shared" si="34"/>
        <v>10</v>
      </c>
      <c r="C863" s="325">
        <v>42281</v>
      </c>
      <c r="D863" s="325" t="s">
        <v>158</v>
      </c>
      <c r="E863" s="325">
        <v>42281</v>
      </c>
      <c r="F863" s="326" t="s">
        <v>622</v>
      </c>
      <c r="G863" s="330" t="s">
        <v>618</v>
      </c>
      <c r="H863" s="328" t="s">
        <v>620</v>
      </c>
      <c r="I863" s="74">
        <v>666636</v>
      </c>
      <c r="J863" s="329" t="s">
        <v>19</v>
      </c>
      <c r="K863" s="329" t="s">
        <v>203</v>
      </c>
      <c r="L863" s="134" t="str">
        <f>IF(AND('331-CT'!$E$7=TH!H863,OR(J863="331",K863="331")),"x","")</f>
        <v/>
      </c>
    </row>
    <row r="864" spans="1:12">
      <c r="A864" s="72">
        <f t="shared" si="33"/>
        <v>2015</v>
      </c>
      <c r="B864" s="72">
        <f t="shared" si="34"/>
        <v>10</v>
      </c>
      <c r="C864" s="325">
        <v>42282</v>
      </c>
      <c r="D864" s="325" t="s">
        <v>163</v>
      </c>
      <c r="E864" s="325">
        <v>42282</v>
      </c>
      <c r="F864" s="326" t="s">
        <v>604</v>
      </c>
      <c r="G864" s="330" t="s">
        <v>609</v>
      </c>
      <c r="H864" s="328" t="s">
        <v>436</v>
      </c>
      <c r="I864" s="74">
        <v>18000000</v>
      </c>
      <c r="J864" s="329" t="s">
        <v>655</v>
      </c>
      <c r="K864" s="329" t="s">
        <v>203</v>
      </c>
      <c r="L864" s="134" t="str">
        <f>IF(AND('331-CT'!$E$7=TH!H864,OR(J864="331",K864="331")),"x","")</f>
        <v/>
      </c>
    </row>
    <row r="865" spans="1:12">
      <c r="A865" s="72">
        <f t="shared" si="33"/>
        <v>2015</v>
      </c>
      <c r="B865" s="72">
        <f t="shared" si="34"/>
        <v>10</v>
      </c>
      <c r="C865" s="73">
        <v>42282</v>
      </c>
      <c r="D865" s="325" t="s">
        <v>163</v>
      </c>
      <c r="E865" s="73">
        <v>42282</v>
      </c>
      <c r="F865" s="76" t="s">
        <v>610</v>
      </c>
      <c r="G865" s="272" t="s">
        <v>609</v>
      </c>
      <c r="H865" s="122" t="s">
        <v>436</v>
      </c>
      <c r="I865" s="74">
        <v>1800000</v>
      </c>
      <c r="J865" s="75" t="s">
        <v>19</v>
      </c>
      <c r="K865" s="75" t="s">
        <v>203</v>
      </c>
      <c r="L865" s="134" t="str">
        <f>IF(AND('331-CT'!$E$7=TH!H865,OR(J865="331",K865="331")),"x","")</f>
        <v/>
      </c>
    </row>
    <row r="866" spans="1:12">
      <c r="A866" s="72">
        <f t="shared" si="33"/>
        <v>2015</v>
      </c>
      <c r="B866" s="72">
        <f t="shared" si="34"/>
        <v>10</v>
      </c>
      <c r="C866" s="73">
        <v>42282</v>
      </c>
      <c r="D866" s="325" t="s">
        <v>164</v>
      </c>
      <c r="E866" s="73">
        <v>42282</v>
      </c>
      <c r="F866" s="76" t="s">
        <v>659</v>
      </c>
      <c r="G866" s="272" t="s">
        <v>661</v>
      </c>
      <c r="H866" s="122" t="s">
        <v>357</v>
      </c>
      <c r="I866" s="74">
        <v>5181818</v>
      </c>
      <c r="J866" s="75" t="s">
        <v>655</v>
      </c>
      <c r="K866" s="75" t="s">
        <v>203</v>
      </c>
      <c r="L866" s="134" t="str">
        <f>IF(AND('331-CT'!$E$7=TH!H866,OR(J866="331",K866="331")),"x","")</f>
        <v/>
      </c>
    </row>
    <row r="867" spans="1:12">
      <c r="A867" s="72">
        <f t="shared" si="33"/>
        <v>2015</v>
      </c>
      <c r="B867" s="72">
        <f t="shared" si="34"/>
        <v>10</v>
      </c>
      <c r="C867" s="325">
        <v>42282</v>
      </c>
      <c r="D867" s="325" t="s">
        <v>164</v>
      </c>
      <c r="E867" s="325">
        <v>42282</v>
      </c>
      <c r="F867" s="326" t="s">
        <v>660</v>
      </c>
      <c r="G867" s="330" t="s">
        <v>661</v>
      </c>
      <c r="H867" s="328" t="s">
        <v>357</v>
      </c>
      <c r="I867" s="74">
        <v>518182</v>
      </c>
      <c r="J867" s="329" t="s">
        <v>19</v>
      </c>
      <c r="K867" s="329" t="s">
        <v>203</v>
      </c>
      <c r="L867" s="134" t="str">
        <f>IF(AND('331-CT'!$E$7=TH!H867,OR(J867="331",K867="331")),"x","")</f>
        <v/>
      </c>
    </row>
    <row r="868" spans="1:12">
      <c r="A868" s="72">
        <f t="shared" si="33"/>
        <v>2015</v>
      </c>
      <c r="B868" s="72">
        <f t="shared" si="34"/>
        <v>10</v>
      </c>
      <c r="C868" s="325">
        <v>42283</v>
      </c>
      <c r="D868" s="325" t="s">
        <v>78</v>
      </c>
      <c r="E868" s="325">
        <v>42283</v>
      </c>
      <c r="F868" s="326" t="s">
        <v>630</v>
      </c>
      <c r="G868" s="327" t="s">
        <v>631</v>
      </c>
      <c r="H868" s="328" t="s">
        <v>632</v>
      </c>
      <c r="I868" s="74">
        <v>20382000</v>
      </c>
      <c r="J868" s="329" t="s">
        <v>655</v>
      </c>
      <c r="K868" s="329" t="s">
        <v>18</v>
      </c>
      <c r="L868" s="134" t="str">
        <f>IF(AND('331-CT'!$E$7=TH!H868,OR(J868="331",K868="331")),"x","")</f>
        <v/>
      </c>
    </row>
    <row r="869" spans="1:12">
      <c r="A869" s="72">
        <f t="shared" si="33"/>
        <v>2015</v>
      </c>
      <c r="B869" s="72">
        <f t="shared" si="34"/>
        <v>10</v>
      </c>
      <c r="C869" s="325">
        <v>42283</v>
      </c>
      <c r="D869" s="325" t="s">
        <v>165</v>
      </c>
      <c r="E869" s="325">
        <v>42283</v>
      </c>
      <c r="F869" s="326" t="s">
        <v>725</v>
      </c>
      <c r="G869" s="327" t="s">
        <v>729</v>
      </c>
      <c r="H869" s="328" t="s">
        <v>727</v>
      </c>
      <c r="I869" s="74">
        <v>15000000</v>
      </c>
      <c r="J869" s="329" t="s">
        <v>655</v>
      </c>
      <c r="K869" s="329" t="s">
        <v>203</v>
      </c>
      <c r="L869" s="134" t="str">
        <f>IF(AND('331-CT'!$E$7=TH!H869,OR(J869="331",K869="331")),"x","")</f>
        <v/>
      </c>
    </row>
    <row r="870" spans="1:12">
      <c r="A870" s="72">
        <f t="shared" si="33"/>
        <v>2015</v>
      </c>
      <c r="B870" s="72">
        <f t="shared" si="34"/>
        <v>10</v>
      </c>
      <c r="C870" s="325">
        <v>42283</v>
      </c>
      <c r="D870" s="325" t="s">
        <v>165</v>
      </c>
      <c r="E870" s="325">
        <v>42283</v>
      </c>
      <c r="F870" s="326" t="s">
        <v>728</v>
      </c>
      <c r="G870" s="327" t="s">
        <v>729</v>
      </c>
      <c r="H870" s="328" t="s">
        <v>727</v>
      </c>
      <c r="I870" s="74">
        <v>1500000</v>
      </c>
      <c r="J870" s="329" t="s">
        <v>19</v>
      </c>
      <c r="K870" s="329" t="s">
        <v>203</v>
      </c>
      <c r="L870" s="134" t="str">
        <f>IF(AND('331-CT'!$E$7=TH!H870,OR(J870="331",K870="331")),"x","")</f>
        <v/>
      </c>
    </row>
    <row r="871" spans="1:12">
      <c r="A871" s="72">
        <f t="shared" si="33"/>
        <v>2015</v>
      </c>
      <c r="B871" s="72">
        <f t="shared" si="34"/>
        <v>10</v>
      </c>
      <c r="C871" s="325">
        <v>42284</v>
      </c>
      <c r="D871" s="325" t="s">
        <v>166</v>
      </c>
      <c r="E871" s="325">
        <v>42284</v>
      </c>
      <c r="F871" s="326" t="s">
        <v>623</v>
      </c>
      <c r="G871" s="327" t="s">
        <v>624</v>
      </c>
      <c r="H871" s="328" t="s">
        <v>625</v>
      </c>
      <c r="I871" s="74">
        <v>400000</v>
      </c>
      <c r="J871" s="329" t="s">
        <v>655</v>
      </c>
      <c r="K871" s="329" t="s">
        <v>203</v>
      </c>
      <c r="L871" s="134" t="str">
        <f>IF(AND('331-CT'!$E$7=TH!H871,OR(J871="331",K871="331")),"x","")</f>
        <v/>
      </c>
    </row>
    <row r="872" spans="1:12">
      <c r="A872" s="72">
        <f t="shared" si="33"/>
        <v>2015</v>
      </c>
      <c r="B872" s="72">
        <f t="shared" si="34"/>
        <v>10</v>
      </c>
      <c r="C872" s="325">
        <v>42285</v>
      </c>
      <c r="D872" s="325" t="s">
        <v>167</v>
      </c>
      <c r="E872" s="325">
        <v>42285</v>
      </c>
      <c r="F872" s="326" t="s">
        <v>626</v>
      </c>
      <c r="G872" s="330" t="s">
        <v>628</v>
      </c>
      <c r="H872" s="9" t="s">
        <v>629</v>
      </c>
      <c r="I872" s="74">
        <v>2650000</v>
      </c>
      <c r="J872" s="329" t="s">
        <v>655</v>
      </c>
      <c r="K872" s="329" t="s">
        <v>203</v>
      </c>
      <c r="L872" s="134" t="str">
        <f>IF(AND('331-CT'!$E$7=TH!H872,OR(J872="331",K872="331")),"x","")</f>
        <v/>
      </c>
    </row>
    <row r="873" spans="1:12">
      <c r="A873" s="72">
        <f t="shared" si="33"/>
        <v>2015</v>
      </c>
      <c r="B873" s="72">
        <f t="shared" si="34"/>
        <v>10</v>
      </c>
      <c r="C873" s="325">
        <v>42285</v>
      </c>
      <c r="D873" s="325" t="s">
        <v>167</v>
      </c>
      <c r="E873" s="325">
        <v>42285</v>
      </c>
      <c r="F873" s="326" t="s">
        <v>627</v>
      </c>
      <c r="G873" s="330" t="s">
        <v>628</v>
      </c>
      <c r="H873" s="328" t="s">
        <v>629</v>
      </c>
      <c r="I873" s="74">
        <v>265000</v>
      </c>
      <c r="J873" s="329" t="s">
        <v>19</v>
      </c>
      <c r="K873" s="329" t="s">
        <v>203</v>
      </c>
      <c r="L873" s="134" t="str">
        <f>IF(AND('331-CT'!$E$7=TH!H873,OR(J873="331",K873="331")),"x","")</f>
        <v/>
      </c>
    </row>
    <row r="874" spans="1:12">
      <c r="A874" s="72">
        <f t="shared" si="33"/>
        <v>2015</v>
      </c>
      <c r="B874" s="72">
        <f t="shared" si="34"/>
        <v>10</v>
      </c>
      <c r="C874" s="325">
        <v>42285</v>
      </c>
      <c r="D874" s="325" t="s">
        <v>168</v>
      </c>
      <c r="E874" s="325">
        <v>42285</v>
      </c>
      <c r="F874" s="326" t="s">
        <v>637</v>
      </c>
      <c r="G874" s="330" t="s">
        <v>639</v>
      </c>
      <c r="H874" s="328" t="s">
        <v>640</v>
      </c>
      <c r="I874" s="74">
        <v>1338182</v>
      </c>
      <c r="J874" s="329" t="s">
        <v>655</v>
      </c>
      <c r="K874" s="329" t="s">
        <v>203</v>
      </c>
      <c r="L874" s="134" t="str">
        <f>IF(AND('331-CT'!$E$7=TH!H874,OR(J874="331",K874="331")),"x","")</f>
        <v/>
      </c>
    </row>
    <row r="875" spans="1:12">
      <c r="A875" s="72">
        <f t="shared" si="33"/>
        <v>2015</v>
      </c>
      <c r="B875" s="72">
        <f t="shared" si="34"/>
        <v>10</v>
      </c>
      <c r="C875" s="325">
        <v>42285</v>
      </c>
      <c r="D875" s="325" t="s">
        <v>168</v>
      </c>
      <c r="E875" s="325">
        <v>42285</v>
      </c>
      <c r="F875" s="326" t="s">
        <v>638</v>
      </c>
      <c r="G875" s="330" t="s">
        <v>639</v>
      </c>
      <c r="H875" s="9" t="s">
        <v>640</v>
      </c>
      <c r="I875" s="74">
        <v>133818</v>
      </c>
      <c r="J875" s="329" t="s">
        <v>19</v>
      </c>
      <c r="K875" s="329" t="s">
        <v>203</v>
      </c>
      <c r="L875" s="134" t="str">
        <f>IF(AND('331-CT'!$E$7=TH!H875,OR(J875="331",K875="331")),"x","")</f>
        <v/>
      </c>
    </row>
    <row r="876" spans="1:12">
      <c r="A876" s="72">
        <f t="shared" si="33"/>
        <v>2015</v>
      </c>
      <c r="B876" s="72">
        <f t="shared" si="34"/>
        <v>10</v>
      </c>
      <c r="C876" s="325">
        <v>42285</v>
      </c>
      <c r="D876" s="325" t="s">
        <v>17</v>
      </c>
      <c r="E876" s="325">
        <v>42285</v>
      </c>
      <c r="F876" s="326" t="s">
        <v>301</v>
      </c>
      <c r="G876" s="330"/>
      <c r="H876" s="328" t="s">
        <v>407</v>
      </c>
      <c r="I876" s="74">
        <v>30000000</v>
      </c>
      <c r="J876" s="329" t="s">
        <v>18</v>
      </c>
      <c r="K876" s="329" t="s">
        <v>54</v>
      </c>
      <c r="L876" s="134" t="str">
        <f>IF(AND('331-CT'!$E$7=TH!H876,OR(J876="331",K876="331")),"x","")</f>
        <v>x</v>
      </c>
    </row>
    <row r="877" spans="1:12">
      <c r="A877" s="72">
        <f t="shared" si="33"/>
        <v>2015</v>
      </c>
      <c r="B877" s="72">
        <f t="shared" si="34"/>
        <v>10</v>
      </c>
      <c r="C877" s="325">
        <v>42285</v>
      </c>
      <c r="D877" s="325" t="s">
        <v>17</v>
      </c>
      <c r="E877" s="325">
        <v>42285</v>
      </c>
      <c r="F877" s="326" t="s">
        <v>34</v>
      </c>
      <c r="G877" s="330"/>
      <c r="H877" s="328"/>
      <c r="I877" s="74">
        <v>25000</v>
      </c>
      <c r="J877" s="329" t="s">
        <v>242</v>
      </c>
      <c r="K877" s="329" t="s">
        <v>54</v>
      </c>
      <c r="L877" s="134" t="str">
        <f>IF(AND('331-CT'!$E$7=TH!H877,OR(J877="331",K877="331")),"x","")</f>
        <v/>
      </c>
    </row>
    <row r="878" spans="1:12">
      <c r="A878" s="72">
        <f t="shared" si="33"/>
        <v>2015</v>
      </c>
      <c r="B878" s="72">
        <f t="shared" si="34"/>
        <v>10</v>
      </c>
      <c r="C878" s="325">
        <v>42285</v>
      </c>
      <c r="D878" s="325" t="s">
        <v>17</v>
      </c>
      <c r="E878" s="325">
        <v>42285</v>
      </c>
      <c r="F878" s="326" t="s">
        <v>35</v>
      </c>
      <c r="G878" s="327"/>
      <c r="H878" s="328"/>
      <c r="I878" s="74">
        <v>2500</v>
      </c>
      <c r="J878" s="329" t="s">
        <v>19</v>
      </c>
      <c r="K878" s="329" t="s">
        <v>54</v>
      </c>
      <c r="L878" s="134" t="str">
        <f>IF(AND('331-CT'!$E$7=TH!H878,OR(J878="331",K878="331")),"x","")</f>
        <v/>
      </c>
    </row>
    <row r="879" spans="1:12">
      <c r="A879" s="72">
        <f t="shared" si="33"/>
        <v>2015</v>
      </c>
      <c r="B879" s="72">
        <f t="shared" si="34"/>
        <v>10</v>
      </c>
      <c r="C879" s="325">
        <v>42286</v>
      </c>
      <c r="D879" s="325" t="s">
        <v>169</v>
      </c>
      <c r="E879" s="325">
        <v>42286</v>
      </c>
      <c r="F879" s="326" t="s">
        <v>663</v>
      </c>
      <c r="G879" s="327" t="s">
        <v>662</v>
      </c>
      <c r="H879" s="328" t="s">
        <v>585</v>
      </c>
      <c r="I879" s="74">
        <v>1882000</v>
      </c>
      <c r="J879" s="329" t="s">
        <v>655</v>
      </c>
      <c r="K879" s="329" t="s">
        <v>203</v>
      </c>
      <c r="L879" s="134" t="str">
        <f>IF(AND('331-CT'!$E$7=TH!H879,OR(J879="331",K879="331")),"x","")</f>
        <v/>
      </c>
    </row>
    <row r="880" spans="1:12">
      <c r="A880" s="72">
        <f t="shared" si="33"/>
        <v>2015</v>
      </c>
      <c r="B880" s="72">
        <f t="shared" si="34"/>
        <v>10</v>
      </c>
      <c r="C880" s="325">
        <v>42286</v>
      </c>
      <c r="D880" s="325" t="s">
        <v>170</v>
      </c>
      <c r="E880" s="325">
        <v>42286</v>
      </c>
      <c r="F880" s="326" t="s">
        <v>725</v>
      </c>
      <c r="G880" s="327" t="s">
        <v>730</v>
      </c>
      <c r="H880" s="328" t="s">
        <v>727</v>
      </c>
      <c r="I880" s="74">
        <v>15000000</v>
      </c>
      <c r="J880" s="329" t="s">
        <v>655</v>
      </c>
      <c r="K880" s="329" t="s">
        <v>203</v>
      </c>
      <c r="L880" s="134" t="str">
        <f>IF(AND('331-CT'!$E$7=TH!H880,OR(J880="331",K880="331")),"x","")</f>
        <v/>
      </c>
    </row>
    <row r="881" spans="1:12">
      <c r="A881" s="72">
        <f t="shared" si="33"/>
        <v>2015</v>
      </c>
      <c r="B881" s="72">
        <f t="shared" si="34"/>
        <v>10</v>
      </c>
      <c r="C881" s="325">
        <v>42286</v>
      </c>
      <c r="D881" s="325" t="s">
        <v>170</v>
      </c>
      <c r="E881" s="325">
        <v>42286</v>
      </c>
      <c r="F881" s="326" t="s">
        <v>728</v>
      </c>
      <c r="G881" s="327" t="s">
        <v>730</v>
      </c>
      <c r="H881" s="328" t="s">
        <v>727</v>
      </c>
      <c r="I881" s="74">
        <v>1500000</v>
      </c>
      <c r="J881" s="329" t="s">
        <v>19</v>
      </c>
      <c r="K881" s="329" t="s">
        <v>203</v>
      </c>
      <c r="L881" s="134" t="str">
        <f>IF(AND('331-CT'!$E$7=TH!H881,OR(J881="331",K881="331")),"x","")</f>
        <v/>
      </c>
    </row>
    <row r="882" spans="1:12">
      <c r="A882" s="72">
        <f t="shared" si="33"/>
        <v>2015</v>
      </c>
      <c r="B882" s="72">
        <f t="shared" si="34"/>
        <v>10</v>
      </c>
      <c r="C882" s="325">
        <v>42287</v>
      </c>
      <c r="D882" s="325" t="s">
        <v>171</v>
      </c>
      <c r="E882" s="325">
        <v>42287</v>
      </c>
      <c r="F882" s="326" t="s">
        <v>633</v>
      </c>
      <c r="G882" s="327" t="s">
        <v>634</v>
      </c>
      <c r="H882" s="328" t="s">
        <v>635</v>
      </c>
      <c r="I882" s="74">
        <v>19200000</v>
      </c>
      <c r="J882" s="329" t="s">
        <v>655</v>
      </c>
      <c r="K882" s="329" t="s">
        <v>203</v>
      </c>
      <c r="L882" s="134" t="str">
        <f>IF(AND('331-CT'!$E$7=TH!H882,OR(J882="331",K882="331")),"x","")</f>
        <v/>
      </c>
    </row>
    <row r="883" spans="1:12">
      <c r="A883" s="72">
        <f t="shared" si="33"/>
        <v>2015</v>
      </c>
      <c r="B883" s="72">
        <f t="shared" si="34"/>
        <v>10</v>
      </c>
      <c r="C883" s="325">
        <v>42288</v>
      </c>
      <c r="D883" s="325" t="s">
        <v>495</v>
      </c>
      <c r="E883" s="325">
        <v>42288</v>
      </c>
      <c r="F883" s="326" t="s">
        <v>633</v>
      </c>
      <c r="G883" s="327" t="s">
        <v>636</v>
      </c>
      <c r="H883" s="328" t="s">
        <v>635</v>
      </c>
      <c r="I883" s="74">
        <v>18000000</v>
      </c>
      <c r="J883" s="329" t="s">
        <v>655</v>
      </c>
      <c r="K883" s="329" t="s">
        <v>203</v>
      </c>
      <c r="L883" s="134" t="str">
        <f>IF(AND('331-CT'!$E$7=TH!H883,OR(J883="331",K883="331")),"x","")</f>
        <v/>
      </c>
    </row>
    <row r="884" spans="1:12">
      <c r="A884" s="72">
        <f t="shared" si="33"/>
        <v>2015</v>
      </c>
      <c r="B884" s="72">
        <f t="shared" si="34"/>
        <v>10</v>
      </c>
      <c r="C884" s="325">
        <v>42288</v>
      </c>
      <c r="D884" s="325" t="s">
        <v>78</v>
      </c>
      <c r="E884" s="325">
        <v>42288</v>
      </c>
      <c r="F884" s="326" t="s">
        <v>715</v>
      </c>
      <c r="G884" s="327" t="s">
        <v>716</v>
      </c>
      <c r="H884" s="328" t="s">
        <v>649</v>
      </c>
      <c r="I884" s="74">
        <v>14553800</v>
      </c>
      <c r="J884" s="329" t="s">
        <v>242</v>
      </c>
      <c r="K884" s="329" t="s">
        <v>18</v>
      </c>
      <c r="L884" s="134" t="str">
        <f>IF(AND('331-CT'!$E$7=TH!H884,OR(J884="331",K884="331")),"x","")</f>
        <v/>
      </c>
    </row>
    <row r="885" spans="1:12">
      <c r="A885" s="72">
        <f t="shared" si="33"/>
        <v>2015</v>
      </c>
      <c r="B885" s="72">
        <f t="shared" si="34"/>
        <v>10</v>
      </c>
      <c r="C885" s="325">
        <v>42288</v>
      </c>
      <c r="D885" s="325" t="s">
        <v>78</v>
      </c>
      <c r="E885" s="325">
        <v>42288</v>
      </c>
      <c r="F885" s="326" t="s">
        <v>717</v>
      </c>
      <c r="G885" s="327" t="s">
        <v>716</v>
      </c>
      <c r="H885" s="328" t="s">
        <v>649</v>
      </c>
      <c r="I885" s="74">
        <v>1455380</v>
      </c>
      <c r="J885" s="329" t="s">
        <v>19</v>
      </c>
      <c r="K885" s="329" t="s">
        <v>18</v>
      </c>
      <c r="L885" s="134" t="str">
        <f>IF(AND('331-CT'!$E$7=TH!H885,OR(J885="331",K885="331")),"x","")</f>
        <v/>
      </c>
    </row>
    <row r="886" spans="1:12">
      <c r="A886" s="72">
        <f t="shared" si="33"/>
        <v>2015</v>
      </c>
      <c r="B886" s="72">
        <f t="shared" si="34"/>
        <v>10</v>
      </c>
      <c r="C886" s="325">
        <v>42288</v>
      </c>
      <c r="D886" s="325" t="s">
        <v>78</v>
      </c>
      <c r="E886" s="325">
        <v>42288</v>
      </c>
      <c r="F886" s="326" t="s">
        <v>718</v>
      </c>
      <c r="G886" s="327" t="s">
        <v>719</v>
      </c>
      <c r="H886" s="328" t="s">
        <v>649</v>
      </c>
      <c r="I886" s="74">
        <v>855763</v>
      </c>
      <c r="J886" s="329" t="s">
        <v>242</v>
      </c>
      <c r="K886" s="329" t="s">
        <v>18</v>
      </c>
      <c r="L886" s="134" t="str">
        <f>IF(AND('331-CT'!$E$7=TH!H886,OR(J886="331",K886="331")),"x","")</f>
        <v/>
      </c>
    </row>
    <row r="887" spans="1:12">
      <c r="A887" s="72">
        <f t="shared" si="33"/>
        <v>2015</v>
      </c>
      <c r="B887" s="72">
        <f t="shared" si="34"/>
        <v>10</v>
      </c>
      <c r="C887" s="325">
        <v>42288</v>
      </c>
      <c r="D887" s="325" t="s">
        <v>78</v>
      </c>
      <c r="E887" s="325">
        <v>42288</v>
      </c>
      <c r="F887" s="326" t="s">
        <v>720</v>
      </c>
      <c r="G887" s="327" t="s">
        <v>719</v>
      </c>
      <c r="H887" s="328" t="s">
        <v>649</v>
      </c>
      <c r="I887" s="74">
        <v>85576</v>
      </c>
      <c r="J887" s="329" t="s">
        <v>19</v>
      </c>
      <c r="K887" s="329" t="s">
        <v>18</v>
      </c>
      <c r="L887" s="134" t="str">
        <f>IF(AND('331-CT'!$E$7=TH!H887,OR(J887="331",K887="331")),"x","")</f>
        <v/>
      </c>
    </row>
    <row r="888" spans="1:12">
      <c r="A888" s="72">
        <f t="shared" si="33"/>
        <v>2015</v>
      </c>
      <c r="B888" s="72">
        <f t="shared" si="34"/>
        <v>10</v>
      </c>
      <c r="C888" s="325">
        <v>42289</v>
      </c>
      <c r="D888" s="325" t="s">
        <v>496</v>
      </c>
      <c r="E888" s="325">
        <v>42289</v>
      </c>
      <c r="F888" s="326" t="s">
        <v>641</v>
      </c>
      <c r="G888" s="327" t="s">
        <v>643</v>
      </c>
      <c r="H888" s="328" t="s">
        <v>644</v>
      </c>
      <c r="I888" s="74">
        <v>10000000</v>
      </c>
      <c r="J888" s="329" t="s">
        <v>655</v>
      </c>
      <c r="K888" s="329" t="s">
        <v>203</v>
      </c>
      <c r="L888" s="134" t="str">
        <f>IF(AND('331-CT'!$E$7=TH!H888,OR(J888="331",K888="331")),"x","")</f>
        <v/>
      </c>
    </row>
    <row r="889" spans="1:12">
      <c r="A889" s="72">
        <f t="shared" si="33"/>
        <v>2015</v>
      </c>
      <c r="B889" s="72">
        <f t="shared" si="34"/>
        <v>10</v>
      </c>
      <c r="C889" s="325">
        <v>42289</v>
      </c>
      <c r="D889" s="325" t="s">
        <v>496</v>
      </c>
      <c r="E889" s="325">
        <v>42289</v>
      </c>
      <c r="F889" s="326" t="s">
        <v>642</v>
      </c>
      <c r="G889" s="327" t="s">
        <v>643</v>
      </c>
      <c r="H889" s="328" t="s">
        <v>644</v>
      </c>
      <c r="I889" s="74">
        <v>1000000</v>
      </c>
      <c r="J889" s="329" t="s">
        <v>19</v>
      </c>
      <c r="K889" s="329" t="s">
        <v>203</v>
      </c>
      <c r="L889" s="134" t="str">
        <f>IF(AND('331-CT'!$E$7=TH!H889,OR(J889="331",K889="331")),"x","")</f>
        <v/>
      </c>
    </row>
    <row r="890" spans="1:12">
      <c r="A890" s="72">
        <f t="shared" si="33"/>
        <v>2015</v>
      </c>
      <c r="B890" s="72">
        <f t="shared" si="34"/>
        <v>10</v>
      </c>
      <c r="C890" s="325">
        <v>42290</v>
      </c>
      <c r="D890" s="325" t="s">
        <v>497</v>
      </c>
      <c r="E890" s="325">
        <v>42290</v>
      </c>
      <c r="F890" s="326" t="s">
        <v>752</v>
      </c>
      <c r="G890" s="327" t="s">
        <v>753</v>
      </c>
      <c r="H890" s="328" t="s">
        <v>754</v>
      </c>
      <c r="I890" s="74">
        <v>17985000</v>
      </c>
      <c r="J890" s="329" t="s">
        <v>655</v>
      </c>
      <c r="K890" s="329" t="s">
        <v>203</v>
      </c>
      <c r="L890" s="134" t="str">
        <f>IF(AND('331-CT'!$E$7=TH!H890,OR(J890="331",K890="331")),"x","")</f>
        <v/>
      </c>
    </row>
    <row r="891" spans="1:12">
      <c r="A891" s="72">
        <f t="shared" si="33"/>
        <v>2015</v>
      </c>
      <c r="B891" s="72">
        <f t="shared" si="34"/>
        <v>10</v>
      </c>
      <c r="C891" s="73">
        <v>42290</v>
      </c>
      <c r="D891" s="325" t="s">
        <v>497</v>
      </c>
      <c r="E891" s="73">
        <v>42290</v>
      </c>
      <c r="F891" s="76" t="s">
        <v>755</v>
      </c>
      <c r="G891" s="272" t="s">
        <v>753</v>
      </c>
      <c r="H891" s="122" t="s">
        <v>754</v>
      </c>
      <c r="I891" s="74">
        <v>1798500</v>
      </c>
      <c r="J891" s="75" t="s">
        <v>19</v>
      </c>
      <c r="K891" s="75" t="s">
        <v>203</v>
      </c>
      <c r="L891" s="134" t="str">
        <f>IF(AND('331-CT'!$E$7=TH!H891,OR(J891="331",K891="331")),"x","")</f>
        <v/>
      </c>
    </row>
    <row r="892" spans="1:12">
      <c r="A892" s="72">
        <f t="shared" si="33"/>
        <v>2015</v>
      </c>
      <c r="B892" s="72">
        <f t="shared" si="34"/>
        <v>10</v>
      </c>
      <c r="C892" s="73">
        <v>42291</v>
      </c>
      <c r="D892" s="325" t="s">
        <v>498</v>
      </c>
      <c r="E892" s="73">
        <v>42291</v>
      </c>
      <c r="F892" s="76" t="s">
        <v>645</v>
      </c>
      <c r="G892" s="272" t="s">
        <v>646</v>
      </c>
      <c r="H892" s="122" t="s">
        <v>644</v>
      </c>
      <c r="I892" s="74">
        <v>11999996</v>
      </c>
      <c r="J892" s="75" t="s">
        <v>655</v>
      </c>
      <c r="K892" s="75" t="s">
        <v>203</v>
      </c>
      <c r="L892" s="134" t="str">
        <f>IF(AND('331-CT'!$E$7=TH!H892,OR(J892="331",K892="331")),"x","")</f>
        <v/>
      </c>
    </row>
    <row r="893" spans="1:12">
      <c r="A893" s="72">
        <f t="shared" si="33"/>
        <v>2015</v>
      </c>
      <c r="B893" s="72">
        <f t="shared" si="34"/>
        <v>10</v>
      </c>
      <c r="C893" s="325">
        <v>42291</v>
      </c>
      <c r="D893" s="325" t="s">
        <v>498</v>
      </c>
      <c r="E893" s="325">
        <v>42291</v>
      </c>
      <c r="F893" s="326" t="s">
        <v>647</v>
      </c>
      <c r="G893" s="327" t="s">
        <v>646</v>
      </c>
      <c r="H893" s="328" t="s">
        <v>644</v>
      </c>
      <c r="I893" s="74">
        <v>1199999</v>
      </c>
      <c r="J893" s="329" t="s">
        <v>19</v>
      </c>
      <c r="K893" s="329" t="s">
        <v>203</v>
      </c>
      <c r="L893" s="134" t="str">
        <f>IF(AND('331-CT'!$E$7=TH!H893,OR(J893="331",K893="331")),"x","")</f>
        <v/>
      </c>
    </row>
    <row r="894" spans="1:12">
      <c r="A894" s="72">
        <f t="shared" si="33"/>
        <v>2015</v>
      </c>
      <c r="B894" s="72">
        <f t="shared" si="34"/>
        <v>10</v>
      </c>
      <c r="C894" s="325">
        <v>42291</v>
      </c>
      <c r="D894" s="325" t="s">
        <v>499</v>
      </c>
      <c r="E894" s="325">
        <v>42291</v>
      </c>
      <c r="F894" s="326" t="s">
        <v>752</v>
      </c>
      <c r="G894" s="327" t="s">
        <v>756</v>
      </c>
      <c r="H894" s="328" t="s">
        <v>754</v>
      </c>
      <c r="I894" s="74">
        <v>17985000</v>
      </c>
      <c r="J894" s="329" t="s">
        <v>655</v>
      </c>
      <c r="K894" s="329" t="s">
        <v>203</v>
      </c>
      <c r="L894" s="134" t="str">
        <f>IF(AND('331-CT'!$E$7=TH!H914,OR(J894="331",K894="331")),"x","")</f>
        <v/>
      </c>
    </row>
    <row r="895" spans="1:12">
      <c r="A895" s="72">
        <f t="shared" si="33"/>
        <v>2015</v>
      </c>
      <c r="B895" s="72">
        <f t="shared" si="34"/>
        <v>10</v>
      </c>
      <c r="C895" s="325">
        <v>42291</v>
      </c>
      <c r="D895" s="325" t="s">
        <v>499</v>
      </c>
      <c r="E895" s="325">
        <v>42291</v>
      </c>
      <c r="F895" s="326" t="s">
        <v>755</v>
      </c>
      <c r="G895" s="327" t="s">
        <v>756</v>
      </c>
      <c r="H895" s="328" t="s">
        <v>754</v>
      </c>
      <c r="I895" s="74">
        <v>1798500</v>
      </c>
      <c r="J895" s="329" t="s">
        <v>19</v>
      </c>
      <c r="K895" s="329" t="s">
        <v>203</v>
      </c>
      <c r="L895" s="134" t="str">
        <f>IF(AND('331-CT'!$E$7=TH!H915,OR(J895="331",K895="331")),"x","")</f>
        <v/>
      </c>
    </row>
    <row r="896" spans="1:12">
      <c r="A896" s="72">
        <f t="shared" si="33"/>
        <v>2015</v>
      </c>
      <c r="B896" s="72">
        <f t="shared" si="34"/>
        <v>10</v>
      </c>
      <c r="C896" s="325">
        <v>42291</v>
      </c>
      <c r="D896" s="325" t="s">
        <v>500</v>
      </c>
      <c r="E896" s="325">
        <v>42268</v>
      </c>
      <c r="F896" s="326" t="s">
        <v>650</v>
      </c>
      <c r="G896" s="327" t="s">
        <v>651</v>
      </c>
      <c r="H896" s="328" t="s">
        <v>188</v>
      </c>
      <c r="I896" s="74">
        <v>2900800</v>
      </c>
      <c r="J896" s="329" t="s">
        <v>242</v>
      </c>
      <c r="K896" s="329" t="s">
        <v>203</v>
      </c>
      <c r="L896" s="134" t="str">
        <f>IF(AND('331-CT'!$E$7=TH!H916,OR(J896="331",K896="331")),"x","")</f>
        <v/>
      </c>
    </row>
    <row r="897" spans="1:12">
      <c r="A897" s="72">
        <f t="shared" si="33"/>
        <v>2015</v>
      </c>
      <c r="B897" s="72">
        <f t="shared" si="34"/>
        <v>10</v>
      </c>
      <c r="C897" s="325">
        <v>42291</v>
      </c>
      <c r="D897" s="325" t="s">
        <v>500</v>
      </c>
      <c r="E897" s="325">
        <v>42268</v>
      </c>
      <c r="F897" s="326" t="s">
        <v>652</v>
      </c>
      <c r="G897" s="327" t="s">
        <v>651</v>
      </c>
      <c r="H897" s="328" t="s">
        <v>188</v>
      </c>
      <c r="I897" s="74">
        <v>145040</v>
      </c>
      <c r="J897" s="329" t="s">
        <v>19</v>
      </c>
      <c r="K897" s="329" t="s">
        <v>203</v>
      </c>
      <c r="L897" s="134" t="str">
        <f>IF(AND('331-CT'!$E$7=TH!H894,OR(J897="331",K897="331")),"x","")</f>
        <v/>
      </c>
    </row>
    <row r="898" spans="1:12">
      <c r="A898" s="72">
        <f t="shared" si="33"/>
        <v>2015</v>
      </c>
      <c r="B898" s="72">
        <f t="shared" si="34"/>
        <v>10</v>
      </c>
      <c r="C898" s="325">
        <v>42291</v>
      </c>
      <c r="D898" s="325" t="s">
        <v>501</v>
      </c>
      <c r="E898" s="325">
        <v>42291</v>
      </c>
      <c r="F898" s="326" t="s">
        <v>576</v>
      </c>
      <c r="G898" s="327"/>
      <c r="H898" s="328" t="s">
        <v>272</v>
      </c>
      <c r="I898" s="74">
        <v>150000000</v>
      </c>
      <c r="J898" s="329" t="s">
        <v>54</v>
      </c>
      <c r="K898" s="329" t="s">
        <v>203</v>
      </c>
      <c r="L898" s="134" t="str">
        <f>IF(AND('331-CT'!$E$7=TH!H895,OR(J898="331",K898="331")),"x","")</f>
        <v/>
      </c>
    </row>
    <row r="899" spans="1:12">
      <c r="A899" s="72">
        <f t="shared" si="33"/>
        <v>2015</v>
      </c>
      <c r="B899" s="72">
        <f t="shared" si="34"/>
        <v>10</v>
      </c>
      <c r="C899" s="325">
        <v>42291</v>
      </c>
      <c r="D899" s="325" t="s">
        <v>17</v>
      </c>
      <c r="E899" s="325">
        <v>42291</v>
      </c>
      <c r="F899" s="326" t="s">
        <v>301</v>
      </c>
      <c r="G899" s="327"/>
      <c r="H899" s="328" t="s">
        <v>306</v>
      </c>
      <c r="I899" s="74">
        <v>150000000</v>
      </c>
      <c r="J899" s="329" t="s">
        <v>18</v>
      </c>
      <c r="K899" s="329" t="s">
        <v>54</v>
      </c>
      <c r="L899" s="134" t="str">
        <f>IF(AND('331-CT'!$E$7=TH!H896,OR(J899="331",K899="331")),"x","")</f>
        <v/>
      </c>
    </row>
    <row r="900" spans="1:12">
      <c r="A900" s="72">
        <f t="shared" si="33"/>
        <v>2015</v>
      </c>
      <c r="B900" s="72">
        <f t="shared" si="34"/>
        <v>10</v>
      </c>
      <c r="C900" s="325">
        <v>42291</v>
      </c>
      <c r="D900" s="325" t="s">
        <v>17</v>
      </c>
      <c r="E900" s="325">
        <v>42291</v>
      </c>
      <c r="F900" s="326" t="s">
        <v>34</v>
      </c>
      <c r="G900" s="327"/>
      <c r="H900" s="328"/>
      <c r="I900" s="74">
        <v>106738</v>
      </c>
      <c r="J900" s="329" t="s">
        <v>242</v>
      </c>
      <c r="K900" s="329" t="s">
        <v>54</v>
      </c>
      <c r="L900" s="134" t="str">
        <f>IF(AND('331-CT'!$E$7=TH!H910,OR(J900="331",K900="331")),"x","")</f>
        <v/>
      </c>
    </row>
    <row r="901" spans="1:12">
      <c r="A901" s="72">
        <f t="shared" si="33"/>
        <v>2015</v>
      </c>
      <c r="B901" s="72">
        <f t="shared" si="34"/>
        <v>10</v>
      </c>
      <c r="C901" s="325">
        <v>42291</v>
      </c>
      <c r="D901" s="325" t="s">
        <v>17</v>
      </c>
      <c r="E901" s="325">
        <v>42291</v>
      </c>
      <c r="F901" s="326" t="s">
        <v>35</v>
      </c>
      <c r="G901" s="327"/>
      <c r="H901" s="328"/>
      <c r="I901" s="74">
        <v>10674</v>
      </c>
      <c r="J901" s="329" t="s">
        <v>19</v>
      </c>
      <c r="K901" s="329" t="s">
        <v>54</v>
      </c>
      <c r="L901" s="134" t="str">
        <f>IF(AND('331-CT'!$E$7=TH!H911,OR(J901="331",K901="331")),"x","")</f>
        <v/>
      </c>
    </row>
    <row r="902" spans="1:12">
      <c r="A902" s="72">
        <f t="shared" si="33"/>
        <v>2015</v>
      </c>
      <c r="B902" s="72">
        <f t="shared" si="34"/>
        <v>10</v>
      </c>
      <c r="C902" s="73">
        <v>42291</v>
      </c>
      <c r="D902" s="325" t="s">
        <v>502</v>
      </c>
      <c r="E902" s="73">
        <v>42291</v>
      </c>
      <c r="F902" s="76" t="s">
        <v>725</v>
      </c>
      <c r="G902" s="272" t="s">
        <v>731</v>
      </c>
      <c r="H902" s="122" t="s">
        <v>727</v>
      </c>
      <c r="I902" s="74">
        <v>15000000</v>
      </c>
      <c r="J902" s="75" t="s">
        <v>655</v>
      </c>
      <c r="K902" s="75" t="s">
        <v>203</v>
      </c>
      <c r="L902" s="134" t="str">
        <f>IF(AND('331-CT'!$E$7=TH!H912,OR(J902="331",K902="331")),"x","")</f>
        <v/>
      </c>
    </row>
    <row r="903" spans="1:12">
      <c r="A903" s="72">
        <f t="shared" si="33"/>
        <v>2015</v>
      </c>
      <c r="B903" s="72">
        <f t="shared" si="34"/>
        <v>10</v>
      </c>
      <c r="C903" s="73">
        <v>42291</v>
      </c>
      <c r="D903" s="325" t="s">
        <v>502</v>
      </c>
      <c r="E903" s="73">
        <v>42291</v>
      </c>
      <c r="F903" s="76" t="s">
        <v>728</v>
      </c>
      <c r="G903" s="272" t="s">
        <v>731</v>
      </c>
      <c r="H903" s="122" t="s">
        <v>727</v>
      </c>
      <c r="I903" s="74">
        <v>1500000</v>
      </c>
      <c r="J903" s="75" t="s">
        <v>19</v>
      </c>
      <c r="K903" s="75" t="s">
        <v>203</v>
      </c>
      <c r="L903" s="134" t="str">
        <f>IF(AND('331-CT'!$E$7=TH!H913,OR(J903="331",K903="331")),"x","")</f>
        <v/>
      </c>
    </row>
    <row r="904" spans="1:12">
      <c r="A904" s="72">
        <f t="shared" si="33"/>
        <v>2015</v>
      </c>
      <c r="B904" s="72">
        <f t="shared" si="34"/>
        <v>10</v>
      </c>
      <c r="C904" s="325">
        <v>42292</v>
      </c>
      <c r="D904" s="325" t="s">
        <v>503</v>
      </c>
      <c r="E904" s="325">
        <v>42292</v>
      </c>
      <c r="F904" s="326" t="s">
        <v>752</v>
      </c>
      <c r="G904" s="327" t="s">
        <v>757</v>
      </c>
      <c r="H904" s="328" t="s">
        <v>754</v>
      </c>
      <c r="I904" s="74">
        <v>17985000</v>
      </c>
      <c r="J904" s="329" t="s">
        <v>655</v>
      </c>
      <c r="K904" s="329" t="s">
        <v>203</v>
      </c>
      <c r="L904" s="134" t="str">
        <f>IF(AND('331-CT'!$E$7=TH!H897,OR(J904="331",K904="331")),"x","")</f>
        <v/>
      </c>
    </row>
    <row r="905" spans="1:12">
      <c r="A905" s="72">
        <f t="shared" si="33"/>
        <v>2015</v>
      </c>
      <c r="B905" s="72">
        <f t="shared" si="34"/>
        <v>10</v>
      </c>
      <c r="C905" s="325">
        <v>42292</v>
      </c>
      <c r="D905" s="325" t="s">
        <v>503</v>
      </c>
      <c r="E905" s="325">
        <v>42292</v>
      </c>
      <c r="F905" s="326" t="s">
        <v>755</v>
      </c>
      <c r="G905" s="327" t="s">
        <v>757</v>
      </c>
      <c r="H905" s="328" t="s">
        <v>754</v>
      </c>
      <c r="I905" s="74">
        <v>1798500</v>
      </c>
      <c r="J905" s="329" t="s">
        <v>19</v>
      </c>
      <c r="K905" s="329" t="s">
        <v>203</v>
      </c>
      <c r="L905" s="134" t="str">
        <f>IF(AND('331-CT'!$E$7=TH!H898,OR(J905="331",K905="331")),"x","")</f>
        <v/>
      </c>
    </row>
    <row r="906" spans="1:12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25">
        <v>42292</v>
      </c>
      <c r="D906" s="325" t="s">
        <v>20</v>
      </c>
      <c r="E906" s="325">
        <v>42292</v>
      </c>
      <c r="F906" s="326" t="s">
        <v>579</v>
      </c>
      <c r="G906" s="327"/>
      <c r="H906" s="328" t="s">
        <v>431</v>
      </c>
      <c r="I906" s="74">
        <v>1000000000</v>
      </c>
      <c r="J906" s="329" t="s">
        <v>203</v>
      </c>
      <c r="K906" s="329" t="s">
        <v>39</v>
      </c>
      <c r="L906" s="134" t="str">
        <f>IF(AND('331-CT'!$E$7=TH!H899,OR(J906="331",K906="331")),"x","")</f>
        <v/>
      </c>
    </row>
    <row r="907" spans="1:12">
      <c r="A907" s="72">
        <f t="shared" si="35"/>
        <v>2015</v>
      </c>
      <c r="B907" s="72">
        <f t="shared" si="36"/>
        <v>10</v>
      </c>
      <c r="C907" s="325">
        <v>42292</v>
      </c>
      <c r="D907" s="325" t="s">
        <v>17</v>
      </c>
      <c r="E907" s="325">
        <v>42292</v>
      </c>
      <c r="F907" s="326" t="s">
        <v>721</v>
      </c>
      <c r="G907" s="327"/>
      <c r="H907" s="328" t="s">
        <v>751</v>
      </c>
      <c r="I907" s="74">
        <v>16950519</v>
      </c>
      <c r="J907" s="329" t="s">
        <v>212</v>
      </c>
      <c r="K907" s="329" t="s">
        <v>54</v>
      </c>
      <c r="L907" s="134" t="str">
        <f>IF(AND('331-CT'!$E$7=TH!H900,OR(J907="331",K907="331")),"x","")</f>
        <v/>
      </c>
    </row>
    <row r="908" spans="1:12">
      <c r="A908" s="72">
        <f t="shared" si="35"/>
        <v>2015</v>
      </c>
      <c r="B908" s="72">
        <f t="shared" si="36"/>
        <v>10</v>
      </c>
      <c r="C908" s="325">
        <v>42292</v>
      </c>
      <c r="D908" s="325" t="s">
        <v>17</v>
      </c>
      <c r="E908" s="325">
        <v>42292</v>
      </c>
      <c r="F908" s="326" t="s">
        <v>34</v>
      </c>
      <c r="G908" s="327"/>
      <c r="H908" s="328"/>
      <c r="I908" s="74">
        <v>45000</v>
      </c>
      <c r="J908" s="329" t="s">
        <v>242</v>
      </c>
      <c r="K908" s="329" t="s">
        <v>54</v>
      </c>
      <c r="L908" s="134" t="str">
        <f>IF(AND('331-CT'!$E$7=TH!H901,OR(J908="331",K908="331")),"x","")</f>
        <v/>
      </c>
    </row>
    <row r="909" spans="1:12">
      <c r="A909" s="72">
        <f t="shared" si="35"/>
        <v>2015</v>
      </c>
      <c r="B909" s="72">
        <f t="shared" si="36"/>
        <v>10</v>
      </c>
      <c r="C909" s="325">
        <v>42292</v>
      </c>
      <c r="D909" s="325" t="s">
        <v>17</v>
      </c>
      <c r="E909" s="325">
        <v>42292</v>
      </c>
      <c r="F909" s="326" t="s">
        <v>35</v>
      </c>
      <c r="G909" s="330"/>
      <c r="H909" s="328"/>
      <c r="I909" s="74">
        <v>4500</v>
      </c>
      <c r="J909" s="329" t="s">
        <v>19</v>
      </c>
      <c r="K909" s="329" t="s">
        <v>54</v>
      </c>
      <c r="L909" s="134" t="str">
        <f>IF(AND('331-CT'!$E$7=TH!H902,OR(J909="331",K909="331")),"x","")</f>
        <v/>
      </c>
    </row>
    <row r="910" spans="1:12">
      <c r="A910" s="72">
        <f t="shared" si="35"/>
        <v>2015</v>
      </c>
      <c r="B910" s="72">
        <f t="shared" si="36"/>
        <v>10</v>
      </c>
      <c r="C910" s="325">
        <v>42293</v>
      </c>
      <c r="D910" s="325" t="s">
        <v>21</v>
      </c>
      <c r="E910" s="325">
        <v>42293</v>
      </c>
      <c r="F910" s="326" t="s">
        <v>722</v>
      </c>
      <c r="G910" s="330"/>
      <c r="H910" s="328" t="s">
        <v>751</v>
      </c>
      <c r="I910" s="74">
        <v>16950519</v>
      </c>
      <c r="J910" s="329" t="s">
        <v>54</v>
      </c>
      <c r="K910" s="329" t="s">
        <v>212</v>
      </c>
      <c r="L910" s="134" t="str">
        <f>IF(AND('331-CT'!$E$7=TH!H903,OR(J910="331",K910="331")),"x","")</f>
        <v/>
      </c>
    </row>
    <row r="911" spans="1:12">
      <c r="A911" s="72">
        <f t="shared" si="35"/>
        <v>2015</v>
      </c>
      <c r="B911" s="72">
        <f t="shared" si="36"/>
        <v>10</v>
      </c>
      <c r="C911" s="325">
        <v>42293</v>
      </c>
      <c r="D911" s="325" t="s">
        <v>17</v>
      </c>
      <c r="E911" s="325">
        <v>42293</v>
      </c>
      <c r="F911" s="326" t="s">
        <v>721</v>
      </c>
      <c r="G911" s="327"/>
      <c r="H911" s="328" t="s">
        <v>649</v>
      </c>
      <c r="I911" s="74">
        <v>16950519</v>
      </c>
      <c r="J911" s="329" t="s">
        <v>18</v>
      </c>
      <c r="K911" s="329" t="s">
        <v>54</v>
      </c>
      <c r="L911" s="134" t="str">
        <f>IF(AND('331-CT'!$E$7=TH!H917,OR(J911="331",K911="331")),"x","")</f>
        <v/>
      </c>
    </row>
    <row r="912" spans="1:12">
      <c r="A912" s="72">
        <f t="shared" si="35"/>
        <v>2015</v>
      </c>
      <c r="B912" s="72">
        <f t="shared" si="36"/>
        <v>10</v>
      </c>
      <c r="C912" s="325">
        <v>42293</v>
      </c>
      <c r="D912" s="325" t="s">
        <v>17</v>
      </c>
      <c r="E912" s="325">
        <v>42293</v>
      </c>
      <c r="F912" s="326" t="s">
        <v>34</v>
      </c>
      <c r="G912" s="327"/>
      <c r="H912" s="328"/>
      <c r="I912" s="74">
        <v>25000</v>
      </c>
      <c r="J912" s="329" t="s">
        <v>242</v>
      </c>
      <c r="K912" s="329" t="s">
        <v>54</v>
      </c>
      <c r="L912" s="134" t="str">
        <f>IF(AND('331-CT'!$E$7=TH!H918,OR(J912="331",K912="331")),"x","")</f>
        <v/>
      </c>
    </row>
    <row r="913" spans="1:12">
      <c r="A913" s="72">
        <f t="shared" si="35"/>
        <v>2015</v>
      </c>
      <c r="B913" s="72">
        <f t="shared" si="36"/>
        <v>10</v>
      </c>
      <c r="C913" s="325">
        <v>42293</v>
      </c>
      <c r="D913" s="325" t="s">
        <v>17</v>
      </c>
      <c r="E913" s="325">
        <v>42293</v>
      </c>
      <c r="F913" s="326" t="s">
        <v>35</v>
      </c>
      <c r="G913" s="327"/>
      <c r="H913" s="328"/>
      <c r="I913" s="74">
        <v>2500</v>
      </c>
      <c r="J913" s="329" t="s">
        <v>19</v>
      </c>
      <c r="K913" s="329" t="s">
        <v>54</v>
      </c>
      <c r="L913" s="134" t="str">
        <f>IF(AND('331-CT'!$E$7=TH!H919,OR(J913="331",K913="331")),"x","")</f>
        <v/>
      </c>
    </row>
    <row r="914" spans="1:12">
      <c r="A914" s="72">
        <f t="shared" si="35"/>
        <v>2015</v>
      </c>
      <c r="B914" s="72">
        <f t="shared" si="36"/>
        <v>10</v>
      </c>
      <c r="C914" s="331">
        <v>42297</v>
      </c>
      <c r="D914" s="331" t="s">
        <v>17</v>
      </c>
      <c r="E914" s="331">
        <v>42297</v>
      </c>
      <c r="F914" s="332" t="s">
        <v>119</v>
      </c>
      <c r="G914" s="333"/>
      <c r="H914" s="334" t="s">
        <v>314</v>
      </c>
      <c r="I914" s="133">
        <v>7919801</v>
      </c>
      <c r="J914" s="335" t="s">
        <v>240</v>
      </c>
      <c r="K914" s="335" t="s">
        <v>54</v>
      </c>
      <c r="L914" s="134" t="str">
        <f>IF(AND('331-CT'!$E$7=TH!H920,OR(J914="331",K914="331")),"x","")</f>
        <v/>
      </c>
    </row>
    <row r="915" spans="1:12">
      <c r="A915" s="72">
        <f t="shared" si="35"/>
        <v>2015</v>
      </c>
      <c r="B915" s="72">
        <f t="shared" si="36"/>
        <v>10</v>
      </c>
      <c r="C915" s="325">
        <v>42297</v>
      </c>
      <c r="D915" s="331" t="s">
        <v>17</v>
      </c>
      <c r="E915" s="325">
        <v>42297</v>
      </c>
      <c r="F915" s="326" t="s">
        <v>145</v>
      </c>
      <c r="G915" s="327"/>
      <c r="H915" s="328" t="s">
        <v>318</v>
      </c>
      <c r="I915" s="74">
        <v>7919801</v>
      </c>
      <c r="J915" s="329" t="s">
        <v>240</v>
      </c>
      <c r="K915" s="329" t="s">
        <v>54</v>
      </c>
      <c r="L915" s="134" t="str">
        <f>IF(AND('331-CT'!$E$7=TH!H921,OR(J915="331",K915="331")),"x","")</f>
        <v/>
      </c>
    </row>
    <row r="916" spans="1:12">
      <c r="A916" s="72">
        <f t="shared" si="35"/>
        <v>2015</v>
      </c>
      <c r="B916" s="72">
        <f t="shared" si="36"/>
        <v>10</v>
      </c>
      <c r="C916" s="73">
        <v>42297</v>
      </c>
      <c r="D916" s="73" t="s">
        <v>17</v>
      </c>
      <c r="E916" s="73">
        <v>42297</v>
      </c>
      <c r="F916" s="76" t="s">
        <v>303</v>
      </c>
      <c r="G916" s="272"/>
      <c r="H916" s="328" t="s">
        <v>321</v>
      </c>
      <c r="I916" s="74">
        <v>11087720</v>
      </c>
      <c r="J916" s="75" t="s">
        <v>240</v>
      </c>
      <c r="K916" s="75" t="s">
        <v>54</v>
      </c>
      <c r="L916" s="134" t="str">
        <f>IF(AND('331-CT'!$E$7=TH!H922,OR(J916="331",K916="331")),"x","")</f>
        <v/>
      </c>
    </row>
    <row r="917" spans="1:12">
      <c r="A917" s="72">
        <f t="shared" si="35"/>
        <v>2015</v>
      </c>
      <c r="B917" s="72">
        <f t="shared" si="36"/>
        <v>10</v>
      </c>
      <c r="C917" s="73">
        <v>42297</v>
      </c>
      <c r="D917" s="73" t="s">
        <v>504</v>
      </c>
      <c r="E917" s="73">
        <v>42297</v>
      </c>
      <c r="F917" s="76" t="s">
        <v>725</v>
      </c>
      <c r="G917" s="272" t="s">
        <v>732</v>
      </c>
      <c r="H917" s="328" t="s">
        <v>727</v>
      </c>
      <c r="I917" s="74">
        <v>15000000</v>
      </c>
      <c r="J917" s="75" t="s">
        <v>655</v>
      </c>
      <c r="K917" s="75" t="s">
        <v>203</v>
      </c>
      <c r="L917" s="134" t="str">
        <f>IF(AND('331-CT'!$E$7=TH!H923,OR(J917="331",K917="331")),"x","")</f>
        <v/>
      </c>
    </row>
    <row r="918" spans="1:12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504</v>
      </c>
      <c r="E918" s="73">
        <v>42297</v>
      </c>
      <c r="F918" s="76" t="s">
        <v>728</v>
      </c>
      <c r="G918" s="272" t="s">
        <v>732</v>
      </c>
      <c r="H918" s="328" t="s">
        <v>727</v>
      </c>
      <c r="I918" s="74">
        <v>1500000</v>
      </c>
      <c r="J918" s="75" t="s">
        <v>19</v>
      </c>
      <c r="K918" s="75" t="s">
        <v>203</v>
      </c>
      <c r="L918" s="134" t="str">
        <f>IF(AND('331-CT'!$E$7=TH!H924,OR(J918="331",K918="331")),"x","")</f>
        <v/>
      </c>
    </row>
    <row r="919" spans="1:12">
      <c r="A919" s="72">
        <f t="shared" si="35"/>
        <v>2015</v>
      </c>
      <c r="B919" s="72">
        <f t="shared" si="36"/>
        <v>10</v>
      </c>
      <c r="C919" s="130">
        <v>42298</v>
      </c>
      <c r="D919" s="130" t="s">
        <v>505</v>
      </c>
      <c r="E919" s="130">
        <v>42298</v>
      </c>
      <c r="F919" s="131" t="s">
        <v>733</v>
      </c>
      <c r="G919" s="273" t="s">
        <v>734</v>
      </c>
      <c r="H919" s="334" t="s">
        <v>727</v>
      </c>
      <c r="I919" s="133">
        <v>13390000</v>
      </c>
      <c r="J919" s="134" t="s">
        <v>655</v>
      </c>
      <c r="K919" s="134" t="s">
        <v>203</v>
      </c>
      <c r="L919" s="134" t="str">
        <f>IF(AND('331-CT'!$E$7=TH!H925,OR(J919="331",K919="331")),"x","")</f>
        <v/>
      </c>
    </row>
    <row r="920" spans="1:12">
      <c r="A920" s="72">
        <f t="shared" si="35"/>
        <v>2015</v>
      </c>
      <c r="B920" s="72">
        <f t="shared" si="36"/>
        <v>10</v>
      </c>
      <c r="C920" s="73">
        <v>42298</v>
      </c>
      <c r="D920" s="73" t="s">
        <v>505</v>
      </c>
      <c r="E920" s="73">
        <v>42298</v>
      </c>
      <c r="F920" s="76" t="s">
        <v>735</v>
      </c>
      <c r="G920" s="272" t="s">
        <v>734</v>
      </c>
      <c r="H920" s="122" t="s">
        <v>727</v>
      </c>
      <c r="I920" s="74">
        <v>1339000</v>
      </c>
      <c r="J920" s="75" t="s">
        <v>19</v>
      </c>
      <c r="K920" s="75" t="s">
        <v>203</v>
      </c>
      <c r="L920" s="134" t="str">
        <f>IF(AND('331-CT'!$E$7=TH!H926,OR(J920="331",K920="331")),"x","")</f>
        <v/>
      </c>
    </row>
    <row r="921" spans="1:12">
      <c r="A921" s="72">
        <f t="shared" si="35"/>
        <v>2015</v>
      </c>
      <c r="B921" s="72">
        <f t="shared" si="36"/>
        <v>10</v>
      </c>
      <c r="C921" s="73">
        <v>42298</v>
      </c>
      <c r="D921" s="73" t="s">
        <v>506</v>
      </c>
      <c r="E921" s="73">
        <v>42298</v>
      </c>
      <c r="F921" s="76" t="s">
        <v>758</v>
      </c>
      <c r="G921" s="272" t="s">
        <v>759</v>
      </c>
      <c r="H921" s="122" t="s">
        <v>188</v>
      </c>
      <c r="I921" s="74">
        <v>4773000</v>
      </c>
      <c r="J921" s="75" t="s">
        <v>242</v>
      </c>
      <c r="K921" s="75" t="s">
        <v>203</v>
      </c>
      <c r="L921" s="134" t="str">
        <f>IF(AND('331-CT'!$E$7=TH!H927,OR(J921="331",K921="331")),"x","")</f>
        <v/>
      </c>
    </row>
    <row r="922" spans="1:12">
      <c r="A922" s="72">
        <f t="shared" si="35"/>
        <v>2015</v>
      </c>
      <c r="B922" s="72">
        <f t="shared" si="36"/>
        <v>10</v>
      </c>
      <c r="C922" s="130">
        <v>42298</v>
      </c>
      <c r="D922" s="130" t="s">
        <v>506</v>
      </c>
      <c r="E922" s="130">
        <v>42298</v>
      </c>
      <c r="F922" s="131" t="s">
        <v>760</v>
      </c>
      <c r="G922" s="273" t="s">
        <v>759</v>
      </c>
      <c r="H922" s="334" t="s">
        <v>188</v>
      </c>
      <c r="I922" s="133">
        <v>238650</v>
      </c>
      <c r="J922" s="134" t="s">
        <v>19</v>
      </c>
      <c r="K922" s="134" t="s">
        <v>203</v>
      </c>
      <c r="L922" s="134" t="str">
        <f>IF(AND('331-CT'!$E$7=TH!H928,OR(J922="331",K922="331")),"x","")</f>
        <v/>
      </c>
    </row>
    <row r="923" spans="1:12">
      <c r="A923" s="72">
        <f t="shared" si="35"/>
        <v>2015</v>
      </c>
      <c r="B923" s="72">
        <f t="shared" si="36"/>
        <v>10</v>
      </c>
      <c r="C923" s="73">
        <v>42299</v>
      </c>
      <c r="D923" s="73" t="s">
        <v>507</v>
      </c>
      <c r="E923" s="73">
        <v>42299</v>
      </c>
      <c r="F923" s="76" t="s">
        <v>576</v>
      </c>
      <c r="G923" s="267"/>
      <c r="H923" s="122" t="s">
        <v>272</v>
      </c>
      <c r="I923" s="74">
        <v>140000000</v>
      </c>
      <c r="J923" s="75" t="s">
        <v>54</v>
      </c>
      <c r="K923" s="75" t="s">
        <v>203</v>
      </c>
      <c r="L923" s="134" t="str">
        <f>IF(AND('331-CT'!$E$7=TH!H929,OR(J923="331",K923="331")),"x","")</f>
        <v/>
      </c>
    </row>
    <row r="924" spans="1:12">
      <c r="A924" s="72">
        <f t="shared" si="35"/>
        <v>2015</v>
      </c>
      <c r="B924" s="72">
        <f t="shared" si="36"/>
        <v>10</v>
      </c>
      <c r="C924" s="73">
        <v>42299</v>
      </c>
      <c r="D924" s="73" t="s">
        <v>17</v>
      </c>
      <c r="E924" s="73">
        <v>42299</v>
      </c>
      <c r="F924" s="76" t="s">
        <v>141</v>
      </c>
      <c r="G924" s="267"/>
      <c r="H924" s="122" t="s">
        <v>315</v>
      </c>
      <c r="I924" s="74">
        <v>15852135</v>
      </c>
      <c r="J924" s="75" t="s">
        <v>240</v>
      </c>
      <c r="K924" s="75" t="s">
        <v>54</v>
      </c>
      <c r="L924" s="134" t="str">
        <f>IF(AND('331-CT'!$E$7=TH!H904,OR(J924="331",K924="331")),"x","")</f>
        <v/>
      </c>
    </row>
    <row r="925" spans="1:12">
      <c r="A925" s="72">
        <f t="shared" si="35"/>
        <v>2015</v>
      </c>
      <c r="B925" s="72">
        <f t="shared" si="36"/>
        <v>10</v>
      </c>
      <c r="C925" s="73">
        <v>42299</v>
      </c>
      <c r="D925" s="73" t="s">
        <v>17</v>
      </c>
      <c r="E925" s="73">
        <v>42299</v>
      </c>
      <c r="F925" s="76" t="s">
        <v>143</v>
      </c>
      <c r="G925" s="267"/>
      <c r="H925" s="122" t="s">
        <v>317</v>
      </c>
      <c r="I925" s="74">
        <v>12681709</v>
      </c>
      <c r="J925" s="75" t="s">
        <v>240</v>
      </c>
      <c r="K925" s="75" t="s">
        <v>54</v>
      </c>
      <c r="L925" s="134" t="str">
        <f>IF(AND('331-CT'!$E$7=TH!H930,OR(J925="331",K925="331")),"x","")</f>
        <v/>
      </c>
    </row>
    <row r="926" spans="1:12">
      <c r="A926" s="72">
        <f t="shared" si="35"/>
        <v>2015</v>
      </c>
      <c r="B926" s="72">
        <f t="shared" si="36"/>
        <v>10</v>
      </c>
      <c r="C926" s="73">
        <v>42299</v>
      </c>
      <c r="D926" s="73" t="s">
        <v>17</v>
      </c>
      <c r="E926" s="73">
        <v>42299</v>
      </c>
      <c r="F926" s="76" t="s">
        <v>144</v>
      </c>
      <c r="G926" s="267"/>
      <c r="H926" s="122" t="s">
        <v>316</v>
      </c>
      <c r="I926" s="74">
        <v>11889102</v>
      </c>
      <c r="J926" s="75" t="s">
        <v>240</v>
      </c>
      <c r="K926" s="75" t="s">
        <v>54</v>
      </c>
      <c r="L926" s="134" t="str">
        <f>IF(AND('331-CT'!$E$7=TH!H931,OR(J926="331",K926="331")),"x","")</f>
        <v/>
      </c>
    </row>
    <row r="927" spans="1:12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17</v>
      </c>
      <c r="E927" s="73">
        <v>42299</v>
      </c>
      <c r="F927" s="76" t="s">
        <v>147</v>
      </c>
      <c r="G927" s="267"/>
      <c r="H927" s="122" t="s">
        <v>319</v>
      </c>
      <c r="I927" s="74">
        <v>11889102</v>
      </c>
      <c r="J927" s="75" t="s">
        <v>240</v>
      </c>
      <c r="K927" s="75" t="s">
        <v>54</v>
      </c>
      <c r="L927" s="134" t="str">
        <f>IF(AND('331-CT'!$E$7=TH!H932,OR(J927="331",K927="331")),"x","")</f>
        <v/>
      </c>
    </row>
    <row r="928" spans="1:12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273</v>
      </c>
      <c r="G928" s="267"/>
      <c r="H928" s="122" t="s">
        <v>320</v>
      </c>
      <c r="I928" s="74">
        <v>15852135</v>
      </c>
      <c r="J928" s="75" t="s">
        <v>240</v>
      </c>
      <c r="K928" s="75" t="s">
        <v>54</v>
      </c>
      <c r="L928" s="134" t="str">
        <f>IF(AND('331-CT'!$E$7=TH!H933,OR(J928="331",K928="331")),"x","")</f>
        <v/>
      </c>
    </row>
    <row r="929" spans="1:12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304</v>
      </c>
      <c r="G929" s="267"/>
      <c r="H929" s="122" t="s">
        <v>322</v>
      </c>
      <c r="I929" s="74">
        <v>11889102</v>
      </c>
      <c r="J929" s="75" t="s">
        <v>240</v>
      </c>
      <c r="K929" s="75" t="s">
        <v>54</v>
      </c>
      <c r="L929" s="134" t="str">
        <f>IF(AND('331-CT'!$E$7=TH!H934,OR(J929="331",K929="331")),"x","")</f>
        <v/>
      </c>
    </row>
    <row r="930" spans="1:12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465</v>
      </c>
      <c r="G930" s="267"/>
      <c r="H930" s="122" t="s">
        <v>326</v>
      </c>
      <c r="I930" s="74">
        <v>11889102</v>
      </c>
      <c r="J930" s="75" t="s">
        <v>240</v>
      </c>
      <c r="K930" s="75" t="s">
        <v>54</v>
      </c>
      <c r="L930" s="134" t="str">
        <f>IF(AND('331-CT'!$E$7=TH!H935,OR(J930="331",K930="331")),"x","")</f>
        <v/>
      </c>
    </row>
    <row r="931" spans="1:12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466</v>
      </c>
      <c r="G931" s="267"/>
      <c r="H931" s="122" t="s">
        <v>417</v>
      </c>
      <c r="I931" s="74">
        <v>11889102</v>
      </c>
      <c r="J931" s="75" t="s">
        <v>240</v>
      </c>
      <c r="K931" s="75" t="s">
        <v>54</v>
      </c>
      <c r="L931" s="134" t="str">
        <f>IF(AND('331-CT'!$E$7=TH!H936,OR(J931="331",K931="331")),"x","")</f>
        <v/>
      </c>
    </row>
    <row r="932" spans="1:12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580</v>
      </c>
      <c r="G932" s="267"/>
      <c r="H932" s="122" t="s">
        <v>422</v>
      </c>
      <c r="I932" s="74">
        <v>7926068</v>
      </c>
      <c r="J932" s="75" t="s">
        <v>240</v>
      </c>
      <c r="K932" s="75" t="s">
        <v>54</v>
      </c>
      <c r="L932" s="134" t="str">
        <f>IF(AND('331-CT'!$E$7=TH!H937,OR(J932="331",K932="331")),"x","")</f>
        <v/>
      </c>
    </row>
    <row r="933" spans="1:12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581</v>
      </c>
      <c r="G933" s="272"/>
      <c r="H933" s="122" t="s">
        <v>456</v>
      </c>
      <c r="I933" s="74">
        <v>7926068</v>
      </c>
      <c r="J933" s="75" t="s">
        <v>240</v>
      </c>
      <c r="K933" s="75" t="s">
        <v>54</v>
      </c>
      <c r="L933" s="134" t="str">
        <f>IF(AND('331-CT'!$E$7=TH!H938,OR(J933="331",K933="331")),"x","")</f>
        <v/>
      </c>
    </row>
    <row r="934" spans="1:12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418</v>
      </c>
      <c r="G934" s="272"/>
      <c r="H934" s="122" t="s">
        <v>324</v>
      </c>
      <c r="I934" s="74">
        <v>11889102</v>
      </c>
      <c r="J934" s="75" t="s">
        <v>240</v>
      </c>
      <c r="K934" s="75" t="s">
        <v>54</v>
      </c>
      <c r="L934" s="134" t="str">
        <f>IF(AND('331-CT'!$E$7=TH!H939,OR(J934="331",K934="331")),"x","")</f>
        <v/>
      </c>
    </row>
    <row r="935" spans="1:12">
      <c r="A935" s="72">
        <f t="shared" si="35"/>
        <v>2015</v>
      </c>
      <c r="B935" s="72">
        <f t="shared" si="36"/>
        <v>10</v>
      </c>
      <c r="C935" s="73">
        <v>42301</v>
      </c>
      <c r="D935" s="73" t="s">
        <v>21</v>
      </c>
      <c r="E935" s="73">
        <v>42301</v>
      </c>
      <c r="F935" s="76" t="s">
        <v>420</v>
      </c>
      <c r="G935" s="272"/>
      <c r="H935" s="122"/>
      <c r="I935" s="74">
        <v>400000</v>
      </c>
      <c r="J935" s="75" t="s">
        <v>54</v>
      </c>
      <c r="K935" s="75" t="s">
        <v>99</v>
      </c>
      <c r="L935" s="134" t="str">
        <f>IF(AND('331-CT'!$E$7=TH!H940,OR(J935="331",K935="331")),"x","")</f>
        <v/>
      </c>
    </row>
    <row r="936" spans="1:12">
      <c r="A936" s="72">
        <f t="shared" si="35"/>
        <v>2015</v>
      </c>
      <c r="B936" s="72">
        <f t="shared" si="36"/>
        <v>10</v>
      </c>
      <c r="C936" s="73">
        <v>42301</v>
      </c>
      <c r="D936" s="73" t="s">
        <v>21</v>
      </c>
      <c r="E936" s="73">
        <v>42301</v>
      </c>
      <c r="F936" s="76" t="s">
        <v>98</v>
      </c>
      <c r="G936" s="272"/>
      <c r="H936" s="122"/>
      <c r="I936" s="74">
        <v>9085</v>
      </c>
      <c r="J936" s="75" t="s">
        <v>54</v>
      </c>
      <c r="K936" s="75" t="s">
        <v>99</v>
      </c>
      <c r="L936" s="134" t="str">
        <f>IF(AND('331-CT'!$E$7=TH!H941,OR(J936="331",K936="331")),"x","")</f>
        <v/>
      </c>
    </row>
    <row r="937" spans="1:12">
      <c r="A937" s="72">
        <f t="shared" si="35"/>
        <v>2015</v>
      </c>
      <c r="B937" s="72">
        <f t="shared" si="36"/>
        <v>10</v>
      </c>
      <c r="C937" s="73">
        <v>42301</v>
      </c>
      <c r="D937" s="73" t="s">
        <v>508</v>
      </c>
      <c r="E937" s="73">
        <v>42301</v>
      </c>
      <c r="F937" s="76" t="s">
        <v>736</v>
      </c>
      <c r="G937" s="267" t="s">
        <v>737</v>
      </c>
      <c r="H937" s="122" t="s">
        <v>727</v>
      </c>
      <c r="I937" s="74">
        <v>18000000</v>
      </c>
      <c r="J937" s="75" t="s">
        <v>655</v>
      </c>
      <c r="K937" s="75" t="s">
        <v>203</v>
      </c>
      <c r="L937" s="134" t="str">
        <f>IF(AND('331-CT'!$E$7=TH!H942,OR(J937="331",K937="331")),"x","")</f>
        <v/>
      </c>
    </row>
    <row r="938" spans="1:12">
      <c r="A938" s="72">
        <f t="shared" si="35"/>
        <v>2015</v>
      </c>
      <c r="B938" s="72">
        <f t="shared" si="36"/>
        <v>10</v>
      </c>
      <c r="C938" s="73">
        <v>42301</v>
      </c>
      <c r="D938" s="73" t="s">
        <v>508</v>
      </c>
      <c r="E938" s="73">
        <v>42301</v>
      </c>
      <c r="F938" s="76" t="s">
        <v>738</v>
      </c>
      <c r="G938" s="267" t="s">
        <v>737</v>
      </c>
      <c r="H938" s="122" t="s">
        <v>727</v>
      </c>
      <c r="I938" s="74">
        <v>1800000</v>
      </c>
      <c r="J938" s="75" t="s">
        <v>19</v>
      </c>
      <c r="K938" s="75" t="s">
        <v>203</v>
      </c>
      <c r="L938" s="134" t="str">
        <f>IF(AND('331-CT'!$E$7=TH!H905,OR(J938="331",K938="331")),"x","")</f>
        <v/>
      </c>
    </row>
    <row r="939" spans="1:12">
      <c r="A939" s="72">
        <f t="shared" si="35"/>
        <v>2015</v>
      </c>
      <c r="B939" s="72">
        <f t="shared" si="36"/>
        <v>10</v>
      </c>
      <c r="C939" s="73">
        <v>42303</v>
      </c>
      <c r="D939" s="73" t="s">
        <v>509</v>
      </c>
      <c r="E939" s="73">
        <v>42303</v>
      </c>
      <c r="F939" s="76" t="s">
        <v>664</v>
      </c>
      <c r="G939" s="267" t="s">
        <v>666</v>
      </c>
      <c r="H939" s="122" t="s">
        <v>667</v>
      </c>
      <c r="I939" s="74">
        <v>16000000</v>
      </c>
      <c r="J939" s="75" t="s">
        <v>655</v>
      </c>
      <c r="K939" s="75" t="s">
        <v>203</v>
      </c>
      <c r="L939" s="134" t="str">
        <f>IF(AND('331-CT'!$E$7=TH!H906,OR(J939="331",K939="331")),"x","")</f>
        <v/>
      </c>
    </row>
    <row r="940" spans="1:12">
      <c r="A940" s="72">
        <f t="shared" si="35"/>
        <v>2015</v>
      </c>
      <c r="B940" s="72">
        <f t="shared" si="36"/>
        <v>10</v>
      </c>
      <c r="C940" s="73">
        <v>42303</v>
      </c>
      <c r="D940" s="73" t="s">
        <v>509</v>
      </c>
      <c r="E940" s="73">
        <v>42303</v>
      </c>
      <c r="F940" s="76" t="s">
        <v>665</v>
      </c>
      <c r="G940" s="267" t="s">
        <v>666</v>
      </c>
      <c r="H940" s="122" t="s">
        <v>667</v>
      </c>
      <c r="I940" s="74">
        <v>1600000</v>
      </c>
      <c r="J940" s="75" t="s">
        <v>19</v>
      </c>
      <c r="K940" s="75" t="s">
        <v>203</v>
      </c>
      <c r="L940" s="134" t="str">
        <f>IF(AND('331-CT'!$E$7=TH!H907,OR(J940="331",K940="331")),"x","")</f>
        <v/>
      </c>
    </row>
    <row r="941" spans="1:12">
      <c r="A941" s="72">
        <f t="shared" si="35"/>
        <v>2015</v>
      </c>
      <c r="B941" s="72">
        <f t="shared" si="36"/>
        <v>10</v>
      </c>
      <c r="C941" s="73">
        <v>42303</v>
      </c>
      <c r="D941" s="73" t="s">
        <v>510</v>
      </c>
      <c r="E941" s="73">
        <v>42303</v>
      </c>
      <c r="F941" s="76" t="s">
        <v>576</v>
      </c>
      <c r="G941" s="267"/>
      <c r="H941" s="122" t="s">
        <v>272</v>
      </c>
      <c r="I941" s="74">
        <v>20000000</v>
      </c>
      <c r="J941" s="75" t="s">
        <v>54</v>
      </c>
      <c r="K941" s="75" t="s">
        <v>203</v>
      </c>
      <c r="L941" s="134" t="str">
        <f>IF(AND('331-CT'!$E$7=TH!H943,OR(J941="331",K941="331")),"x","")</f>
        <v/>
      </c>
    </row>
    <row r="942" spans="1:12">
      <c r="A942" s="72">
        <f t="shared" si="35"/>
        <v>2015</v>
      </c>
      <c r="B942" s="72">
        <f t="shared" si="36"/>
        <v>10</v>
      </c>
      <c r="C942" s="73">
        <v>42303</v>
      </c>
      <c r="D942" s="73" t="s">
        <v>511</v>
      </c>
      <c r="E942" s="73">
        <v>42303</v>
      </c>
      <c r="F942" s="76" t="s">
        <v>725</v>
      </c>
      <c r="G942" s="267" t="s">
        <v>739</v>
      </c>
      <c r="H942" s="122" t="s">
        <v>727</v>
      </c>
      <c r="I942" s="74">
        <v>15000000</v>
      </c>
      <c r="J942" s="75" t="s">
        <v>655</v>
      </c>
      <c r="K942" s="75" t="s">
        <v>203</v>
      </c>
      <c r="L942" s="134" t="str">
        <f>IF(AND('331-CT'!$E$7=TH!H944,OR(J942="331",K942="331")),"x","")</f>
        <v/>
      </c>
    </row>
    <row r="943" spans="1:12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511</v>
      </c>
      <c r="E943" s="73">
        <v>42303</v>
      </c>
      <c r="F943" s="76" t="s">
        <v>728</v>
      </c>
      <c r="G943" s="267" t="s">
        <v>739</v>
      </c>
      <c r="H943" s="122" t="s">
        <v>727</v>
      </c>
      <c r="I943" s="74">
        <v>1500000</v>
      </c>
      <c r="J943" s="75" t="s">
        <v>19</v>
      </c>
      <c r="K943" s="75" t="s">
        <v>203</v>
      </c>
      <c r="L943" s="134" t="str">
        <f>IF(AND('331-CT'!$E$7=TH!H945,OR(J943="331",K943="331")),"x","")</f>
        <v/>
      </c>
    </row>
    <row r="944" spans="1:12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78</v>
      </c>
      <c r="E944" s="73">
        <v>42303</v>
      </c>
      <c r="F944" s="76" t="s">
        <v>1052</v>
      </c>
      <c r="G944" s="267" t="s">
        <v>1053</v>
      </c>
      <c r="H944" s="122" t="s">
        <v>649</v>
      </c>
      <c r="I944" s="74">
        <v>27858600</v>
      </c>
      <c r="J944" s="75" t="s">
        <v>242</v>
      </c>
      <c r="K944" s="75" t="s">
        <v>18</v>
      </c>
      <c r="L944" s="134" t="str">
        <f>IF(AND('331-CT'!$E$7=TH!H946,OR(J944="331",K944="331")),"x","")</f>
        <v/>
      </c>
    </row>
    <row r="945" spans="1:12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78</v>
      </c>
      <c r="E945" s="73">
        <v>42303</v>
      </c>
      <c r="F945" s="76" t="s">
        <v>1054</v>
      </c>
      <c r="G945" s="267" t="s">
        <v>1053</v>
      </c>
      <c r="H945" s="122" t="s">
        <v>649</v>
      </c>
      <c r="I945" s="74">
        <v>2785860</v>
      </c>
      <c r="J945" s="75" t="s">
        <v>19</v>
      </c>
      <c r="K945" s="75" t="s">
        <v>18</v>
      </c>
      <c r="L945" s="134" t="str">
        <f>IF(AND('331-CT'!$E$7=TH!H947,OR(J945="331",K945="331")),"x","")</f>
        <v/>
      </c>
    </row>
    <row r="946" spans="1:12">
      <c r="A946" s="72">
        <f t="shared" si="35"/>
        <v>2015</v>
      </c>
      <c r="B946" s="72">
        <f t="shared" si="36"/>
        <v>10</v>
      </c>
      <c r="C946" s="73">
        <v>42304</v>
      </c>
      <c r="D946" s="73" t="s">
        <v>17</v>
      </c>
      <c r="E946" s="73">
        <v>42304</v>
      </c>
      <c r="F946" s="76" t="s">
        <v>723</v>
      </c>
      <c r="G946" s="267"/>
      <c r="H946" s="122" t="s">
        <v>632</v>
      </c>
      <c r="I946" s="74">
        <v>20382000</v>
      </c>
      <c r="J946" s="75" t="s">
        <v>18</v>
      </c>
      <c r="K946" s="75" t="s">
        <v>54</v>
      </c>
      <c r="L946" s="134" t="str">
        <f>IF(AND('331-CT'!$E$7=TH!H948,OR(J946="331",K946="331")),"x","")</f>
        <v/>
      </c>
    </row>
    <row r="947" spans="1:12">
      <c r="A947" s="72">
        <f t="shared" si="35"/>
        <v>2015</v>
      </c>
      <c r="B947" s="72">
        <f t="shared" si="36"/>
        <v>10</v>
      </c>
      <c r="C947" s="73">
        <v>42304</v>
      </c>
      <c r="D947" s="73" t="s">
        <v>17</v>
      </c>
      <c r="E947" s="73">
        <v>42304</v>
      </c>
      <c r="F947" s="76" t="s">
        <v>34</v>
      </c>
      <c r="G947" s="267"/>
      <c r="H947" s="122"/>
      <c r="I947" s="74">
        <v>45000</v>
      </c>
      <c r="J947" s="75" t="s">
        <v>242</v>
      </c>
      <c r="K947" s="75" t="s">
        <v>54</v>
      </c>
      <c r="L947" s="134" t="str">
        <f>IF(AND('331-CT'!$E$7=TH!H949,OR(J947="331",K947="331")),"x","")</f>
        <v/>
      </c>
    </row>
    <row r="948" spans="1:12">
      <c r="A948" s="72">
        <f t="shared" si="35"/>
        <v>2015</v>
      </c>
      <c r="B948" s="72">
        <f t="shared" si="36"/>
        <v>10</v>
      </c>
      <c r="C948" s="73">
        <v>42304</v>
      </c>
      <c r="D948" s="73" t="s">
        <v>17</v>
      </c>
      <c r="E948" s="73">
        <v>42304</v>
      </c>
      <c r="F948" s="76" t="s">
        <v>35</v>
      </c>
      <c r="G948" s="267"/>
      <c r="H948" s="122"/>
      <c r="I948" s="74">
        <v>4500</v>
      </c>
      <c r="J948" s="75" t="s">
        <v>19</v>
      </c>
      <c r="K948" s="75" t="s">
        <v>54</v>
      </c>
      <c r="L948" s="134" t="str">
        <f>IF(AND('331-CT'!$E$7=TH!H908,OR(J948="331",K948="331")),"x","")</f>
        <v/>
      </c>
    </row>
    <row r="949" spans="1:12">
      <c r="A949" s="72">
        <f t="shared" si="35"/>
        <v>2015</v>
      </c>
      <c r="B949" s="72">
        <f t="shared" si="36"/>
        <v>10</v>
      </c>
      <c r="C949" s="73">
        <v>42304</v>
      </c>
      <c r="D949" s="73" t="s">
        <v>78</v>
      </c>
      <c r="E949" s="73">
        <v>42304</v>
      </c>
      <c r="F949" s="76" t="s">
        <v>740</v>
      </c>
      <c r="G949" s="267" t="s">
        <v>741</v>
      </c>
      <c r="H949" s="122" t="s">
        <v>742</v>
      </c>
      <c r="I949" s="74">
        <v>9272640</v>
      </c>
      <c r="J949" s="75" t="s">
        <v>242</v>
      </c>
      <c r="K949" s="75" t="s">
        <v>18</v>
      </c>
      <c r="L949" s="134" t="str">
        <f>IF(AND('331-CT'!$E$7=TH!H909,OR(J949="331",K949="331")),"x","")</f>
        <v/>
      </c>
    </row>
    <row r="950" spans="1:12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78</v>
      </c>
      <c r="E950" s="73">
        <v>42304</v>
      </c>
      <c r="F950" s="76" t="s">
        <v>743</v>
      </c>
      <c r="G950" s="267" t="s">
        <v>741</v>
      </c>
      <c r="H950" s="122" t="s">
        <v>742</v>
      </c>
      <c r="I950" s="74">
        <v>927264</v>
      </c>
      <c r="J950" s="75" t="s">
        <v>19</v>
      </c>
      <c r="K950" s="75" t="s">
        <v>18</v>
      </c>
      <c r="L950" s="134" t="str">
        <f>IF(AND('331-CT'!$E$7=TH!H950,OR(J950="331",K950="331")),"x","")</f>
        <v/>
      </c>
    </row>
    <row r="951" spans="1:12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78</v>
      </c>
      <c r="E951" s="73">
        <v>42304</v>
      </c>
      <c r="F951" s="76" t="s">
        <v>463</v>
      </c>
      <c r="G951" s="272" t="s">
        <v>761</v>
      </c>
      <c r="H951" s="122" t="s">
        <v>190</v>
      </c>
      <c r="I951" s="74">
        <v>10313194</v>
      </c>
      <c r="J951" s="75" t="s">
        <v>655</v>
      </c>
      <c r="K951" s="75" t="s">
        <v>18</v>
      </c>
      <c r="L951" s="134" t="str">
        <f>IF(AND('331-CT'!$E$7=TH!H951,OR(J951="331",K951="331")),"x","")</f>
        <v/>
      </c>
    </row>
    <row r="952" spans="1:12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78</v>
      </c>
      <c r="E952" s="73">
        <v>42304</v>
      </c>
      <c r="F952" s="76" t="s">
        <v>464</v>
      </c>
      <c r="G952" s="272" t="s">
        <v>761</v>
      </c>
      <c r="H952" s="122" t="s">
        <v>190</v>
      </c>
      <c r="I952" s="74">
        <v>1031319</v>
      </c>
      <c r="J952" s="75" t="s">
        <v>19</v>
      </c>
      <c r="K952" s="75" t="s">
        <v>18</v>
      </c>
      <c r="L952" s="134" t="str">
        <f>IF(AND('331-CT'!$E$7=TH!H952,OR(J952="331",K952="331")),"x","")</f>
        <v/>
      </c>
    </row>
    <row r="953" spans="1:12">
      <c r="A953" s="72">
        <f t="shared" si="35"/>
        <v>2015</v>
      </c>
      <c r="B953" s="72">
        <f t="shared" si="36"/>
        <v>10</v>
      </c>
      <c r="C953" s="73">
        <v>42305</v>
      </c>
      <c r="D953" s="73" t="s">
        <v>762</v>
      </c>
      <c r="E953" s="73">
        <v>42303</v>
      </c>
      <c r="F953" s="76" t="s">
        <v>576</v>
      </c>
      <c r="G953" s="267"/>
      <c r="H953" s="122" t="s">
        <v>272</v>
      </c>
      <c r="I953" s="74">
        <v>400000000</v>
      </c>
      <c r="J953" s="75" t="s">
        <v>54</v>
      </c>
      <c r="K953" s="75" t="s">
        <v>203</v>
      </c>
      <c r="L953" s="134" t="str">
        <f>IF(AND('331-CT'!$E$7=TH!H953,OR(J953="331",K953="331")),"x","")</f>
        <v/>
      </c>
    </row>
    <row r="954" spans="1:12">
      <c r="A954" s="72">
        <f t="shared" si="35"/>
        <v>2015</v>
      </c>
      <c r="B954" s="72">
        <f t="shared" si="36"/>
        <v>10</v>
      </c>
      <c r="C954" s="73">
        <v>42305</v>
      </c>
      <c r="D954" s="73" t="s">
        <v>17</v>
      </c>
      <c r="E954" s="73">
        <v>42305</v>
      </c>
      <c r="F954" s="76" t="s">
        <v>301</v>
      </c>
      <c r="G954" s="267"/>
      <c r="H954" s="122" t="s">
        <v>306</v>
      </c>
      <c r="I954" s="74">
        <v>400000000</v>
      </c>
      <c r="J954" s="75" t="s">
        <v>18</v>
      </c>
      <c r="K954" s="75" t="s">
        <v>54</v>
      </c>
      <c r="L954" s="134" t="str">
        <f>IF(AND('331-CT'!$E$7=TH!H954,OR(J954="331",K954="331")),"x","")</f>
        <v/>
      </c>
    </row>
    <row r="955" spans="1:12">
      <c r="A955" s="72">
        <f t="shared" si="35"/>
        <v>2015</v>
      </c>
      <c r="B955" s="72">
        <f t="shared" si="36"/>
        <v>10</v>
      </c>
      <c r="C955" s="73">
        <v>42305</v>
      </c>
      <c r="D955" s="73" t="s">
        <v>17</v>
      </c>
      <c r="E955" s="73">
        <v>42305</v>
      </c>
      <c r="F955" s="76" t="s">
        <v>34</v>
      </c>
      <c r="G955" s="267"/>
      <c r="H955" s="122"/>
      <c r="I955" s="74">
        <v>317438</v>
      </c>
      <c r="J955" s="75" t="s">
        <v>242</v>
      </c>
      <c r="K955" s="75" t="s">
        <v>54</v>
      </c>
      <c r="L955" s="134" t="str">
        <f>IF(AND('331-CT'!$E$7=TH!H955,OR(J955="331",K955="331")),"x","")</f>
        <v/>
      </c>
    </row>
    <row r="956" spans="1:12">
      <c r="A956" s="72">
        <f t="shared" si="35"/>
        <v>2015</v>
      </c>
      <c r="B956" s="72">
        <f t="shared" si="36"/>
        <v>10</v>
      </c>
      <c r="C956" s="73">
        <v>42305</v>
      </c>
      <c r="D956" s="73" t="s">
        <v>17</v>
      </c>
      <c r="E956" s="73">
        <v>42305</v>
      </c>
      <c r="F956" s="76" t="s">
        <v>35</v>
      </c>
      <c r="G956" s="272"/>
      <c r="H956" s="122"/>
      <c r="I956" s="74">
        <v>31744</v>
      </c>
      <c r="J956" s="75" t="s">
        <v>19</v>
      </c>
      <c r="K956" s="75" t="s">
        <v>54</v>
      </c>
      <c r="L956" s="134" t="str">
        <f>IF(AND('331-CT'!$E$7=TH!H956,OR(J956="331",K956="331")),"x","")</f>
        <v/>
      </c>
    </row>
    <row r="957" spans="1:12">
      <c r="A957" s="72">
        <f t="shared" si="35"/>
        <v>2015</v>
      </c>
      <c r="B957" s="72">
        <f t="shared" si="36"/>
        <v>10</v>
      </c>
      <c r="C957" s="73">
        <v>42306</v>
      </c>
      <c r="D957" s="73" t="s">
        <v>763</v>
      </c>
      <c r="E957" s="73">
        <v>42306</v>
      </c>
      <c r="F957" s="76" t="s">
        <v>744</v>
      </c>
      <c r="G957" s="272" t="s">
        <v>745</v>
      </c>
      <c r="H957" s="122" t="s">
        <v>727</v>
      </c>
      <c r="I957" s="74">
        <v>17100000</v>
      </c>
      <c r="J957" s="75" t="s">
        <v>655</v>
      </c>
      <c r="K957" s="75" t="s">
        <v>203</v>
      </c>
      <c r="L957" s="134" t="str">
        <f>IF(AND('331-CT'!$E$7=TH!H957,OR(J957="331",K957="331")),"x","")</f>
        <v/>
      </c>
    </row>
    <row r="958" spans="1:12">
      <c r="A958" s="72">
        <f t="shared" si="35"/>
        <v>2015</v>
      </c>
      <c r="B958" s="72">
        <f t="shared" si="36"/>
        <v>10</v>
      </c>
      <c r="C958" s="73">
        <v>42306</v>
      </c>
      <c r="D958" s="73" t="s">
        <v>763</v>
      </c>
      <c r="E958" s="73">
        <v>42306</v>
      </c>
      <c r="F958" s="76" t="s">
        <v>746</v>
      </c>
      <c r="G958" s="267" t="s">
        <v>745</v>
      </c>
      <c r="H958" s="122" t="s">
        <v>727</v>
      </c>
      <c r="I958" s="74">
        <v>1710000</v>
      </c>
      <c r="J958" s="75" t="s">
        <v>19</v>
      </c>
      <c r="K958" s="75" t="s">
        <v>203</v>
      </c>
      <c r="L958" s="134" t="str">
        <f>IF(AND('331-CT'!$E$7=TH!H958,OR(J958="331",K958="331")),"x","")</f>
        <v/>
      </c>
    </row>
    <row r="959" spans="1:12">
      <c r="A959" s="72">
        <f t="shared" si="35"/>
        <v>2015</v>
      </c>
      <c r="B959" s="72">
        <f t="shared" si="36"/>
        <v>10</v>
      </c>
      <c r="C959" s="73">
        <v>42307</v>
      </c>
      <c r="D959" s="73" t="s">
        <v>764</v>
      </c>
      <c r="E959" s="73">
        <v>42307</v>
      </c>
      <c r="F959" s="76" t="s">
        <v>626</v>
      </c>
      <c r="G959" s="267" t="s">
        <v>714</v>
      </c>
      <c r="H959" s="122" t="s">
        <v>629</v>
      </c>
      <c r="I959" s="74">
        <v>1650000</v>
      </c>
      <c r="J959" s="75" t="s">
        <v>655</v>
      </c>
      <c r="K959" s="75" t="s">
        <v>203</v>
      </c>
      <c r="L959" s="134" t="str">
        <f>IF(AND('331-CT'!$E$7=TH!H959,OR(J959="331",K959="331")),"x","")</f>
        <v/>
      </c>
    </row>
    <row r="960" spans="1:12">
      <c r="A960" s="72">
        <f t="shared" si="35"/>
        <v>2015</v>
      </c>
      <c r="B960" s="72">
        <f t="shared" si="36"/>
        <v>10</v>
      </c>
      <c r="C960" s="73">
        <v>42307</v>
      </c>
      <c r="D960" s="73" t="s">
        <v>764</v>
      </c>
      <c r="E960" s="73">
        <v>42307</v>
      </c>
      <c r="F960" s="76" t="s">
        <v>627</v>
      </c>
      <c r="G960" s="267" t="s">
        <v>714</v>
      </c>
      <c r="H960" s="122" t="s">
        <v>629</v>
      </c>
      <c r="I960" s="74">
        <v>165000</v>
      </c>
      <c r="J960" s="75" t="s">
        <v>19</v>
      </c>
      <c r="K960" s="75" t="s">
        <v>203</v>
      </c>
      <c r="L960" s="134" t="str">
        <f>IF(AND('331-CT'!$E$7=TH!H960,OR(J960="331",K960="331")),"x","")</f>
        <v/>
      </c>
    </row>
    <row r="961" spans="1:12">
      <c r="A961" s="72">
        <f t="shared" si="35"/>
        <v>2015</v>
      </c>
      <c r="B961" s="72">
        <f t="shared" si="36"/>
        <v>10</v>
      </c>
      <c r="C961" s="73">
        <v>42308</v>
      </c>
      <c r="D961" s="73" t="s">
        <v>765</v>
      </c>
      <c r="E961" s="73">
        <v>42308</v>
      </c>
      <c r="F961" s="76" t="s">
        <v>725</v>
      </c>
      <c r="G961" s="272" t="s">
        <v>747</v>
      </c>
      <c r="H961" s="122" t="s">
        <v>727</v>
      </c>
      <c r="I961" s="74">
        <v>15000000</v>
      </c>
      <c r="J961" s="75" t="s">
        <v>655</v>
      </c>
      <c r="K961" s="75" t="s">
        <v>203</v>
      </c>
      <c r="L961" s="134" t="str">
        <f>IF(AND('331-CT'!$E$7=TH!H961,OR(J961="331",K961="331")),"x","")</f>
        <v/>
      </c>
    </row>
    <row r="962" spans="1:12">
      <c r="A962" s="72">
        <f t="shared" si="35"/>
        <v>2015</v>
      </c>
      <c r="B962" s="72">
        <f t="shared" si="36"/>
        <v>10</v>
      </c>
      <c r="C962" s="73">
        <v>42308</v>
      </c>
      <c r="D962" s="73" t="s">
        <v>765</v>
      </c>
      <c r="E962" s="73">
        <v>42308</v>
      </c>
      <c r="F962" s="76" t="s">
        <v>728</v>
      </c>
      <c r="G962" s="272" t="s">
        <v>747</v>
      </c>
      <c r="H962" s="122" t="s">
        <v>727</v>
      </c>
      <c r="I962" s="74">
        <v>1500000</v>
      </c>
      <c r="J962" s="75" t="s">
        <v>19</v>
      </c>
      <c r="K962" s="75" t="s">
        <v>203</v>
      </c>
      <c r="L962" s="134" t="str">
        <f>IF(AND('331-CT'!$E$7=TH!H962,OR(J962="331",K962="331")),"x","")</f>
        <v/>
      </c>
    </row>
    <row r="963" spans="1:12">
      <c r="A963" s="72">
        <f t="shared" si="35"/>
        <v>2015</v>
      </c>
      <c r="B963" s="72">
        <f t="shared" si="36"/>
        <v>11</v>
      </c>
      <c r="C963" s="73">
        <v>42313</v>
      </c>
      <c r="D963" s="73" t="s">
        <v>766</v>
      </c>
      <c r="E963" s="73">
        <v>42313</v>
      </c>
      <c r="F963" s="76" t="s">
        <v>767</v>
      </c>
      <c r="G963" s="267" t="s">
        <v>768</v>
      </c>
      <c r="H963" s="122" t="s">
        <v>769</v>
      </c>
      <c r="I963" s="74">
        <v>17750000</v>
      </c>
      <c r="J963" s="75" t="s">
        <v>655</v>
      </c>
      <c r="K963" s="75" t="s">
        <v>203</v>
      </c>
      <c r="L963" s="134" t="str">
        <f>IF(AND('331-CT'!$E$7=TH!H963,OR(J963="331",K963="331")),"x","")</f>
        <v/>
      </c>
    </row>
    <row r="964" spans="1:12">
      <c r="A964" s="72">
        <f t="shared" si="35"/>
        <v>2015</v>
      </c>
      <c r="B964" s="72">
        <f t="shared" si="36"/>
        <v>11</v>
      </c>
      <c r="C964" s="73">
        <v>42313</v>
      </c>
      <c r="D964" s="73" t="s">
        <v>766</v>
      </c>
      <c r="E964" s="73">
        <v>42313</v>
      </c>
      <c r="F964" s="76" t="s">
        <v>770</v>
      </c>
      <c r="G964" s="267" t="s">
        <v>768</v>
      </c>
      <c r="H964" s="122" t="s">
        <v>769</v>
      </c>
      <c r="I964" s="74">
        <v>1775000</v>
      </c>
      <c r="J964" s="75" t="s">
        <v>19</v>
      </c>
      <c r="K964" s="75" t="s">
        <v>203</v>
      </c>
      <c r="L964" s="134" t="str">
        <f>IF(AND('331-CT'!$E$7=TH!H964,OR(J964="331",K964="331")),"x","")</f>
        <v/>
      </c>
    </row>
    <row r="965" spans="1:12">
      <c r="A965" s="72">
        <f t="shared" si="35"/>
        <v>2015</v>
      </c>
      <c r="B965" s="72">
        <f t="shared" si="36"/>
        <v>11</v>
      </c>
      <c r="C965" s="73">
        <v>42317</v>
      </c>
      <c r="D965" s="73" t="s">
        <v>771</v>
      </c>
      <c r="E965" s="73">
        <v>42317</v>
      </c>
      <c r="F965" s="76" t="s">
        <v>772</v>
      </c>
      <c r="G965" s="267" t="s">
        <v>773</v>
      </c>
      <c r="H965" s="122" t="s">
        <v>774</v>
      </c>
      <c r="I965" s="74">
        <v>14460700</v>
      </c>
      <c r="J965" s="75" t="s">
        <v>655</v>
      </c>
      <c r="K965" s="75" t="s">
        <v>203</v>
      </c>
      <c r="L965" s="134" t="str">
        <f>IF(AND('331-CT'!$E$7=TH!H965,OR(J965="331",K965="331")),"x","")</f>
        <v/>
      </c>
    </row>
    <row r="966" spans="1:12">
      <c r="A966" s="72">
        <f t="shared" si="35"/>
        <v>2015</v>
      </c>
      <c r="B966" s="72">
        <f t="shared" si="36"/>
        <v>11</v>
      </c>
      <c r="C966" s="73">
        <v>42317</v>
      </c>
      <c r="D966" s="73" t="s">
        <v>771</v>
      </c>
      <c r="E966" s="73">
        <v>42317</v>
      </c>
      <c r="F966" s="76" t="s">
        <v>775</v>
      </c>
      <c r="G966" s="267" t="s">
        <v>773</v>
      </c>
      <c r="H966" s="122" t="s">
        <v>774</v>
      </c>
      <c r="I966" s="74">
        <v>1416070</v>
      </c>
      <c r="J966" s="75" t="s">
        <v>19</v>
      </c>
      <c r="K966" s="75" t="s">
        <v>203</v>
      </c>
      <c r="L966" s="134" t="str">
        <f>IF(AND('331-CT'!$E$7=TH!H966,OR(J966="331",K966="331")),"x","")</f>
        <v/>
      </c>
    </row>
    <row r="967" spans="1:12">
      <c r="A967" s="72">
        <f t="shared" si="35"/>
        <v>2015</v>
      </c>
      <c r="B967" s="72">
        <f t="shared" si="36"/>
        <v>11</v>
      </c>
      <c r="C967" s="73">
        <v>42317</v>
      </c>
      <c r="D967" s="73" t="s">
        <v>776</v>
      </c>
      <c r="E967" s="73">
        <v>42317</v>
      </c>
      <c r="F967" s="76" t="s">
        <v>767</v>
      </c>
      <c r="G967" s="272" t="s">
        <v>777</v>
      </c>
      <c r="H967" s="122" t="s">
        <v>769</v>
      </c>
      <c r="I967" s="74">
        <v>17900000</v>
      </c>
      <c r="J967" s="75" t="s">
        <v>655</v>
      </c>
      <c r="K967" s="75" t="s">
        <v>203</v>
      </c>
      <c r="L967" s="134" t="str">
        <f>IF(AND('331-CT'!$E$7=TH!H967,OR(J967="331",K967="331")),"x","")</f>
        <v/>
      </c>
    </row>
    <row r="968" spans="1:12">
      <c r="A968" s="72">
        <f t="shared" si="35"/>
        <v>2015</v>
      </c>
      <c r="B968" s="72">
        <f t="shared" si="36"/>
        <v>11</v>
      </c>
      <c r="C968" s="73">
        <v>42317</v>
      </c>
      <c r="D968" s="73" t="s">
        <v>776</v>
      </c>
      <c r="E968" s="73">
        <v>42317</v>
      </c>
      <c r="F968" s="76" t="s">
        <v>770</v>
      </c>
      <c r="G968" s="272" t="s">
        <v>777</v>
      </c>
      <c r="H968" s="122" t="s">
        <v>769</v>
      </c>
      <c r="I968" s="74">
        <v>1790000</v>
      </c>
      <c r="J968" s="75" t="s">
        <v>19</v>
      </c>
      <c r="K968" s="75" t="s">
        <v>203</v>
      </c>
      <c r="L968" s="134" t="str">
        <f>IF(AND('331-CT'!$E$7=TH!H968,OR(J968="331",K968="331")),"x","")</f>
        <v/>
      </c>
    </row>
    <row r="969" spans="1:12">
      <c r="A969" s="72">
        <f t="shared" si="35"/>
        <v>2015</v>
      </c>
      <c r="B969" s="72">
        <f t="shared" si="36"/>
        <v>11</v>
      </c>
      <c r="C969" s="73">
        <v>42318</v>
      </c>
      <c r="D969" s="73" t="s">
        <v>778</v>
      </c>
      <c r="E969" s="73">
        <v>42318</v>
      </c>
      <c r="F969" s="76" t="s">
        <v>772</v>
      </c>
      <c r="G969" s="267" t="s">
        <v>779</v>
      </c>
      <c r="H969" s="122" t="s">
        <v>774</v>
      </c>
      <c r="I969" s="74">
        <v>15610550</v>
      </c>
      <c r="J969" s="75" t="s">
        <v>655</v>
      </c>
      <c r="K969" s="75" t="s">
        <v>203</v>
      </c>
      <c r="L969" s="134" t="str">
        <f>IF(AND('331-CT'!$E$7=TH!H969,OR(J969="331",K969="331")),"x","")</f>
        <v/>
      </c>
    </row>
    <row r="970" spans="1:12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42318</v>
      </c>
      <c r="D970" s="73" t="s">
        <v>778</v>
      </c>
      <c r="E970" s="73">
        <v>42318</v>
      </c>
      <c r="F970" s="76" t="s">
        <v>775</v>
      </c>
      <c r="G970" s="267" t="s">
        <v>779</v>
      </c>
      <c r="H970" s="122" t="s">
        <v>774</v>
      </c>
      <c r="I970" s="74">
        <v>1561055</v>
      </c>
      <c r="J970" s="75" t="s">
        <v>19</v>
      </c>
      <c r="K970" s="75" t="s">
        <v>203</v>
      </c>
      <c r="L970" s="134" t="str">
        <f>IF(AND('331-CT'!$E$7=TH!H970,OR(J970="331",K970="331")),"x","")</f>
        <v/>
      </c>
    </row>
    <row r="971" spans="1:12">
      <c r="A971" s="72">
        <f t="shared" si="37"/>
        <v>2015</v>
      </c>
      <c r="B971" s="72">
        <f t="shared" si="38"/>
        <v>11</v>
      </c>
      <c r="C971" s="73">
        <v>42318</v>
      </c>
      <c r="D971" s="73" t="s">
        <v>780</v>
      </c>
      <c r="E971" s="73">
        <v>42318</v>
      </c>
      <c r="F971" s="76" t="s">
        <v>781</v>
      </c>
      <c r="G971" s="272" t="s">
        <v>782</v>
      </c>
      <c r="H971" s="122" t="s">
        <v>783</v>
      </c>
      <c r="I971" s="74">
        <v>6818182</v>
      </c>
      <c r="J971" s="75" t="s">
        <v>242</v>
      </c>
      <c r="K971" s="75" t="s">
        <v>203</v>
      </c>
      <c r="L971" s="134" t="str">
        <f>IF(AND('331-CT'!$E$7=TH!H971,OR(J971="331",K971="331")),"x","")</f>
        <v/>
      </c>
    </row>
    <row r="972" spans="1:12">
      <c r="A972" s="72">
        <f t="shared" si="37"/>
        <v>2015</v>
      </c>
      <c r="B972" s="72">
        <f t="shared" si="38"/>
        <v>11</v>
      </c>
      <c r="C972" s="73">
        <v>42318</v>
      </c>
      <c r="D972" s="73" t="s">
        <v>780</v>
      </c>
      <c r="E972" s="73">
        <v>42318</v>
      </c>
      <c r="F972" s="76" t="s">
        <v>784</v>
      </c>
      <c r="G972" s="272" t="s">
        <v>782</v>
      </c>
      <c r="H972" s="122" t="s">
        <v>783</v>
      </c>
      <c r="I972" s="74">
        <v>681818</v>
      </c>
      <c r="J972" s="75" t="s">
        <v>19</v>
      </c>
      <c r="K972" s="75" t="s">
        <v>203</v>
      </c>
      <c r="L972" s="134" t="str">
        <f>IF(AND('331-CT'!$E$7=TH!H972,OR(J972="331",K972="331")),"x","")</f>
        <v/>
      </c>
    </row>
    <row r="973" spans="1:12">
      <c r="A973" s="72">
        <f t="shared" si="37"/>
        <v>2015</v>
      </c>
      <c r="B973" s="72">
        <f t="shared" si="38"/>
        <v>11</v>
      </c>
      <c r="C973" s="73">
        <v>42318</v>
      </c>
      <c r="D973" s="73" t="s">
        <v>785</v>
      </c>
      <c r="E973" s="73">
        <v>42318</v>
      </c>
      <c r="F973" s="76" t="s">
        <v>786</v>
      </c>
      <c r="G973" s="267" t="s">
        <v>787</v>
      </c>
      <c r="H973" s="122" t="s">
        <v>788</v>
      </c>
      <c r="I973" s="74">
        <v>7960000</v>
      </c>
      <c r="J973" s="75" t="s">
        <v>655</v>
      </c>
      <c r="K973" s="75" t="s">
        <v>203</v>
      </c>
      <c r="L973" s="134" t="str">
        <f>IF(AND('331-CT'!$E$7=TH!H973,OR(J973="331",K973="331")),"x","")</f>
        <v/>
      </c>
    </row>
    <row r="974" spans="1:12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</v>
      </c>
      <c r="E974" s="73">
        <v>42318</v>
      </c>
      <c r="F974" s="76" t="s">
        <v>789</v>
      </c>
      <c r="G974" s="267" t="s">
        <v>790</v>
      </c>
      <c r="H974" s="122" t="s">
        <v>791</v>
      </c>
      <c r="I974" s="74">
        <v>15221000</v>
      </c>
      <c r="J974" s="75" t="s">
        <v>655</v>
      </c>
      <c r="K974" s="75" t="s">
        <v>18</v>
      </c>
      <c r="L974" s="134" t="str">
        <f>IF(AND('331-CT'!$E$7=TH!H974,OR(J974="331",K974="331")),"x","")</f>
        <v/>
      </c>
    </row>
    <row r="975" spans="1:12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</v>
      </c>
      <c r="E975" s="73">
        <v>42318</v>
      </c>
      <c r="F975" s="76" t="s">
        <v>792</v>
      </c>
      <c r="G975" s="267" t="s">
        <v>790</v>
      </c>
      <c r="H975" s="122" t="s">
        <v>791</v>
      </c>
      <c r="I975" s="74">
        <v>1522100</v>
      </c>
      <c r="J975" s="75" t="s">
        <v>19</v>
      </c>
      <c r="K975" s="75" t="s">
        <v>18</v>
      </c>
      <c r="L975" s="134" t="str">
        <f>IF(AND('331-CT'!$E$7=TH!H975,OR(J975="331",K975="331")),"x","")</f>
        <v/>
      </c>
    </row>
    <row r="976" spans="1:12">
      <c r="A976" s="72">
        <f t="shared" si="37"/>
        <v>2015</v>
      </c>
      <c r="B976" s="72">
        <f t="shared" si="38"/>
        <v>11</v>
      </c>
      <c r="C976" s="73">
        <v>42319</v>
      </c>
      <c r="D976" s="73" t="s">
        <v>793</v>
      </c>
      <c r="E976" s="73">
        <v>42319</v>
      </c>
      <c r="F976" s="76" t="s">
        <v>794</v>
      </c>
      <c r="G976" s="267" t="s">
        <v>795</v>
      </c>
      <c r="H976" s="122" t="s">
        <v>774</v>
      </c>
      <c r="I976" s="74">
        <v>15000000</v>
      </c>
      <c r="J976" s="75" t="s">
        <v>655</v>
      </c>
      <c r="K976" s="75" t="s">
        <v>203</v>
      </c>
      <c r="L976" s="134" t="str">
        <f>IF(AND('331-CT'!$E$7=TH!H976,OR(J976="331",K976="331")),"x","")</f>
        <v/>
      </c>
    </row>
    <row r="977" spans="1:12">
      <c r="A977" s="72">
        <f t="shared" si="37"/>
        <v>2015</v>
      </c>
      <c r="B977" s="72">
        <f t="shared" si="38"/>
        <v>11</v>
      </c>
      <c r="C977" s="73">
        <v>42319</v>
      </c>
      <c r="D977" s="73" t="s">
        <v>793</v>
      </c>
      <c r="E977" s="73">
        <v>42319</v>
      </c>
      <c r="F977" s="76" t="s">
        <v>796</v>
      </c>
      <c r="G977" s="267" t="s">
        <v>795</v>
      </c>
      <c r="H977" s="122" t="s">
        <v>774</v>
      </c>
      <c r="I977" s="74">
        <v>1500000</v>
      </c>
      <c r="J977" s="75" t="s">
        <v>19</v>
      </c>
      <c r="K977" s="75" t="s">
        <v>203</v>
      </c>
      <c r="L977" s="134" t="str">
        <f>IF(AND('331-CT'!$E$7=TH!H977,OR(J977="331",K977="331")),"x","")</f>
        <v/>
      </c>
    </row>
    <row r="978" spans="1:12">
      <c r="A978" s="72">
        <f t="shared" si="37"/>
        <v>2015</v>
      </c>
      <c r="B978" s="72">
        <f t="shared" si="38"/>
        <v>11</v>
      </c>
      <c r="C978" s="73">
        <v>42319</v>
      </c>
      <c r="D978" s="73" t="s">
        <v>797</v>
      </c>
      <c r="E978" s="73">
        <v>42319</v>
      </c>
      <c r="F978" s="76" t="s">
        <v>798</v>
      </c>
      <c r="G978" s="267" t="s">
        <v>799</v>
      </c>
      <c r="H978" s="122" t="s">
        <v>800</v>
      </c>
      <c r="I978" s="74">
        <v>8181816</v>
      </c>
      <c r="J978" s="75" t="s">
        <v>655</v>
      </c>
      <c r="K978" s="75" t="s">
        <v>203</v>
      </c>
      <c r="L978" s="134" t="str">
        <f>IF(AND('331-CT'!$E$7=TH!H978,OR(J978="331",K978="331")),"x","")</f>
        <v/>
      </c>
    </row>
    <row r="979" spans="1:12">
      <c r="A979" s="72">
        <f t="shared" si="37"/>
        <v>2015</v>
      </c>
      <c r="B979" s="72">
        <f t="shared" si="38"/>
        <v>11</v>
      </c>
      <c r="C979" s="73">
        <v>42319</v>
      </c>
      <c r="D979" s="73" t="s">
        <v>797</v>
      </c>
      <c r="E979" s="73">
        <v>42319</v>
      </c>
      <c r="F979" s="76" t="s">
        <v>801</v>
      </c>
      <c r="G979" s="267" t="s">
        <v>799</v>
      </c>
      <c r="H979" s="122" t="s">
        <v>800</v>
      </c>
      <c r="I979" s="74">
        <v>818181</v>
      </c>
      <c r="J979" s="75" t="s">
        <v>19</v>
      </c>
      <c r="K979" s="75" t="s">
        <v>203</v>
      </c>
      <c r="L979" s="134" t="str">
        <f>IF(AND('331-CT'!$E$7=TH!H979,OR(J979="331",K979="331")),"x","")</f>
        <v/>
      </c>
    </row>
    <row r="980" spans="1:12">
      <c r="A980" s="72">
        <f t="shared" si="37"/>
        <v>2015</v>
      </c>
      <c r="B980" s="72">
        <f t="shared" si="38"/>
        <v>11</v>
      </c>
      <c r="C980" s="73">
        <v>42319</v>
      </c>
      <c r="D980" s="73" t="s">
        <v>802</v>
      </c>
      <c r="E980" s="73">
        <v>42319</v>
      </c>
      <c r="F980" s="76" t="s">
        <v>576</v>
      </c>
      <c r="G980" s="267"/>
      <c r="H980" s="122"/>
      <c r="I980" s="74">
        <v>50000000</v>
      </c>
      <c r="J980" s="75" t="s">
        <v>54</v>
      </c>
      <c r="K980" s="75" t="s">
        <v>203</v>
      </c>
      <c r="L980" s="134" t="str">
        <f>IF(AND('331-CT'!$E$7=TH!H980,OR(J980="331",K980="331")),"x","")</f>
        <v/>
      </c>
    </row>
    <row r="981" spans="1:12">
      <c r="A981" s="72">
        <f t="shared" si="37"/>
        <v>2015</v>
      </c>
      <c r="B981" s="72">
        <f t="shared" si="38"/>
        <v>11</v>
      </c>
      <c r="C981" s="73">
        <v>42321</v>
      </c>
      <c r="D981" s="73" t="s">
        <v>803</v>
      </c>
      <c r="E981" s="73">
        <v>42321</v>
      </c>
      <c r="F981" s="76" t="s">
        <v>576</v>
      </c>
      <c r="G981" s="267"/>
      <c r="H981" s="122"/>
      <c r="I981" s="74">
        <v>50000000</v>
      </c>
      <c r="J981" s="75" t="s">
        <v>54</v>
      </c>
      <c r="K981" s="75" t="s">
        <v>203</v>
      </c>
      <c r="L981" s="134" t="str">
        <f>IF(AND('331-CT'!$E$7=TH!H981,OR(J981="331",K981="331")),"x","")</f>
        <v/>
      </c>
    </row>
    <row r="982" spans="1:12">
      <c r="A982" s="72">
        <f t="shared" si="37"/>
        <v>2015</v>
      </c>
      <c r="B982" s="72">
        <f t="shared" si="38"/>
        <v>11</v>
      </c>
      <c r="C982" s="73">
        <v>42328</v>
      </c>
      <c r="D982" s="73" t="s">
        <v>804</v>
      </c>
      <c r="E982" s="73">
        <v>42328</v>
      </c>
      <c r="F982" s="76" t="s">
        <v>805</v>
      </c>
      <c r="G982" s="267" t="s">
        <v>806</v>
      </c>
      <c r="H982" s="122" t="s">
        <v>280</v>
      </c>
      <c r="I982" s="74">
        <v>280531</v>
      </c>
      <c r="J982" s="75" t="s">
        <v>242</v>
      </c>
      <c r="K982" s="75" t="s">
        <v>203</v>
      </c>
      <c r="L982" s="134" t="str">
        <f>IF(AND('331-CT'!$E$7=TH!H982,OR(J982="331",K982="331")),"x","")</f>
        <v/>
      </c>
    </row>
    <row r="983" spans="1:12">
      <c r="A983" s="72">
        <f t="shared" si="37"/>
        <v>2015</v>
      </c>
      <c r="B983" s="72">
        <f t="shared" si="38"/>
        <v>11</v>
      </c>
      <c r="C983" s="73">
        <v>42328</v>
      </c>
      <c r="D983" s="73" t="s">
        <v>804</v>
      </c>
      <c r="E983" s="73">
        <v>42328</v>
      </c>
      <c r="F983" s="76" t="s">
        <v>807</v>
      </c>
      <c r="G983" s="267" t="s">
        <v>806</v>
      </c>
      <c r="H983" s="122" t="s">
        <v>280</v>
      </c>
      <c r="I983" s="74">
        <v>28053</v>
      </c>
      <c r="J983" s="75" t="s">
        <v>19</v>
      </c>
      <c r="K983" s="75" t="s">
        <v>203</v>
      </c>
      <c r="L983" s="134" t="str">
        <f>IF(AND('331-CT'!$E$7=TH!H983,OR(J983="331",K983="331")),"x","")</f>
        <v/>
      </c>
    </row>
    <row r="984" spans="1:12">
      <c r="A984" s="72">
        <f t="shared" si="37"/>
        <v>2015</v>
      </c>
      <c r="B984" s="72">
        <f t="shared" si="38"/>
        <v>11</v>
      </c>
      <c r="C984" s="73">
        <v>42328</v>
      </c>
      <c r="D984" s="73" t="s">
        <v>808</v>
      </c>
      <c r="E984" s="73">
        <v>42328</v>
      </c>
      <c r="F984" s="76" t="s">
        <v>809</v>
      </c>
      <c r="G984" s="267" t="s">
        <v>810</v>
      </c>
      <c r="H984" s="122" t="s">
        <v>280</v>
      </c>
      <c r="I984" s="74">
        <v>305830</v>
      </c>
      <c r="J984" s="75" t="s">
        <v>242</v>
      </c>
      <c r="K984" s="75" t="s">
        <v>203</v>
      </c>
      <c r="L984" s="134" t="str">
        <f>IF(AND('331-CT'!$E$7=TH!H984,OR(J984="331",K984="331")),"x","")</f>
        <v/>
      </c>
    </row>
    <row r="985" spans="1:12">
      <c r="A985" s="72">
        <f t="shared" si="37"/>
        <v>2015</v>
      </c>
      <c r="B985" s="72">
        <f t="shared" si="38"/>
        <v>11</v>
      </c>
      <c r="C985" s="73">
        <v>42328</v>
      </c>
      <c r="D985" s="73" t="s">
        <v>808</v>
      </c>
      <c r="E985" s="73">
        <v>42328</v>
      </c>
      <c r="F985" s="76" t="s">
        <v>811</v>
      </c>
      <c r="G985" s="267" t="s">
        <v>810</v>
      </c>
      <c r="H985" s="122" t="s">
        <v>280</v>
      </c>
      <c r="I985" s="74">
        <v>30586</v>
      </c>
      <c r="J985" s="75" t="s">
        <v>19</v>
      </c>
      <c r="K985" s="75" t="s">
        <v>203</v>
      </c>
      <c r="L985" s="134" t="str">
        <f>IF(AND('331-CT'!$E$7=TH!H985,OR(J985="331",K985="331")),"x","")</f>
        <v/>
      </c>
    </row>
    <row r="986" spans="1:12">
      <c r="A986" s="72">
        <f t="shared" si="37"/>
        <v>2015</v>
      </c>
      <c r="B986" s="72">
        <f t="shared" si="38"/>
        <v>11</v>
      </c>
      <c r="C986" s="73">
        <v>42328</v>
      </c>
      <c r="D986" s="73" t="s">
        <v>812</v>
      </c>
      <c r="E986" s="73">
        <v>42328</v>
      </c>
      <c r="F986" s="76" t="s">
        <v>626</v>
      </c>
      <c r="G986" s="267" t="s">
        <v>813</v>
      </c>
      <c r="H986" s="122" t="s">
        <v>629</v>
      </c>
      <c r="I986" s="74">
        <v>6700000</v>
      </c>
      <c r="J986" s="75" t="s">
        <v>242</v>
      </c>
      <c r="K986" s="75" t="s">
        <v>203</v>
      </c>
      <c r="L986" s="134" t="str">
        <f>IF(AND('331-CT'!$E$7=TH!H986,OR(J986="331",K986="331")),"x","")</f>
        <v/>
      </c>
    </row>
    <row r="987" spans="1:12">
      <c r="A987" s="72">
        <f t="shared" si="37"/>
        <v>2015</v>
      </c>
      <c r="B987" s="72">
        <f t="shared" si="38"/>
        <v>11</v>
      </c>
      <c r="C987" s="73">
        <v>42328</v>
      </c>
      <c r="D987" s="73" t="s">
        <v>812</v>
      </c>
      <c r="E987" s="73">
        <v>42328</v>
      </c>
      <c r="F987" s="76" t="s">
        <v>627</v>
      </c>
      <c r="G987" s="267" t="s">
        <v>813</v>
      </c>
      <c r="H987" s="122" t="s">
        <v>629</v>
      </c>
      <c r="I987" s="74">
        <v>670000</v>
      </c>
      <c r="J987" s="75" t="s">
        <v>19</v>
      </c>
      <c r="K987" s="75" t="s">
        <v>203</v>
      </c>
      <c r="L987" s="134" t="str">
        <f>IF(AND('331-CT'!$E$7=TH!H987,OR(J987="331",K987="331")),"x","")</f>
        <v/>
      </c>
    </row>
    <row r="988" spans="1:12">
      <c r="A988" s="72">
        <f t="shared" si="37"/>
        <v>2015</v>
      </c>
      <c r="B988" s="72">
        <f t="shared" si="38"/>
        <v>11</v>
      </c>
      <c r="C988" s="73">
        <v>42329</v>
      </c>
      <c r="D988" s="73" t="s">
        <v>814</v>
      </c>
      <c r="E988" s="73">
        <v>42329</v>
      </c>
      <c r="F988" s="76" t="s">
        <v>576</v>
      </c>
      <c r="G988" s="267"/>
      <c r="H988" s="122"/>
      <c r="I988" s="74">
        <v>165000000</v>
      </c>
      <c r="J988" s="75" t="s">
        <v>54</v>
      </c>
      <c r="K988" s="75" t="s">
        <v>203</v>
      </c>
      <c r="L988" s="134" t="str">
        <f>IF(AND('331-CT'!$E$7=TH!H988,OR(J988="331",K988="331")),"x","")</f>
        <v/>
      </c>
    </row>
    <row r="989" spans="1:12">
      <c r="A989" s="72">
        <f t="shared" si="37"/>
        <v>2015</v>
      </c>
      <c r="B989" s="72">
        <f t="shared" si="38"/>
        <v>11</v>
      </c>
      <c r="C989" s="73">
        <v>42329</v>
      </c>
      <c r="D989" s="73" t="s">
        <v>815</v>
      </c>
      <c r="E989" s="73">
        <v>42329</v>
      </c>
      <c r="F989" s="76" t="s">
        <v>816</v>
      </c>
      <c r="G989" s="267" t="s">
        <v>817</v>
      </c>
      <c r="H989" s="122" t="s">
        <v>188</v>
      </c>
      <c r="I989" s="74">
        <v>9042800</v>
      </c>
      <c r="J989" s="75" t="s">
        <v>242</v>
      </c>
      <c r="K989" s="75" t="s">
        <v>203</v>
      </c>
      <c r="L989" s="134" t="str">
        <f>IF(AND('331-CT'!$E$7=TH!H989,OR(J989="331",K989="331")),"x","")</f>
        <v/>
      </c>
    </row>
    <row r="990" spans="1:12">
      <c r="A990" s="72">
        <f t="shared" si="37"/>
        <v>2015</v>
      </c>
      <c r="B990" s="72">
        <f t="shared" si="38"/>
        <v>11</v>
      </c>
      <c r="C990" s="73">
        <v>42329</v>
      </c>
      <c r="D990" s="73" t="s">
        <v>815</v>
      </c>
      <c r="E990" s="73">
        <v>42329</v>
      </c>
      <c r="F990" s="76" t="s">
        <v>818</v>
      </c>
      <c r="G990" s="267" t="s">
        <v>817</v>
      </c>
      <c r="H990" s="122" t="s">
        <v>188</v>
      </c>
      <c r="I990" s="74">
        <v>452140</v>
      </c>
      <c r="J990" s="75" t="s">
        <v>19</v>
      </c>
      <c r="K990" s="75" t="s">
        <v>203</v>
      </c>
      <c r="L990" s="134" t="str">
        <f>IF(AND('331-CT'!$E$7=TH!H990,OR(J990="331",K990="331")),"x","")</f>
        <v/>
      </c>
    </row>
    <row r="991" spans="1:12">
      <c r="A991" s="72">
        <f t="shared" si="37"/>
        <v>2015</v>
      </c>
      <c r="B991" s="72">
        <f t="shared" si="38"/>
        <v>11</v>
      </c>
      <c r="C991" s="73">
        <v>42325</v>
      </c>
      <c r="D991" s="73" t="s">
        <v>78</v>
      </c>
      <c r="E991" s="73">
        <v>42325</v>
      </c>
      <c r="F991" s="76" t="s">
        <v>463</v>
      </c>
      <c r="G991" s="267" t="s">
        <v>819</v>
      </c>
      <c r="H991" s="122" t="s">
        <v>300</v>
      </c>
      <c r="I991" s="74">
        <v>83901727</v>
      </c>
      <c r="J991" s="75" t="s">
        <v>655</v>
      </c>
      <c r="K991" s="75" t="s">
        <v>18</v>
      </c>
      <c r="L991" s="134" t="str">
        <f>IF(AND('331-CT'!$E$7=TH!H991,OR(J991="331",K991="331")),"x","")</f>
        <v/>
      </c>
    </row>
    <row r="992" spans="1:12">
      <c r="A992" s="72">
        <f t="shared" si="37"/>
        <v>2015</v>
      </c>
      <c r="B992" s="72">
        <f t="shared" si="38"/>
        <v>11</v>
      </c>
      <c r="C992" s="73">
        <v>42325</v>
      </c>
      <c r="D992" s="73" t="s">
        <v>78</v>
      </c>
      <c r="E992" s="73">
        <v>42325</v>
      </c>
      <c r="F992" s="76" t="s">
        <v>464</v>
      </c>
      <c r="G992" s="267" t="s">
        <v>819</v>
      </c>
      <c r="H992" s="122" t="s">
        <v>300</v>
      </c>
      <c r="I992" s="74">
        <v>8390173</v>
      </c>
      <c r="J992" s="75" t="s">
        <v>19</v>
      </c>
      <c r="K992" s="75" t="s">
        <v>18</v>
      </c>
      <c r="L992" s="134" t="str">
        <f>IF(AND('331-CT'!$E$7=TH!H992,OR(J992="331",K992="331")),"x","")</f>
        <v/>
      </c>
    </row>
    <row r="993" spans="1:12">
      <c r="A993" s="72">
        <f t="shared" si="37"/>
        <v>2015</v>
      </c>
      <c r="B993" s="72">
        <f t="shared" si="38"/>
        <v>11</v>
      </c>
      <c r="C993" s="73">
        <v>42328</v>
      </c>
      <c r="D993" s="73" t="s">
        <v>78</v>
      </c>
      <c r="E993" s="73">
        <v>42328</v>
      </c>
      <c r="F993" s="76" t="s">
        <v>820</v>
      </c>
      <c r="G993" s="267" t="s">
        <v>821</v>
      </c>
      <c r="H993" s="122" t="s">
        <v>111</v>
      </c>
      <c r="I993" s="74">
        <v>280636364</v>
      </c>
      <c r="J993" s="75" t="s">
        <v>655</v>
      </c>
      <c r="K993" s="75" t="s">
        <v>18</v>
      </c>
      <c r="L993" s="134" t="str">
        <f>IF(AND('331-CT'!$E$7=TH!H993,OR(J993="331",K993="331")),"x","")</f>
        <v/>
      </c>
    </row>
    <row r="994" spans="1:12">
      <c r="A994" s="72">
        <f t="shared" si="37"/>
        <v>2015</v>
      </c>
      <c r="B994" s="72">
        <f t="shared" si="38"/>
        <v>11</v>
      </c>
      <c r="C994" s="73">
        <v>42328</v>
      </c>
      <c r="D994" s="73" t="s">
        <v>78</v>
      </c>
      <c r="E994" s="73">
        <v>42328</v>
      </c>
      <c r="F994" s="76" t="s">
        <v>822</v>
      </c>
      <c r="G994" s="267" t="s">
        <v>821</v>
      </c>
      <c r="H994" s="122" t="s">
        <v>111</v>
      </c>
      <c r="I994" s="74">
        <v>28063636</v>
      </c>
      <c r="J994" s="75" t="s">
        <v>19</v>
      </c>
      <c r="K994" s="75" t="s">
        <v>18</v>
      </c>
      <c r="L994" s="134" t="str">
        <f>IF(AND('331-CT'!$E$7=TH!H994,OR(J994="331",K994="331")),"x","")</f>
        <v/>
      </c>
    </row>
    <row r="995" spans="1:12">
      <c r="A995" s="72">
        <f t="shared" si="37"/>
        <v>2015</v>
      </c>
      <c r="B995" s="72">
        <f t="shared" si="38"/>
        <v>11</v>
      </c>
      <c r="C995" s="73">
        <v>42329</v>
      </c>
      <c r="D995" s="73" t="s">
        <v>78</v>
      </c>
      <c r="E995" s="73">
        <v>42329</v>
      </c>
      <c r="F995" s="76" t="s">
        <v>823</v>
      </c>
      <c r="G995" s="267" t="s">
        <v>824</v>
      </c>
      <c r="H995" s="122" t="s">
        <v>111</v>
      </c>
      <c r="I995" s="74">
        <v>455818182</v>
      </c>
      <c r="J995" s="75" t="s">
        <v>655</v>
      </c>
      <c r="K995" s="75" t="s">
        <v>18</v>
      </c>
      <c r="L995" s="134" t="str">
        <f>IF(AND('331-CT'!$E$7=TH!H995,OR(J995="331",K995="331")),"x","")</f>
        <v/>
      </c>
    </row>
    <row r="996" spans="1:12">
      <c r="A996" s="72">
        <f t="shared" si="37"/>
        <v>2015</v>
      </c>
      <c r="B996" s="72">
        <f t="shared" si="38"/>
        <v>11</v>
      </c>
      <c r="C996" s="73">
        <v>42329</v>
      </c>
      <c r="D996" s="73" t="s">
        <v>78</v>
      </c>
      <c r="E996" s="73">
        <v>42329</v>
      </c>
      <c r="F996" s="76" t="s">
        <v>825</v>
      </c>
      <c r="G996" s="267" t="s">
        <v>824</v>
      </c>
      <c r="H996" s="122" t="s">
        <v>111</v>
      </c>
      <c r="I996" s="74">
        <v>45581818</v>
      </c>
      <c r="J996" s="75" t="s">
        <v>19</v>
      </c>
      <c r="K996" s="75" t="s">
        <v>18</v>
      </c>
      <c r="L996" s="134" t="str">
        <f>IF(AND('331-CT'!$E$7=TH!H996,OR(J996="331",K996="331")),"x","")</f>
        <v/>
      </c>
    </row>
    <row r="997" spans="1:12">
      <c r="A997" s="72">
        <f t="shared" si="37"/>
        <v>2015</v>
      </c>
      <c r="B997" s="72">
        <f t="shared" si="38"/>
        <v>11</v>
      </c>
      <c r="C997" s="73">
        <v>42335</v>
      </c>
      <c r="D997" s="73" t="s">
        <v>826</v>
      </c>
      <c r="E997" s="73">
        <v>42335</v>
      </c>
      <c r="F997" s="76" t="s">
        <v>827</v>
      </c>
      <c r="G997" s="267" t="s">
        <v>828</v>
      </c>
      <c r="H997" s="122" t="s">
        <v>829</v>
      </c>
      <c r="I997" s="74">
        <v>4937000</v>
      </c>
      <c r="J997" s="75" t="s">
        <v>655</v>
      </c>
      <c r="K997" s="75" t="s">
        <v>203</v>
      </c>
      <c r="L997" s="134" t="str">
        <f>IF(AND('331-CT'!$E$7=TH!H997,OR(J997="331",K997="331")),"x","")</f>
        <v/>
      </c>
    </row>
    <row r="998" spans="1:12">
      <c r="A998" s="72">
        <f t="shared" si="37"/>
        <v>2015</v>
      </c>
      <c r="B998" s="72">
        <f t="shared" si="38"/>
        <v>11</v>
      </c>
      <c r="C998" s="73">
        <v>42336</v>
      </c>
      <c r="D998" s="73" t="s">
        <v>830</v>
      </c>
      <c r="E998" s="73">
        <v>42336</v>
      </c>
      <c r="F998" s="76" t="s">
        <v>831</v>
      </c>
      <c r="G998" s="267" t="s">
        <v>832</v>
      </c>
      <c r="H998" s="122" t="s">
        <v>774</v>
      </c>
      <c r="I998" s="74">
        <v>3856320</v>
      </c>
      <c r="J998" s="75" t="s">
        <v>655</v>
      </c>
      <c r="K998" s="75" t="s">
        <v>203</v>
      </c>
      <c r="L998" s="134" t="str">
        <f>IF(AND('331-CT'!$E$7=TH!H998,OR(J998="331",K998="331")),"x","")</f>
        <v/>
      </c>
    </row>
    <row r="999" spans="1:12">
      <c r="A999" s="72">
        <f t="shared" si="37"/>
        <v>2015</v>
      </c>
      <c r="B999" s="72">
        <f t="shared" si="38"/>
        <v>11</v>
      </c>
      <c r="C999" s="73">
        <v>42336</v>
      </c>
      <c r="D999" s="73" t="s">
        <v>830</v>
      </c>
      <c r="E999" s="73">
        <v>42336</v>
      </c>
      <c r="F999" s="76" t="s">
        <v>833</v>
      </c>
      <c r="G999" s="267" t="s">
        <v>832</v>
      </c>
      <c r="H999" s="122" t="s">
        <v>774</v>
      </c>
      <c r="I999" s="74">
        <v>385632</v>
      </c>
      <c r="J999" s="75" t="s">
        <v>19</v>
      </c>
      <c r="K999" s="75" t="s">
        <v>203</v>
      </c>
      <c r="L999" s="134" t="str">
        <f>IF(AND('331-CT'!$E$7=TH!H999,OR(J999="331",K999="331")),"x","")</f>
        <v/>
      </c>
    </row>
    <row r="1000" spans="1:12">
      <c r="A1000" s="72">
        <f t="shared" si="37"/>
        <v>2015</v>
      </c>
      <c r="B1000" s="72">
        <f t="shared" si="38"/>
        <v>11</v>
      </c>
      <c r="C1000" s="73">
        <v>42336</v>
      </c>
      <c r="D1000" s="73" t="s">
        <v>834</v>
      </c>
      <c r="E1000" s="73">
        <v>42336</v>
      </c>
      <c r="F1000" s="76" t="s">
        <v>576</v>
      </c>
      <c r="G1000" s="267"/>
      <c r="H1000" s="122"/>
      <c r="I1000" s="74">
        <v>40000000</v>
      </c>
      <c r="J1000" s="75" t="s">
        <v>54</v>
      </c>
      <c r="K1000" s="75" t="s">
        <v>203</v>
      </c>
      <c r="L1000" s="134" t="str">
        <f>IF(AND('331-CT'!$E$7=TH!H1000,OR(J1000="331",K1000="331")),"x","")</f>
        <v/>
      </c>
    </row>
    <row r="1001" spans="1:12">
      <c r="A1001" s="72">
        <f t="shared" si="37"/>
        <v>2015</v>
      </c>
      <c r="B1001" s="72">
        <f t="shared" si="38"/>
        <v>11</v>
      </c>
      <c r="C1001" s="73">
        <v>42337</v>
      </c>
      <c r="D1001" s="73" t="s">
        <v>835</v>
      </c>
      <c r="E1001" s="73">
        <v>42337</v>
      </c>
      <c r="F1001" s="76" t="s">
        <v>836</v>
      </c>
      <c r="G1001" s="267" t="s">
        <v>837</v>
      </c>
      <c r="H1001" s="122" t="s">
        <v>838</v>
      </c>
      <c r="I1001" s="74">
        <v>2418182</v>
      </c>
      <c r="J1001" s="75" t="s">
        <v>242</v>
      </c>
      <c r="K1001" s="75" t="s">
        <v>203</v>
      </c>
      <c r="L1001" s="134" t="str">
        <f>IF(AND('331-CT'!$E$7=TH!H1001,OR(J1001="331",K1001="331")),"x","")</f>
        <v/>
      </c>
    </row>
    <row r="1002" spans="1:12">
      <c r="A1002" s="72">
        <f t="shared" si="37"/>
        <v>2015</v>
      </c>
      <c r="B1002" s="72">
        <f t="shared" si="38"/>
        <v>11</v>
      </c>
      <c r="C1002" s="73">
        <v>42337</v>
      </c>
      <c r="D1002" s="73" t="s">
        <v>835</v>
      </c>
      <c r="E1002" s="73">
        <v>42337</v>
      </c>
      <c r="F1002" s="76" t="s">
        <v>839</v>
      </c>
      <c r="G1002" s="267" t="s">
        <v>837</v>
      </c>
      <c r="H1002" s="122" t="s">
        <v>838</v>
      </c>
      <c r="I1002" s="74">
        <v>241818</v>
      </c>
      <c r="J1002" s="75" t="s">
        <v>19</v>
      </c>
      <c r="K1002" s="75" t="s">
        <v>203</v>
      </c>
      <c r="L1002" s="134" t="str">
        <f>IF(AND('331-CT'!$E$7=TH!H1002,OR(J1002="331",K1002="331")),"x","")</f>
        <v/>
      </c>
    </row>
    <row r="1003" spans="1:12">
      <c r="A1003" s="72">
        <f t="shared" si="37"/>
        <v>2015</v>
      </c>
      <c r="B1003" s="72">
        <f t="shared" si="38"/>
        <v>11</v>
      </c>
      <c r="C1003" s="73">
        <v>42319</v>
      </c>
      <c r="D1003" s="73" t="s">
        <v>17</v>
      </c>
      <c r="E1003" s="73">
        <v>42319</v>
      </c>
      <c r="F1003" s="76" t="s">
        <v>301</v>
      </c>
      <c r="G1003" s="267"/>
      <c r="H1003" s="122" t="s">
        <v>151</v>
      </c>
      <c r="I1003" s="74">
        <v>50000000</v>
      </c>
      <c r="J1003" s="75" t="s">
        <v>18</v>
      </c>
      <c r="K1003" s="75" t="s">
        <v>54</v>
      </c>
      <c r="L1003" s="134" t="str">
        <f>IF(AND('331-CT'!$E$7=TH!H1003,OR(J1003="331",K1003="331")),"x","")</f>
        <v/>
      </c>
    </row>
    <row r="1004" spans="1:12">
      <c r="A1004" s="72">
        <f t="shared" si="37"/>
        <v>2015</v>
      </c>
      <c r="B1004" s="72">
        <f t="shared" si="38"/>
        <v>11</v>
      </c>
      <c r="C1004" s="73">
        <v>42319</v>
      </c>
      <c r="D1004" s="73" t="s">
        <v>17</v>
      </c>
      <c r="E1004" s="73">
        <v>42319</v>
      </c>
      <c r="F1004" s="76" t="s">
        <v>34</v>
      </c>
      <c r="G1004" s="267"/>
      <c r="H1004" s="122"/>
      <c r="I1004" s="74">
        <v>45000</v>
      </c>
      <c r="J1004" s="75" t="s">
        <v>242</v>
      </c>
      <c r="K1004" s="75" t="s">
        <v>54</v>
      </c>
      <c r="L1004" s="134" t="str">
        <f>IF(AND('331-CT'!$E$7=TH!H1004,OR(J1004="331",K1004="331")),"x","")</f>
        <v/>
      </c>
    </row>
    <row r="1005" spans="1:12">
      <c r="A1005" s="72">
        <f t="shared" si="37"/>
        <v>2015</v>
      </c>
      <c r="B1005" s="72">
        <f t="shared" si="38"/>
        <v>11</v>
      </c>
      <c r="C1005" s="73">
        <v>42319</v>
      </c>
      <c r="D1005" s="73" t="s">
        <v>17</v>
      </c>
      <c r="E1005" s="73">
        <v>42319</v>
      </c>
      <c r="F1005" s="76" t="s">
        <v>35</v>
      </c>
      <c r="G1005" s="267"/>
      <c r="H1005" s="122"/>
      <c r="I1005" s="74">
        <v>4500</v>
      </c>
      <c r="J1005" s="75" t="s">
        <v>19</v>
      </c>
      <c r="K1005" s="75" t="s">
        <v>54</v>
      </c>
      <c r="L1005" s="134" t="str">
        <f>IF(AND('331-CT'!$E$7=TH!H1005,OR(J1005="331",K1005="331")),"x","")</f>
        <v/>
      </c>
    </row>
    <row r="1006" spans="1:12">
      <c r="A1006" s="72">
        <f t="shared" si="37"/>
        <v>2015</v>
      </c>
      <c r="B1006" s="72">
        <f t="shared" si="38"/>
        <v>11</v>
      </c>
      <c r="C1006" s="73">
        <v>42321</v>
      </c>
      <c r="D1006" s="73" t="s">
        <v>17</v>
      </c>
      <c r="E1006" s="73">
        <v>42321</v>
      </c>
      <c r="F1006" s="76" t="s">
        <v>840</v>
      </c>
      <c r="G1006" s="267"/>
      <c r="H1006" s="122" t="s">
        <v>742</v>
      </c>
      <c r="I1006" s="74">
        <v>10199904</v>
      </c>
      <c r="J1006" s="75" t="s">
        <v>18</v>
      </c>
      <c r="K1006" s="75" t="s">
        <v>54</v>
      </c>
      <c r="L1006" s="134" t="str">
        <f>IF(AND('331-CT'!$E$7=TH!H1006,OR(J1006="331",K1006="331")),"x","")</f>
        <v/>
      </c>
    </row>
    <row r="1007" spans="1:12">
      <c r="A1007" s="72">
        <f t="shared" si="37"/>
        <v>2015</v>
      </c>
      <c r="B1007" s="72">
        <f t="shared" si="38"/>
        <v>11</v>
      </c>
      <c r="C1007" s="73">
        <v>42321</v>
      </c>
      <c r="D1007" s="73" t="s">
        <v>17</v>
      </c>
      <c r="E1007" s="73">
        <v>42321</v>
      </c>
      <c r="F1007" s="76" t="s">
        <v>34</v>
      </c>
      <c r="G1007" s="267"/>
      <c r="H1007" s="122"/>
      <c r="I1007" s="74">
        <v>45000</v>
      </c>
      <c r="J1007" s="75" t="s">
        <v>242</v>
      </c>
      <c r="K1007" s="75" t="s">
        <v>54</v>
      </c>
      <c r="L1007" s="134" t="str">
        <f>IF(AND('331-CT'!$E$7=TH!H1007,OR(J1007="331",K1007="331")),"x","")</f>
        <v/>
      </c>
    </row>
    <row r="1008" spans="1:12">
      <c r="A1008" s="72">
        <f t="shared" si="37"/>
        <v>2015</v>
      </c>
      <c r="B1008" s="72">
        <f t="shared" si="38"/>
        <v>11</v>
      </c>
      <c r="C1008" s="73">
        <v>42321</v>
      </c>
      <c r="D1008" s="73" t="s">
        <v>17</v>
      </c>
      <c r="E1008" s="73">
        <v>42321</v>
      </c>
      <c r="F1008" s="76" t="s">
        <v>35</v>
      </c>
      <c r="G1008" s="267"/>
      <c r="H1008" s="122"/>
      <c r="I1008" s="74">
        <v>4500</v>
      </c>
      <c r="J1008" s="75" t="s">
        <v>19</v>
      </c>
      <c r="K1008" s="75" t="s">
        <v>54</v>
      </c>
      <c r="L1008" s="134" t="str">
        <f>IF(AND('331-CT'!$E$7=TH!H1008,OR(J1008="331",K1008="331")),"x","")</f>
        <v/>
      </c>
    </row>
    <row r="1009" spans="1:12">
      <c r="A1009" s="72">
        <f t="shared" si="37"/>
        <v>2015</v>
      </c>
      <c r="B1009" s="72">
        <f t="shared" si="38"/>
        <v>11</v>
      </c>
      <c r="C1009" s="73">
        <v>42321</v>
      </c>
      <c r="D1009" s="73" t="s">
        <v>17</v>
      </c>
      <c r="E1009" s="73">
        <v>42321</v>
      </c>
      <c r="F1009" s="76" t="s">
        <v>841</v>
      </c>
      <c r="G1009" s="267"/>
      <c r="H1009" s="122" t="s">
        <v>649</v>
      </c>
      <c r="I1009" s="74">
        <v>30644460</v>
      </c>
      <c r="J1009" s="75" t="s">
        <v>18</v>
      </c>
      <c r="K1009" s="75" t="s">
        <v>54</v>
      </c>
      <c r="L1009" s="134" t="str">
        <f>IF(AND('331-CT'!$E$7=TH!H1009,OR(J1009="331",K1009="331")),"x","")</f>
        <v/>
      </c>
    </row>
    <row r="1010" spans="1:12">
      <c r="A1010" s="72">
        <f t="shared" si="37"/>
        <v>2015</v>
      </c>
      <c r="B1010" s="72">
        <f t="shared" si="38"/>
        <v>11</v>
      </c>
      <c r="C1010" s="73">
        <v>42321</v>
      </c>
      <c r="D1010" s="73" t="s">
        <v>17</v>
      </c>
      <c r="E1010" s="73">
        <v>42321</v>
      </c>
      <c r="F1010" s="76" t="s">
        <v>34</v>
      </c>
      <c r="G1010" s="267"/>
      <c r="H1010" s="122"/>
      <c r="I1010" s="74">
        <v>45000</v>
      </c>
      <c r="J1010" s="75" t="s">
        <v>242</v>
      </c>
      <c r="K1010" s="75" t="s">
        <v>54</v>
      </c>
      <c r="L1010" s="134" t="str">
        <f>IF(AND('331-CT'!$E$7=TH!H1010,OR(J1010="331",K1010="331")),"x","")</f>
        <v/>
      </c>
    </row>
    <row r="1011" spans="1:12">
      <c r="A1011" s="72">
        <f t="shared" si="37"/>
        <v>2015</v>
      </c>
      <c r="B1011" s="72">
        <f t="shared" si="38"/>
        <v>11</v>
      </c>
      <c r="C1011" s="73">
        <v>42321</v>
      </c>
      <c r="D1011" s="73" t="s">
        <v>17</v>
      </c>
      <c r="E1011" s="73">
        <v>42321</v>
      </c>
      <c r="F1011" s="76" t="s">
        <v>35</v>
      </c>
      <c r="G1011" s="267"/>
      <c r="H1011" s="122"/>
      <c r="I1011" s="74">
        <v>4500</v>
      </c>
      <c r="J1011" s="75" t="s">
        <v>19</v>
      </c>
      <c r="K1011" s="75" t="s">
        <v>54</v>
      </c>
      <c r="L1011" s="134" t="str">
        <f>IF(AND('331-CT'!$E$7=TH!H1011,OR(J1011="331",K1011="331")),"x","")</f>
        <v/>
      </c>
    </row>
    <row r="1012" spans="1:12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17</v>
      </c>
      <c r="E1012" s="73">
        <v>42328</v>
      </c>
      <c r="F1012" s="76" t="s">
        <v>119</v>
      </c>
      <c r="G1012" s="267"/>
      <c r="H1012" s="122" t="s">
        <v>314</v>
      </c>
      <c r="I1012" s="74">
        <v>8183794</v>
      </c>
      <c r="J1012" s="75" t="s">
        <v>240</v>
      </c>
      <c r="K1012" s="75" t="s">
        <v>54</v>
      </c>
      <c r="L1012" s="134" t="str">
        <f>IF(AND('331-CT'!$E$7=TH!H1012,OR(J1012="331",K1012="331")),"x","")</f>
        <v/>
      </c>
    </row>
    <row r="1013" spans="1:12">
      <c r="A1013" s="72">
        <f t="shared" si="37"/>
        <v>2015</v>
      </c>
      <c r="B1013" s="72">
        <f t="shared" si="38"/>
        <v>11</v>
      </c>
      <c r="C1013" s="73">
        <v>42329</v>
      </c>
      <c r="D1013" s="73" t="s">
        <v>17</v>
      </c>
      <c r="E1013" s="73">
        <v>42329</v>
      </c>
      <c r="F1013" s="76" t="s">
        <v>141</v>
      </c>
      <c r="G1013" s="267"/>
      <c r="H1013" s="122" t="s">
        <v>315</v>
      </c>
      <c r="I1013" s="74">
        <v>16374064</v>
      </c>
      <c r="J1013" s="75" t="s">
        <v>240</v>
      </c>
      <c r="K1013" s="75" t="s">
        <v>54</v>
      </c>
      <c r="L1013" s="134" t="str">
        <f>IF(AND('331-CT'!$E$7=TH!H1013,OR(J1013="331",K1013="331")),"x","")</f>
        <v/>
      </c>
    </row>
    <row r="1014" spans="1:12">
      <c r="A1014" s="72">
        <f t="shared" si="37"/>
        <v>2015</v>
      </c>
      <c r="B1014" s="72">
        <f t="shared" si="38"/>
        <v>11</v>
      </c>
      <c r="C1014" s="73">
        <v>42329</v>
      </c>
      <c r="D1014" s="73" t="s">
        <v>17</v>
      </c>
      <c r="E1014" s="73">
        <v>42329</v>
      </c>
      <c r="F1014" s="76" t="s">
        <v>143</v>
      </c>
      <c r="G1014" s="267"/>
      <c r="H1014" s="122" t="s">
        <v>317</v>
      </c>
      <c r="I1014" s="74">
        <v>13099251</v>
      </c>
      <c r="J1014" s="75" t="s">
        <v>240</v>
      </c>
      <c r="K1014" s="75" t="s">
        <v>54</v>
      </c>
      <c r="L1014" s="134" t="str">
        <f>IF(AND('331-CT'!$E$7=TH!H1014,OR(J1014="331",K1014="331")),"x","")</f>
        <v/>
      </c>
    </row>
    <row r="1015" spans="1:12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17</v>
      </c>
      <c r="E1015" s="73">
        <v>42329</v>
      </c>
      <c r="F1015" s="76" t="s">
        <v>144</v>
      </c>
      <c r="G1015" s="267"/>
      <c r="H1015" s="122" t="s">
        <v>316</v>
      </c>
      <c r="I1015" s="74">
        <v>12280547</v>
      </c>
      <c r="J1015" s="75" t="s">
        <v>240</v>
      </c>
      <c r="K1015" s="75" t="s">
        <v>54</v>
      </c>
      <c r="L1015" s="134" t="str">
        <f>IF(AND('331-CT'!$E$7=TH!H1015,OR(J1015="331",K1015="331")),"x","")</f>
        <v/>
      </c>
    </row>
    <row r="1016" spans="1:12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17</v>
      </c>
      <c r="E1016" s="73">
        <v>42329</v>
      </c>
      <c r="F1016" s="76" t="s">
        <v>145</v>
      </c>
      <c r="G1016" s="267"/>
      <c r="H1016" s="122" t="s">
        <v>318</v>
      </c>
      <c r="I1016" s="74">
        <v>8187032</v>
      </c>
      <c r="J1016" s="75" t="s">
        <v>240</v>
      </c>
      <c r="K1016" s="75" t="s">
        <v>54</v>
      </c>
      <c r="L1016" s="134" t="str">
        <f>IF(AND('331-CT'!$E$7=TH!H1016,OR(J1016="331",K1016="331")),"x","")</f>
        <v/>
      </c>
    </row>
    <row r="1017" spans="1:12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17</v>
      </c>
      <c r="E1017" s="73">
        <v>42329</v>
      </c>
      <c r="F1017" s="76" t="s">
        <v>147</v>
      </c>
      <c r="G1017" s="267"/>
      <c r="H1017" s="122" t="s">
        <v>319</v>
      </c>
      <c r="I1017" s="74">
        <v>12280547</v>
      </c>
      <c r="J1017" s="75" t="s">
        <v>240</v>
      </c>
      <c r="K1017" s="75" t="s">
        <v>54</v>
      </c>
      <c r="L1017" s="134" t="str">
        <f>IF(AND('331-CT'!$E$7=TH!H1017,OR(J1017="331",K1017="331")),"x","")</f>
        <v/>
      </c>
    </row>
    <row r="1018" spans="1:12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17</v>
      </c>
      <c r="E1018" s="73">
        <v>42329</v>
      </c>
      <c r="F1018" s="76" t="s">
        <v>273</v>
      </c>
      <c r="G1018" s="267"/>
      <c r="H1018" s="122" t="s">
        <v>320</v>
      </c>
      <c r="I1018" s="74">
        <v>16374064</v>
      </c>
      <c r="J1018" s="75" t="s">
        <v>240</v>
      </c>
      <c r="K1018" s="75" t="s">
        <v>54</v>
      </c>
      <c r="L1018" s="134" t="str">
        <f>IF(AND('331-CT'!$E$7=TH!H1018,OR(J1018="331",K1018="331")),"x","")</f>
        <v/>
      </c>
    </row>
    <row r="1019" spans="1:12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17</v>
      </c>
      <c r="E1019" s="73">
        <v>42329</v>
      </c>
      <c r="F1019" s="76" t="s">
        <v>303</v>
      </c>
      <c r="G1019" s="267"/>
      <c r="H1019" s="122" t="s">
        <v>321</v>
      </c>
      <c r="I1019" s="74">
        <v>11461845</v>
      </c>
      <c r="J1019" s="75" t="s">
        <v>240</v>
      </c>
      <c r="K1019" s="75" t="s">
        <v>54</v>
      </c>
      <c r="L1019" s="134" t="str">
        <f>IF(AND('331-CT'!$E$7=TH!H1019,OR(J1019="331",K1019="331")),"x","")</f>
        <v/>
      </c>
    </row>
    <row r="1020" spans="1:12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304</v>
      </c>
      <c r="G1020" s="267"/>
      <c r="H1020" s="122" t="s">
        <v>322</v>
      </c>
      <c r="I1020" s="74">
        <v>12280547</v>
      </c>
      <c r="J1020" s="75" t="s">
        <v>240</v>
      </c>
      <c r="K1020" s="75" t="s">
        <v>54</v>
      </c>
      <c r="L1020" s="134" t="str">
        <f>IF(AND('331-CT'!$E$7=TH!H1020,OR(J1020="331",K1020="331")),"x","")</f>
        <v/>
      </c>
    </row>
    <row r="1021" spans="1:12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418</v>
      </c>
      <c r="G1021" s="267"/>
      <c r="H1021" s="122" t="s">
        <v>324</v>
      </c>
      <c r="I1021" s="74">
        <v>12280547</v>
      </c>
      <c r="J1021" s="75" t="s">
        <v>240</v>
      </c>
      <c r="K1021" s="75" t="s">
        <v>54</v>
      </c>
      <c r="L1021" s="134" t="str">
        <f>IF(AND('331-CT'!$E$7=TH!H1021,OR(J1021="331",K1021="331")),"x","")</f>
        <v/>
      </c>
    </row>
    <row r="1022" spans="1:12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465</v>
      </c>
      <c r="G1022" s="267"/>
      <c r="H1022" s="122" t="s">
        <v>326</v>
      </c>
      <c r="I1022" s="74">
        <v>12280547</v>
      </c>
      <c r="J1022" s="75" t="s">
        <v>240</v>
      </c>
      <c r="K1022" s="75" t="s">
        <v>54</v>
      </c>
      <c r="L1022" s="134" t="str">
        <f>IF(AND('331-CT'!$E$7=TH!H1022,OR(J1022="331",K1022="331")),"x","")</f>
        <v/>
      </c>
    </row>
    <row r="1023" spans="1:12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466</v>
      </c>
      <c r="G1023" s="267"/>
      <c r="H1023" s="122" t="s">
        <v>417</v>
      </c>
      <c r="I1023" s="74">
        <v>12280547</v>
      </c>
      <c r="J1023" s="75" t="s">
        <v>240</v>
      </c>
      <c r="K1023" s="75" t="s">
        <v>54</v>
      </c>
      <c r="L1023" s="134" t="str">
        <f>IF(AND('331-CT'!$E$7=TH!H1023,OR(J1023="331",K1023="331")),"x","")</f>
        <v/>
      </c>
    </row>
    <row r="1024" spans="1:12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580</v>
      </c>
      <c r="G1024" s="267"/>
      <c r="H1024" s="122" t="s">
        <v>422</v>
      </c>
      <c r="I1024" s="74">
        <v>8187032</v>
      </c>
      <c r="J1024" s="75" t="s">
        <v>240</v>
      </c>
      <c r="K1024" s="75" t="s">
        <v>54</v>
      </c>
      <c r="L1024" s="134" t="str">
        <f>IF(AND('331-CT'!$E$7=TH!H1024,OR(J1024="331",K1024="331")),"x","")</f>
        <v/>
      </c>
    </row>
    <row r="1025" spans="1:12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581</v>
      </c>
      <c r="G1025" s="267"/>
      <c r="H1025" s="122" t="s">
        <v>456</v>
      </c>
      <c r="I1025" s="74">
        <v>8187032</v>
      </c>
      <c r="J1025" s="75" t="s">
        <v>240</v>
      </c>
      <c r="K1025" s="75" t="s">
        <v>54</v>
      </c>
      <c r="L1025" s="134" t="str">
        <f>IF(AND('331-CT'!$E$7=TH!H1025,OR(J1025="331",K1025="331")),"x","")</f>
        <v/>
      </c>
    </row>
    <row r="1026" spans="1:12">
      <c r="A1026" s="72">
        <f t="shared" si="37"/>
        <v>2015</v>
      </c>
      <c r="B1026" s="72">
        <f t="shared" si="38"/>
        <v>11</v>
      </c>
      <c r="C1026" s="73">
        <v>42338</v>
      </c>
      <c r="D1026" s="73" t="s">
        <v>17</v>
      </c>
      <c r="E1026" s="73">
        <v>42338</v>
      </c>
      <c r="F1026" s="76" t="s">
        <v>842</v>
      </c>
      <c r="G1026" s="267"/>
      <c r="H1026" s="122" t="s">
        <v>649</v>
      </c>
      <c r="I1026" s="74">
        <v>38659940</v>
      </c>
      <c r="J1026" s="75" t="s">
        <v>18</v>
      </c>
      <c r="K1026" s="75" t="s">
        <v>54</v>
      </c>
      <c r="L1026" s="134" t="str">
        <f>IF(AND('331-CT'!$E$7=TH!H1026,OR(J1026="331",K1026="331")),"x","")</f>
        <v/>
      </c>
    </row>
    <row r="1027" spans="1:12">
      <c r="A1027" s="72">
        <f t="shared" si="37"/>
        <v>2015</v>
      </c>
      <c r="B1027" s="72">
        <f t="shared" si="38"/>
        <v>11</v>
      </c>
      <c r="C1027" s="73">
        <v>42338</v>
      </c>
      <c r="D1027" s="73" t="s">
        <v>17</v>
      </c>
      <c r="E1027" s="73">
        <v>42338</v>
      </c>
      <c r="F1027" s="76" t="s">
        <v>34</v>
      </c>
      <c r="G1027" s="267"/>
      <c r="H1027" s="122"/>
      <c r="I1027" s="74">
        <v>45000</v>
      </c>
      <c r="J1027" s="75" t="s">
        <v>242</v>
      </c>
      <c r="K1027" s="75" t="s">
        <v>54</v>
      </c>
      <c r="L1027" s="134" t="str">
        <f>IF(AND('331-CT'!$E$7=TH!H1027,OR(J1027="331",K1027="331")),"x","")</f>
        <v/>
      </c>
    </row>
    <row r="1028" spans="1:12">
      <c r="A1028" s="72">
        <f t="shared" si="37"/>
        <v>2015</v>
      </c>
      <c r="B1028" s="72">
        <f t="shared" si="38"/>
        <v>11</v>
      </c>
      <c r="C1028" s="73">
        <v>42338</v>
      </c>
      <c r="D1028" s="73" t="s">
        <v>17</v>
      </c>
      <c r="E1028" s="73">
        <v>42338</v>
      </c>
      <c r="F1028" s="76" t="s">
        <v>35</v>
      </c>
      <c r="G1028" s="267"/>
      <c r="H1028" s="122"/>
      <c r="I1028" s="74">
        <v>4500</v>
      </c>
      <c r="J1028" s="75" t="s">
        <v>19</v>
      </c>
      <c r="K1028" s="75" t="s">
        <v>54</v>
      </c>
      <c r="L1028" s="134" t="str">
        <f>IF(AND('331-CT'!$E$7=TH!H1028,OR(J1028="331",K1028="331")),"x","")</f>
        <v/>
      </c>
    </row>
    <row r="1029" spans="1:12">
      <c r="A1029" s="72">
        <f t="shared" si="37"/>
        <v>2015</v>
      </c>
      <c r="B1029" s="72">
        <f t="shared" si="38"/>
        <v>11</v>
      </c>
      <c r="C1029" s="73">
        <v>42338</v>
      </c>
      <c r="D1029" s="73" t="s">
        <v>17</v>
      </c>
      <c r="E1029" s="73">
        <v>42338</v>
      </c>
      <c r="F1029" s="76" t="s">
        <v>843</v>
      </c>
      <c r="G1029" s="267"/>
      <c r="H1029" s="122" t="s">
        <v>267</v>
      </c>
      <c r="I1029" s="74">
        <v>10000000</v>
      </c>
      <c r="J1029" s="75" t="s">
        <v>212</v>
      </c>
      <c r="K1029" s="75" t="s">
        <v>54</v>
      </c>
      <c r="L1029" s="134" t="str">
        <f>IF(AND('331-CT'!$E$7=TH!H1029,OR(J1029="331",K1029="331")),"x","")</f>
        <v/>
      </c>
    </row>
    <row r="1030" spans="1:12">
      <c r="A1030" s="72">
        <f t="shared" si="37"/>
        <v>2015</v>
      </c>
      <c r="B1030" s="72">
        <f t="shared" si="38"/>
        <v>11</v>
      </c>
      <c r="C1030" s="73">
        <v>42338</v>
      </c>
      <c r="D1030" s="73" t="s">
        <v>22</v>
      </c>
      <c r="E1030" s="73">
        <v>42338</v>
      </c>
      <c r="F1030" s="76" t="s">
        <v>844</v>
      </c>
      <c r="G1030" s="267"/>
      <c r="H1030" s="122" t="s">
        <v>267</v>
      </c>
      <c r="I1030" s="74">
        <v>10000000</v>
      </c>
      <c r="J1030" s="75" t="s">
        <v>203</v>
      </c>
      <c r="K1030" s="75" t="s">
        <v>212</v>
      </c>
      <c r="L1030" s="134" t="str">
        <f>IF(AND('331-CT'!$E$7=TH!H1030,OR(J1030="331",K1030="331")),"x","")</f>
        <v/>
      </c>
    </row>
    <row r="1031" spans="1:12">
      <c r="A1031" s="72">
        <f t="shared" si="37"/>
        <v>2015</v>
      </c>
      <c r="B1031" s="72">
        <f t="shared" si="38"/>
        <v>10</v>
      </c>
      <c r="C1031" s="73">
        <v>42307</v>
      </c>
      <c r="D1031" s="73" t="s">
        <v>78</v>
      </c>
      <c r="E1031" s="73">
        <v>42307</v>
      </c>
      <c r="F1031" s="76" t="s">
        <v>845</v>
      </c>
      <c r="G1031" s="267"/>
      <c r="H1031" s="122" t="s">
        <v>520</v>
      </c>
      <c r="I1031" s="74">
        <v>1678844208</v>
      </c>
      <c r="J1031" s="75" t="s">
        <v>212</v>
      </c>
      <c r="K1031" s="75" t="s">
        <v>19</v>
      </c>
      <c r="L1031" s="134" t="str">
        <f>IF(AND('331-CT'!$E$7=TH!H1031,OR(J1031="331",K1031="331")),"x","")</f>
        <v/>
      </c>
    </row>
    <row r="1032" spans="1:12">
      <c r="A1032" s="72">
        <f t="shared" si="37"/>
        <v>2015</v>
      </c>
      <c r="B1032" s="72">
        <f t="shared" si="38"/>
        <v>12</v>
      </c>
      <c r="C1032" s="73">
        <v>42339</v>
      </c>
      <c r="D1032" s="73" t="s">
        <v>846</v>
      </c>
      <c r="E1032" s="73">
        <v>42339</v>
      </c>
      <c r="F1032" s="76" t="s">
        <v>847</v>
      </c>
      <c r="G1032" s="267" t="s">
        <v>848</v>
      </c>
      <c r="H1032" s="122" t="s">
        <v>849</v>
      </c>
      <c r="I1032" s="74">
        <v>1520000</v>
      </c>
      <c r="J1032" s="75" t="s">
        <v>655</v>
      </c>
      <c r="K1032" s="75" t="s">
        <v>203</v>
      </c>
      <c r="L1032" s="134" t="str">
        <f>IF(AND('331-CT'!$E$7=TH!H1032,OR(J1032="331",K1032="331")),"x","")</f>
        <v/>
      </c>
    </row>
    <row r="1033" spans="1:12">
      <c r="A1033" s="72">
        <f t="shared" si="37"/>
        <v>2015</v>
      </c>
      <c r="B1033" s="72">
        <f t="shared" si="38"/>
        <v>12</v>
      </c>
      <c r="C1033" s="73">
        <v>42340</v>
      </c>
      <c r="D1033" s="73" t="s">
        <v>850</v>
      </c>
      <c r="E1033" s="73">
        <v>42340</v>
      </c>
      <c r="F1033" s="76" t="s">
        <v>851</v>
      </c>
      <c r="G1033" s="267" t="s">
        <v>852</v>
      </c>
      <c r="H1033" s="122" t="s">
        <v>829</v>
      </c>
      <c r="I1033" s="74">
        <v>3778000</v>
      </c>
      <c r="J1033" s="75" t="s">
        <v>655</v>
      </c>
      <c r="K1033" s="75" t="s">
        <v>203</v>
      </c>
      <c r="L1033" s="134" t="str">
        <f>IF(AND('331-CT'!$E$7=TH!H1033,OR(J1033="331",K1033="331")),"x","")</f>
        <v/>
      </c>
    </row>
    <row r="1034" spans="1:12">
      <c r="A1034" s="72">
        <f t="shared" ref="A1034" si="39">IF(C1034&lt;&gt;"",YEAR(C1034),"")</f>
        <v>2015</v>
      </c>
      <c r="B1034" s="72">
        <f t="shared" ref="B1034" si="40">IF(C1034&lt;&gt;"",MONTH(C1034),"")</f>
        <v>12</v>
      </c>
      <c r="C1034" s="73">
        <v>42342</v>
      </c>
      <c r="D1034" s="73" t="s">
        <v>857</v>
      </c>
      <c r="E1034" s="73">
        <v>42342</v>
      </c>
      <c r="F1034" s="76" t="s">
        <v>854</v>
      </c>
      <c r="G1034" s="267" t="s">
        <v>855</v>
      </c>
      <c r="H1034" s="122" t="s">
        <v>856</v>
      </c>
      <c r="I1034" s="74">
        <v>1990000</v>
      </c>
      <c r="J1034" s="75" t="s">
        <v>655</v>
      </c>
      <c r="K1034" s="75" t="s">
        <v>203</v>
      </c>
      <c r="L1034" s="134" t="str">
        <f>IF(AND('331-CT'!$E$7=TH!H1034,OR(J1034="331",K1034="331")),"x","")</f>
        <v/>
      </c>
    </row>
    <row r="1035" spans="1:12">
      <c r="A1035" s="72">
        <f t="shared" ref="A1035:A1151" si="41">IF(C1035&lt;&gt;"",YEAR(C1035),"")</f>
        <v>2015</v>
      </c>
      <c r="B1035" s="72">
        <f t="shared" ref="B1035:B1151" si="42">IF(C1035&lt;&gt;"",MONTH(C1035),"")</f>
        <v>12</v>
      </c>
      <c r="C1035" s="73">
        <v>42343</v>
      </c>
      <c r="D1035" s="73" t="s">
        <v>860</v>
      </c>
      <c r="E1035" s="73">
        <v>42343</v>
      </c>
      <c r="F1035" s="76" t="s">
        <v>827</v>
      </c>
      <c r="G1035" s="267" t="s">
        <v>858</v>
      </c>
      <c r="H1035" s="122" t="s">
        <v>859</v>
      </c>
      <c r="I1035" s="74">
        <v>692000</v>
      </c>
      <c r="J1035" s="75" t="s">
        <v>655</v>
      </c>
      <c r="K1035" s="75" t="s">
        <v>203</v>
      </c>
      <c r="L1035" s="134" t="str">
        <f>IF(AND('331-CT'!$E$7=TH!H1035,OR(J1035="331",K1035="331")),"x","")</f>
        <v/>
      </c>
    </row>
    <row r="1036" spans="1:12">
      <c r="A1036" s="72">
        <f t="shared" si="41"/>
        <v>2015</v>
      </c>
      <c r="B1036" s="72">
        <f t="shared" si="42"/>
        <v>12</v>
      </c>
      <c r="C1036" s="73">
        <v>42345</v>
      </c>
      <c r="D1036" s="73" t="s">
        <v>862</v>
      </c>
      <c r="E1036" s="73">
        <v>42345</v>
      </c>
      <c r="F1036" s="76" t="s">
        <v>827</v>
      </c>
      <c r="G1036" s="267" t="s">
        <v>861</v>
      </c>
      <c r="H1036" s="122" t="s">
        <v>859</v>
      </c>
      <c r="I1036" s="74">
        <v>3739000</v>
      </c>
      <c r="J1036" s="75" t="s">
        <v>655</v>
      </c>
      <c r="K1036" s="75" t="s">
        <v>203</v>
      </c>
      <c r="L1036" s="134" t="str">
        <f>IF(AND('331-CT'!$E$7=TH!H1036,OR(J1036="331",K1036="331")),"x","")</f>
        <v/>
      </c>
    </row>
    <row r="1037" spans="1:12">
      <c r="A1037" s="72">
        <f t="shared" si="41"/>
        <v>2015</v>
      </c>
      <c r="B1037" s="72">
        <f t="shared" si="42"/>
        <v>12</v>
      </c>
      <c r="C1037" s="73">
        <v>42347</v>
      </c>
      <c r="D1037" s="73" t="s">
        <v>1055</v>
      </c>
      <c r="E1037" s="73">
        <v>42347</v>
      </c>
      <c r="F1037" s="76" t="s">
        <v>863</v>
      </c>
      <c r="G1037" s="267" t="s">
        <v>864</v>
      </c>
      <c r="H1037" s="122" t="s">
        <v>280</v>
      </c>
      <c r="I1037" s="74">
        <v>472127</v>
      </c>
      <c r="J1037" s="75" t="s">
        <v>242</v>
      </c>
      <c r="K1037" s="75" t="s">
        <v>203</v>
      </c>
      <c r="L1037" s="134" t="str">
        <f>IF(AND('331-CT'!$E$7=TH!H1037,OR(J1037="331",K1037="331")),"x","")</f>
        <v/>
      </c>
    </row>
    <row r="1038" spans="1:12">
      <c r="A1038" s="72">
        <f t="shared" si="41"/>
        <v>2015</v>
      </c>
      <c r="B1038" s="72">
        <f t="shared" si="42"/>
        <v>12</v>
      </c>
      <c r="C1038" s="73">
        <v>42347</v>
      </c>
      <c r="D1038" s="73" t="s">
        <v>1055</v>
      </c>
      <c r="E1038" s="73">
        <v>42347</v>
      </c>
      <c r="F1038" s="76" t="s">
        <v>863</v>
      </c>
      <c r="G1038" s="267" t="s">
        <v>864</v>
      </c>
      <c r="H1038" s="122" t="s">
        <v>280</v>
      </c>
      <c r="I1038" s="74">
        <v>47213</v>
      </c>
      <c r="J1038" s="75" t="s">
        <v>242</v>
      </c>
      <c r="K1038" s="75" t="s">
        <v>203</v>
      </c>
      <c r="L1038" s="134" t="str">
        <f>IF(AND('331-CT'!$E$7=TH!H1038,OR(J1038="331",K1038="331")),"x","")</f>
        <v/>
      </c>
    </row>
    <row r="1039" spans="1:12">
      <c r="A1039" s="72">
        <f t="shared" si="41"/>
        <v>2015</v>
      </c>
      <c r="B1039" s="72">
        <f t="shared" si="42"/>
        <v>12</v>
      </c>
      <c r="C1039" s="73">
        <v>42348</v>
      </c>
      <c r="D1039" s="73" t="s">
        <v>1056</v>
      </c>
      <c r="E1039" s="73">
        <v>42348</v>
      </c>
      <c r="F1039" s="76" t="s">
        <v>865</v>
      </c>
      <c r="G1039" s="267" t="s">
        <v>866</v>
      </c>
      <c r="H1039" s="122" t="s">
        <v>783</v>
      </c>
      <c r="I1039" s="74">
        <v>6818182</v>
      </c>
      <c r="J1039" s="75" t="s">
        <v>242</v>
      </c>
      <c r="K1039" s="75" t="s">
        <v>203</v>
      </c>
      <c r="L1039" s="134" t="str">
        <f>IF(AND('331-CT'!$E$7=TH!H1039,OR(J1039="331",K1039="331")),"x","")</f>
        <v/>
      </c>
    </row>
    <row r="1040" spans="1:12">
      <c r="A1040" s="72">
        <f t="shared" si="41"/>
        <v>2015</v>
      </c>
      <c r="B1040" s="72">
        <f t="shared" si="42"/>
        <v>12</v>
      </c>
      <c r="C1040" s="73">
        <v>42348</v>
      </c>
      <c r="D1040" s="73" t="s">
        <v>1056</v>
      </c>
      <c r="E1040" s="73">
        <v>42348</v>
      </c>
      <c r="F1040" s="76" t="s">
        <v>863</v>
      </c>
      <c r="G1040" s="267" t="s">
        <v>864</v>
      </c>
      <c r="H1040" s="122" t="s">
        <v>280</v>
      </c>
      <c r="I1040" s="74">
        <v>681818</v>
      </c>
      <c r="J1040" s="75" t="s">
        <v>19</v>
      </c>
      <c r="K1040" s="75" t="s">
        <v>203</v>
      </c>
      <c r="L1040" s="134" t="str">
        <f>IF(AND('331-CT'!$E$7=TH!H1040,OR(J1040="331",K1040="331")),"x","")</f>
        <v/>
      </c>
    </row>
    <row r="1041" spans="1:12">
      <c r="A1041" s="72">
        <f t="shared" si="41"/>
        <v>2015</v>
      </c>
      <c r="B1041" s="72">
        <f t="shared" si="42"/>
        <v>11</v>
      </c>
      <c r="C1041" s="73">
        <v>42319</v>
      </c>
      <c r="D1041" s="73" t="s">
        <v>78</v>
      </c>
      <c r="E1041" s="73">
        <v>42319</v>
      </c>
      <c r="F1041" s="76" t="s">
        <v>867</v>
      </c>
      <c r="G1041" s="267" t="s">
        <v>868</v>
      </c>
      <c r="H1041" s="122" t="s">
        <v>649</v>
      </c>
      <c r="I1041" s="74">
        <v>35145400</v>
      </c>
      <c r="J1041" s="75" t="s">
        <v>242</v>
      </c>
      <c r="K1041" s="75" t="s">
        <v>18</v>
      </c>
      <c r="L1041" s="134" t="str">
        <f>IF(AND('331-CT'!$E$7=TH!H1041,OR(J1041="331",K1041="331")),"x","")</f>
        <v/>
      </c>
    </row>
    <row r="1042" spans="1:12">
      <c r="A1042" s="72">
        <f t="shared" si="41"/>
        <v>2015</v>
      </c>
      <c r="B1042" s="72">
        <f t="shared" si="42"/>
        <v>11</v>
      </c>
      <c r="C1042" s="73">
        <v>42319</v>
      </c>
      <c r="D1042" s="73" t="s">
        <v>78</v>
      </c>
      <c r="E1042" s="73">
        <v>42319</v>
      </c>
      <c r="F1042" s="76" t="s">
        <v>869</v>
      </c>
      <c r="G1042" s="267" t="s">
        <v>868</v>
      </c>
      <c r="H1042" s="122" t="s">
        <v>649</v>
      </c>
      <c r="I1042" s="74">
        <v>3514540</v>
      </c>
      <c r="J1042" s="75" t="s">
        <v>19</v>
      </c>
      <c r="K1042" s="75" t="s">
        <v>18</v>
      </c>
      <c r="L1042" s="134" t="str">
        <f>IF(AND('331-CT'!$E$7=TH!H1042,OR(J1042="331",K1042="331")),"x","")</f>
        <v/>
      </c>
    </row>
    <row r="1043" spans="1:12">
      <c r="A1043" s="72" t="str">
        <f t="shared" si="41"/>
        <v/>
      </c>
      <c r="B1043" s="72" t="str">
        <f t="shared" si="42"/>
        <v/>
      </c>
      <c r="C1043" s="73"/>
      <c r="D1043" s="73" t="s">
        <v>78</v>
      </c>
      <c r="E1043" s="73">
        <v>0</v>
      </c>
      <c r="F1043" s="76" t="s">
        <v>870</v>
      </c>
      <c r="G1043" s="267"/>
      <c r="H1043" s="122" t="s">
        <v>649</v>
      </c>
      <c r="I1043" s="74">
        <v>36579400</v>
      </c>
      <c r="J1043" s="75" t="s">
        <v>242</v>
      </c>
      <c r="K1043" s="75" t="s">
        <v>18</v>
      </c>
      <c r="L1043" s="134" t="str">
        <f>IF(AND('331-CT'!$E$7=TH!H1043,OR(J1043="331",K1043="331")),"x","")</f>
        <v/>
      </c>
    </row>
    <row r="1044" spans="1:12">
      <c r="A1044" s="72" t="str">
        <f t="shared" si="41"/>
        <v/>
      </c>
      <c r="B1044" s="72" t="str">
        <f t="shared" si="42"/>
        <v/>
      </c>
      <c r="C1044" s="73"/>
      <c r="D1044" s="73" t="s">
        <v>78</v>
      </c>
      <c r="E1044" s="73">
        <v>0</v>
      </c>
      <c r="F1044" s="76" t="s">
        <v>871</v>
      </c>
      <c r="G1044" s="267"/>
      <c r="H1044" s="122" t="s">
        <v>649</v>
      </c>
      <c r="I1044" s="74">
        <v>3657940</v>
      </c>
      <c r="J1044" s="75" t="s">
        <v>19</v>
      </c>
      <c r="K1044" s="75" t="s">
        <v>18</v>
      </c>
      <c r="L1044" s="134" t="str">
        <f>IF(AND('331-CT'!$E$7=TH!H1044,OR(J1044="331",K1044="331")),"x","")</f>
        <v/>
      </c>
    </row>
    <row r="1045" spans="1:12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78</v>
      </c>
      <c r="E1045" s="73">
        <v>42338</v>
      </c>
      <c r="F1045" s="76" t="s">
        <v>872</v>
      </c>
      <c r="G1045" s="267" t="s">
        <v>873</v>
      </c>
      <c r="H1045" s="122" t="s">
        <v>150</v>
      </c>
      <c r="I1045" s="74">
        <v>1689997900</v>
      </c>
      <c r="J1045" s="75" t="s">
        <v>655</v>
      </c>
      <c r="K1045" s="75" t="s">
        <v>18</v>
      </c>
      <c r="L1045" s="134" t="str">
        <f>IF(AND('331-CT'!$E$7=TH!H1045,OR(J1045="331",K1045="331")),"x","")</f>
        <v/>
      </c>
    </row>
    <row r="1046" spans="1:12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78</v>
      </c>
      <c r="E1046" s="73">
        <v>42338</v>
      </c>
      <c r="F1046" s="76" t="s">
        <v>874</v>
      </c>
      <c r="G1046" s="267" t="s">
        <v>873</v>
      </c>
      <c r="H1046" s="122" t="s">
        <v>150</v>
      </c>
      <c r="I1046" s="74">
        <v>168999790</v>
      </c>
      <c r="J1046" s="75" t="s">
        <v>19</v>
      </c>
      <c r="K1046" s="75" t="s">
        <v>18</v>
      </c>
      <c r="L1046" s="134" t="str">
        <f>IF(AND('331-CT'!$E$7=TH!H1046,OR(J1046="331",K1046="331")),"x","")</f>
        <v/>
      </c>
    </row>
    <row r="1047" spans="1:12">
      <c r="A1047" s="72">
        <f t="shared" si="43"/>
        <v>2015</v>
      </c>
      <c r="B1047" s="72">
        <f t="shared" si="44"/>
        <v>12</v>
      </c>
      <c r="C1047" s="73">
        <v>42340</v>
      </c>
      <c r="D1047" s="73" t="s">
        <v>1057</v>
      </c>
      <c r="E1047" s="73">
        <v>42340</v>
      </c>
      <c r="F1047" s="76" t="s">
        <v>579</v>
      </c>
      <c r="G1047" s="267"/>
      <c r="H1047" s="122" t="s">
        <v>431</v>
      </c>
      <c r="I1047" s="74">
        <v>1000000000</v>
      </c>
      <c r="J1047" s="75" t="s">
        <v>203</v>
      </c>
      <c r="K1047" s="75" t="s">
        <v>39</v>
      </c>
      <c r="L1047" s="134" t="str">
        <f>IF(AND('331-CT'!$E$7=TH!H1047,OR(J1047="331",K1047="331")),"x","")</f>
        <v/>
      </c>
    </row>
    <row r="1048" spans="1:12">
      <c r="A1048" s="72">
        <f t="shared" si="43"/>
        <v>2015</v>
      </c>
      <c r="B1048" s="72">
        <f t="shared" si="44"/>
        <v>12</v>
      </c>
      <c r="C1048" s="73">
        <v>42340</v>
      </c>
      <c r="D1048" s="73" t="s">
        <v>853</v>
      </c>
      <c r="E1048" s="73">
        <v>42340</v>
      </c>
      <c r="F1048" s="76" t="s">
        <v>576</v>
      </c>
      <c r="G1048" s="267"/>
      <c r="H1048" s="122" t="s">
        <v>272</v>
      </c>
      <c r="I1048" s="74">
        <v>250000000</v>
      </c>
      <c r="J1048" s="75" t="s">
        <v>54</v>
      </c>
      <c r="K1048" s="75" t="s">
        <v>203</v>
      </c>
      <c r="L1048" s="134" t="str">
        <f>IF(AND('331-CT'!$E$7=TH!H1048,OR(J1048="331",K1048="331")),"x","")</f>
        <v/>
      </c>
    </row>
    <row r="1049" spans="1:12">
      <c r="A1049" s="72">
        <f t="shared" si="43"/>
        <v>2015</v>
      </c>
      <c r="B1049" s="72">
        <f t="shared" si="44"/>
        <v>12</v>
      </c>
      <c r="C1049" s="73">
        <v>42342</v>
      </c>
      <c r="D1049" s="73" t="s">
        <v>17</v>
      </c>
      <c r="E1049" s="73">
        <v>42342</v>
      </c>
      <c r="F1049" s="76" t="s">
        <v>301</v>
      </c>
      <c r="G1049" s="267"/>
      <c r="H1049" s="122" t="s">
        <v>407</v>
      </c>
      <c r="I1049" s="74">
        <v>30000000</v>
      </c>
      <c r="J1049" s="75" t="s">
        <v>18</v>
      </c>
      <c r="K1049" s="75" t="s">
        <v>54</v>
      </c>
      <c r="L1049" s="134" t="str">
        <f>IF(AND('331-CT'!$E$7=TH!H1049,OR(J1049="331",K1049="331")),"x","")</f>
        <v>x</v>
      </c>
    </row>
    <row r="1050" spans="1:12">
      <c r="A1050" s="72">
        <f t="shared" si="43"/>
        <v>2015</v>
      </c>
      <c r="B1050" s="72">
        <f t="shared" si="44"/>
        <v>12</v>
      </c>
      <c r="C1050" s="73">
        <v>42342</v>
      </c>
      <c r="D1050" s="73" t="s">
        <v>17</v>
      </c>
      <c r="E1050" s="73">
        <v>42342</v>
      </c>
      <c r="F1050" s="76" t="s">
        <v>34</v>
      </c>
      <c r="G1050" s="267"/>
      <c r="H1050" s="122"/>
      <c r="I1050" s="74">
        <v>25000</v>
      </c>
      <c r="J1050" s="75" t="s">
        <v>242</v>
      </c>
      <c r="K1050" s="75" t="s">
        <v>54</v>
      </c>
      <c r="L1050" s="134" t="str">
        <f>IF(AND('331-CT'!$E$7=TH!H1050,OR(J1050="331",K1050="331")),"x","")</f>
        <v/>
      </c>
    </row>
    <row r="1051" spans="1:12">
      <c r="A1051" s="72">
        <f t="shared" si="43"/>
        <v>2015</v>
      </c>
      <c r="B1051" s="72">
        <f t="shared" si="44"/>
        <v>12</v>
      </c>
      <c r="C1051" s="73">
        <v>42342</v>
      </c>
      <c r="D1051" s="73" t="s">
        <v>17</v>
      </c>
      <c r="E1051" s="73">
        <v>42342</v>
      </c>
      <c r="F1051" s="76" t="s">
        <v>35</v>
      </c>
      <c r="G1051" s="267"/>
      <c r="H1051" s="122"/>
      <c r="I1051" s="74">
        <v>2500</v>
      </c>
      <c r="J1051" s="75" t="s">
        <v>19</v>
      </c>
      <c r="K1051" s="75" t="s">
        <v>54</v>
      </c>
      <c r="L1051" s="134" t="str">
        <f>IF(AND('331-CT'!$E$7=TH!H1051,OR(J1051="331",K1051="331")),"x","")</f>
        <v/>
      </c>
    </row>
    <row r="1052" spans="1:12">
      <c r="A1052" s="72">
        <f t="shared" si="43"/>
        <v>2015</v>
      </c>
      <c r="B1052" s="72">
        <f t="shared" si="44"/>
        <v>12</v>
      </c>
      <c r="C1052" s="73">
        <v>42342</v>
      </c>
      <c r="D1052" s="73" t="s">
        <v>17</v>
      </c>
      <c r="E1052" s="73">
        <v>42342</v>
      </c>
      <c r="F1052" s="76" t="s">
        <v>301</v>
      </c>
      <c r="G1052" s="267"/>
      <c r="H1052" s="122" t="s">
        <v>85</v>
      </c>
      <c r="I1052" s="74">
        <v>200000000</v>
      </c>
      <c r="J1052" s="75" t="s">
        <v>18</v>
      </c>
      <c r="K1052" s="75" t="s">
        <v>54</v>
      </c>
      <c r="L1052" s="134" t="str">
        <f>IF(AND('331-CT'!$E$7=TH!H1052,OR(J1052="331",K1052="331")),"x","")</f>
        <v/>
      </c>
    </row>
    <row r="1053" spans="1:12">
      <c r="A1053" s="72">
        <f t="shared" si="43"/>
        <v>2015</v>
      </c>
      <c r="B1053" s="72">
        <f t="shared" si="44"/>
        <v>12</v>
      </c>
      <c r="C1053" s="73">
        <v>42342</v>
      </c>
      <c r="D1053" s="73" t="s">
        <v>17</v>
      </c>
      <c r="E1053" s="73">
        <v>42342</v>
      </c>
      <c r="F1053" s="76" t="s">
        <v>34</v>
      </c>
      <c r="G1053" s="267"/>
      <c r="H1053" s="122"/>
      <c r="I1053" s="74">
        <v>100000</v>
      </c>
      <c r="J1053" s="75" t="s">
        <v>242</v>
      </c>
      <c r="K1053" s="75" t="s">
        <v>54</v>
      </c>
      <c r="L1053" s="134" t="str">
        <f>IF(AND('331-CT'!$E$7=TH!H1053,OR(J1053="331",K1053="331")),"x","")</f>
        <v/>
      </c>
    </row>
    <row r="1054" spans="1:12">
      <c r="A1054" s="72">
        <f t="shared" si="43"/>
        <v>2015</v>
      </c>
      <c r="B1054" s="72">
        <f t="shared" si="44"/>
        <v>12</v>
      </c>
      <c r="C1054" s="73">
        <v>42342</v>
      </c>
      <c r="D1054" s="73" t="s">
        <v>17</v>
      </c>
      <c r="E1054" s="73">
        <v>42342</v>
      </c>
      <c r="F1054" s="76" t="s">
        <v>35</v>
      </c>
      <c r="G1054" s="267"/>
      <c r="H1054" s="122"/>
      <c r="I1054" s="74">
        <v>10000</v>
      </c>
      <c r="J1054" s="75" t="s">
        <v>19</v>
      </c>
      <c r="K1054" s="75" t="s">
        <v>54</v>
      </c>
      <c r="L1054" s="134" t="str">
        <f>IF(AND('331-CT'!$E$7=TH!H1054,OR(J1054="331",K1054="331")),"x","")</f>
        <v/>
      </c>
    </row>
    <row r="1055" spans="1:12">
      <c r="A1055" s="72">
        <f t="shared" si="43"/>
        <v>2015</v>
      </c>
      <c r="B1055" s="72">
        <f t="shared" si="44"/>
        <v>12</v>
      </c>
      <c r="C1055" s="73">
        <v>42349</v>
      </c>
      <c r="D1055" s="73" t="s">
        <v>887</v>
      </c>
      <c r="E1055" s="73">
        <v>42349</v>
      </c>
      <c r="F1055" s="76" t="s">
        <v>576</v>
      </c>
      <c r="G1055" s="267"/>
      <c r="H1055" s="122" t="s">
        <v>272</v>
      </c>
      <c r="I1055" s="74">
        <v>450000000</v>
      </c>
      <c r="J1055" s="75" t="s">
        <v>54</v>
      </c>
      <c r="K1055" s="75" t="s">
        <v>203</v>
      </c>
      <c r="L1055" s="134" t="str">
        <f>IF(AND('331-CT'!$E$7=TH!H1055,OR(J1055="331",K1055="331")),"x","")</f>
        <v/>
      </c>
    </row>
    <row r="1056" spans="1:12">
      <c r="A1056" s="72">
        <f t="shared" si="43"/>
        <v>2015</v>
      </c>
      <c r="B1056" s="72">
        <f t="shared" si="44"/>
        <v>12</v>
      </c>
      <c r="C1056" s="73">
        <v>42349</v>
      </c>
      <c r="D1056" s="73" t="s">
        <v>17</v>
      </c>
      <c r="E1056" s="73">
        <v>42349</v>
      </c>
      <c r="F1056" s="76" t="s">
        <v>870</v>
      </c>
      <c r="G1056" s="267"/>
      <c r="H1056" s="122" t="s">
        <v>649</v>
      </c>
      <c r="I1056" s="74">
        <v>40237340</v>
      </c>
      <c r="J1056" s="75" t="s">
        <v>18</v>
      </c>
      <c r="K1056" s="75" t="s">
        <v>54</v>
      </c>
      <c r="L1056" s="134" t="str">
        <f>IF(AND('331-CT'!$E$7=TH!H1056,OR(J1056="331",K1056="331")),"x","")</f>
        <v/>
      </c>
    </row>
    <row r="1057" spans="1:12">
      <c r="A1057" s="72">
        <f t="shared" si="43"/>
        <v>2015</v>
      </c>
      <c r="B1057" s="72">
        <f t="shared" si="44"/>
        <v>12</v>
      </c>
      <c r="C1057" s="73">
        <v>42349</v>
      </c>
      <c r="D1057" s="73" t="s">
        <v>17</v>
      </c>
      <c r="E1057" s="73">
        <v>42349</v>
      </c>
      <c r="F1057" s="76" t="s">
        <v>34</v>
      </c>
      <c r="G1057" s="267"/>
      <c r="H1057" s="122"/>
      <c r="I1057" s="74">
        <v>45000</v>
      </c>
      <c r="J1057" s="75" t="s">
        <v>242</v>
      </c>
      <c r="K1057" s="75" t="s">
        <v>54</v>
      </c>
      <c r="L1057" s="134" t="str">
        <f>IF(AND('331-CT'!$E$7=TH!H1057,OR(J1057="331",K1057="331")),"x","")</f>
        <v/>
      </c>
    </row>
    <row r="1058" spans="1:12">
      <c r="A1058" s="72">
        <f t="shared" si="43"/>
        <v>2015</v>
      </c>
      <c r="B1058" s="72">
        <f t="shared" si="44"/>
        <v>12</v>
      </c>
      <c r="C1058" s="73">
        <v>42349</v>
      </c>
      <c r="D1058" s="73" t="s">
        <v>17</v>
      </c>
      <c r="E1058" s="73">
        <v>42349</v>
      </c>
      <c r="F1058" s="76" t="s">
        <v>35</v>
      </c>
      <c r="G1058" s="267"/>
      <c r="H1058" s="122"/>
      <c r="I1058" s="74">
        <v>4500</v>
      </c>
      <c r="J1058" s="75" t="s">
        <v>19</v>
      </c>
      <c r="K1058" s="75" t="s">
        <v>54</v>
      </c>
      <c r="L1058" s="134" t="str">
        <f>IF(AND('331-CT'!$E$7=TH!H1058,OR(J1058="331",K1058="331")),"x","")</f>
        <v/>
      </c>
    </row>
    <row r="1059" spans="1:12">
      <c r="A1059" s="72">
        <f t="shared" si="43"/>
        <v>2015</v>
      </c>
      <c r="B1059" s="72">
        <f t="shared" si="44"/>
        <v>12</v>
      </c>
      <c r="C1059" s="73">
        <v>42349</v>
      </c>
      <c r="D1059" s="73" t="s">
        <v>17</v>
      </c>
      <c r="E1059" s="73">
        <v>42349</v>
      </c>
      <c r="F1059" s="76" t="s">
        <v>888</v>
      </c>
      <c r="G1059" s="267"/>
      <c r="H1059" s="122" t="s">
        <v>481</v>
      </c>
      <c r="I1059" s="74">
        <v>200000000</v>
      </c>
      <c r="J1059" s="75" t="s">
        <v>18</v>
      </c>
      <c r="K1059" s="75" t="s">
        <v>54</v>
      </c>
      <c r="L1059" s="134" t="str">
        <f>IF(AND('331-CT'!$E$7=TH!H1059,OR(J1059="331",K1059="331")),"x","")</f>
        <v/>
      </c>
    </row>
    <row r="1060" spans="1:12">
      <c r="A1060" s="72">
        <f t="shared" si="43"/>
        <v>2015</v>
      </c>
      <c r="B1060" s="72">
        <f t="shared" si="44"/>
        <v>12</v>
      </c>
      <c r="C1060" s="73">
        <v>42349</v>
      </c>
      <c r="D1060" s="73" t="s">
        <v>17</v>
      </c>
      <c r="E1060" s="73">
        <v>42349</v>
      </c>
      <c r="F1060" s="76" t="s">
        <v>34</v>
      </c>
      <c r="G1060" s="267"/>
      <c r="H1060" s="122"/>
      <c r="I1060" s="74">
        <v>120000</v>
      </c>
      <c r="J1060" s="75" t="s">
        <v>242</v>
      </c>
      <c r="K1060" s="75" t="s">
        <v>54</v>
      </c>
      <c r="L1060" s="134" t="str">
        <f>IF(AND('331-CT'!$E$7=TH!H1060,OR(J1060="331",K1060="331")),"x","")</f>
        <v/>
      </c>
    </row>
    <row r="1061" spans="1:12">
      <c r="A1061" s="72">
        <f t="shared" si="43"/>
        <v>2015</v>
      </c>
      <c r="B1061" s="72">
        <f t="shared" si="44"/>
        <v>12</v>
      </c>
      <c r="C1061" s="73">
        <v>42349</v>
      </c>
      <c r="D1061" s="73" t="s">
        <v>17</v>
      </c>
      <c r="E1061" s="73">
        <v>42349</v>
      </c>
      <c r="F1061" s="76" t="s">
        <v>35</v>
      </c>
      <c r="G1061" s="267"/>
      <c r="H1061" s="122"/>
      <c r="I1061" s="74">
        <v>12000</v>
      </c>
      <c r="J1061" s="75" t="s">
        <v>19</v>
      </c>
      <c r="K1061" s="75" t="s">
        <v>54</v>
      </c>
      <c r="L1061" s="134" t="str">
        <f>IF(AND('331-CT'!$E$7=TH!H1061,OR(J1061="331",K1061="331")),"x","")</f>
        <v/>
      </c>
    </row>
    <row r="1062" spans="1:12">
      <c r="A1062" s="72">
        <f t="shared" si="43"/>
        <v>2015</v>
      </c>
      <c r="B1062" s="72">
        <f t="shared" si="44"/>
        <v>12</v>
      </c>
      <c r="C1062" s="73">
        <v>42349</v>
      </c>
      <c r="D1062" s="73" t="s">
        <v>17</v>
      </c>
      <c r="E1062" s="73">
        <v>42349</v>
      </c>
      <c r="F1062" s="76" t="s">
        <v>889</v>
      </c>
      <c r="G1062" s="267"/>
      <c r="H1062" s="122" t="s">
        <v>791</v>
      </c>
      <c r="I1062" s="74">
        <v>16743100</v>
      </c>
      <c r="J1062" s="75" t="s">
        <v>18</v>
      </c>
      <c r="K1062" s="75" t="s">
        <v>54</v>
      </c>
      <c r="L1062" s="134" t="str">
        <f>IF(AND('331-CT'!$E$7=TH!H1062,OR(J1062="331",K1062="331")),"x","")</f>
        <v/>
      </c>
    </row>
    <row r="1063" spans="1:12">
      <c r="A1063" s="72">
        <f t="shared" si="43"/>
        <v>2015</v>
      </c>
      <c r="B1063" s="72">
        <f t="shared" si="44"/>
        <v>12</v>
      </c>
      <c r="C1063" s="73">
        <v>42349</v>
      </c>
      <c r="D1063" s="73" t="s">
        <v>17</v>
      </c>
      <c r="E1063" s="73">
        <v>42349</v>
      </c>
      <c r="F1063" s="76" t="s">
        <v>34</v>
      </c>
      <c r="G1063" s="267"/>
      <c r="H1063" s="122"/>
      <c r="I1063" s="74">
        <v>40000</v>
      </c>
      <c r="J1063" s="75" t="s">
        <v>242</v>
      </c>
      <c r="K1063" s="75" t="s">
        <v>54</v>
      </c>
      <c r="L1063" s="134" t="str">
        <f>IF(AND('331-CT'!$E$7=TH!H1063,OR(J1063="331",K1063="331")),"x","")</f>
        <v/>
      </c>
    </row>
    <row r="1064" spans="1:12">
      <c r="A1064" s="72">
        <f t="shared" si="43"/>
        <v>2015</v>
      </c>
      <c r="B1064" s="72">
        <f t="shared" si="44"/>
        <v>12</v>
      </c>
      <c r="C1064" s="73">
        <v>42349</v>
      </c>
      <c r="D1064" s="73" t="s">
        <v>17</v>
      </c>
      <c r="E1064" s="73">
        <v>42349</v>
      </c>
      <c r="F1064" s="76" t="s">
        <v>35</v>
      </c>
      <c r="G1064" s="267"/>
      <c r="H1064" s="122"/>
      <c r="I1064" s="74">
        <v>4000</v>
      </c>
      <c r="J1064" s="75" t="s">
        <v>19</v>
      </c>
      <c r="K1064" s="75" t="s">
        <v>54</v>
      </c>
      <c r="L1064" s="134" t="str">
        <f>IF(AND('331-CT'!$E$7=TH!H1064,OR(J1064="331",K1064="331")),"x","")</f>
        <v/>
      </c>
    </row>
    <row r="1065" spans="1:12">
      <c r="A1065" s="72">
        <f t="shared" si="43"/>
        <v>2015</v>
      </c>
      <c r="B1065" s="72">
        <f t="shared" si="44"/>
        <v>12</v>
      </c>
      <c r="C1065" s="73">
        <v>42349</v>
      </c>
      <c r="D1065" s="73" t="s">
        <v>17</v>
      </c>
      <c r="E1065" s="73">
        <v>42349</v>
      </c>
      <c r="F1065" s="76" t="s">
        <v>890</v>
      </c>
      <c r="G1065" s="267"/>
      <c r="H1065" s="122" t="s">
        <v>300</v>
      </c>
      <c r="I1065" s="74">
        <v>114906620</v>
      </c>
      <c r="J1065" s="75" t="s">
        <v>18</v>
      </c>
      <c r="K1065" s="75" t="s">
        <v>54</v>
      </c>
      <c r="L1065" s="134" t="str">
        <f>IF(AND('331-CT'!$E$7=TH!H1065,OR(J1065="331",K1065="331")),"x","")</f>
        <v/>
      </c>
    </row>
    <row r="1066" spans="1:12">
      <c r="A1066" s="72">
        <f t="shared" si="43"/>
        <v>2015</v>
      </c>
      <c r="B1066" s="72">
        <f t="shared" si="44"/>
        <v>12</v>
      </c>
      <c r="C1066" s="73">
        <v>42349</v>
      </c>
      <c r="D1066" s="73" t="s">
        <v>17</v>
      </c>
      <c r="E1066" s="73">
        <v>42349</v>
      </c>
      <c r="F1066" s="76" t="s">
        <v>34</v>
      </c>
      <c r="G1066" s="267"/>
      <c r="H1066" s="122"/>
      <c r="I1066" s="74">
        <v>91925</v>
      </c>
      <c r="J1066" s="75" t="s">
        <v>242</v>
      </c>
      <c r="K1066" s="75" t="s">
        <v>54</v>
      </c>
      <c r="L1066" s="134" t="str">
        <f>IF(AND('331-CT'!$E$7=TH!H1066,OR(J1066="331",K1066="331")),"x","")</f>
        <v/>
      </c>
    </row>
    <row r="1067" spans="1:12">
      <c r="A1067" s="72">
        <f t="shared" si="43"/>
        <v>2015</v>
      </c>
      <c r="B1067" s="72">
        <f t="shared" si="44"/>
        <v>12</v>
      </c>
      <c r="C1067" s="73">
        <v>42349</v>
      </c>
      <c r="D1067" s="73" t="s">
        <v>17</v>
      </c>
      <c r="E1067" s="73">
        <v>42349</v>
      </c>
      <c r="F1067" s="76" t="s">
        <v>35</v>
      </c>
      <c r="G1067" s="267"/>
      <c r="H1067" s="122"/>
      <c r="I1067" s="74">
        <v>9192</v>
      </c>
      <c r="J1067" s="75" t="s">
        <v>19</v>
      </c>
      <c r="K1067" s="75" t="s">
        <v>54</v>
      </c>
      <c r="L1067" s="134" t="str">
        <f>IF(AND('331-CT'!$E$7=TH!H1067,OR(J1067="331",K1067="331")),"x","")</f>
        <v/>
      </c>
    </row>
    <row r="1068" spans="1:12">
      <c r="A1068" s="72">
        <f t="shared" si="43"/>
        <v>2015</v>
      </c>
      <c r="B1068" s="72">
        <f t="shared" si="44"/>
        <v>12</v>
      </c>
      <c r="C1068" s="73">
        <v>42349</v>
      </c>
      <c r="D1068" s="73" t="s">
        <v>17</v>
      </c>
      <c r="E1068" s="73">
        <v>42349</v>
      </c>
      <c r="F1068" s="76" t="s">
        <v>891</v>
      </c>
      <c r="G1068" s="267"/>
      <c r="H1068" s="122" t="s">
        <v>602</v>
      </c>
      <c r="I1068" s="74">
        <v>75000000</v>
      </c>
      <c r="J1068" s="75" t="s">
        <v>18</v>
      </c>
      <c r="K1068" s="75" t="s">
        <v>54</v>
      </c>
      <c r="L1068" s="134" t="str">
        <f>IF(AND('331-CT'!$E$7=TH!H1068,OR(J1068="331",K1068="331")),"x","")</f>
        <v/>
      </c>
    </row>
    <row r="1069" spans="1:12">
      <c r="A1069" s="72">
        <f t="shared" si="43"/>
        <v>2015</v>
      </c>
      <c r="B1069" s="72">
        <f t="shared" si="44"/>
        <v>12</v>
      </c>
      <c r="C1069" s="73">
        <v>42349</v>
      </c>
      <c r="D1069" s="73" t="s">
        <v>17</v>
      </c>
      <c r="E1069" s="73">
        <v>42349</v>
      </c>
      <c r="F1069" s="76" t="s">
        <v>34</v>
      </c>
      <c r="G1069" s="267"/>
      <c r="H1069" s="122"/>
      <c r="I1069" s="74">
        <v>45000</v>
      </c>
      <c r="J1069" s="75" t="s">
        <v>242</v>
      </c>
      <c r="K1069" s="75" t="s">
        <v>54</v>
      </c>
      <c r="L1069" s="134" t="str">
        <f>IF(AND('331-CT'!$E$7=TH!H1069,OR(J1069="331",K1069="331")),"x","")</f>
        <v/>
      </c>
    </row>
    <row r="1070" spans="1:12">
      <c r="A1070" s="72">
        <f t="shared" si="43"/>
        <v>2015</v>
      </c>
      <c r="B1070" s="72">
        <f t="shared" si="44"/>
        <v>12</v>
      </c>
      <c r="C1070" s="73">
        <v>42349</v>
      </c>
      <c r="D1070" s="73" t="s">
        <v>17</v>
      </c>
      <c r="E1070" s="73">
        <v>42349</v>
      </c>
      <c r="F1070" s="76" t="s">
        <v>35</v>
      </c>
      <c r="G1070" s="267"/>
      <c r="H1070" s="122"/>
      <c r="I1070" s="74">
        <v>4500</v>
      </c>
      <c r="J1070" s="75" t="s">
        <v>19</v>
      </c>
      <c r="K1070" s="75" t="s">
        <v>54</v>
      </c>
      <c r="L1070" s="134" t="str">
        <f>IF(AND('331-CT'!$E$7=TH!H1070,OR(J1070="331",K1070="331")),"x","")</f>
        <v/>
      </c>
    </row>
    <row r="1071" spans="1:12">
      <c r="A1071" s="72" t="str">
        <f t="shared" si="43"/>
        <v/>
      </c>
      <c r="B1071" s="72" t="str">
        <f t="shared" si="44"/>
        <v/>
      </c>
      <c r="C1071" s="73"/>
      <c r="D1071" s="73"/>
      <c r="E1071" s="73"/>
      <c r="F1071" s="76"/>
      <c r="G1071" s="267"/>
      <c r="H1071" s="122"/>
      <c r="I1071" s="74"/>
      <c r="J1071" s="75"/>
      <c r="K1071" s="75"/>
      <c r="L1071" s="134" t="str">
        <f>IF(AND('331-CT'!$E$7=TH!H1071,OR(J1071="331",K1071="331")),"x","")</f>
        <v/>
      </c>
    </row>
    <row r="1072" spans="1:12">
      <c r="A1072" s="72" t="str">
        <f t="shared" si="43"/>
        <v/>
      </c>
      <c r="B1072" s="72" t="str">
        <f t="shared" si="44"/>
        <v/>
      </c>
      <c r="C1072" s="73"/>
      <c r="D1072" s="73"/>
      <c r="E1072" s="73"/>
      <c r="F1072" s="76"/>
      <c r="G1072" s="267"/>
      <c r="H1072" s="122"/>
      <c r="I1072" s="74"/>
      <c r="J1072" s="75"/>
      <c r="K1072" s="75"/>
      <c r="L1072" s="134" t="str">
        <f>IF(AND('331-CT'!$E$7=TH!H1072,OR(J1072="331",K1072="331")),"x","")</f>
        <v/>
      </c>
    </row>
    <row r="1073" spans="1:12">
      <c r="A1073" s="72" t="str">
        <f t="shared" si="43"/>
        <v/>
      </c>
      <c r="B1073" s="72" t="str">
        <f t="shared" si="44"/>
        <v/>
      </c>
      <c r="C1073" s="73"/>
      <c r="D1073" s="73"/>
      <c r="E1073" s="73"/>
      <c r="F1073" s="76"/>
      <c r="G1073" s="267"/>
      <c r="H1073" s="122"/>
      <c r="I1073" s="74"/>
      <c r="J1073" s="75"/>
      <c r="K1073" s="75"/>
      <c r="L1073" s="134" t="str">
        <f>IF(AND('331-CT'!$E$7=TH!H1073,OR(J1073="331",K1073="331")),"x","")</f>
        <v/>
      </c>
    </row>
    <row r="1074" spans="1:12">
      <c r="A1074" s="72" t="str">
        <f t="shared" si="43"/>
        <v/>
      </c>
      <c r="B1074" s="72" t="str">
        <f t="shared" si="44"/>
        <v/>
      </c>
      <c r="C1074" s="73"/>
      <c r="D1074" s="73"/>
      <c r="E1074" s="73"/>
      <c r="F1074" s="76"/>
      <c r="G1074" s="267"/>
      <c r="H1074" s="122"/>
      <c r="I1074" s="74"/>
      <c r="J1074" s="75"/>
      <c r="K1074" s="75"/>
      <c r="L1074" s="134" t="str">
        <f>IF(AND('331-CT'!$E$7=TH!H1074,OR(J1074="331",K1074="331")),"x","")</f>
        <v/>
      </c>
    </row>
    <row r="1075" spans="1:12">
      <c r="A1075" s="72" t="str">
        <f t="shared" si="43"/>
        <v/>
      </c>
      <c r="B1075" s="72" t="str">
        <f t="shared" si="44"/>
        <v/>
      </c>
      <c r="C1075" s="73"/>
      <c r="D1075" s="73"/>
      <c r="E1075" s="73"/>
      <c r="F1075" s="76"/>
      <c r="G1075" s="267"/>
      <c r="H1075" s="122"/>
      <c r="I1075" s="74"/>
      <c r="J1075" s="75"/>
      <c r="K1075" s="75"/>
      <c r="L1075" s="134" t="str">
        <f>IF(AND('331-CT'!$E$7=TH!H1075,OR(J1075="331",K1075="331")),"x","")</f>
        <v/>
      </c>
    </row>
    <row r="1076" spans="1:12">
      <c r="A1076" s="72" t="str">
        <f t="shared" si="43"/>
        <v/>
      </c>
      <c r="B1076" s="72" t="str">
        <f t="shared" si="44"/>
        <v/>
      </c>
      <c r="C1076" s="73"/>
      <c r="D1076" s="73"/>
      <c r="E1076" s="73"/>
      <c r="F1076" s="76"/>
      <c r="G1076" s="267"/>
      <c r="H1076" s="122"/>
      <c r="I1076" s="74"/>
      <c r="J1076" s="75"/>
      <c r="K1076" s="75"/>
      <c r="L1076" s="134" t="str">
        <f>IF(AND('331-CT'!$E$7=TH!H1076,OR(J1076="331",K1076="331")),"x","")</f>
        <v/>
      </c>
    </row>
    <row r="1077" spans="1:12">
      <c r="A1077" s="72" t="str">
        <f t="shared" si="43"/>
        <v/>
      </c>
      <c r="B1077" s="72" t="str">
        <f t="shared" si="44"/>
        <v/>
      </c>
      <c r="C1077" s="73"/>
      <c r="D1077" s="73"/>
      <c r="E1077" s="73"/>
      <c r="F1077" s="76"/>
      <c r="G1077" s="267"/>
      <c r="H1077" s="122"/>
      <c r="I1077" s="74"/>
      <c r="J1077" s="75"/>
      <c r="K1077" s="75"/>
      <c r="L1077" s="134" t="str">
        <f>IF(AND('331-CT'!$E$7=TH!H1077,OR(J1077="331",K1077="331")),"x","")</f>
        <v/>
      </c>
    </row>
    <row r="1078" spans="1:12">
      <c r="A1078" s="72" t="str">
        <f t="shared" si="43"/>
        <v/>
      </c>
      <c r="B1078" s="72" t="str">
        <f t="shared" si="44"/>
        <v/>
      </c>
      <c r="C1078" s="73"/>
      <c r="D1078" s="73"/>
      <c r="E1078" s="73"/>
      <c r="F1078" s="76"/>
      <c r="G1078" s="267"/>
      <c r="H1078" s="122"/>
      <c r="I1078" s="74"/>
      <c r="J1078" s="75"/>
      <c r="K1078" s="75"/>
      <c r="L1078" s="134" t="str">
        <f>IF(AND('331-CT'!$E$7=TH!H1078,OR(J1078="331",K1078="331")),"x","")</f>
        <v/>
      </c>
    </row>
    <row r="1079" spans="1:12">
      <c r="A1079" s="72" t="str">
        <f t="shared" si="43"/>
        <v/>
      </c>
      <c r="B1079" s="72" t="str">
        <f t="shared" si="44"/>
        <v/>
      </c>
      <c r="C1079" s="73"/>
      <c r="D1079" s="73"/>
      <c r="E1079" s="73"/>
      <c r="F1079" s="76"/>
      <c r="G1079" s="267"/>
      <c r="H1079" s="122"/>
      <c r="I1079" s="74"/>
      <c r="J1079" s="75"/>
      <c r="K1079" s="75"/>
      <c r="L1079" s="134" t="str">
        <f>IF(AND('331-CT'!$E$7=TH!H1079,OR(J1079="331",K1079="331")),"x","")</f>
        <v/>
      </c>
    </row>
    <row r="1080" spans="1:12">
      <c r="A1080" s="72" t="str">
        <f t="shared" si="43"/>
        <v/>
      </c>
      <c r="B1080" s="72" t="str">
        <f t="shared" si="44"/>
        <v/>
      </c>
      <c r="C1080" s="73"/>
      <c r="D1080" s="73"/>
      <c r="E1080" s="73"/>
      <c r="F1080" s="76"/>
      <c r="G1080" s="267"/>
      <c r="H1080" s="122"/>
      <c r="I1080" s="74"/>
      <c r="J1080" s="75"/>
      <c r="K1080" s="75"/>
      <c r="L1080" s="134" t="str">
        <f>IF(AND('331-CT'!$E$7=TH!H1080,OR(J1080="331",K1080="331")),"x","")</f>
        <v/>
      </c>
    </row>
    <row r="1081" spans="1:12">
      <c r="A1081" s="72" t="str">
        <f t="shared" si="43"/>
        <v/>
      </c>
      <c r="B1081" s="72" t="str">
        <f t="shared" si="44"/>
        <v/>
      </c>
      <c r="C1081" s="73"/>
      <c r="D1081" s="73"/>
      <c r="E1081" s="73"/>
      <c r="F1081" s="76"/>
      <c r="G1081" s="267"/>
      <c r="H1081" s="122"/>
      <c r="I1081" s="74"/>
      <c r="J1081" s="75"/>
      <c r="K1081" s="75"/>
      <c r="L1081" s="134" t="str">
        <f>IF(AND('331-CT'!$E$7=TH!H1081,OR(J1081="331",K1081="331")),"x","")</f>
        <v/>
      </c>
    </row>
    <row r="1082" spans="1:12">
      <c r="A1082" s="72" t="str">
        <f t="shared" si="43"/>
        <v/>
      </c>
      <c r="B1082" s="72" t="str">
        <f t="shared" si="44"/>
        <v/>
      </c>
      <c r="C1082" s="73"/>
      <c r="D1082" s="73"/>
      <c r="E1082" s="73"/>
      <c r="F1082" s="76"/>
      <c r="G1082" s="267"/>
      <c r="H1082" s="122"/>
      <c r="I1082" s="74"/>
      <c r="J1082" s="75"/>
      <c r="K1082" s="75"/>
      <c r="L1082" s="134" t="str">
        <f>IF(AND('331-CT'!$E$7=TH!H1082,OR(J1082="331",K1082="331")),"x","")</f>
        <v/>
      </c>
    </row>
    <row r="1083" spans="1:12">
      <c r="A1083" s="72" t="str">
        <f t="shared" si="43"/>
        <v/>
      </c>
      <c r="B1083" s="72" t="str">
        <f t="shared" si="44"/>
        <v/>
      </c>
      <c r="C1083" s="73"/>
      <c r="D1083" s="73"/>
      <c r="E1083" s="73"/>
      <c r="F1083" s="76"/>
      <c r="G1083" s="267"/>
      <c r="H1083" s="122"/>
      <c r="I1083" s="74"/>
      <c r="J1083" s="75"/>
      <c r="K1083" s="75"/>
      <c r="L1083" s="134" t="str">
        <f>IF(AND('331-CT'!$E$7=TH!H1083,OR(J1083="331",K1083="331")),"x","")</f>
        <v/>
      </c>
    </row>
    <row r="1084" spans="1:12">
      <c r="A1084" s="72" t="str">
        <f t="shared" si="43"/>
        <v/>
      </c>
      <c r="B1084" s="72" t="str">
        <f t="shared" si="44"/>
        <v/>
      </c>
      <c r="C1084" s="73"/>
      <c r="D1084" s="73"/>
      <c r="E1084" s="73"/>
      <c r="F1084" s="76"/>
      <c r="G1084" s="267"/>
      <c r="H1084" s="122"/>
      <c r="I1084" s="74"/>
      <c r="J1084" s="75"/>
      <c r="K1084" s="75"/>
      <c r="L1084" s="134" t="str">
        <f>IF(AND('331-CT'!$E$7=TH!H1084,OR(J1084="331",K1084="331")),"x","")</f>
        <v/>
      </c>
    </row>
    <row r="1085" spans="1:12">
      <c r="A1085" s="72" t="str">
        <f t="shared" si="43"/>
        <v/>
      </c>
      <c r="B1085" s="72" t="str">
        <f t="shared" si="44"/>
        <v/>
      </c>
      <c r="C1085" s="73"/>
      <c r="D1085" s="73"/>
      <c r="E1085" s="73"/>
      <c r="F1085" s="76"/>
      <c r="G1085" s="267"/>
      <c r="H1085" s="122"/>
      <c r="I1085" s="74"/>
      <c r="J1085" s="75"/>
      <c r="K1085" s="75"/>
      <c r="L1085" s="134" t="str">
        <f>IF(AND('331-CT'!$E$7=TH!H1085,OR(J1085="331",K1085="331")),"x","")</f>
        <v/>
      </c>
    </row>
    <row r="1086" spans="1:12">
      <c r="A1086" s="72" t="str">
        <f t="shared" si="43"/>
        <v/>
      </c>
      <c r="B1086" s="72" t="str">
        <f t="shared" si="44"/>
        <v/>
      </c>
      <c r="C1086" s="73"/>
      <c r="D1086" s="73"/>
      <c r="E1086" s="73"/>
      <c r="F1086" s="76"/>
      <c r="G1086" s="267"/>
      <c r="H1086" s="122"/>
      <c r="I1086" s="74"/>
      <c r="J1086" s="75"/>
      <c r="K1086" s="75"/>
      <c r="L1086" s="134" t="str">
        <f>IF(AND('331-CT'!$E$7=TH!H1086,OR(J1086="331",K1086="331")),"x","")</f>
        <v/>
      </c>
    </row>
    <row r="1087" spans="1:12">
      <c r="A1087" s="72" t="str">
        <f t="shared" si="43"/>
        <v/>
      </c>
      <c r="B1087" s="72" t="str">
        <f t="shared" si="44"/>
        <v/>
      </c>
      <c r="C1087" s="73"/>
      <c r="D1087" s="73"/>
      <c r="E1087" s="73"/>
      <c r="F1087" s="76"/>
      <c r="G1087" s="267"/>
      <c r="H1087" s="122"/>
      <c r="I1087" s="74"/>
      <c r="J1087" s="75"/>
      <c r="K1087" s="75"/>
      <c r="L1087" s="134" t="str">
        <f>IF(AND('331-CT'!$E$7=TH!H1087,OR(J1087="331",K1087="331")),"x","")</f>
        <v/>
      </c>
    </row>
    <row r="1088" spans="1:12">
      <c r="A1088" s="72" t="str">
        <f t="shared" si="43"/>
        <v/>
      </c>
      <c r="B1088" s="72" t="str">
        <f t="shared" si="44"/>
        <v/>
      </c>
      <c r="C1088" s="73"/>
      <c r="D1088" s="73"/>
      <c r="E1088" s="73"/>
      <c r="F1088" s="76"/>
      <c r="G1088" s="267"/>
      <c r="H1088" s="122"/>
      <c r="I1088" s="74"/>
      <c r="J1088" s="75"/>
      <c r="K1088" s="75"/>
      <c r="L1088" s="134" t="str">
        <f>IF(AND('331-CT'!$E$7=TH!H1088,OR(J1088="331",K1088="331")),"x","")</f>
        <v/>
      </c>
    </row>
    <row r="1089" spans="1:12">
      <c r="A1089" s="72" t="str">
        <f t="shared" si="43"/>
        <v/>
      </c>
      <c r="B1089" s="72" t="str">
        <f t="shared" si="44"/>
        <v/>
      </c>
      <c r="C1089" s="73"/>
      <c r="D1089" s="73"/>
      <c r="E1089" s="73"/>
      <c r="F1089" s="76"/>
      <c r="G1089" s="267"/>
      <c r="H1089" s="122"/>
      <c r="I1089" s="74"/>
      <c r="J1089" s="75"/>
      <c r="K1089" s="75"/>
      <c r="L1089" s="134" t="str">
        <f>IF(AND('331-CT'!$E$7=TH!H1089,OR(J1089="331",K1089="331")),"x","")</f>
        <v/>
      </c>
    </row>
    <row r="1090" spans="1:12">
      <c r="A1090" s="72" t="str">
        <f t="shared" si="43"/>
        <v/>
      </c>
      <c r="B1090" s="72" t="str">
        <f t="shared" si="44"/>
        <v/>
      </c>
      <c r="C1090" s="73"/>
      <c r="D1090" s="73"/>
      <c r="E1090" s="73"/>
      <c r="F1090" s="76"/>
      <c r="G1090" s="267"/>
      <c r="H1090" s="122"/>
      <c r="I1090" s="74"/>
      <c r="J1090" s="75"/>
      <c r="K1090" s="75"/>
      <c r="L1090" s="134" t="str">
        <f>IF(AND('331-CT'!$E$7=TH!H1090,OR(J1090="331",K1090="331")),"x","")</f>
        <v/>
      </c>
    </row>
    <row r="1091" spans="1:12">
      <c r="A1091" s="72" t="str">
        <f t="shared" si="43"/>
        <v/>
      </c>
      <c r="B1091" s="72" t="str">
        <f t="shared" si="44"/>
        <v/>
      </c>
      <c r="C1091" s="73"/>
      <c r="D1091" s="73"/>
      <c r="E1091" s="73"/>
      <c r="F1091" s="76"/>
      <c r="G1091" s="267"/>
      <c r="H1091" s="122"/>
      <c r="I1091" s="74"/>
      <c r="J1091" s="75"/>
      <c r="K1091" s="75"/>
      <c r="L1091" s="134" t="str">
        <f>IF(AND('331-CT'!$E$7=TH!H1091,OR(J1091="331",K1091="331")),"x","")</f>
        <v/>
      </c>
    </row>
    <row r="1092" spans="1:12">
      <c r="A1092" s="72" t="str">
        <f t="shared" si="43"/>
        <v/>
      </c>
      <c r="B1092" s="72" t="str">
        <f t="shared" si="44"/>
        <v/>
      </c>
      <c r="C1092" s="73"/>
      <c r="D1092" s="73"/>
      <c r="E1092" s="73"/>
      <c r="F1092" s="76"/>
      <c r="G1092" s="267"/>
      <c r="H1092" s="122"/>
      <c r="I1092" s="74"/>
      <c r="J1092" s="75"/>
      <c r="K1092" s="75"/>
      <c r="L1092" s="134" t="str">
        <f>IF(AND('331-CT'!$E$7=TH!H1092,OR(J1092="331",K1092="331")),"x","")</f>
        <v/>
      </c>
    </row>
    <row r="1093" spans="1:12">
      <c r="A1093" s="72" t="str">
        <f t="shared" si="43"/>
        <v/>
      </c>
      <c r="B1093" s="72" t="str">
        <f t="shared" si="44"/>
        <v/>
      </c>
      <c r="C1093" s="73"/>
      <c r="D1093" s="73"/>
      <c r="E1093" s="73"/>
      <c r="F1093" s="76"/>
      <c r="G1093" s="267"/>
      <c r="H1093" s="122"/>
      <c r="I1093" s="74"/>
      <c r="J1093" s="75"/>
      <c r="K1093" s="75"/>
      <c r="L1093" s="134" t="str">
        <f>IF(AND('331-CT'!$E$7=TH!H1093,OR(J1093="331",K1093="331")),"x","")</f>
        <v/>
      </c>
    </row>
    <row r="1094" spans="1:12">
      <c r="A1094" s="72" t="str">
        <f t="shared" si="43"/>
        <v/>
      </c>
      <c r="B1094" s="72" t="str">
        <f t="shared" si="44"/>
        <v/>
      </c>
      <c r="C1094" s="73"/>
      <c r="D1094" s="73"/>
      <c r="E1094" s="73"/>
      <c r="F1094" s="76"/>
      <c r="G1094" s="267"/>
      <c r="H1094" s="122"/>
      <c r="I1094" s="74"/>
      <c r="J1094" s="75"/>
      <c r="K1094" s="75"/>
      <c r="L1094" s="134" t="str">
        <f>IF(AND('331-CT'!$E$7=TH!H1094,OR(J1094="331",K1094="331")),"x","")</f>
        <v/>
      </c>
    </row>
    <row r="1095" spans="1:12">
      <c r="A1095" s="72" t="str">
        <f t="shared" si="43"/>
        <v/>
      </c>
      <c r="B1095" s="72" t="str">
        <f t="shared" si="44"/>
        <v/>
      </c>
      <c r="C1095" s="73"/>
      <c r="D1095" s="73"/>
      <c r="E1095" s="73"/>
      <c r="F1095" s="76"/>
      <c r="G1095" s="267"/>
      <c r="H1095" s="122"/>
      <c r="I1095" s="74"/>
      <c r="J1095" s="75"/>
      <c r="K1095" s="75"/>
      <c r="L1095" s="134" t="str">
        <f>IF(AND('331-CT'!$E$7=TH!H1095,OR(J1095="331",K1095="331")),"x","")</f>
        <v/>
      </c>
    </row>
    <row r="1096" spans="1:12">
      <c r="A1096" s="72" t="str">
        <f t="shared" si="43"/>
        <v/>
      </c>
      <c r="B1096" s="72" t="str">
        <f t="shared" si="44"/>
        <v/>
      </c>
      <c r="C1096" s="73"/>
      <c r="D1096" s="73"/>
      <c r="E1096" s="73"/>
      <c r="F1096" s="76"/>
      <c r="G1096" s="267"/>
      <c r="H1096" s="122"/>
      <c r="I1096" s="74"/>
      <c r="J1096" s="75"/>
      <c r="K1096" s="75"/>
      <c r="L1096" s="134" t="str">
        <f>IF(AND('331-CT'!$E$7=TH!H1096,OR(J1096="331",K1096="331")),"x","")</f>
        <v/>
      </c>
    </row>
    <row r="1097" spans="1:12">
      <c r="A1097" s="72" t="str">
        <f t="shared" si="43"/>
        <v/>
      </c>
      <c r="B1097" s="72" t="str">
        <f t="shared" si="44"/>
        <v/>
      </c>
      <c r="C1097" s="73"/>
      <c r="D1097" s="73"/>
      <c r="E1097" s="73"/>
      <c r="F1097" s="76"/>
      <c r="G1097" s="267"/>
      <c r="H1097" s="122"/>
      <c r="I1097" s="74"/>
      <c r="J1097" s="75"/>
      <c r="K1097" s="75"/>
      <c r="L1097" s="134" t="str">
        <f>IF(AND('331-CT'!$E$7=TH!H1097,OR(J1097="331",K1097="331")),"x","")</f>
        <v/>
      </c>
    </row>
    <row r="1098" spans="1:12">
      <c r="A1098" s="72" t="str">
        <f t="shared" si="43"/>
        <v/>
      </c>
      <c r="B1098" s="72" t="str">
        <f t="shared" si="44"/>
        <v/>
      </c>
      <c r="C1098" s="73"/>
      <c r="D1098" s="73"/>
      <c r="E1098" s="73"/>
      <c r="F1098" s="76"/>
      <c r="G1098" s="267"/>
      <c r="H1098" s="122"/>
      <c r="I1098" s="74"/>
      <c r="J1098" s="75"/>
      <c r="K1098" s="75"/>
      <c r="L1098" s="134" t="str">
        <f>IF(AND('331-CT'!$E$7=TH!H1098,OR(J1098="331",K1098="331")),"x","")</f>
        <v/>
      </c>
    </row>
    <row r="1099" spans="1:12">
      <c r="A1099" s="72" t="str">
        <f t="shared" si="43"/>
        <v/>
      </c>
      <c r="B1099" s="72" t="str">
        <f t="shared" si="44"/>
        <v/>
      </c>
      <c r="C1099" s="73"/>
      <c r="D1099" s="73"/>
      <c r="E1099" s="73"/>
      <c r="F1099" s="76"/>
      <c r="G1099" s="267"/>
      <c r="H1099" s="122"/>
      <c r="I1099" s="74"/>
      <c r="J1099" s="75"/>
      <c r="K1099" s="75"/>
      <c r="L1099" s="134" t="str">
        <f>IF(AND('331-CT'!$E$7=TH!H1099,OR(J1099="331",K1099="331")),"x","")</f>
        <v/>
      </c>
    </row>
    <row r="1100" spans="1:12">
      <c r="A1100" s="72" t="str">
        <f t="shared" si="43"/>
        <v/>
      </c>
      <c r="B1100" s="72" t="str">
        <f t="shared" si="44"/>
        <v/>
      </c>
      <c r="C1100" s="73"/>
      <c r="D1100" s="73"/>
      <c r="E1100" s="73"/>
      <c r="F1100" s="76"/>
      <c r="G1100" s="267"/>
      <c r="H1100" s="122"/>
      <c r="I1100" s="74"/>
      <c r="J1100" s="75"/>
      <c r="K1100" s="75"/>
      <c r="L1100" s="134" t="str">
        <f>IF(AND('331-CT'!$E$7=TH!H1100,OR(J1100="331",K1100="331")),"x","")</f>
        <v/>
      </c>
    </row>
    <row r="1101" spans="1:12">
      <c r="A1101" s="72" t="str">
        <f t="shared" si="43"/>
        <v/>
      </c>
      <c r="B1101" s="72" t="str">
        <f t="shared" si="44"/>
        <v/>
      </c>
      <c r="C1101" s="73"/>
      <c r="D1101" s="73"/>
      <c r="E1101" s="73"/>
      <c r="F1101" s="76"/>
      <c r="G1101" s="267"/>
      <c r="H1101" s="122"/>
      <c r="I1101" s="74"/>
      <c r="J1101" s="75"/>
      <c r="K1101" s="75"/>
      <c r="L1101" s="134" t="str">
        <f>IF(AND('331-CT'!$E$7=TH!H1101,OR(J1101="331",K1101="331")),"x","")</f>
        <v/>
      </c>
    </row>
    <row r="1102" spans="1:12">
      <c r="A1102" s="72" t="str">
        <f t="shared" si="43"/>
        <v/>
      </c>
      <c r="B1102" s="72" t="str">
        <f t="shared" si="44"/>
        <v/>
      </c>
      <c r="C1102" s="73"/>
      <c r="D1102" s="73"/>
      <c r="E1102" s="73"/>
      <c r="F1102" s="76"/>
      <c r="G1102" s="267"/>
      <c r="H1102" s="122"/>
      <c r="I1102" s="74"/>
      <c r="J1102" s="75"/>
      <c r="K1102" s="75"/>
      <c r="L1102" s="134" t="str">
        <f>IF(AND('331-CT'!$E$7=TH!H1102,OR(J1102="331",K1102="331")),"x","")</f>
        <v/>
      </c>
    </row>
    <row r="1103" spans="1:12">
      <c r="A1103" s="72" t="str">
        <f t="shared" si="43"/>
        <v/>
      </c>
      <c r="B1103" s="72" t="str">
        <f t="shared" si="44"/>
        <v/>
      </c>
      <c r="C1103" s="73"/>
      <c r="D1103" s="73"/>
      <c r="E1103" s="73"/>
      <c r="F1103" s="76"/>
      <c r="G1103" s="267"/>
      <c r="H1103" s="122"/>
      <c r="I1103" s="74"/>
      <c r="J1103" s="75"/>
      <c r="K1103" s="75"/>
      <c r="L1103" s="134" t="str">
        <f>IF(AND('331-CT'!$E$7=TH!H1103,OR(J1103="331",K1103="331")),"x","")</f>
        <v/>
      </c>
    </row>
    <row r="1104" spans="1:12">
      <c r="A1104" s="72" t="str">
        <f t="shared" si="43"/>
        <v/>
      </c>
      <c r="B1104" s="72" t="str">
        <f t="shared" si="44"/>
        <v/>
      </c>
      <c r="C1104" s="73"/>
      <c r="D1104" s="73"/>
      <c r="E1104" s="73"/>
      <c r="F1104" s="76"/>
      <c r="G1104" s="267"/>
      <c r="H1104" s="122"/>
      <c r="I1104" s="74"/>
      <c r="J1104" s="75"/>
      <c r="K1104" s="75"/>
      <c r="L1104" s="134" t="str">
        <f>IF(AND('331-CT'!$E$7=TH!H1104,OR(J1104="331",K1104="331")),"x","")</f>
        <v/>
      </c>
    </row>
    <row r="1105" spans="1:12">
      <c r="A1105" s="72" t="str">
        <f t="shared" si="43"/>
        <v/>
      </c>
      <c r="B1105" s="72" t="str">
        <f t="shared" si="44"/>
        <v/>
      </c>
      <c r="C1105" s="73"/>
      <c r="D1105" s="73"/>
      <c r="E1105" s="73"/>
      <c r="F1105" s="76"/>
      <c r="G1105" s="267"/>
      <c r="H1105" s="122"/>
      <c r="I1105" s="74"/>
      <c r="J1105" s="75"/>
      <c r="K1105" s="75"/>
      <c r="L1105" s="134" t="str">
        <f>IF(AND('331-CT'!$E$7=TH!H1105,OR(J1105="331",K1105="331")),"x","")</f>
        <v/>
      </c>
    </row>
    <row r="1106" spans="1:12">
      <c r="A1106" s="72" t="str">
        <f t="shared" si="43"/>
        <v/>
      </c>
      <c r="B1106" s="72" t="str">
        <f t="shared" si="44"/>
        <v/>
      </c>
      <c r="C1106" s="73"/>
      <c r="D1106" s="73"/>
      <c r="E1106" s="73"/>
      <c r="F1106" s="76"/>
      <c r="G1106" s="267"/>
      <c r="H1106" s="122"/>
      <c r="I1106" s="74"/>
      <c r="J1106" s="75"/>
      <c r="K1106" s="75"/>
      <c r="L1106" s="134" t="str">
        <f>IF(AND('331-CT'!$E$7=TH!H1106,OR(J1106="331",K1106="331")),"x","")</f>
        <v/>
      </c>
    </row>
    <row r="1107" spans="1:12">
      <c r="A1107" s="72" t="str">
        <f t="shared" si="43"/>
        <v/>
      </c>
      <c r="B1107" s="72" t="str">
        <f t="shared" si="44"/>
        <v/>
      </c>
      <c r="C1107" s="73"/>
      <c r="D1107" s="73"/>
      <c r="E1107" s="73"/>
      <c r="F1107" s="76"/>
      <c r="G1107" s="267"/>
      <c r="H1107" s="122"/>
      <c r="I1107" s="74"/>
      <c r="J1107" s="75"/>
      <c r="K1107" s="75"/>
      <c r="L1107" s="134" t="str">
        <f>IF(AND('331-CT'!$E$7=TH!H1107,OR(J1107="331",K1107="331")),"x","")</f>
        <v/>
      </c>
    </row>
    <row r="1108" spans="1:12">
      <c r="A1108" s="72" t="str">
        <f t="shared" si="43"/>
        <v/>
      </c>
      <c r="B1108" s="72" t="str">
        <f t="shared" si="44"/>
        <v/>
      </c>
      <c r="C1108" s="73"/>
      <c r="D1108" s="73"/>
      <c r="E1108" s="73"/>
      <c r="F1108" s="76"/>
      <c r="G1108" s="267"/>
      <c r="H1108" s="122"/>
      <c r="I1108" s="74"/>
      <c r="J1108" s="75"/>
      <c r="K1108" s="75"/>
      <c r="L1108" s="134" t="str">
        <f>IF(AND('331-CT'!$E$7=TH!H1108,OR(J1108="331",K1108="331")),"x","")</f>
        <v/>
      </c>
    </row>
    <row r="1109" spans="1:12">
      <c r="A1109" s="72" t="str">
        <f t="shared" si="43"/>
        <v/>
      </c>
      <c r="B1109" s="72" t="str">
        <f t="shared" si="44"/>
        <v/>
      </c>
      <c r="C1109" s="73"/>
      <c r="D1109" s="73"/>
      <c r="E1109" s="73"/>
      <c r="F1109" s="76"/>
      <c r="G1109" s="267"/>
      <c r="H1109" s="122"/>
      <c r="I1109" s="74"/>
      <c r="J1109" s="75"/>
      <c r="K1109" s="75"/>
      <c r="L1109" s="134" t="str">
        <f>IF(AND('331-CT'!$E$7=TH!H1109,OR(J1109="331",K1109="331")),"x","")</f>
        <v/>
      </c>
    </row>
    <row r="1110" spans="1:12">
      <c r="A1110" s="72" t="str">
        <f t="shared" ref="A1110:A1150" si="45">IF(C1110&lt;&gt;"",YEAR(C1110),"")</f>
        <v/>
      </c>
      <c r="B1110" s="72" t="str">
        <f t="shared" ref="B1110:B1150" si="46">IF(C1110&lt;&gt;"",MONTH(C1110),"")</f>
        <v/>
      </c>
      <c r="C1110" s="73"/>
      <c r="D1110" s="73"/>
      <c r="E1110" s="73"/>
      <c r="F1110" s="76"/>
      <c r="G1110" s="267"/>
      <c r="H1110" s="122"/>
      <c r="I1110" s="74"/>
      <c r="J1110" s="75"/>
      <c r="K1110" s="75"/>
      <c r="L1110" s="134" t="str">
        <f>IF(AND('331-CT'!$E$7=TH!H1110,OR(J1110="331",K1110="331")),"x","")</f>
        <v/>
      </c>
    </row>
    <row r="1111" spans="1:12">
      <c r="A1111" s="72" t="str">
        <f t="shared" si="45"/>
        <v/>
      </c>
      <c r="B1111" s="72" t="str">
        <f t="shared" si="46"/>
        <v/>
      </c>
      <c r="C1111" s="73"/>
      <c r="D1111" s="73"/>
      <c r="E1111" s="73"/>
      <c r="F1111" s="76"/>
      <c r="G1111" s="267"/>
      <c r="H1111" s="122"/>
      <c r="I1111" s="74"/>
      <c r="J1111" s="75"/>
      <c r="K1111" s="75"/>
      <c r="L1111" s="134" t="str">
        <f>IF(AND('331-CT'!$E$7=TH!H1111,OR(J1111="331",K1111="331")),"x","")</f>
        <v/>
      </c>
    </row>
    <row r="1112" spans="1:12">
      <c r="A1112" s="72" t="str">
        <f t="shared" si="45"/>
        <v/>
      </c>
      <c r="B1112" s="72" t="str">
        <f t="shared" si="46"/>
        <v/>
      </c>
      <c r="C1112" s="73"/>
      <c r="D1112" s="73"/>
      <c r="E1112" s="73"/>
      <c r="F1112" s="76"/>
      <c r="G1112" s="267"/>
      <c r="H1112" s="122"/>
      <c r="I1112" s="74"/>
      <c r="J1112" s="75"/>
      <c r="K1112" s="75"/>
      <c r="L1112" s="134" t="str">
        <f>IF(AND('331-CT'!$E$7=TH!H1112,OR(J1112="331",K1112="331")),"x","")</f>
        <v/>
      </c>
    </row>
    <row r="1113" spans="1:12">
      <c r="A1113" s="72" t="str">
        <f t="shared" si="45"/>
        <v/>
      </c>
      <c r="B1113" s="72" t="str">
        <f t="shared" si="46"/>
        <v/>
      </c>
      <c r="C1113" s="73"/>
      <c r="D1113" s="73"/>
      <c r="E1113" s="73"/>
      <c r="F1113" s="76"/>
      <c r="G1113" s="267"/>
      <c r="H1113" s="122"/>
      <c r="I1113" s="74"/>
      <c r="J1113" s="75"/>
      <c r="K1113" s="75"/>
      <c r="L1113" s="134" t="str">
        <f>IF(AND('331-CT'!$E$7=TH!H1113,OR(J1113="331",K1113="331")),"x","")</f>
        <v/>
      </c>
    </row>
    <row r="1114" spans="1:12">
      <c r="A1114" s="72" t="str">
        <f t="shared" si="45"/>
        <v/>
      </c>
      <c r="B1114" s="72" t="str">
        <f t="shared" si="46"/>
        <v/>
      </c>
      <c r="C1114" s="73"/>
      <c r="D1114" s="73"/>
      <c r="E1114" s="73"/>
      <c r="F1114" s="76"/>
      <c r="G1114" s="267"/>
      <c r="H1114" s="122"/>
      <c r="I1114" s="74"/>
      <c r="J1114" s="75"/>
      <c r="K1114" s="75"/>
      <c r="L1114" s="134" t="str">
        <f>IF(AND('331-CT'!$E$7=TH!H1114,OR(J1114="331",K1114="331")),"x","")</f>
        <v/>
      </c>
    </row>
    <row r="1115" spans="1:12">
      <c r="A1115" s="72" t="str">
        <f t="shared" si="45"/>
        <v/>
      </c>
      <c r="B1115" s="72" t="str">
        <f t="shared" si="46"/>
        <v/>
      </c>
      <c r="C1115" s="73"/>
      <c r="D1115" s="73"/>
      <c r="E1115" s="73"/>
      <c r="F1115" s="76"/>
      <c r="G1115" s="267"/>
      <c r="H1115" s="122"/>
      <c r="I1115" s="74"/>
      <c r="J1115" s="75"/>
      <c r="K1115" s="75"/>
      <c r="L1115" s="134" t="str">
        <f>IF(AND('331-CT'!$E$7=TH!H1115,OR(J1115="331",K1115="331")),"x","")</f>
        <v/>
      </c>
    </row>
    <row r="1116" spans="1:12">
      <c r="A1116" s="72" t="str">
        <f t="shared" si="45"/>
        <v/>
      </c>
      <c r="B1116" s="72" t="str">
        <f t="shared" si="46"/>
        <v/>
      </c>
      <c r="C1116" s="73"/>
      <c r="D1116" s="73"/>
      <c r="E1116" s="73"/>
      <c r="F1116" s="76"/>
      <c r="G1116" s="267"/>
      <c r="H1116" s="122"/>
      <c r="I1116" s="74"/>
      <c r="J1116" s="75"/>
      <c r="K1116" s="75"/>
      <c r="L1116" s="134" t="str">
        <f>IF(AND('331-CT'!$E$7=TH!H1116,OR(J1116="331",K1116="331")),"x","")</f>
        <v/>
      </c>
    </row>
    <row r="1117" spans="1:12">
      <c r="A1117" s="72" t="str">
        <f t="shared" si="45"/>
        <v/>
      </c>
      <c r="B1117" s="72" t="str">
        <f t="shared" si="46"/>
        <v/>
      </c>
      <c r="C1117" s="73"/>
      <c r="D1117" s="73"/>
      <c r="E1117" s="73"/>
      <c r="F1117" s="76"/>
      <c r="G1117" s="267"/>
      <c r="H1117" s="122"/>
      <c r="I1117" s="74"/>
      <c r="J1117" s="75"/>
      <c r="K1117" s="75"/>
      <c r="L1117" s="134" t="str">
        <f>IF(AND('331-CT'!$E$7=TH!H1117,OR(J1117="331",K1117="331")),"x","")</f>
        <v/>
      </c>
    </row>
    <row r="1118" spans="1:12">
      <c r="A1118" s="72" t="str">
        <f t="shared" si="45"/>
        <v/>
      </c>
      <c r="B1118" s="72" t="str">
        <f t="shared" si="46"/>
        <v/>
      </c>
      <c r="C1118" s="73"/>
      <c r="D1118" s="73"/>
      <c r="E1118" s="73"/>
      <c r="F1118" s="76"/>
      <c r="G1118" s="267"/>
      <c r="H1118" s="122"/>
      <c r="I1118" s="74"/>
      <c r="J1118" s="75"/>
      <c r="K1118" s="75"/>
      <c r="L1118" s="134" t="str">
        <f>IF(AND('331-CT'!$E$7=TH!H1118,OR(J1118="331",K1118="331")),"x","")</f>
        <v/>
      </c>
    </row>
    <row r="1119" spans="1:12">
      <c r="A1119" s="72" t="str">
        <f t="shared" si="45"/>
        <v/>
      </c>
      <c r="B1119" s="72" t="str">
        <f t="shared" si="46"/>
        <v/>
      </c>
      <c r="C1119" s="73"/>
      <c r="D1119" s="73"/>
      <c r="E1119" s="73"/>
      <c r="F1119" s="76"/>
      <c r="G1119" s="267"/>
      <c r="H1119" s="122"/>
      <c r="I1119" s="74"/>
      <c r="J1119" s="75"/>
      <c r="K1119" s="75"/>
      <c r="L1119" s="134" t="str">
        <f>IF(AND('331-CT'!$E$7=TH!H1119,OR(J1119="331",K1119="331")),"x","")</f>
        <v/>
      </c>
    </row>
    <row r="1120" spans="1:12">
      <c r="A1120" s="72" t="str">
        <f t="shared" si="45"/>
        <v/>
      </c>
      <c r="B1120" s="72" t="str">
        <f t="shared" si="46"/>
        <v/>
      </c>
      <c r="C1120" s="73"/>
      <c r="D1120" s="73"/>
      <c r="E1120" s="73"/>
      <c r="F1120" s="76"/>
      <c r="G1120" s="267"/>
      <c r="H1120" s="122"/>
      <c r="I1120" s="74"/>
      <c r="J1120" s="75"/>
      <c r="K1120" s="75"/>
      <c r="L1120" s="134" t="str">
        <f>IF(AND('331-CT'!$E$7=TH!H1120,OR(J1120="331",K1120="331")),"x","")</f>
        <v/>
      </c>
    </row>
    <row r="1121" spans="1:12">
      <c r="A1121" s="72" t="str">
        <f t="shared" si="45"/>
        <v/>
      </c>
      <c r="B1121" s="72" t="str">
        <f t="shared" si="46"/>
        <v/>
      </c>
      <c r="C1121" s="73"/>
      <c r="D1121" s="73"/>
      <c r="E1121" s="73"/>
      <c r="F1121" s="76"/>
      <c r="G1121" s="267"/>
      <c r="H1121" s="122"/>
      <c r="I1121" s="74"/>
      <c r="J1121" s="75"/>
      <c r="K1121" s="75"/>
      <c r="L1121" s="134" t="str">
        <f>IF(AND('331-CT'!$E$7=TH!H1121,OR(J1121="331",K1121="331")),"x","")</f>
        <v/>
      </c>
    </row>
    <row r="1122" spans="1:12">
      <c r="A1122" s="72" t="str">
        <f t="shared" si="45"/>
        <v/>
      </c>
      <c r="B1122" s="72" t="str">
        <f t="shared" si="46"/>
        <v/>
      </c>
      <c r="C1122" s="73"/>
      <c r="D1122" s="73"/>
      <c r="E1122" s="73"/>
      <c r="F1122" s="76"/>
      <c r="G1122" s="267"/>
      <c r="H1122" s="122"/>
      <c r="I1122" s="74"/>
      <c r="J1122" s="75"/>
      <c r="K1122" s="75"/>
      <c r="L1122" s="134" t="str">
        <f>IF(AND('331-CT'!$E$7=TH!H1122,OR(J1122="331",K1122="331")),"x","")</f>
        <v/>
      </c>
    </row>
    <row r="1123" spans="1:12">
      <c r="A1123" s="72" t="str">
        <f t="shared" si="45"/>
        <v/>
      </c>
      <c r="B1123" s="72" t="str">
        <f t="shared" si="46"/>
        <v/>
      </c>
      <c r="C1123" s="73"/>
      <c r="D1123" s="73"/>
      <c r="E1123" s="73"/>
      <c r="F1123" s="76"/>
      <c r="G1123" s="267"/>
      <c r="H1123" s="122"/>
      <c r="I1123" s="74"/>
      <c r="J1123" s="75"/>
      <c r="K1123" s="75"/>
      <c r="L1123" s="134" t="str">
        <f>IF(AND('331-CT'!$E$7=TH!H1123,OR(J1123="331",K1123="331")),"x","")</f>
        <v/>
      </c>
    </row>
    <row r="1124" spans="1:12">
      <c r="A1124" s="72" t="str">
        <f t="shared" si="45"/>
        <v/>
      </c>
      <c r="B1124" s="72" t="str">
        <f t="shared" si="46"/>
        <v/>
      </c>
      <c r="C1124" s="73"/>
      <c r="D1124" s="73"/>
      <c r="E1124" s="73"/>
      <c r="F1124" s="76"/>
      <c r="G1124" s="267"/>
      <c r="H1124" s="122"/>
      <c r="I1124" s="74"/>
      <c r="J1124" s="75"/>
      <c r="K1124" s="75"/>
      <c r="L1124" s="134" t="str">
        <f>IF(AND('331-CT'!$E$7=TH!H1124,OR(J1124="331",K1124="331")),"x","")</f>
        <v/>
      </c>
    </row>
    <row r="1125" spans="1:12">
      <c r="A1125" s="72" t="str">
        <f t="shared" si="45"/>
        <v/>
      </c>
      <c r="B1125" s="72" t="str">
        <f t="shared" si="46"/>
        <v/>
      </c>
      <c r="C1125" s="73"/>
      <c r="D1125" s="73"/>
      <c r="E1125" s="73"/>
      <c r="F1125" s="76"/>
      <c r="G1125" s="267"/>
      <c r="H1125" s="122"/>
      <c r="I1125" s="74"/>
      <c r="J1125" s="75"/>
      <c r="K1125" s="75"/>
      <c r="L1125" s="134" t="str">
        <f>IF(AND('331-CT'!$E$7=TH!H1125,OR(J1125="331",K1125="331")),"x","")</f>
        <v/>
      </c>
    </row>
    <row r="1126" spans="1:12">
      <c r="A1126" s="72" t="str">
        <f t="shared" si="45"/>
        <v/>
      </c>
      <c r="B1126" s="72" t="str">
        <f t="shared" si="46"/>
        <v/>
      </c>
      <c r="C1126" s="73"/>
      <c r="D1126" s="73"/>
      <c r="E1126" s="73"/>
      <c r="F1126" s="76"/>
      <c r="G1126" s="267"/>
      <c r="H1126" s="122"/>
      <c r="I1126" s="74"/>
      <c r="J1126" s="75"/>
      <c r="K1126" s="75"/>
      <c r="L1126" s="134" t="str">
        <f>IF(AND('331-CT'!$E$7=TH!H1126,OR(J1126="331",K1126="331")),"x","")</f>
        <v/>
      </c>
    </row>
    <row r="1127" spans="1:12">
      <c r="A1127" s="72" t="str">
        <f t="shared" si="45"/>
        <v/>
      </c>
      <c r="B1127" s="72" t="str">
        <f t="shared" si="46"/>
        <v/>
      </c>
      <c r="C1127" s="73"/>
      <c r="D1127" s="73"/>
      <c r="E1127" s="73"/>
      <c r="F1127" s="76"/>
      <c r="G1127" s="267"/>
      <c r="H1127" s="122"/>
      <c r="I1127" s="74"/>
      <c r="J1127" s="75"/>
      <c r="K1127" s="75"/>
      <c r="L1127" s="134" t="str">
        <f>IF(AND('331-CT'!$E$7=TH!H1127,OR(J1127="331",K1127="331")),"x","")</f>
        <v/>
      </c>
    </row>
    <row r="1128" spans="1:12">
      <c r="A1128" s="72" t="str">
        <f t="shared" si="45"/>
        <v/>
      </c>
      <c r="B1128" s="72" t="str">
        <f t="shared" si="46"/>
        <v/>
      </c>
      <c r="C1128" s="73"/>
      <c r="D1128" s="73"/>
      <c r="E1128" s="73"/>
      <c r="F1128" s="76"/>
      <c r="G1128" s="267"/>
      <c r="H1128" s="122"/>
      <c r="I1128" s="74"/>
      <c r="J1128" s="75"/>
      <c r="K1128" s="75"/>
      <c r="L1128" s="134" t="str">
        <f>IF(AND('331-CT'!$E$7=TH!H1128,OR(J1128="331",K1128="331")),"x","")</f>
        <v/>
      </c>
    </row>
    <row r="1129" spans="1:12">
      <c r="A1129" s="72" t="str">
        <f t="shared" si="45"/>
        <v/>
      </c>
      <c r="B1129" s="72" t="str">
        <f t="shared" si="46"/>
        <v/>
      </c>
      <c r="C1129" s="73"/>
      <c r="D1129" s="73"/>
      <c r="E1129" s="73"/>
      <c r="F1129" s="76"/>
      <c r="G1129" s="267"/>
      <c r="H1129" s="122"/>
      <c r="I1129" s="74"/>
      <c r="J1129" s="75"/>
      <c r="K1129" s="75"/>
      <c r="L1129" s="134" t="str">
        <f>IF(AND('331-CT'!$E$7=TH!H1129,OR(J1129="331",K1129="331")),"x","")</f>
        <v/>
      </c>
    </row>
    <row r="1130" spans="1:12">
      <c r="A1130" s="72" t="str">
        <f t="shared" si="45"/>
        <v/>
      </c>
      <c r="B1130" s="72" t="str">
        <f t="shared" si="46"/>
        <v/>
      </c>
      <c r="C1130" s="73"/>
      <c r="D1130" s="73"/>
      <c r="E1130" s="73"/>
      <c r="F1130" s="76"/>
      <c r="G1130" s="267"/>
      <c r="H1130" s="122"/>
      <c r="I1130" s="74"/>
      <c r="J1130" s="75"/>
      <c r="K1130" s="75"/>
      <c r="L1130" s="134" t="str">
        <f>IF(AND('331-CT'!$E$7=TH!H1130,OR(J1130="331",K1130="331")),"x","")</f>
        <v/>
      </c>
    </row>
    <row r="1131" spans="1:12">
      <c r="A1131" s="72" t="str">
        <f t="shared" si="45"/>
        <v/>
      </c>
      <c r="B1131" s="72" t="str">
        <f t="shared" si="46"/>
        <v/>
      </c>
      <c r="C1131" s="73"/>
      <c r="D1131" s="73"/>
      <c r="E1131" s="73"/>
      <c r="F1131" s="76"/>
      <c r="G1131" s="267"/>
      <c r="H1131" s="122"/>
      <c r="I1131" s="74"/>
      <c r="J1131" s="75"/>
      <c r="K1131" s="75"/>
      <c r="L1131" s="134" t="str">
        <f>IF(AND('331-CT'!$E$7=TH!H1131,OR(J1131="331",K1131="331")),"x","")</f>
        <v/>
      </c>
    </row>
    <row r="1132" spans="1:12">
      <c r="A1132" s="72" t="str">
        <f t="shared" si="45"/>
        <v/>
      </c>
      <c r="B1132" s="72" t="str">
        <f t="shared" si="46"/>
        <v/>
      </c>
      <c r="C1132" s="73"/>
      <c r="D1132" s="73"/>
      <c r="E1132" s="73"/>
      <c r="F1132" s="76"/>
      <c r="G1132" s="267"/>
      <c r="H1132" s="122"/>
      <c r="I1132" s="74"/>
      <c r="J1132" s="75"/>
      <c r="K1132" s="75"/>
      <c r="L1132" s="134" t="str">
        <f>IF(AND('331-CT'!$E$7=TH!H1132,OR(J1132="331",K1132="331")),"x","")</f>
        <v/>
      </c>
    </row>
    <row r="1133" spans="1:12">
      <c r="A1133" s="72" t="str">
        <f t="shared" si="45"/>
        <v/>
      </c>
      <c r="B1133" s="72" t="str">
        <f t="shared" si="46"/>
        <v/>
      </c>
      <c r="C1133" s="73"/>
      <c r="D1133" s="73"/>
      <c r="E1133" s="73"/>
      <c r="F1133" s="76"/>
      <c r="G1133" s="267"/>
      <c r="H1133" s="122"/>
      <c r="I1133" s="74"/>
      <c r="J1133" s="75"/>
      <c r="K1133" s="75"/>
      <c r="L1133" s="134" t="str">
        <f>IF(AND('331-CT'!$E$7=TH!H1133,OR(J1133="331",K1133="331")),"x","")</f>
        <v/>
      </c>
    </row>
    <row r="1134" spans="1:12">
      <c r="A1134" s="72" t="str">
        <f t="shared" si="45"/>
        <v/>
      </c>
      <c r="B1134" s="72" t="str">
        <f t="shared" si="46"/>
        <v/>
      </c>
      <c r="C1134" s="73"/>
      <c r="D1134" s="73"/>
      <c r="E1134" s="73"/>
      <c r="F1134" s="76"/>
      <c r="G1134" s="267"/>
      <c r="H1134" s="122"/>
      <c r="I1134" s="74"/>
      <c r="J1134" s="75"/>
      <c r="K1134" s="75"/>
      <c r="L1134" s="134" t="str">
        <f>IF(AND('331-CT'!$E$7=TH!H1134,OR(J1134="331",K1134="331")),"x","")</f>
        <v/>
      </c>
    </row>
    <row r="1135" spans="1:12">
      <c r="A1135" s="72" t="str">
        <f t="shared" si="45"/>
        <v/>
      </c>
      <c r="B1135" s="72" t="str">
        <f t="shared" si="46"/>
        <v/>
      </c>
      <c r="C1135" s="73"/>
      <c r="D1135" s="73"/>
      <c r="E1135" s="73"/>
      <c r="F1135" s="76"/>
      <c r="G1135" s="267"/>
      <c r="H1135" s="122"/>
      <c r="I1135" s="74"/>
      <c r="J1135" s="75"/>
      <c r="K1135" s="75"/>
      <c r="L1135" s="134" t="str">
        <f>IF(AND('331-CT'!$E$7=TH!H1135,OR(J1135="331",K1135="331")),"x","")</f>
        <v/>
      </c>
    </row>
    <row r="1136" spans="1:12">
      <c r="A1136" s="72" t="str">
        <f t="shared" si="45"/>
        <v/>
      </c>
      <c r="B1136" s="72" t="str">
        <f t="shared" si="46"/>
        <v/>
      </c>
      <c r="C1136" s="73"/>
      <c r="D1136" s="73"/>
      <c r="E1136" s="73"/>
      <c r="F1136" s="76"/>
      <c r="G1136" s="267"/>
      <c r="H1136" s="122"/>
      <c r="I1136" s="74"/>
      <c r="J1136" s="75"/>
      <c r="K1136" s="75"/>
      <c r="L1136" s="134" t="str">
        <f>IF(AND('331-CT'!$E$7=TH!H1136,OR(J1136="331",K1136="331")),"x","")</f>
        <v/>
      </c>
    </row>
    <row r="1137" spans="1:12">
      <c r="A1137" s="72" t="str">
        <f t="shared" si="45"/>
        <v/>
      </c>
      <c r="B1137" s="72" t="str">
        <f t="shared" si="46"/>
        <v/>
      </c>
      <c r="C1137" s="73"/>
      <c r="D1137" s="73"/>
      <c r="E1137" s="73"/>
      <c r="F1137" s="76"/>
      <c r="G1137" s="267"/>
      <c r="H1137" s="122"/>
      <c r="I1137" s="74"/>
      <c r="J1137" s="75"/>
      <c r="K1137" s="75"/>
      <c r="L1137" s="134" t="str">
        <f>IF(AND('331-CT'!$E$7=TH!H1137,OR(J1137="331",K1137="331")),"x","")</f>
        <v/>
      </c>
    </row>
    <row r="1138" spans="1:12">
      <c r="A1138" s="72" t="str">
        <f t="shared" si="45"/>
        <v/>
      </c>
      <c r="B1138" s="72" t="str">
        <f t="shared" si="46"/>
        <v/>
      </c>
      <c r="C1138" s="73"/>
      <c r="D1138" s="73"/>
      <c r="E1138" s="73"/>
      <c r="F1138" s="76"/>
      <c r="G1138" s="267"/>
      <c r="H1138" s="122"/>
      <c r="I1138" s="74"/>
      <c r="J1138" s="75"/>
      <c r="K1138" s="75"/>
      <c r="L1138" s="134" t="str">
        <f>IF(AND('331-CT'!$E$7=TH!H1138,OR(J1138="331",K1138="331")),"x","")</f>
        <v/>
      </c>
    </row>
    <row r="1139" spans="1:12">
      <c r="A1139" s="72" t="str">
        <f t="shared" si="45"/>
        <v/>
      </c>
      <c r="B1139" s="72" t="str">
        <f t="shared" si="46"/>
        <v/>
      </c>
      <c r="C1139" s="73"/>
      <c r="D1139" s="73"/>
      <c r="E1139" s="73"/>
      <c r="F1139" s="76"/>
      <c r="G1139" s="267"/>
      <c r="H1139" s="122"/>
      <c r="I1139" s="74"/>
      <c r="J1139" s="75"/>
      <c r="K1139" s="75"/>
      <c r="L1139" s="134" t="str">
        <f>IF(AND('331-CT'!$E$7=TH!H1139,OR(J1139="331",K1139="331")),"x","")</f>
        <v/>
      </c>
    </row>
    <row r="1140" spans="1:12">
      <c r="A1140" s="72" t="str">
        <f t="shared" si="45"/>
        <v/>
      </c>
      <c r="B1140" s="72" t="str">
        <f t="shared" si="46"/>
        <v/>
      </c>
      <c r="C1140" s="73"/>
      <c r="D1140" s="73"/>
      <c r="E1140" s="73"/>
      <c r="F1140" s="76"/>
      <c r="G1140" s="267"/>
      <c r="H1140" s="122"/>
      <c r="I1140" s="74"/>
      <c r="J1140" s="75"/>
      <c r="K1140" s="75"/>
      <c r="L1140" s="134" t="str">
        <f>IF(AND('331-CT'!$E$7=TH!H1140,OR(J1140="331",K1140="331")),"x","")</f>
        <v/>
      </c>
    </row>
    <row r="1141" spans="1:12">
      <c r="A1141" s="72" t="str">
        <f t="shared" si="45"/>
        <v/>
      </c>
      <c r="B1141" s="72" t="str">
        <f t="shared" si="46"/>
        <v/>
      </c>
      <c r="C1141" s="73"/>
      <c r="D1141" s="73"/>
      <c r="E1141" s="73"/>
      <c r="F1141" s="76"/>
      <c r="G1141" s="267"/>
      <c r="H1141" s="122"/>
      <c r="I1141" s="74"/>
      <c r="J1141" s="75"/>
      <c r="K1141" s="75"/>
      <c r="L1141" s="134" t="str">
        <f>IF(AND('331-CT'!$E$7=TH!H1141,OR(J1141="331",K1141="331")),"x","")</f>
        <v/>
      </c>
    </row>
    <row r="1142" spans="1:12">
      <c r="A1142" s="72" t="str">
        <f t="shared" si="45"/>
        <v/>
      </c>
      <c r="B1142" s="72" t="str">
        <f t="shared" si="46"/>
        <v/>
      </c>
      <c r="C1142" s="73"/>
      <c r="D1142" s="73"/>
      <c r="E1142" s="73"/>
      <c r="F1142" s="76"/>
      <c r="G1142" s="267"/>
      <c r="H1142" s="122"/>
      <c r="I1142" s="74"/>
      <c r="J1142" s="75"/>
      <c r="K1142" s="75"/>
      <c r="L1142" s="134" t="str">
        <f>IF(AND('331-CT'!$E$7=TH!H1142,OR(J1142="331",K1142="331")),"x","")</f>
        <v/>
      </c>
    </row>
    <row r="1143" spans="1:12">
      <c r="A1143" s="72" t="str">
        <f t="shared" si="45"/>
        <v/>
      </c>
      <c r="B1143" s="72" t="str">
        <f t="shared" si="46"/>
        <v/>
      </c>
      <c r="C1143" s="73"/>
      <c r="D1143" s="73"/>
      <c r="E1143" s="73"/>
      <c r="F1143" s="76"/>
      <c r="G1143" s="267"/>
      <c r="H1143" s="122"/>
      <c r="I1143" s="74"/>
      <c r="J1143" s="75"/>
      <c r="K1143" s="75"/>
      <c r="L1143" s="134" t="str">
        <f>IF(AND('331-CT'!$E$7=TH!H1143,OR(J1143="331",K1143="331")),"x","")</f>
        <v/>
      </c>
    </row>
    <row r="1144" spans="1:12">
      <c r="A1144" s="72" t="str">
        <f t="shared" si="45"/>
        <v/>
      </c>
      <c r="B1144" s="72" t="str">
        <f t="shared" si="46"/>
        <v/>
      </c>
      <c r="C1144" s="73"/>
      <c r="D1144" s="73"/>
      <c r="E1144" s="73"/>
      <c r="F1144" s="76"/>
      <c r="G1144" s="267"/>
      <c r="H1144" s="122"/>
      <c r="I1144" s="74"/>
      <c r="J1144" s="75"/>
      <c r="K1144" s="75"/>
      <c r="L1144" s="134" t="str">
        <f>IF(AND('331-CT'!$E$7=TH!H1144,OR(J1144="331",K1144="331")),"x","")</f>
        <v/>
      </c>
    </row>
    <row r="1145" spans="1:12" ht="13.5" customHeight="1">
      <c r="A1145" s="72" t="str">
        <f t="shared" si="45"/>
        <v/>
      </c>
      <c r="B1145" s="72" t="str">
        <f t="shared" si="46"/>
        <v/>
      </c>
      <c r="C1145" s="73"/>
      <c r="D1145" s="73"/>
      <c r="E1145" s="73"/>
      <c r="F1145" s="76"/>
      <c r="G1145" s="267"/>
      <c r="H1145" s="122"/>
      <c r="I1145" s="74"/>
      <c r="J1145" s="75"/>
      <c r="K1145" s="75"/>
      <c r="L1145" s="134" t="str">
        <f>IF(AND('331-CT'!$E$7=TH!H1145,OR(J1145="331",K1145="331")),"x","")</f>
        <v/>
      </c>
    </row>
    <row r="1146" spans="1:12">
      <c r="A1146" s="72" t="str">
        <f t="shared" si="45"/>
        <v/>
      </c>
      <c r="B1146" s="72" t="str">
        <f t="shared" si="46"/>
        <v/>
      </c>
      <c r="C1146" s="73"/>
      <c r="D1146" s="73"/>
      <c r="E1146" s="73"/>
      <c r="F1146" s="76"/>
      <c r="G1146" s="267"/>
      <c r="H1146" s="122"/>
      <c r="I1146" s="74"/>
      <c r="J1146" s="75"/>
      <c r="K1146" s="75"/>
      <c r="L1146" s="134" t="str">
        <f>IF(AND('331-CT'!$E$7=TH!H1146,OR(J1146="331",K1146="331")),"x","")</f>
        <v/>
      </c>
    </row>
    <row r="1147" spans="1:12">
      <c r="A1147" s="72" t="str">
        <f t="shared" si="45"/>
        <v/>
      </c>
      <c r="B1147" s="72" t="str">
        <f t="shared" si="46"/>
        <v/>
      </c>
      <c r="C1147" s="73"/>
      <c r="D1147" s="73"/>
      <c r="E1147" s="73"/>
      <c r="F1147" s="76"/>
      <c r="G1147" s="267"/>
      <c r="H1147" s="122"/>
      <c r="I1147" s="74"/>
      <c r="J1147" s="75"/>
      <c r="K1147" s="75"/>
      <c r="L1147" s="134" t="str">
        <f>IF(AND('331-CT'!$E$7=TH!H1147,OR(J1147="331",K1147="331")),"x","")</f>
        <v/>
      </c>
    </row>
    <row r="1148" spans="1:12">
      <c r="A1148" s="72" t="str">
        <f t="shared" si="45"/>
        <v/>
      </c>
      <c r="B1148" s="72" t="str">
        <f t="shared" si="46"/>
        <v/>
      </c>
      <c r="C1148" s="73"/>
      <c r="D1148" s="73"/>
      <c r="E1148" s="73"/>
      <c r="F1148" s="76"/>
      <c r="G1148" s="267"/>
      <c r="H1148" s="122"/>
      <c r="I1148" s="74"/>
      <c r="J1148" s="75"/>
      <c r="K1148" s="75"/>
      <c r="L1148" s="134" t="str">
        <f>IF(AND('331-CT'!$E$7=TH!H1148,OR(J1148="331",K1148="331")),"x","")</f>
        <v/>
      </c>
    </row>
    <row r="1149" spans="1:12">
      <c r="A1149" s="72" t="str">
        <f t="shared" si="45"/>
        <v/>
      </c>
      <c r="B1149" s="72" t="str">
        <f t="shared" si="46"/>
        <v/>
      </c>
      <c r="C1149" s="73"/>
      <c r="D1149" s="73"/>
      <c r="E1149" s="73"/>
      <c r="F1149" s="76"/>
      <c r="G1149" s="267"/>
      <c r="H1149" s="122"/>
      <c r="I1149" s="74"/>
      <c r="J1149" s="75"/>
      <c r="K1149" s="75"/>
      <c r="L1149" s="134" t="str">
        <f>IF(AND('331-CT'!$E$7=TH!H1149,OR(J1149="331",K1149="331")),"x","")</f>
        <v/>
      </c>
    </row>
    <row r="1150" spans="1:12">
      <c r="A1150" s="72" t="str">
        <f t="shared" si="45"/>
        <v/>
      </c>
      <c r="B1150" s="72" t="str">
        <f t="shared" si="46"/>
        <v/>
      </c>
      <c r="C1150" s="73"/>
      <c r="D1150" s="73"/>
      <c r="E1150" s="73"/>
      <c r="F1150" s="76"/>
      <c r="G1150" s="267"/>
      <c r="H1150" s="122"/>
      <c r="I1150" s="74"/>
      <c r="J1150" s="75"/>
      <c r="K1150" s="75"/>
      <c r="L1150" s="134" t="str">
        <f>IF(AND('331-CT'!$E$7=TH!H1150,OR(J1150="331",K1150="331")),"x","")</f>
        <v/>
      </c>
    </row>
    <row r="1151" spans="1:12">
      <c r="A1151" s="72" t="str">
        <f t="shared" si="41"/>
        <v/>
      </c>
      <c r="B1151" s="72" t="str">
        <f t="shared" si="42"/>
        <v/>
      </c>
      <c r="C1151" s="73"/>
      <c r="D1151" s="73"/>
      <c r="E1151" s="73"/>
      <c r="F1151" s="76"/>
      <c r="G1151" s="267"/>
      <c r="H1151" s="122"/>
      <c r="I1151" s="74"/>
      <c r="J1151" s="75"/>
      <c r="K1151" s="75"/>
      <c r="L1151" s="134" t="str">
        <f>IF(AND('331-CT'!$E$7=TH!H1151,OR(J1151="331",K1151="331")),"x","")</f>
        <v/>
      </c>
    </row>
  </sheetData>
  <autoFilter ref="A9:M1151">
    <filterColumn colId="0"/>
    <filterColumn colId="1"/>
    <filterColumn colId="9"/>
    <filterColumn colId="10"/>
  </autoFilter>
  <sortState ref="A843:M949">
    <sortCondition ref="C843:C949"/>
  </sortState>
  <mergeCells count="12">
    <mergeCell ref="B7:B8"/>
    <mergeCell ref="A7:A8"/>
    <mergeCell ref="H7:H8"/>
    <mergeCell ref="L7:L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>
      <pane ySplit="4" topLeftCell="A23" activePane="bottomLeft" state="frozen"/>
      <selection pane="bottomLeft" activeCell="A30" sqref="A30"/>
    </sheetView>
  </sheetViews>
  <sheetFormatPr defaultColWidth="9.140625" defaultRowHeight="30" customHeight="1"/>
  <cols>
    <col min="1" max="1" width="4.7109375" style="344" customWidth="1"/>
    <col min="2" max="2" width="13" style="402" customWidth="1"/>
    <col min="3" max="3" width="24.85546875" style="344" customWidth="1"/>
    <col min="4" max="4" width="24.7109375" style="344" customWidth="1"/>
    <col min="5" max="11" width="13.85546875" style="344" customWidth="1"/>
    <col min="12" max="12" width="12" style="344" customWidth="1"/>
    <col min="13" max="258" width="8.85546875" style="344"/>
    <col min="259" max="259" width="4.7109375" style="344" customWidth="1"/>
    <col min="260" max="260" width="28" style="344" customWidth="1"/>
    <col min="261" max="261" width="33.42578125" style="344" customWidth="1"/>
    <col min="262" max="262" width="19.7109375" style="344" customWidth="1"/>
    <col min="263" max="266" width="13.85546875" style="344" customWidth="1"/>
    <col min="267" max="267" width="12.28515625" style="344" customWidth="1"/>
    <col min="268" max="514" width="8.85546875" style="344"/>
    <col min="515" max="515" width="4.7109375" style="344" customWidth="1"/>
    <col min="516" max="516" width="28" style="344" customWidth="1"/>
    <col min="517" max="517" width="33.42578125" style="344" customWidth="1"/>
    <col min="518" max="518" width="19.7109375" style="344" customWidth="1"/>
    <col min="519" max="522" width="13.85546875" style="344" customWidth="1"/>
    <col min="523" max="523" width="12.28515625" style="344" customWidth="1"/>
    <col min="524" max="770" width="8.85546875" style="344"/>
    <col min="771" max="771" width="4.7109375" style="344" customWidth="1"/>
    <col min="772" max="772" width="28" style="344" customWidth="1"/>
    <col min="773" max="773" width="33.42578125" style="344" customWidth="1"/>
    <col min="774" max="774" width="19.7109375" style="344" customWidth="1"/>
    <col min="775" max="778" width="13.85546875" style="344" customWidth="1"/>
    <col min="779" max="779" width="12.28515625" style="344" customWidth="1"/>
    <col min="780" max="1026" width="8.85546875" style="344"/>
    <col min="1027" max="1027" width="4.7109375" style="344" customWidth="1"/>
    <col min="1028" max="1028" width="28" style="344" customWidth="1"/>
    <col min="1029" max="1029" width="33.42578125" style="344" customWidth="1"/>
    <col min="1030" max="1030" width="19.7109375" style="344" customWidth="1"/>
    <col min="1031" max="1034" width="13.85546875" style="344" customWidth="1"/>
    <col min="1035" max="1035" width="12.28515625" style="344" customWidth="1"/>
    <col min="1036" max="1282" width="8.85546875" style="344"/>
    <col min="1283" max="1283" width="4.7109375" style="344" customWidth="1"/>
    <col min="1284" max="1284" width="28" style="344" customWidth="1"/>
    <col min="1285" max="1285" width="33.42578125" style="344" customWidth="1"/>
    <col min="1286" max="1286" width="19.7109375" style="344" customWidth="1"/>
    <col min="1287" max="1290" width="13.85546875" style="344" customWidth="1"/>
    <col min="1291" max="1291" width="12.28515625" style="344" customWidth="1"/>
    <col min="1292" max="1538" width="8.85546875" style="344"/>
    <col min="1539" max="1539" width="4.7109375" style="344" customWidth="1"/>
    <col min="1540" max="1540" width="28" style="344" customWidth="1"/>
    <col min="1541" max="1541" width="33.42578125" style="344" customWidth="1"/>
    <col min="1542" max="1542" width="19.7109375" style="344" customWidth="1"/>
    <col min="1543" max="1546" width="13.85546875" style="344" customWidth="1"/>
    <col min="1547" max="1547" width="12.28515625" style="344" customWidth="1"/>
    <col min="1548" max="1794" width="8.85546875" style="344"/>
    <col min="1795" max="1795" width="4.7109375" style="344" customWidth="1"/>
    <col min="1796" max="1796" width="28" style="344" customWidth="1"/>
    <col min="1797" max="1797" width="33.42578125" style="344" customWidth="1"/>
    <col min="1798" max="1798" width="19.7109375" style="344" customWidth="1"/>
    <col min="1799" max="1802" width="13.85546875" style="344" customWidth="1"/>
    <col min="1803" max="1803" width="12.28515625" style="344" customWidth="1"/>
    <col min="1804" max="2050" width="8.85546875" style="344"/>
    <col min="2051" max="2051" width="4.7109375" style="344" customWidth="1"/>
    <col min="2052" max="2052" width="28" style="344" customWidth="1"/>
    <col min="2053" max="2053" width="33.42578125" style="344" customWidth="1"/>
    <col min="2054" max="2054" width="19.7109375" style="344" customWidth="1"/>
    <col min="2055" max="2058" width="13.85546875" style="344" customWidth="1"/>
    <col min="2059" max="2059" width="12.28515625" style="344" customWidth="1"/>
    <col min="2060" max="2306" width="8.85546875" style="344"/>
    <col min="2307" max="2307" width="4.7109375" style="344" customWidth="1"/>
    <col min="2308" max="2308" width="28" style="344" customWidth="1"/>
    <col min="2309" max="2309" width="33.42578125" style="344" customWidth="1"/>
    <col min="2310" max="2310" width="19.7109375" style="344" customWidth="1"/>
    <col min="2311" max="2314" width="13.85546875" style="344" customWidth="1"/>
    <col min="2315" max="2315" width="12.28515625" style="344" customWidth="1"/>
    <col min="2316" max="2562" width="8.85546875" style="344"/>
    <col min="2563" max="2563" width="4.7109375" style="344" customWidth="1"/>
    <col min="2564" max="2564" width="28" style="344" customWidth="1"/>
    <col min="2565" max="2565" width="33.42578125" style="344" customWidth="1"/>
    <col min="2566" max="2566" width="19.7109375" style="344" customWidth="1"/>
    <col min="2567" max="2570" width="13.85546875" style="344" customWidth="1"/>
    <col min="2571" max="2571" width="12.28515625" style="344" customWidth="1"/>
    <col min="2572" max="2818" width="8.85546875" style="344"/>
    <col min="2819" max="2819" width="4.7109375" style="344" customWidth="1"/>
    <col min="2820" max="2820" width="28" style="344" customWidth="1"/>
    <col min="2821" max="2821" width="33.42578125" style="344" customWidth="1"/>
    <col min="2822" max="2822" width="19.7109375" style="344" customWidth="1"/>
    <col min="2823" max="2826" width="13.85546875" style="344" customWidth="1"/>
    <col min="2827" max="2827" width="12.28515625" style="344" customWidth="1"/>
    <col min="2828" max="3074" width="8.85546875" style="344"/>
    <col min="3075" max="3075" width="4.7109375" style="344" customWidth="1"/>
    <col min="3076" max="3076" width="28" style="344" customWidth="1"/>
    <col min="3077" max="3077" width="33.42578125" style="344" customWidth="1"/>
    <col min="3078" max="3078" width="19.7109375" style="344" customWidth="1"/>
    <col min="3079" max="3082" width="13.85546875" style="344" customWidth="1"/>
    <col min="3083" max="3083" width="12.28515625" style="344" customWidth="1"/>
    <col min="3084" max="3330" width="8.85546875" style="344"/>
    <col min="3331" max="3331" width="4.7109375" style="344" customWidth="1"/>
    <col min="3332" max="3332" width="28" style="344" customWidth="1"/>
    <col min="3333" max="3333" width="33.42578125" style="344" customWidth="1"/>
    <col min="3334" max="3334" width="19.7109375" style="344" customWidth="1"/>
    <col min="3335" max="3338" width="13.85546875" style="344" customWidth="1"/>
    <col min="3339" max="3339" width="12.28515625" style="344" customWidth="1"/>
    <col min="3340" max="3586" width="8.85546875" style="344"/>
    <col min="3587" max="3587" width="4.7109375" style="344" customWidth="1"/>
    <col min="3588" max="3588" width="28" style="344" customWidth="1"/>
    <col min="3589" max="3589" width="33.42578125" style="344" customWidth="1"/>
    <col min="3590" max="3590" width="19.7109375" style="344" customWidth="1"/>
    <col min="3591" max="3594" width="13.85546875" style="344" customWidth="1"/>
    <col min="3595" max="3595" width="12.28515625" style="344" customWidth="1"/>
    <col min="3596" max="3842" width="8.85546875" style="344"/>
    <col min="3843" max="3843" width="4.7109375" style="344" customWidth="1"/>
    <col min="3844" max="3844" width="28" style="344" customWidth="1"/>
    <col min="3845" max="3845" width="33.42578125" style="344" customWidth="1"/>
    <col min="3846" max="3846" width="19.7109375" style="344" customWidth="1"/>
    <col min="3847" max="3850" width="13.85546875" style="344" customWidth="1"/>
    <col min="3851" max="3851" width="12.28515625" style="344" customWidth="1"/>
    <col min="3852" max="4098" width="8.85546875" style="344"/>
    <col min="4099" max="4099" width="4.7109375" style="344" customWidth="1"/>
    <col min="4100" max="4100" width="28" style="344" customWidth="1"/>
    <col min="4101" max="4101" width="33.42578125" style="344" customWidth="1"/>
    <col min="4102" max="4102" width="19.7109375" style="344" customWidth="1"/>
    <col min="4103" max="4106" width="13.85546875" style="344" customWidth="1"/>
    <col min="4107" max="4107" width="12.28515625" style="344" customWidth="1"/>
    <col min="4108" max="4354" width="8.85546875" style="344"/>
    <col min="4355" max="4355" width="4.7109375" style="344" customWidth="1"/>
    <col min="4356" max="4356" width="28" style="344" customWidth="1"/>
    <col min="4357" max="4357" width="33.42578125" style="344" customWidth="1"/>
    <col min="4358" max="4358" width="19.7109375" style="344" customWidth="1"/>
    <col min="4359" max="4362" width="13.85546875" style="344" customWidth="1"/>
    <col min="4363" max="4363" width="12.28515625" style="344" customWidth="1"/>
    <col min="4364" max="4610" width="8.85546875" style="344"/>
    <col min="4611" max="4611" width="4.7109375" style="344" customWidth="1"/>
    <col min="4612" max="4612" width="28" style="344" customWidth="1"/>
    <col min="4613" max="4613" width="33.42578125" style="344" customWidth="1"/>
    <col min="4614" max="4614" width="19.7109375" style="344" customWidth="1"/>
    <col min="4615" max="4618" width="13.85546875" style="344" customWidth="1"/>
    <col min="4619" max="4619" width="12.28515625" style="344" customWidth="1"/>
    <col min="4620" max="4866" width="8.85546875" style="344"/>
    <col min="4867" max="4867" width="4.7109375" style="344" customWidth="1"/>
    <col min="4868" max="4868" width="28" style="344" customWidth="1"/>
    <col min="4869" max="4869" width="33.42578125" style="344" customWidth="1"/>
    <col min="4870" max="4870" width="19.7109375" style="344" customWidth="1"/>
    <col min="4871" max="4874" width="13.85546875" style="344" customWidth="1"/>
    <col min="4875" max="4875" width="12.28515625" style="344" customWidth="1"/>
    <col min="4876" max="5122" width="8.85546875" style="344"/>
    <col min="5123" max="5123" width="4.7109375" style="344" customWidth="1"/>
    <col min="5124" max="5124" width="28" style="344" customWidth="1"/>
    <col min="5125" max="5125" width="33.42578125" style="344" customWidth="1"/>
    <col min="5126" max="5126" width="19.7109375" style="344" customWidth="1"/>
    <col min="5127" max="5130" width="13.85546875" style="344" customWidth="1"/>
    <col min="5131" max="5131" width="12.28515625" style="344" customWidth="1"/>
    <col min="5132" max="5378" width="8.85546875" style="344"/>
    <col min="5379" max="5379" width="4.7109375" style="344" customWidth="1"/>
    <col min="5380" max="5380" width="28" style="344" customWidth="1"/>
    <col min="5381" max="5381" width="33.42578125" style="344" customWidth="1"/>
    <col min="5382" max="5382" width="19.7109375" style="344" customWidth="1"/>
    <col min="5383" max="5386" width="13.85546875" style="344" customWidth="1"/>
    <col min="5387" max="5387" width="12.28515625" style="344" customWidth="1"/>
    <col min="5388" max="5634" width="8.85546875" style="344"/>
    <col min="5635" max="5635" width="4.7109375" style="344" customWidth="1"/>
    <col min="5636" max="5636" width="28" style="344" customWidth="1"/>
    <col min="5637" max="5637" width="33.42578125" style="344" customWidth="1"/>
    <col min="5638" max="5638" width="19.7109375" style="344" customWidth="1"/>
    <col min="5639" max="5642" width="13.85546875" style="344" customWidth="1"/>
    <col min="5643" max="5643" width="12.28515625" style="344" customWidth="1"/>
    <col min="5644" max="5890" width="8.85546875" style="344"/>
    <col min="5891" max="5891" width="4.7109375" style="344" customWidth="1"/>
    <col min="5892" max="5892" width="28" style="344" customWidth="1"/>
    <col min="5893" max="5893" width="33.42578125" style="344" customWidth="1"/>
    <col min="5894" max="5894" width="19.7109375" style="344" customWidth="1"/>
    <col min="5895" max="5898" width="13.85546875" style="344" customWidth="1"/>
    <col min="5899" max="5899" width="12.28515625" style="344" customWidth="1"/>
    <col min="5900" max="6146" width="8.85546875" style="344"/>
    <col min="6147" max="6147" width="4.7109375" style="344" customWidth="1"/>
    <col min="6148" max="6148" width="28" style="344" customWidth="1"/>
    <col min="6149" max="6149" width="33.42578125" style="344" customWidth="1"/>
    <col min="6150" max="6150" width="19.7109375" style="344" customWidth="1"/>
    <col min="6151" max="6154" width="13.85546875" style="344" customWidth="1"/>
    <col min="6155" max="6155" width="12.28515625" style="344" customWidth="1"/>
    <col min="6156" max="6402" width="8.85546875" style="344"/>
    <col min="6403" max="6403" width="4.7109375" style="344" customWidth="1"/>
    <col min="6404" max="6404" width="28" style="344" customWidth="1"/>
    <col min="6405" max="6405" width="33.42578125" style="344" customWidth="1"/>
    <col min="6406" max="6406" width="19.7109375" style="344" customWidth="1"/>
    <col min="6407" max="6410" width="13.85546875" style="344" customWidth="1"/>
    <col min="6411" max="6411" width="12.28515625" style="344" customWidth="1"/>
    <col min="6412" max="6658" width="8.85546875" style="344"/>
    <col min="6659" max="6659" width="4.7109375" style="344" customWidth="1"/>
    <col min="6660" max="6660" width="28" style="344" customWidth="1"/>
    <col min="6661" max="6661" width="33.42578125" style="344" customWidth="1"/>
    <col min="6662" max="6662" width="19.7109375" style="344" customWidth="1"/>
    <col min="6663" max="6666" width="13.85546875" style="344" customWidth="1"/>
    <col min="6667" max="6667" width="12.28515625" style="344" customWidth="1"/>
    <col min="6668" max="6914" width="8.85546875" style="344"/>
    <col min="6915" max="6915" width="4.7109375" style="344" customWidth="1"/>
    <col min="6916" max="6916" width="28" style="344" customWidth="1"/>
    <col min="6917" max="6917" width="33.42578125" style="344" customWidth="1"/>
    <col min="6918" max="6918" width="19.7109375" style="344" customWidth="1"/>
    <col min="6919" max="6922" width="13.85546875" style="344" customWidth="1"/>
    <col min="6923" max="6923" width="12.28515625" style="344" customWidth="1"/>
    <col min="6924" max="7170" width="8.85546875" style="344"/>
    <col min="7171" max="7171" width="4.7109375" style="344" customWidth="1"/>
    <col min="7172" max="7172" width="28" style="344" customWidth="1"/>
    <col min="7173" max="7173" width="33.42578125" style="344" customWidth="1"/>
    <col min="7174" max="7174" width="19.7109375" style="344" customWidth="1"/>
    <col min="7175" max="7178" width="13.85546875" style="344" customWidth="1"/>
    <col min="7179" max="7179" width="12.28515625" style="344" customWidth="1"/>
    <col min="7180" max="7426" width="8.85546875" style="344"/>
    <col min="7427" max="7427" width="4.7109375" style="344" customWidth="1"/>
    <col min="7428" max="7428" width="28" style="344" customWidth="1"/>
    <col min="7429" max="7429" width="33.42578125" style="344" customWidth="1"/>
    <col min="7430" max="7430" width="19.7109375" style="344" customWidth="1"/>
    <col min="7431" max="7434" width="13.85546875" style="344" customWidth="1"/>
    <col min="7435" max="7435" width="12.28515625" style="344" customWidth="1"/>
    <col min="7436" max="7682" width="8.85546875" style="344"/>
    <col min="7683" max="7683" width="4.7109375" style="344" customWidth="1"/>
    <col min="7684" max="7684" width="28" style="344" customWidth="1"/>
    <col min="7685" max="7685" width="33.42578125" style="344" customWidth="1"/>
    <col min="7686" max="7686" width="19.7109375" style="344" customWidth="1"/>
    <col min="7687" max="7690" width="13.85546875" style="344" customWidth="1"/>
    <col min="7691" max="7691" width="12.28515625" style="344" customWidth="1"/>
    <col min="7692" max="7938" width="8.85546875" style="344"/>
    <col min="7939" max="7939" width="4.7109375" style="344" customWidth="1"/>
    <col min="7940" max="7940" width="28" style="344" customWidth="1"/>
    <col min="7941" max="7941" width="33.42578125" style="344" customWidth="1"/>
    <col min="7942" max="7942" width="19.7109375" style="344" customWidth="1"/>
    <col min="7943" max="7946" width="13.85546875" style="344" customWidth="1"/>
    <col min="7947" max="7947" width="12.28515625" style="344" customWidth="1"/>
    <col min="7948" max="8194" width="8.85546875" style="344"/>
    <col min="8195" max="8195" width="4.7109375" style="344" customWidth="1"/>
    <col min="8196" max="8196" width="28" style="344" customWidth="1"/>
    <col min="8197" max="8197" width="33.42578125" style="344" customWidth="1"/>
    <col min="8198" max="8198" width="19.7109375" style="344" customWidth="1"/>
    <col min="8199" max="8202" width="13.85546875" style="344" customWidth="1"/>
    <col min="8203" max="8203" width="12.28515625" style="344" customWidth="1"/>
    <col min="8204" max="8450" width="8.85546875" style="344"/>
    <col min="8451" max="8451" width="4.7109375" style="344" customWidth="1"/>
    <col min="8452" max="8452" width="28" style="344" customWidth="1"/>
    <col min="8453" max="8453" width="33.42578125" style="344" customWidth="1"/>
    <col min="8454" max="8454" width="19.7109375" style="344" customWidth="1"/>
    <col min="8455" max="8458" width="13.85546875" style="344" customWidth="1"/>
    <col min="8459" max="8459" width="12.28515625" style="344" customWidth="1"/>
    <col min="8460" max="8706" width="8.85546875" style="344"/>
    <col min="8707" max="8707" width="4.7109375" style="344" customWidth="1"/>
    <col min="8708" max="8708" width="28" style="344" customWidth="1"/>
    <col min="8709" max="8709" width="33.42578125" style="344" customWidth="1"/>
    <col min="8710" max="8710" width="19.7109375" style="344" customWidth="1"/>
    <col min="8711" max="8714" width="13.85546875" style="344" customWidth="1"/>
    <col min="8715" max="8715" width="12.28515625" style="344" customWidth="1"/>
    <col min="8716" max="8962" width="8.85546875" style="344"/>
    <col min="8963" max="8963" width="4.7109375" style="344" customWidth="1"/>
    <col min="8964" max="8964" width="28" style="344" customWidth="1"/>
    <col min="8965" max="8965" width="33.42578125" style="344" customWidth="1"/>
    <col min="8966" max="8966" width="19.7109375" style="344" customWidth="1"/>
    <col min="8967" max="8970" width="13.85546875" style="344" customWidth="1"/>
    <col min="8971" max="8971" width="12.28515625" style="344" customWidth="1"/>
    <col min="8972" max="9218" width="8.85546875" style="344"/>
    <col min="9219" max="9219" width="4.7109375" style="344" customWidth="1"/>
    <col min="9220" max="9220" width="28" style="344" customWidth="1"/>
    <col min="9221" max="9221" width="33.42578125" style="344" customWidth="1"/>
    <col min="9222" max="9222" width="19.7109375" style="344" customWidth="1"/>
    <col min="9223" max="9226" width="13.85546875" style="344" customWidth="1"/>
    <col min="9227" max="9227" width="12.28515625" style="344" customWidth="1"/>
    <col min="9228" max="9474" width="8.85546875" style="344"/>
    <col min="9475" max="9475" width="4.7109375" style="344" customWidth="1"/>
    <col min="9476" max="9476" width="28" style="344" customWidth="1"/>
    <col min="9477" max="9477" width="33.42578125" style="344" customWidth="1"/>
    <col min="9478" max="9478" width="19.7109375" style="344" customWidth="1"/>
    <col min="9479" max="9482" width="13.85546875" style="344" customWidth="1"/>
    <col min="9483" max="9483" width="12.28515625" style="344" customWidth="1"/>
    <col min="9484" max="9730" width="8.85546875" style="344"/>
    <col min="9731" max="9731" width="4.7109375" style="344" customWidth="1"/>
    <col min="9732" max="9732" width="28" style="344" customWidth="1"/>
    <col min="9733" max="9733" width="33.42578125" style="344" customWidth="1"/>
    <col min="9734" max="9734" width="19.7109375" style="344" customWidth="1"/>
    <col min="9735" max="9738" width="13.85546875" style="344" customWidth="1"/>
    <col min="9739" max="9739" width="12.28515625" style="344" customWidth="1"/>
    <col min="9740" max="9986" width="8.85546875" style="344"/>
    <col min="9987" max="9987" width="4.7109375" style="344" customWidth="1"/>
    <col min="9988" max="9988" width="28" style="344" customWidth="1"/>
    <col min="9989" max="9989" width="33.42578125" style="344" customWidth="1"/>
    <col min="9990" max="9990" width="19.7109375" style="344" customWidth="1"/>
    <col min="9991" max="9994" width="13.85546875" style="344" customWidth="1"/>
    <col min="9995" max="9995" width="12.28515625" style="344" customWidth="1"/>
    <col min="9996" max="10242" width="8.85546875" style="344"/>
    <col min="10243" max="10243" width="4.7109375" style="344" customWidth="1"/>
    <col min="10244" max="10244" width="28" style="344" customWidth="1"/>
    <col min="10245" max="10245" width="33.42578125" style="344" customWidth="1"/>
    <col min="10246" max="10246" width="19.7109375" style="344" customWidth="1"/>
    <col min="10247" max="10250" width="13.85546875" style="344" customWidth="1"/>
    <col min="10251" max="10251" width="12.28515625" style="344" customWidth="1"/>
    <col min="10252" max="10498" width="8.85546875" style="344"/>
    <col min="10499" max="10499" width="4.7109375" style="344" customWidth="1"/>
    <col min="10500" max="10500" width="28" style="344" customWidth="1"/>
    <col min="10501" max="10501" width="33.42578125" style="344" customWidth="1"/>
    <col min="10502" max="10502" width="19.7109375" style="344" customWidth="1"/>
    <col min="10503" max="10506" width="13.85546875" style="344" customWidth="1"/>
    <col min="10507" max="10507" width="12.28515625" style="344" customWidth="1"/>
    <col min="10508" max="10754" width="8.85546875" style="344"/>
    <col min="10755" max="10755" width="4.7109375" style="344" customWidth="1"/>
    <col min="10756" max="10756" width="28" style="344" customWidth="1"/>
    <col min="10757" max="10757" width="33.42578125" style="344" customWidth="1"/>
    <col min="10758" max="10758" width="19.7109375" style="344" customWidth="1"/>
    <col min="10759" max="10762" width="13.85546875" style="344" customWidth="1"/>
    <col min="10763" max="10763" width="12.28515625" style="344" customWidth="1"/>
    <col min="10764" max="11010" width="8.85546875" style="344"/>
    <col min="11011" max="11011" width="4.7109375" style="344" customWidth="1"/>
    <col min="11012" max="11012" width="28" style="344" customWidth="1"/>
    <col min="11013" max="11013" width="33.42578125" style="344" customWidth="1"/>
    <col min="11014" max="11014" width="19.7109375" style="344" customWidth="1"/>
    <col min="11015" max="11018" width="13.85546875" style="344" customWidth="1"/>
    <col min="11019" max="11019" width="12.28515625" style="344" customWidth="1"/>
    <col min="11020" max="11266" width="8.85546875" style="344"/>
    <col min="11267" max="11267" width="4.7109375" style="344" customWidth="1"/>
    <col min="11268" max="11268" width="28" style="344" customWidth="1"/>
    <col min="11269" max="11269" width="33.42578125" style="344" customWidth="1"/>
    <col min="11270" max="11270" width="19.7109375" style="344" customWidth="1"/>
    <col min="11271" max="11274" width="13.85546875" style="344" customWidth="1"/>
    <col min="11275" max="11275" width="12.28515625" style="344" customWidth="1"/>
    <col min="11276" max="11522" width="8.85546875" style="344"/>
    <col min="11523" max="11523" width="4.7109375" style="344" customWidth="1"/>
    <col min="11524" max="11524" width="28" style="344" customWidth="1"/>
    <col min="11525" max="11525" width="33.42578125" style="344" customWidth="1"/>
    <col min="11526" max="11526" width="19.7109375" style="344" customWidth="1"/>
    <col min="11527" max="11530" width="13.85546875" style="344" customWidth="1"/>
    <col min="11531" max="11531" width="12.28515625" style="344" customWidth="1"/>
    <col min="11532" max="11778" width="8.85546875" style="344"/>
    <col min="11779" max="11779" width="4.7109375" style="344" customWidth="1"/>
    <col min="11780" max="11780" width="28" style="344" customWidth="1"/>
    <col min="11781" max="11781" width="33.42578125" style="344" customWidth="1"/>
    <col min="11782" max="11782" width="19.7109375" style="344" customWidth="1"/>
    <col min="11783" max="11786" width="13.85546875" style="344" customWidth="1"/>
    <col min="11787" max="11787" width="12.28515625" style="344" customWidth="1"/>
    <col min="11788" max="12034" width="8.85546875" style="344"/>
    <col min="12035" max="12035" width="4.7109375" style="344" customWidth="1"/>
    <col min="12036" max="12036" width="28" style="344" customWidth="1"/>
    <col min="12037" max="12037" width="33.42578125" style="344" customWidth="1"/>
    <col min="12038" max="12038" width="19.7109375" style="344" customWidth="1"/>
    <col min="12039" max="12042" width="13.85546875" style="344" customWidth="1"/>
    <col min="12043" max="12043" width="12.28515625" style="344" customWidth="1"/>
    <col min="12044" max="12290" width="8.85546875" style="344"/>
    <col min="12291" max="12291" width="4.7109375" style="344" customWidth="1"/>
    <col min="12292" max="12292" width="28" style="344" customWidth="1"/>
    <col min="12293" max="12293" width="33.42578125" style="344" customWidth="1"/>
    <col min="12294" max="12294" width="19.7109375" style="344" customWidth="1"/>
    <col min="12295" max="12298" width="13.85546875" style="344" customWidth="1"/>
    <col min="12299" max="12299" width="12.28515625" style="344" customWidth="1"/>
    <col min="12300" max="12546" width="8.85546875" style="344"/>
    <col min="12547" max="12547" width="4.7109375" style="344" customWidth="1"/>
    <col min="12548" max="12548" width="28" style="344" customWidth="1"/>
    <col min="12549" max="12549" width="33.42578125" style="344" customWidth="1"/>
    <col min="12550" max="12550" width="19.7109375" style="344" customWidth="1"/>
    <col min="12551" max="12554" width="13.85546875" style="344" customWidth="1"/>
    <col min="12555" max="12555" width="12.28515625" style="344" customWidth="1"/>
    <col min="12556" max="12802" width="8.85546875" style="344"/>
    <col min="12803" max="12803" width="4.7109375" style="344" customWidth="1"/>
    <col min="12804" max="12804" width="28" style="344" customWidth="1"/>
    <col min="12805" max="12805" width="33.42578125" style="344" customWidth="1"/>
    <col min="12806" max="12806" width="19.7109375" style="344" customWidth="1"/>
    <col min="12807" max="12810" width="13.85546875" style="344" customWidth="1"/>
    <col min="12811" max="12811" width="12.28515625" style="344" customWidth="1"/>
    <col min="12812" max="13058" width="8.85546875" style="344"/>
    <col min="13059" max="13059" width="4.7109375" style="344" customWidth="1"/>
    <col min="13060" max="13060" width="28" style="344" customWidth="1"/>
    <col min="13061" max="13061" width="33.42578125" style="344" customWidth="1"/>
    <col min="13062" max="13062" width="19.7109375" style="344" customWidth="1"/>
    <col min="13063" max="13066" width="13.85546875" style="344" customWidth="1"/>
    <col min="13067" max="13067" width="12.28515625" style="344" customWidth="1"/>
    <col min="13068" max="13314" width="8.85546875" style="344"/>
    <col min="13315" max="13315" width="4.7109375" style="344" customWidth="1"/>
    <col min="13316" max="13316" width="28" style="344" customWidth="1"/>
    <col min="13317" max="13317" width="33.42578125" style="344" customWidth="1"/>
    <col min="13318" max="13318" width="19.7109375" style="344" customWidth="1"/>
    <col min="13319" max="13322" width="13.85546875" style="344" customWidth="1"/>
    <col min="13323" max="13323" width="12.28515625" style="344" customWidth="1"/>
    <col min="13324" max="13570" width="8.85546875" style="344"/>
    <col min="13571" max="13571" width="4.7109375" style="344" customWidth="1"/>
    <col min="13572" max="13572" width="28" style="344" customWidth="1"/>
    <col min="13573" max="13573" width="33.42578125" style="344" customWidth="1"/>
    <col min="13574" max="13574" width="19.7109375" style="344" customWidth="1"/>
    <col min="13575" max="13578" width="13.85546875" style="344" customWidth="1"/>
    <col min="13579" max="13579" width="12.28515625" style="344" customWidth="1"/>
    <col min="13580" max="13826" width="8.85546875" style="344"/>
    <col min="13827" max="13827" width="4.7109375" style="344" customWidth="1"/>
    <col min="13828" max="13828" width="28" style="344" customWidth="1"/>
    <col min="13829" max="13829" width="33.42578125" style="344" customWidth="1"/>
    <col min="13830" max="13830" width="19.7109375" style="344" customWidth="1"/>
    <col min="13831" max="13834" width="13.85546875" style="344" customWidth="1"/>
    <col min="13835" max="13835" width="12.28515625" style="344" customWidth="1"/>
    <col min="13836" max="14082" width="8.85546875" style="344"/>
    <col min="14083" max="14083" width="4.7109375" style="344" customWidth="1"/>
    <col min="14084" max="14084" width="28" style="344" customWidth="1"/>
    <col min="14085" max="14085" width="33.42578125" style="344" customWidth="1"/>
    <col min="14086" max="14086" width="19.7109375" style="344" customWidth="1"/>
    <col min="14087" max="14090" width="13.85546875" style="344" customWidth="1"/>
    <col min="14091" max="14091" width="12.28515625" style="344" customWidth="1"/>
    <col min="14092" max="14338" width="8.85546875" style="344"/>
    <col min="14339" max="14339" width="4.7109375" style="344" customWidth="1"/>
    <col min="14340" max="14340" width="28" style="344" customWidth="1"/>
    <col min="14341" max="14341" width="33.42578125" style="344" customWidth="1"/>
    <col min="14342" max="14342" width="19.7109375" style="344" customWidth="1"/>
    <col min="14343" max="14346" width="13.85546875" style="344" customWidth="1"/>
    <col min="14347" max="14347" width="12.28515625" style="344" customWidth="1"/>
    <col min="14348" max="14594" width="8.85546875" style="344"/>
    <col min="14595" max="14595" width="4.7109375" style="344" customWidth="1"/>
    <col min="14596" max="14596" width="28" style="344" customWidth="1"/>
    <col min="14597" max="14597" width="33.42578125" style="344" customWidth="1"/>
    <col min="14598" max="14598" width="19.7109375" style="344" customWidth="1"/>
    <col min="14599" max="14602" width="13.85546875" style="344" customWidth="1"/>
    <col min="14603" max="14603" width="12.28515625" style="344" customWidth="1"/>
    <col min="14604" max="14850" width="8.85546875" style="344"/>
    <col min="14851" max="14851" width="4.7109375" style="344" customWidth="1"/>
    <col min="14852" max="14852" width="28" style="344" customWidth="1"/>
    <col min="14853" max="14853" width="33.42578125" style="344" customWidth="1"/>
    <col min="14854" max="14854" width="19.7109375" style="344" customWidth="1"/>
    <col min="14855" max="14858" width="13.85546875" style="344" customWidth="1"/>
    <col min="14859" max="14859" width="12.28515625" style="344" customWidth="1"/>
    <col min="14860" max="15106" width="8.85546875" style="344"/>
    <col min="15107" max="15107" width="4.7109375" style="344" customWidth="1"/>
    <col min="15108" max="15108" width="28" style="344" customWidth="1"/>
    <col min="15109" max="15109" width="33.42578125" style="344" customWidth="1"/>
    <col min="15110" max="15110" width="19.7109375" style="344" customWidth="1"/>
    <col min="15111" max="15114" width="13.85546875" style="344" customWidth="1"/>
    <col min="15115" max="15115" width="12.28515625" style="344" customWidth="1"/>
    <col min="15116" max="15362" width="8.85546875" style="344"/>
    <col min="15363" max="15363" width="4.7109375" style="344" customWidth="1"/>
    <col min="15364" max="15364" width="28" style="344" customWidth="1"/>
    <col min="15365" max="15365" width="33.42578125" style="344" customWidth="1"/>
    <col min="15366" max="15366" width="19.7109375" style="344" customWidth="1"/>
    <col min="15367" max="15370" width="13.85546875" style="344" customWidth="1"/>
    <col min="15371" max="15371" width="12.28515625" style="344" customWidth="1"/>
    <col min="15372" max="15618" width="8.85546875" style="344"/>
    <col min="15619" max="15619" width="4.7109375" style="344" customWidth="1"/>
    <col min="15620" max="15620" width="28" style="344" customWidth="1"/>
    <col min="15621" max="15621" width="33.42578125" style="344" customWidth="1"/>
    <col min="15622" max="15622" width="19.7109375" style="344" customWidth="1"/>
    <col min="15623" max="15626" width="13.85546875" style="344" customWidth="1"/>
    <col min="15627" max="15627" width="12.28515625" style="344" customWidth="1"/>
    <col min="15628" max="15874" width="8.85546875" style="344"/>
    <col min="15875" max="15875" width="4.7109375" style="344" customWidth="1"/>
    <col min="15876" max="15876" width="28" style="344" customWidth="1"/>
    <col min="15877" max="15877" width="33.42578125" style="344" customWidth="1"/>
    <col min="15878" max="15878" width="19.7109375" style="344" customWidth="1"/>
    <col min="15879" max="15882" width="13.85546875" style="344" customWidth="1"/>
    <col min="15883" max="15883" width="12.28515625" style="344" customWidth="1"/>
    <col min="15884" max="16130" width="8.85546875" style="344"/>
    <col min="16131" max="16131" width="4.7109375" style="344" customWidth="1"/>
    <col min="16132" max="16132" width="28" style="344" customWidth="1"/>
    <col min="16133" max="16133" width="33.42578125" style="344" customWidth="1"/>
    <col min="16134" max="16134" width="19.7109375" style="344" customWidth="1"/>
    <col min="16135" max="16138" width="13.85546875" style="344" customWidth="1"/>
    <col min="16139" max="16139" width="12.28515625" style="344" customWidth="1"/>
    <col min="16140" max="16140" width="8.85546875" style="344"/>
    <col min="16141" max="16384" width="9.140625" style="344"/>
  </cols>
  <sheetData>
    <row r="1" spans="1:12" ht="18.75" customHeight="1">
      <c r="A1" s="345"/>
    </row>
    <row r="2" spans="1:12" s="345" customFormat="1" ht="27.75" customHeight="1">
      <c r="A2" s="422" t="s">
        <v>79</v>
      </c>
      <c r="B2" s="419" t="s">
        <v>668</v>
      </c>
      <c r="C2" s="419" t="s">
        <v>669</v>
      </c>
      <c r="D2" s="419" t="s">
        <v>670</v>
      </c>
      <c r="E2" s="422" t="s">
        <v>878</v>
      </c>
      <c r="F2" s="422"/>
      <c r="G2" s="422"/>
      <c r="H2" s="422"/>
      <c r="I2" s="422" t="s">
        <v>879</v>
      </c>
      <c r="J2" s="422"/>
      <c r="K2" s="419" t="s">
        <v>724</v>
      </c>
    </row>
    <row r="3" spans="1:12" ht="27.75" customHeight="1">
      <c r="A3" s="422"/>
      <c r="B3" s="421"/>
      <c r="C3" s="421"/>
      <c r="D3" s="421"/>
      <c r="E3" s="419" t="s">
        <v>671</v>
      </c>
      <c r="F3" s="423" t="s">
        <v>672</v>
      </c>
      <c r="G3" s="424"/>
      <c r="H3" s="419" t="s">
        <v>673</v>
      </c>
      <c r="I3" s="419" t="s">
        <v>671</v>
      </c>
      <c r="J3" s="419" t="s">
        <v>673</v>
      </c>
      <c r="K3" s="421"/>
    </row>
    <row r="4" spans="1:12" ht="27.75" customHeight="1">
      <c r="A4" s="422"/>
      <c r="B4" s="420"/>
      <c r="C4" s="420"/>
      <c r="D4" s="420"/>
      <c r="E4" s="420"/>
      <c r="F4" s="342" t="s">
        <v>884</v>
      </c>
      <c r="G4" s="342" t="s">
        <v>885</v>
      </c>
      <c r="H4" s="420"/>
      <c r="I4" s="420"/>
      <c r="J4" s="420"/>
      <c r="K4" s="420"/>
    </row>
    <row r="5" spans="1:12" ht="30" customHeight="1">
      <c r="A5" s="401">
        <f>ROW()-4</f>
        <v>1</v>
      </c>
      <c r="B5" s="305"/>
      <c r="C5" s="306" t="s">
        <v>83</v>
      </c>
      <c r="D5" s="306"/>
      <c r="E5" s="307"/>
      <c r="F5" s="307">
        <f t="shared" ref="F5:F35" si="0">SUMIFS(TH,KHN,"2412",KHC,"331",KH,C5)</f>
        <v>0</v>
      </c>
      <c r="G5" s="307">
        <f t="array" ref="G5">SUM(IF("331"&amp;C5=KHC&amp;KH,TH))</f>
        <v>199400666</v>
      </c>
      <c r="H5" s="307">
        <f t="array" ref="H5">SUM(IF("331"&amp;C5=KHN&amp;KH,TH))</f>
        <v>199400666</v>
      </c>
      <c r="I5" s="307">
        <f>IF(E5&gt;G5,E5,G5)</f>
        <v>199400666</v>
      </c>
      <c r="J5" s="307">
        <f>H5</f>
        <v>199400666</v>
      </c>
      <c r="K5" s="307">
        <f>IF(E5&gt;F5,E5,F5)</f>
        <v>0</v>
      </c>
      <c r="L5" s="347">
        <f>H5-J5</f>
        <v>0</v>
      </c>
    </row>
    <row r="6" spans="1:12" ht="30" customHeight="1">
      <c r="A6" s="401">
        <f t="shared" ref="A6:A37" si="1">ROW()-4</f>
        <v>2</v>
      </c>
      <c r="B6" s="305" t="s">
        <v>382</v>
      </c>
      <c r="C6" s="306" t="s">
        <v>108</v>
      </c>
      <c r="D6" s="306" t="s">
        <v>674</v>
      </c>
      <c r="E6" s="307">
        <v>80000000</v>
      </c>
      <c r="F6" s="307">
        <f t="shared" si="0"/>
        <v>72727273</v>
      </c>
      <c r="G6" s="307">
        <f t="array" ref="G6">SUM(IF("331"&amp;C6=KHC&amp;KH,TH))</f>
        <v>80000000</v>
      </c>
      <c r="H6" s="307">
        <f t="array" ref="H6">SUM(IF("331"&amp;C6=KHN&amp;KH,TH))</f>
        <v>80000000</v>
      </c>
      <c r="I6" s="307">
        <f t="shared" ref="I6:I21" si="2">IF(E6&gt;G6,E6,G6)</f>
        <v>80000000</v>
      </c>
      <c r="J6" s="307">
        <f t="shared" ref="J6:J21" si="3">H6</f>
        <v>80000000</v>
      </c>
      <c r="K6" s="307">
        <f t="shared" ref="K6:K38" si="4">IF(E6&gt;F6,E6,F6)</f>
        <v>80000000</v>
      </c>
      <c r="L6" s="347">
        <f t="shared" ref="L6:L38" si="5">H6-J6</f>
        <v>0</v>
      </c>
    </row>
    <row r="7" spans="1:12" ht="30" customHeight="1">
      <c r="A7" s="401">
        <f t="shared" si="1"/>
        <v>3</v>
      </c>
      <c r="B7" s="403" t="s">
        <v>675</v>
      </c>
      <c r="C7" s="308" t="s">
        <v>132</v>
      </c>
      <c r="D7" s="308" t="s">
        <v>676</v>
      </c>
      <c r="E7" s="309"/>
      <c r="F7" s="307">
        <f t="shared" si="0"/>
        <v>28000005</v>
      </c>
      <c r="G7" s="307">
        <f t="array" ref="G7">SUM(IF("331"&amp;C7=KHC&amp;KH,TH))</f>
        <v>30800005</v>
      </c>
      <c r="H7" s="307">
        <f t="array" ref="H7">SUM(IF("331"&amp;C7=KHN&amp;KH,TH))</f>
        <v>30800005</v>
      </c>
      <c r="I7" s="307">
        <f t="shared" si="2"/>
        <v>30800005</v>
      </c>
      <c r="J7" s="307">
        <f t="shared" si="3"/>
        <v>30800005</v>
      </c>
      <c r="K7" s="307">
        <f t="shared" si="4"/>
        <v>28000005</v>
      </c>
      <c r="L7" s="347">
        <f t="shared" si="5"/>
        <v>0</v>
      </c>
    </row>
    <row r="8" spans="1:12" ht="30" customHeight="1">
      <c r="A8" s="401">
        <f t="shared" si="1"/>
        <v>4</v>
      </c>
      <c r="B8" s="403" t="s">
        <v>702</v>
      </c>
      <c r="C8" s="308" t="s">
        <v>285</v>
      </c>
      <c r="D8" s="308" t="s">
        <v>703</v>
      </c>
      <c r="E8" s="309"/>
      <c r="F8" s="307">
        <f t="shared" si="0"/>
        <v>30440000</v>
      </c>
      <c r="G8" s="307">
        <f t="array" ref="G8">SUM(IF("331"&amp;C8=KHC&amp;KH,TH))</f>
        <v>30440000</v>
      </c>
      <c r="H8" s="307">
        <f t="array" ref="H8">SUM(IF("331"&amp;C8=KHN&amp;KH,TH))</f>
        <v>30440000</v>
      </c>
      <c r="I8" s="307">
        <f t="shared" si="2"/>
        <v>30440000</v>
      </c>
      <c r="J8" s="307">
        <f t="shared" si="3"/>
        <v>30440000</v>
      </c>
      <c r="K8" s="307">
        <f t="shared" si="4"/>
        <v>30440000</v>
      </c>
      <c r="L8" s="347">
        <f t="shared" si="5"/>
        <v>0</v>
      </c>
    </row>
    <row r="9" spans="1:12" ht="30" customHeight="1">
      <c r="A9" s="401">
        <f t="shared" si="1"/>
        <v>5</v>
      </c>
      <c r="B9" s="403"/>
      <c r="C9" s="308" t="s">
        <v>312</v>
      </c>
      <c r="D9" s="308" t="s">
        <v>886</v>
      </c>
      <c r="E9" s="309"/>
      <c r="F9" s="307">
        <f t="shared" si="0"/>
        <v>19645867</v>
      </c>
      <c r="G9" s="307">
        <f t="array" ref="G9">SUM(IF("331"&amp;C9=KHC&amp;KH,TH))</f>
        <v>21610454</v>
      </c>
      <c r="H9" s="307">
        <f t="array" ref="H9">SUM(IF("331"&amp;C9=KHN&amp;KH,TH))</f>
        <v>21610454</v>
      </c>
      <c r="I9" s="307">
        <f t="shared" si="2"/>
        <v>21610454</v>
      </c>
      <c r="J9" s="307">
        <f t="shared" si="3"/>
        <v>21610454</v>
      </c>
      <c r="K9" s="307">
        <f t="shared" si="4"/>
        <v>19645867</v>
      </c>
      <c r="L9" s="347">
        <f t="shared" si="5"/>
        <v>0</v>
      </c>
    </row>
    <row r="10" spans="1:12" ht="30" customHeight="1">
      <c r="A10" s="401">
        <f t="shared" si="1"/>
        <v>6</v>
      </c>
      <c r="B10" s="403"/>
      <c r="C10" s="308" t="s">
        <v>441</v>
      </c>
      <c r="D10" s="308" t="s">
        <v>439</v>
      </c>
      <c r="E10" s="309"/>
      <c r="F10" s="307">
        <f t="shared" si="0"/>
        <v>30000000</v>
      </c>
      <c r="G10" s="307">
        <f t="array" ref="G10">SUM(IF("331"&amp;C10=KHC&amp;KH,TH))</f>
        <v>33000000</v>
      </c>
      <c r="H10" s="307">
        <f t="array" ref="H10">SUM(IF("331"&amp;C10=KHN&amp;KH,TH))</f>
        <v>33000000</v>
      </c>
      <c r="I10" s="307">
        <f t="shared" si="2"/>
        <v>33000000</v>
      </c>
      <c r="J10" s="307">
        <f t="shared" si="3"/>
        <v>33000000</v>
      </c>
      <c r="K10" s="307">
        <f t="shared" si="4"/>
        <v>30000000</v>
      </c>
      <c r="L10" s="347">
        <f t="shared" si="5"/>
        <v>0</v>
      </c>
    </row>
    <row r="11" spans="1:12" ht="30" customHeight="1">
      <c r="A11" s="401">
        <f t="shared" si="1"/>
        <v>7</v>
      </c>
      <c r="B11" s="403" t="s">
        <v>385</v>
      </c>
      <c r="C11" s="308" t="s">
        <v>129</v>
      </c>
      <c r="D11" s="308" t="s">
        <v>677</v>
      </c>
      <c r="E11" s="309">
        <v>16327199</v>
      </c>
      <c r="F11" s="307">
        <f t="shared" si="0"/>
        <v>14842908</v>
      </c>
      <c r="G11" s="307">
        <f t="array" ref="G11">SUM(IF("331"&amp;C11=KHC&amp;KH,TH))</f>
        <v>16327199</v>
      </c>
      <c r="H11" s="307">
        <f t="array" ref="H11">SUM(IF("331"&amp;C11=KHN&amp;KH,TH))</f>
        <v>16327199</v>
      </c>
      <c r="I11" s="307">
        <f t="shared" si="2"/>
        <v>16327199</v>
      </c>
      <c r="J11" s="307">
        <f t="shared" si="3"/>
        <v>16327199</v>
      </c>
      <c r="K11" s="307">
        <f t="shared" si="4"/>
        <v>16327199</v>
      </c>
      <c r="L11" s="347">
        <f t="shared" si="5"/>
        <v>0</v>
      </c>
    </row>
    <row r="12" spans="1:12" ht="30" customHeight="1">
      <c r="A12" s="401">
        <f t="shared" si="1"/>
        <v>8</v>
      </c>
      <c r="B12" s="403" t="s">
        <v>678</v>
      </c>
      <c r="C12" s="308" t="s">
        <v>89</v>
      </c>
      <c r="D12" s="308" t="s">
        <v>679</v>
      </c>
      <c r="E12" s="309">
        <f>1262599800+324737600</f>
        <v>1587337400</v>
      </c>
      <c r="F12" s="307">
        <f t="shared" si="0"/>
        <v>1443034000</v>
      </c>
      <c r="G12" s="307">
        <f t="array" ref="G12">SUM(IF("331"&amp;C12=KHC&amp;KH,TH))</f>
        <v>1587337400</v>
      </c>
      <c r="H12" s="307">
        <f t="array" ref="H12">SUM(IF("331"&amp;C12=KHN&amp;KH,TH))</f>
        <v>1587337400</v>
      </c>
      <c r="I12" s="307">
        <f t="shared" si="2"/>
        <v>1587337400</v>
      </c>
      <c r="J12" s="307">
        <f t="shared" si="3"/>
        <v>1587337400</v>
      </c>
      <c r="K12" s="307">
        <f t="shared" si="4"/>
        <v>1587337400</v>
      </c>
      <c r="L12" s="347">
        <f t="shared" si="5"/>
        <v>0</v>
      </c>
    </row>
    <row r="13" spans="1:12" ht="30" customHeight="1">
      <c r="A13" s="401">
        <f t="shared" si="1"/>
        <v>9</v>
      </c>
      <c r="B13" s="403" t="s">
        <v>388</v>
      </c>
      <c r="C13" s="308" t="s">
        <v>91</v>
      </c>
      <c r="D13" s="308" t="s">
        <v>680</v>
      </c>
      <c r="E13" s="309">
        <v>230800000</v>
      </c>
      <c r="F13" s="307">
        <f t="shared" si="0"/>
        <v>262727273</v>
      </c>
      <c r="G13" s="307">
        <f t="array" ref="G13">SUM(IF("331"&amp;C13=KHC&amp;KH,TH))</f>
        <v>289000000</v>
      </c>
      <c r="H13" s="307">
        <f t="array" ref="H13">SUM(IF("331"&amp;C13=KHN&amp;KH,TH))</f>
        <v>289000000</v>
      </c>
      <c r="I13" s="307">
        <f t="shared" si="2"/>
        <v>289000000</v>
      </c>
      <c r="J13" s="307">
        <f t="shared" si="3"/>
        <v>289000000</v>
      </c>
      <c r="K13" s="307">
        <f t="shared" si="4"/>
        <v>262727273</v>
      </c>
      <c r="L13" s="347">
        <f t="shared" si="5"/>
        <v>0</v>
      </c>
    </row>
    <row r="14" spans="1:12" ht="30" customHeight="1">
      <c r="A14" s="401">
        <f>ROW()-4</f>
        <v>10</v>
      </c>
      <c r="B14" s="403" t="s">
        <v>708</v>
      </c>
      <c r="C14" s="308" t="s">
        <v>305</v>
      </c>
      <c r="D14" s="308" t="s">
        <v>709</v>
      </c>
      <c r="E14" s="309">
        <v>150126466</v>
      </c>
      <c r="F14" s="307">
        <f t="shared" si="0"/>
        <v>136478605</v>
      </c>
      <c r="G14" s="307">
        <f t="array" ref="G14">SUM(IF("331"&amp;C14=KHC&amp;KH,TH))</f>
        <v>150454066</v>
      </c>
      <c r="H14" s="307">
        <f t="array" ref="H14">SUM(IF("331"&amp;C14=KHN&amp;KH,TH))</f>
        <v>150454066</v>
      </c>
      <c r="I14" s="307">
        <f t="shared" si="2"/>
        <v>150454066</v>
      </c>
      <c r="J14" s="307">
        <f t="shared" si="3"/>
        <v>150454066</v>
      </c>
      <c r="K14" s="307">
        <f t="shared" si="4"/>
        <v>150126466</v>
      </c>
      <c r="L14" s="347">
        <f t="shared" si="5"/>
        <v>0</v>
      </c>
    </row>
    <row r="15" spans="1:12" ht="30" customHeight="1">
      <c r="A15" s="401">
        <f t="shared" si="1"/>
        <v>11</v>
      </c>
      <c r="B15" s="403" t="s">
        <v>704</v>
      </c>
      <c r="C15" s="308" t="s">
        <v>357</v>
      </c>
      <c r="D15" s="308" t="s">
        <v>705</v>
      </c>
      <c r="E15" s="309"/>
      <c r="F15" s="307">
        <f t="shared" si="0"/>
        <v>48236364</v>
      </c>
      <c r="G15" s="307">
        <f t="array" ref="G15">SUM(IF("331"&amp;C15=KHC&amp;KH,TH))</f>
        <v>53060000</v>
      </c>
      <c r="H15" s="307">
        <f t="array" ref="H15">SUM(IF("331"&amp;C15=KHN&amp;KH,TH))</f>
        <v>53060000</v>
      </c>
      <c r="I15" s="307">
        <f t="shared" si="2"/>
        <v>53060000</v>
      </c>
      <c r="J15" s="307">
        <f t="shared" si="3"/>
        <v>53060000</v>
      </c>
      <c r="K15" s="307">
        <f t="shared" si="4"/>
        <v>48236364</v>
      </c>
      <c r="L15" s="347">
        <f t="shared" si="5"/>
        <v>0</v>
      </c>
    </row>
    <row r="16" spans="1:12" ht="30" customHeight="1">
      <c r="A16" s="401">
        <f t="shared" si="1"/>
        <v>12</v>
      </c>
      <c r="B16" s="403"/>
      <c r="C16" s="308" t="s">
        <v>90</v>
      </c>
      <c r="D16" s="308"/>
      <c r="E16" s="309"/>
      <c r="F16" s="307">
        <f t="shared" si="0"/>
        <v>0</v>
      </c>
      <c r="G16" s="307">
        <f t="array" ref="G16">SUM(IF("331"&amp;C16=KHC&amp;KH,TH))</f>
        <v>0</v>
      </c>
      <c r="H16" s="307">
        <f t="array" ref="H16">SUM(IF("331"&amp;C16=KHN&amp;KH,TH))</f>
        <v>60000000</v>
      </c>
      <c r="I16" s="307">
        <f t="shared" si="2"/>
        <v>0</v>
      </c>
      <c r="J16" s="307">
        <f t="shared" si="3"/>
        <v>60000000</v>
      </c>
      <c r="K16" s="307">
        <f t="shared" si="4"/>
        <v>0</v>
      </c>
      <c r="L16" s="347">
        <f t="shared" si="5"/>
        <v>0</v>
      </c>
    </row>
    <row r="17" spans="1:12" ht="30" customHeight="1">
      <c r="A17" s="401">
        <f t="shared" si="1"/>
        <v>13</v>
      </c>
      <c r="B17" s="403" t="s">
        <v>713</v>
      </c>
      <c r="C17" s="343" t="s">
        <v>86</v>
      </c>
      <c r="D17" s="308" t="s">
        <v>877</v>
      </c>
      <c r="E17" s="309">
        <f>60500000+428000000</f>
        <v>488500000</v>
      </c>
      <c r="F17" s="307">
        <f t="shared" si="0"/>
        <v>55000000</v>
      </c>
      <c r="G17" s="307">
        <f t="array" ref="G17">SUM(IF("331"&amp;C17=KHC&amp;KH,TH))</f>
        <v>60500000</v>
      </c>
      <c r="H17" s="307">
        <f t="array" ref="H17">SUM(IF("331"&amp;C17=KHN&amp;KH,TH))</f>
        <v>188900000</v>
      </c>
      <c r="I17" s="307">
        <f t="shared" si="2"/>
        <v>488500000</v>
      </c>
      <c r="J17" s="307">
        <f t="shared" si="3"/>
        <v>188900000</v>
      </c>
      <c r="K17" s="307">
        <f t="shared" si="4"/>
        <v>488500000</v>
      </c>
      <c r="L17" s="347">
        <f t="shared" si="5"/>
        <v>0</v>
      </c>
    </row>
    <row r="18" spans="1:12" ht="30" customHeight="1">
      <c r="A18" s="401">
        <f t="shared" si="1"/>
        <v>14</v>
      </c>
      <c r="B18" s="403" t="s">
        <v>681</v>
      </c>
      <c r="C18" s="308" t="s">
        <v>109</v>
      </c>
      <c r="D18" s="308" t="s">
        <v>682</v>
      </c>
      <c r="E18" s="309">
        <v>200000000</v>
      </c>
      <c r="F18" s="307">
        <f t="shared" si="0"/>
        <v>0</v>
      </c>
      <c r="G18" s="307">
        <f t="array" ref="G18">SUM(IF("331"&amp;C18=KHC&amp;KH,TH))</f>
        <v>0</v>
      </c>
      <c r="H18" s="307">
        <f t="array" ref="H18">SUM(IF("331"&amp;C18=KHN&amp;KH,TH))</f>
        <v>150000000</v>
      </c>
      <c r="I18" s="307">
        <f t="shared" si="2"/>
        <v>200000000</v>
      </c>
      <c r="J18" s="307">
        <f t="shared" si="3"/>
        <v>150000000</v>
      </c>
      <c r="K18" s="307">
        <f t="shared" si="4"/>
        <v>200000000</v>
      </c>
      <c r="L18" s="347">
        <f t="shared" si="5"/>
        <v>0</v>
      </c>
    </row>
    <row r="19" spans="1:12" ht="30" customHeight="1">
      <c r="A19" s="401">
        <f t="shared" si="1"/>
        <v>15</v>
      </c>
      <c r="B19" s="403" t="s">
        <v>401</v>
      </c>
      <c r="C19" s="308" t="s">
        <v>300</v>
      </c>
      <c r="D19" s="308" t="s">
        <v>875</v>
      </c>
      <c r="E19" s="309">
        <f>226999800+866000000</f>
        <v>1092999800</v>
      </c>
      <c r="F19" s="307">
        <f t="shared" si="0"/>
        <v>875917018</v>
      </c>
      <c r="G19" s="307">
        <f t="array" ref="G19">SUM(IF("331"&amp;C19=KHC&amp;KH,TH))</f>
        <v>963508720</v>
      </c>
      <c r="H19" s="307">
        <f t="array" ref="H19">SUM(IF("331"&amp;C19=KHN&amp;KH,TH))</f>
        <v>871216820</v>
      </c>
      <c r="I19" s="307">
        <f t="shared" si="2"/>
        <v>1092999800</v>
      </c>
      <c r="J19" s="307">
        <f t="shared" si="3"/>
        <v>871216820</v>
      </c>
      <c r="K19" s="307">
        <f t="shared" si="4"/>
        <v>1092999800</v>
      </c>
      <c r="L19" s="347">
        <f t="shared" si="5"/>
        <v>0</v>
      </c>
    </row>
    <row r="20" spans="1:12" ht="30" customHeight="1">
      <c r="A20" s="401">
        <f t="shared" si="1"/>
        <v>16</v>
      </c>
      <c r="B20" s="403" t="s">
        <v>700</v>
      </c>
      <c r="C20" s="308" t="s">
        <v>302</v>
      </c>
      <c r="D20" s="308" t="s">
        <v>701</v>
      </c>
      <c r="E20" s="309">
        <v>570000000</v>
      </c>
      <c r="F20" s="307">
        <f t="shared" si="0"/>
        <v>362727273</v>
      </c>
      <c r="G20" s="307">
        <f t="array" ref="G20">SUM(IF("331"&amp;C20=KHC&amp;KH,TH))</f>
        <v>399000000</v>
      </c>
      <c r="H20" s="307">
        <f t="array" ref="H20">SUM(IF("331"&amp;C20=KHN&amp;KH,TH))</f>
        <v>399000000</v>
      </c>
      <c r="I20" s="307">
        <f t="shared" si="2"/>
        <v>570000000</v>
      </c>
      <c r="J20" s="307">
        <f t="shared" si="3"/>
        <v>399000000</v>
      </c>
      <c r="K20" s="307">
        <f t="shared" si="4"/>
        <v>570000000</v>
      </c>
      <c r="L20" s="347">
        <f t="shared" si="5"/>
        <v>0</v>
      </c>
    </row>
    <row r="21" spans="1:12" ht="30" customHeight="1">
      <c r="A21" s="401">
        <f t="shared" si="1"/>
        <v>17</v>
      </c>
      <c r="B21" s="403" t="s">
        <v>711</v>
      </c>
      <c r="C21" s="308" t="s">
        <v>481</v>
      </c>
      <c r="D21" s="308" t="s">
        <v>712</v>
      </c>
      <c r="E21" s="309">
        <v>599632000</v>
      </c>
      <c r="F21" s="307">
        <f t="shared" si="0"/>
        <v>545120000</v>
      </c>
      <c r="G21" s="307">
        <f t="array" ref="G21">SUM(IF("331"&amp;C21=KHC&amp;KH,TH))</f>
        <v>599632000</v>
      </c>
      <c r="H21" s="307">
        <f t="array" ref="H21">SUM(IF("331"&amp;C21=KHN&amp;KH,TH))</f>
        <v>400000000</v>
      </c>
      <c r="I21" s="307">
        <f t="shared" si="2"/>
        <v>599632000</v>
      </c>
      <c r="J21" s="307">
        <f t="shared" si="3"/>
        <v>400000000</v>
      </c>
      <c r="K21" s="307">
        <f t="shared" si="4"/>
        <v>599632000</v>
      </c>
      <c r="L21" s="347">
        <f>H21-J21</f>
        <v>0</v>
      </c>
    </row>
    <row r="22" spans="1:12" ht="30" customHeight="1">
      <c r="A22" s="406">
        <f t="shared" si="1"/>
        <v>18</v>
      </c>
      <c r="B22" s="404" t="s">
        <v>683</v>
      </c>
      <c r="C22" s="321" t="s">
        <v>85</v>
      </c>
      <c r="D22" s="321" t="s">
        <v>684</v>
      </c>
      <c r="E22" s="322">
        <v>11322555140</v>
      </c>
      <c r="F22" s="323">
        <f t="shared" si="0"/>
        <v>7727272727</v>
      </c>
      <c r="G22" s="323">
        <f t="array" ref="G22">SUM(IF("331"&amp;C22=KHC&amp;KH,TH))</f>
        <v>8500000000</v>
      </c>
      <c r="H22" s="323">
        <f t="array" ref="H22">SUM(IF("331"&amp;C22=KHN&amp;KH,TH))</f>
        <v>8850000000</v>
      </c>
      <c r="I22" s="323">
        <v>11322555140</v>
      </c>
      <c r="J22" s="323">
        <f>'TH - TT'!$I$125</f>
        <v>9058500000</v>
      </c>
      <c r="K22" s="323">
        <f t="shared" si="4"/>
        <v>11322555140</v>
      </c>
      <c r="L22" s="347">
        <f t="shared" si="5"/>
        <v>-208500000</v>
      </c>
    </row>
    <row r="23" spans="1:12" ht="30" customHeight="1">
      <c r="A23" s="406">
        <f t="shared" si="1"/>
        <v>19</v>
      </c>
      <c r="B23" s="404" t="s">
        <v>685</v>
      </c>
      <c r="C23" s="321" t="s">
        <v>111</v>
      </c>
      <c r="D23" s="321" t="s">
        <v>876</v>
      </c>
      <c r="E23" s="322">
        <f>2508700000+501400000</f>
        <v>3010100000</v>
      </c>
      <c r="F23" s="323">
        <f t="shared" si="0"/>
        <v>2736454546</v>
      </c>
      <c r="G23" s="323">
        <f t="array" ref="G23">SUM(IF("331"&amp;C23=KHC&amp;KH,TH))</f>
        <v>3010100000</v>
      </c>
      <c r="H23" s="323">
        <f t="array" ref="H23">SUM(IF("331"&amp;C23=KHN&amp;KH,TH))</f>
        <v>2603610000</v>
      </c>
      <c r="I23" s="323">
        <v>2248700000</v>
      </c>
      <c r="J23" s="323">
        <f>'TH - TT'!$I$139</f>
        <v>2003610000</v>
      </c>
      <c r="K23" s="323">
        <f t="shared" si="4"/>
        <v>3010100000</v>
      </c>
      <c r="L23" s="347">
        <f t="shared" si="5"/>
        <v>600000000</v>
      </c>
    </row>
    <row r="24" spans="1:12" ht="30" customHeight="1">
      <c r="A24" s="406">
        <f t="shared" si="1"/>
        <v>20</v>
      </c>
      <c r="B24" s="404" t="s">
        <v>686</v>
      </c>
      <c r="C24" s="321" t="s">
        <v>138</v>
      </c>
      <c r="D24" s="321" t="s">
        <v>687</v>
      </c>
      <c r="E24" s="322">
        <v>3500000000</v>
      </c>
      <c r="F24" s="323">
        <f t="shared" si="0"/>
        <v>2000000000</v>
      </c>
      <c r="G24" s="323">
        <f t="array" ref="G24">SUM(IF("331"&amp;C24=KHC&amp;KH,TH))</f>
        <v>2200000000</v>
      </c>
      <c r="H24" s="323">
        <f t="array" ref="H24">SUM(IF("331"&amp;C24=KHN&amp;KH,TH))</f>
        <v>3200000000</v>
      </c>
      <c r="I24" s="323">
        <v>2910000000</v>
      </c>
      <c r="J24" s="323">
        <f>'TH - TT'!$I$150</f>
        <v>2500000000</v>
      </c>
      <c r="K24" s="323">
        <f t="shared" si="4"/>
        <v>3500000000</v>
      </c>
      <c r="L24" s="347">
        <f t="shared" si="5"/>
        <v>700000000</v>
      </c>
    </row>
    <row r="25" spans="1:12" ht="30" customHeight="1">
      <c r="A25" s="406">
        <f t="shared" si="1"/>
        <v>21</v>
      </c>
      <c r="B25" s="404" t="s">
        <v>397</v>
      </c>
      <c r="C25" s="321" t="s">
        <v>150</v>
      </c>
      <c r="D25" s="321" t="s">
        <v>688</v>
      </c>
      <c r="E25" s="322">
        <v>1858997690</v>
      </c>
      <c r="F25" s="323">
        <f t="shared" si="0"/>
        <v>1689997900</v>
      </c>
      <c r="G25" s="323">
        <f t="array" ref="G25">SUM(IF("331"&amp;C25=KHC&amp;KH,TH))</f>
        <v>1858997690</v>
      </c>
      <c r="H25" s="323">
        <f t="array" ref="H25">SUM(IF("331"&amp;C25=KHN&amp;KH,TH))</f>
        <v>360000000</v>
      </c>
      <c r="I25" s="323">
        <v>1300000000</v>
      </c>
      <c r="J25" s="323">
        <f>'TH - TT'!I154</f>
        <v>360000000</v>
      </c>
      <c r="K25" s="323">
        <f t="shared" si="4"/>
        <v>1858997690</v>
      </c>
      <c r="L25" s="347">
        <f t="shared" si="5"/>
        <v>0</v>
      </c>
    </row>
    <row r="26" spans="1:12" ht="30" customHeight="1">
      <c r="A26" s="406">
        <f t="shared" si="1"/>
        <v>22</v>
      </c>
      <c r="B26" s="404" t="s">
        <v>406</v>
      </c>
      <c r="C26" s="346" t="s">
        <v>306</v>
      </c>
      <c r="D26" s="321" t="s">
        <v>689</v>
      </c>
      <c r="E26" s="322">
        <v>3652000000</v>
      </c>
      <c r="F26" s="323">
        <f t="shared" si="0"/>
        <v>0</v>
      </c>
      <c r="G26" s="323">
        <f t="array" ref="G26">SUM(IF("331"&amp;C26=KHC&amp;KH,TH))</f>
        <v>0</v>
      </c>
      <c r="H26" s="323">
        <f t="array" ref="H26">SUM(IF("331"&amp;C26=KHN&amp;KH,TH))</f>
        <v>1750000000</v>
      </c>
      <c r="I26" s="323">
        <v>2255000000</v>
      </c>
      <c r="J26" s="323">
        <f>'TH - TT'!I168</f>
        <v>1250000000</v>
      </c>
      <c r="K26" s="323">
        <f t="shared" si="4"/>
        <v>3652000000</v>
      </c>
      <c r="L26" s="347">
        <f t="shared" si="5"/>
        <v>500000000</v>
      </c>
    </row>
    <row r="27" spans="1:12" ht="30" customHeight="1">
      <c r="A27" s="406">
        <f t="shared" si="1"/>
        <v>23</v>
      </c>
      <c r="B27" s="404" t="s">
        <v>690</v>
      </c>
      <c r="C27" s="321" t="s">
        <v>151</v>
      </c>
      <c r="D27" s="321" t="s">
        <v>691</v>
      </c>
      <c r="E27" s="322">
        <v>650650000</v>
      </c>
      <c r="F27" s="323">
        <f t="shared" si="0"/>
        <v>0</v>
      </c>
      <c r="G27" s="323">
        <f t="array" ref="G27">SUM(IF("331"&amp;C27=KHC&amp;KH,TH))</f>
        <v>0</v>
      </c>
      <c r="H27" s="323">
        <f t="array" ref="H27">SUM(IF("331"&amp;C27=KHN&amp;KH,TH))</f>
        <v>385195000</v>
      </c>
      <c r="I27" s="323">
        <v>485650000</v>
      </c>
      <c r="J27" s="323">
        <f>'TH - TT'!I175</f>
        <v>385195000</v>
      </c>
      <c r="K27" s="323">
        <f t="shared" si="4"/>
        <v>650650000</v>
      </c>
      <c r="L27" s="347">
        <f t="shared" si="5"/>
        <v>0</v>
      </c>
    </row>
    <row r="28" spans="1:12" ht="30" customHeight="1">
      <c r="A28" s="406">
        <f t="shared" si="1"/>
        <v>24</v>
      </c>
      <c r="B28" s="404" t="s">
        <v>692</v>
      </c>
      <c r="C28" s="321" t="s">
        <v>152</v>
      </c>
      <c r="D28" s="321" t="s">
        <v>693</v>
      </c>
      <c r="E28" s="322">
        <v>394100000</v>
      </c>
      <c r="F28" s="323">
        <f t="shared" si="0"/>
        <v>0</v>
      </c>
      <c r="G28" s="323">
        <f t="array" ref="G28">SUM(IF("331"&amp;C28=KHC&amp;KH,TH))</f>
        <v>0</v>
      </c>
      <c r="H28" s="323">
        <f t="array" ref="H28">SUM(IF("331"&amp;C28=KHN&amp;KH,TH))</f>
        <v>100000000</v>
      </c>
      <c r="I28" s="323">
        <v>298500000</v>
      </c>
      <c r="J28" s="323">
        <f>'TH - TT'!I179</f>
        <v>100000000</v>
      </c>
      <c r="K28" s="323">
        <f t="shared" si="4"/>
        <v>394100000</v>
      </c>
      <c r="L28" s="347">
        <f t="shared" si="5"/>
        <v>0</v>
      </c>
    </row>
    <row r="29" spans="1:12" ht="30" customHeight="1">
      <c r="A29" s="406">
        <f t="shared" si="1"/>
        <v>25</v>
      </c>
      <c r="B29" s="404" t="s">
        <v>694</v>
      </c>
      <c r="C29" s="321" t="s">
        <v>172</v>
      </c>
      <c r="D29" s="321" t="s">
        <v>695</v>
      </c>
      <c r="E29" s="322">
        <f>898744036+627830692</f>
        <v>1526574728</v>
      </c>
      <c r="F29" s="323">
        <f t="shared" si="0"/>
        <v>0</v>
      </c>
      <c r="G29" s="323">
        <f t="array" ref="G29">SUM(IF("331"&amp;C29=KHC&amp;KH,TH))</f>
        <v>0</v>
      </c>
      <c r="H29" s="323">
        <f t="array" ref="H29">SUM(IF("331"&amp;C29=KHN&amp;KH,TH))</f>
        <v>1050000000</v>
      </c>
      <c r="I29" s="323">
        <v>967727768</v>
      </c>
      <c r="J29" s="323">
        <f>'TH - TT'!I189</f>
        <v>850000000</v>
      </c>
      <c r="K29" s="323">
        <f t="shared" si="4"/>
        <v>1526574728</v>
      </c>
      <c r="L29" s="347">
        <f t="shared" si="5"/>
        <v>200000000</v>
      </c>
    </row>
    <row r="30" spans="1:12" ht="30" customHeight="1">
      <c r="A30" s="406">
        <f t="shared" si="1"/>
        <v>26</v>
      </c>
      <c r="B30" s="404" t="s">
        <v>696</v>
      </c>
      <c r="C30" s="321" t="s">
        <v>190</v>
      </c>
      <c r="D30" s="321" t="s">
        <v>697</v>
      </c>
      <c r="E30" s="322">
        <v>893000000</v>
      </c>
      <c r="F30" s="323">
        <f t="shared" si="0"/>
        <v>1066480469</v>
      </c>
      <c r="G30" s="323">
        <f t="array" ref="G30">SUM(IF("331"&amp;C30=KHC&amp;KH,TH))</f>
        <v>1173128513</v>
      </c>
      <c r="H30" s="323">
        <f t="array" ref="H30">SUM(IF("331"&amp;C30=KHN&amp;KH,TH))</f>
        <v>1050000000</v>
      </c>
      <c r="I30" s="323">
        <f>'TH - TT'!H198</f>
        <v>1091279000</v>
      </c>
      <c r="J30" s="323">
        <f>'TH - TT'!I198</f>
        <v>950000000</v>
      </c>
      <c r="K30" s="323">
        <f t="shared" si="4"/>
        <v>1066480469</v>
      </c>
      <c r="L30" s="347">
        <f t="shared" si="5"/>
        <v>100000000</v>
      </c>
    </row>
    <row r="31" spans="1:12" ht="30" customHeight="1">
      <c r="A31" s="406">
        <f t="shared" si="1"/>
        <v>27</v>
      </c>
      <c r="B31" s="404" t="s">
        <v>698</v>
      </c>
      <c r="C31" s="321" t="s">
        <v>269</v>
      </c>
      <c r="D31" s="321" t="s">
        <v>699</v>
      </c>
      <c r="E31" s="322">
        <v>1489950000</v>
      </c>
      <c r="F31" s="323">
        <f t="shared" si="0"/>
        <v>0</v>
      </c>
      <c r="G31" s="323">
        <f t="array" ref="G31">SUM(IF("331"&amp;C31=KHC&amp;KH,TH))</f>
        <v>0</v>
      </c>
      <c r="H31" s="323">
        <f t="array" ref="H31">SUM(IF("331"&amp;C31=KHN&amp;KH,TH))</f>
        <v>1600000000</v>
      </c>
      <c r="I31" s="323">
        <v>868450000</v>
      </c>
      <c r="J31" s="323">
        <f>'TH - TT'!I208</f>
        <v>1000000000</v>
      </c>
      <c r="K31" s="323">
        <f t="shared" si="4"/>
        <v>1489950000</v>
      </c>
      <c r="L31" s="347">
        <f t="shared" si="5"/>
        <v>600000000</v>
      </c>
    </row>
    <row r="32" spans="1:12" ht="30" customHeight="1">
      <c r="A32" s="406">
        <f t="shared" si="1"/>
        <v>28</v>
      </c>
      <c r="B32" s="404" t="s">
        <v>706</v>
      </c>
      <c r="C32" s="321" t="s">
        <v>407</v>
      </c>
      <c r="D32" s="321" t="s">
        <v>707</v>
      </c>
      <c r="E32" s="322">
        <v>282530000</v>
      </c>
      <c r="F32" s="323">
        <f t="shared" si="0"/>
        <v>0</v>
      </c>
      <c r="G32" s="323">
        <f t="array" ref="G32">SUM(IF("331"&amp;C32=KHC&amp;KH,TH))</f>
        <v>0</v>
      </c>
      <c r="H32" s="323">
        <f t="array" ref="H32">SUM(IF("331"&amp;C32=KHN&amp;KH,TH))</f>
        <v>300000000</v>
      </c>
      <c r="I32" s="323">
        <f>IF(E32&gt;G32,E32,G32)</f>
        <v>282530000</v>
      </c>
      <c r="J32" s="323">
        <f>'TH - TT'!I219</f>
        <v>310000000</v>
      </c>
      <c r="K32" s="323">
        <f>IF(E32&gt;F32,E32,F32)</f>
        <v>282530000</v>
      </c>
      <c r="L32" s="347">
        <f t="shared" si="5"/>
        <v>-10000000</v>
      </c>
    </row>
    <row r="33" spans="1:12" ht="30" customHeight="1">
      <c r="A33" s="305">
        <f t="shared" si="1"/>
        <v>29</v>
      </c>
      <c r="B33" s="403"/>
      <c r="C33" s="308" t="s">
        <v>602</v>
      </c>
      <c r="D33" s="308" t="s">
        <v>599</v>
      </c>
      <c r="E33" s="309"/>
      <c r="F33" s="307">
        <f t="shared" si="0"/>
        <v>68181818</v>
      </c>
      <c r="G33" s="307">
        <f t="array" ref="G33">SUM(IF("331"&amp;C33=KHC&amp;KH,TH))</f>
        <v>75000000</v>
      </c>
      <c r="H33" s="307">
        <f t="array" ref="H33">SUM(IF("331"&amp;C33=KHN&amp;KH,TH))</f>
        <v>75000000</v>
      </c>
      <c r="I33" s="307">
        <f t="shared" ref="I33:I35" si="6">IF(E33&gt;G33,E33,G33)</f>
        <v>75000000</v>
      </c>
      <c r="J33" s="307">
        <f>H33</f>
        <v>75000000</v>
      </c>
      <c r="K33" s="307">
        <f t="shared" si="4"/>
        <v>68181818</v>
      </c>
      <c r="L33" s="347">
        <f t="shared" si="5"/>
        <v>0</v>
      </c>
    </row>
    <row r="34" spans="1:12" ht="30" customHeight="1">
      <c r="A34" s="305">
        <f t="shared" si="1"/>
        <v>30</v>
      </c>
      <c r="B34" s="403"/>
      <c r="C34" s="308" t="s">
        <v>632</v>
      </c>
      <c r="D34" s="308" t="s">
        <v>880</v>
      </c>
      <c r="E34" s="309"/>
      <c r="F34" s="307">
        <f t="shared" si="0"/>
        <v>20382000</v>
      </c>
      <c r="G34" s="307">
        <f t="array" ref="G34">SUM(IF("331"&amp;C34=KHC&amp;KH,TH))</f>
        <v>20382000</v>
      </c>
      <c r="H34" s="307">
        <f t="array" ref="H34">SUM(IF("331"&amp;C34=KHN&amp;KH,TH))</f>
        <v>20382000</v>
      </c>
      <c r="I34" s="307">
        <f t="shared" si="6"/>
        <v>20382000</v>
      </c>
      <c r="J34" s="307">
        <f t="shared" ref="J34:J35" si="7">H34</f>
        <v>20382000</v>
      </c>
      <c r="K34" s="307">
        <f t="shared" si="4"/>
        <v>20382000</v>
      </c>
      <c r="L34" s="347">
        <f t="shared" si="5"/>
        <v>0</v>
      </c>
    </row>
    <row r="35" spans="1:12" ht="30" customHeight="1">
      <c r="A35" s="305">
        <f t="shared" si="1"/>
        <v>31</v>
      </c>
      <c r="B35" s="403"/>
      <c r="C35" s="308" t="s">
        <v>791</v>
      </c>
      <c r="D35" s="308" t="s">
        <v>881</v>
      </c>
      <c r="E35" s="309"/>
      <c r="F35" s="307">
        <f t="shared" si="0"/>
        <v>15221000</v>
      </c>
      <c r="G35" s="307">
        <f t="array" ref="G35">SUM(IF("331"&amp;C35=KHC&amp;KH,TH))</f>
        <v>16743100</v>
      </c>
      <c r="H35" s="307">
        <f t="array" ref="H35">SUM(IF("331"&amp;C35=KHN&amp;KH,TH))</f>
        <v>16743100</v>
      </c>
      <c r="I35" s="307">
        <f t="shared" si="6"/>
        <v>16743100</v>
      </c>
      <c r="J35" s="307">
        <f t="shared" si="7"/>
        <v>16743100</v>
      </c>
      <c r="K35" s="307">
        <f t="shared" si="4"/>
        <v>15221000</v>
      </c>
      <c r="L35" s="347">
        <f t="shared" si="5"/>
        <v>0</v>
      </c>
    </row>
    <row r="36" spans="1:12" ht="30" customHeight="1">
      <c r="A36" s="305">
        <f t="shared" si="1"/>
        <v>32</v>
      </c>
      <c r="B36" s="405"/>
      <c r="C36" s="308" t="s">
        <v>883</v>
      </c>
      <c r="D36" s="308"/>
      <c r="E36" s="309"/>
      <c r="F36" s="307">
        <f>SUMIFS(TH,KHN,"2412",KHC,"1111")</f>
        <v>815348876</v>
      </c>
      <c r="G36" s="307">
        <f>SUMIFS(TH,KHN,"2412",KHC,"1111")</f>
        <v>815348876</v>
      </c>
      <c r="H36" s="307">
        <f>$G$36</f>
        <v>815348876</v>
      </c>
      <c r="I36" s="307">
        <f t="shared" ref="I36:J36" si="8">$G$36</f>
        <v>815348876</v>
      </c>
      <c r="J36" s="307">
        <f t="shared" si="8"/>
        <v>815348876</v>
      </c>
      <c r="K36" s="307">
        <f t="shared" si="4"/>
        <v>815348876</v>
      </c>
      <c r="L36" s="347">
        <f t="shared" si="5"/>
        <v>0</v>
      </c>
    </row>
    <row r="37" spans="1:12" ht="30" customHeight="1">
      <c r="A37" s="305">
        <f t="shared" si="1"/>
        <v>33</v>
      </c>
      <c r="B37" s="405" t="s">
        <v>240</v>
      </c>
      <c r="C37" s="308" t="s">
        <v>882</v>
      </c>
      <c r="D37" s="308"/>
      <c r="E37" s="309"/>
      <c r="F37" s="307">
        <f t="array" ref="F37">SUM(IF(B37=KHN,TH))</f>
        <v>1374345651</v>
      </c>
      <c r="G37" s="307">
        <f t="array" ref="G37">SUM(IF(B37=KHN,TH))</f>
        <v>1374345651</v>
      </c>
      <c r="H37" s="307">
        <f>$G$37</f>
        <v>1374345651</v>
      </c>
      <c r="I37" s="307">
        <f t="shared" ref="I37:J37" si="9">$G$37</f>
        <v>1374345651</v>
      </c>
      <c r="J37" s="307">
        <f t="shared" si="9"/>
        <v>1374345651</v>
      </c>
      <c r="K37" s="307">
        <f t="shared" si="4"/>
        <v>1374345651</v>
      </c>
      <c r="L37" s="347">
        <f t="shared" si="5"/>
        <v>0</v>
      </c>
    </row>
    <row r="38" spans="1:12" ht="30" customHeight="1">
      <c r="A38" s="348"/>
      <c r="B38" s="403"/>
      <c r="C38" s="308"/>
      <c r="D38" s="308"/>
      <c r="E38" s="309"/>
      <c r="F38" s="307"/>
      <c r="G38" s="307"/>
      <c r="H38" s="307"/>
      <c r="I38" s="307"/>
      <c r="J38" s="307"/>
      <c r="K38" s="307">
        <f t="shared" si="4"/>
        <v>0</v>
      </c>
      <c r="L38" s="347">
        <f t="shared" si="5"/>
        <v>0</v>
      </c>
    </row>
    <row r="39" spans="1:12" ht="30" customHeight="1">
      <c r="A39" s="310"/>
      <c r="B39" s="403"/>
      <c r="C39" s="308"/>
      <c r="D39" s="308"/>
      <c r="E39" s="309"/>
      <c r="F39" s="309"/>
      <c r="G39" s="309"/>
      <c r="H39" s="307"/>
      <c r="I39" s="307"/>
      <c r="J39" s="307"/>
      <c r="K39" s="307"/>
    </row>
    <row r="40" spans="1:12" ht="30" customHeight="1">
      <c r="A40" s="418" t="s">
        <v>710</v>
      </c>
      <c r="B40" s="418"/>
      <c r="C40" s="418"/>
      <c r="D40" s="418"/>
      <c r="E40" s="311">
        <f>SUM(E5:E39)</f>
        <v>33596180423</v>
      </c>
      <c r="F40" s="311">
        <f>SUM(F5:F39)</f>
        <v>21438581573</v>
      </c>
      <c r="G40" s="311">
        <f>SUM(G5:G39)</f>
        <v>23558116340</v>
      </c>
      <c r="H40" s="311">
        <f t="shared" ref="H40:J40" si="10">SUM(H5:H39)</f>
        <v>28111171237</v>
      </c>
      <c r="I40" s="311">
        <f t="shared" si="10"/>
        <v>31774773125</v>
      </c>
      <c r="J40" s="311">
        <f t="shared" si="10"/>
        <v>25629671237</v>
      </c>
      <c r="K40" s="311">
        <f>SUM(K5:K39)</f>
        <v>36251389746</v>
      </c>
    </row>
    <row r="41" spans="1:12" ht="30" customHeight="1">
      <c r="F41" s="199">
        <f>CDPS!$E$18</f>
        <v>21438581573</v>
      </c>
      <c r="G41" s="199"/>
    </row>
    <row r="42" spans="1:12" ht="30" customHeight="1">
      <c r="F42" s="347">
        <f>F40-F41</f>
        <v>0</v>
      </c>
      <c r="G42" s="347"/>
    </row>
  </sheetData>
  <mergeCells count="13">
    <mergeCell ref="A40:D40"/>
    <mergeCell ref="E3:E4"/>
    <mergeCell ref="K2:K4"/>
    <mergeCell ref="E2:H2"/>
    <mergeCell ref="H3:H4"/>
    <mergeCell ref="I2:J2"/>
    <mergeCell ref="A2:A4"/>
    <mergeCell ref="F3:G3"/>
    <mergeCell ref="B2:B4"/>
    <mergeCell ref="C2:C4"/>
    <mergeCell ref="D2:D4"/>
    <mergeCell ref="I3:I4"/>
    <mergeCell ref="J3:J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1" display="'TH - TT'!A141"/>
    <hyperlink ref="A25" location="'TH - TT'!A152" display="'TH - TT'!A152"/>
    <hyperlink ref="A26" location="'TH - TT'!A156" display="'TH - TT'!A156"/>
    <hyperlink ref="A27" location="'TH - TT'!A170" display="'TH - TT'!A170"/>
    <hyperlink ref="A28" location="'TH - TT'!A175" display="'TH - TT'!A175"/>
    <hyperlink ref="A29" location="'TH - TT'!A179" display="'TH - TT'!A179"/>
    <hyperlink ref="A30" location="'TH - TT'!A189" display="'TH - TT'!A189"/>
    <hyperlink ref="A31" location="'TH - TT'!A198" display="'TH - TT'!A198"/>
    <hyperlink ref="A32" location="'TH - TT'!A208" display="'TH - TT'!A208"/>
  </hyperlinks>
  <pageMargins left="0.17" right="0.13" top="0.24" bottom="0.16" header="0.3" footer="0.16"/>
  <pageSetup scale="8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55"/>
  </sheetPr>
  <dimension ref="A1:M236"/>
  <sheetViews>
    <sheetView workbookViewId="0">
      <pane xSplit="8" ySplit="4" topLeftCell="I195" activePane="bottomRight" state="frozen"/>
      <selection pane="topRight" activeCell="G1" sqref="G1"/>
      <selection pane="bottomLeft" activeCell="A5" sqref="A5"/>
      <selection pane="bottomRight" activeCell="G217" sqref="G217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9" customWidth="1"/>
    <col min="10" max="10" width="10.5703125" style="148" customWidth="1"/>
    <col min="11" max="11" width="13.85546875" style="148" customWidth="1"/>
    <col min="12" max="12" width="14.85546875" style="199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64" t="str">
        <f ca="1">"CHI PHÍ XÂY DỰNG TRÀ VINH   " &amp; TEXT(NOW(),"dd/MM/yyyy")</f>
        <v>CHI PHÍ XÂY DỰNG TRÀ VINH   21/12/2015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314"/>
    </row>
    <row r="3" spans="1:12" s="145" customFormat="1" ht="19.5" customHeight="1">
      <c r="A3" s="465" t="s">
        <v>79</v>
      </c>
      <c r="B3" s="465" t="s">
        <v>360</v>
      </c>
      <c r="C3" s="465" t="s">
        <v>361</v>
      </c>
      <c r="D3" s="465" t="s">
        <v>362</v>
      </c>
      <c r="E3" s="466" t="s">
        <v>363</v>
      </c>
      <c r="F3" s="467"/>
      <c r="G3" s="468"/>
      <c r="H3" s="466" t="s">
        <v>364</v>
      </c>
      <c r="I3" s="468"/>
      <c r="J3" s="469" t="s">
        <v>365</v>
      </c>
      <c r="K3" s="465" t="s">
        <v>366</v>
      </c>
      <c r="L3" s="201"/>
    </row>
    <row r="4" spans="1:12" s="148" customFormat="1" ht="19.5" customHeight="1">
      <c r="A4" s="465"/>
      <c r="B4" s="465"/>
      <c r="C4" s="465"/>
      <c r="D4" s="465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70"/>
      <c r="K4" s="465"/>
      <c r="L4" s="315"/>
    </row>
    <row r="5" spans="1:12" s="148" customFormat="1" ht="19.5" customHeight="1">
      <c r="A5" s="450">
        <v>1</v>
      </c>
      <c r="B5" s="457" t="s">
        <v>83</v>
      </c>
      <c r="C5" s="149" t="s">
        <v>369</v>
      </c>
      <c r="D5" s="150"/>
      <c r="E5" s="151"/>
      <c r="F5" s="151"/>
      <c r="G5" s="151"/>
      <c r="H5" s="151"/>
      <c r="I5" s="151"/>
      <c r="J5" s="150"/>
      <c r="K5" s="152"/>
      <c r="L5" s="315"/>
    </row>
    <row r="6" spans="1:12" s="148" customFormat="1" ht="19.5" customHeight="1">
      <c r="A6" s="450"/>
      <c r="B6" s="458"/>
      <c r="C6" s="149" t="s">
        <v>370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371</v>
      </c>
      <c r="L6" s="315"/>
    </row>
    <row r="7" spans="1:12" s="153" customFormat="1" ht="17.25" customHeight="1">
      <c r="A7" s="450"/>
      <c r="B7" s="458"/>
      <c r="C7" s="149" t="s">
        <v>372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373</v>
      </c>
      <c r="L7" s="316"/>
    </row>
    <row r="8" spans="1:12" s="153" customFormat="1" ht="17.25" customHeight="1">
      <c r="A8" s="450"/>
      <c r="B8" s="458"/>
      <c r="C8" s="149" t="s">
        <v>374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373</v>
      </c>
      <c r="L8" s="316"/>
    </row>
    <row r="9" spans="1:12" s="153" customFormat="1" ht="17.25" customHeight="1">
      <c r="A9" s="450"/>
      <c r="B9" s="458"/>
      <c r="C9" s="149" t="s">
        <v>375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373</v>
      </c>
      <c r="L9" s="316"/>
    </row>
    <row r="10" spans="1:12" s="153" customFormat="1" ht="17.25" customHeight="1">
      <c r="A10" s="450"/>
      <c r="B10" s="458"/>
      <c r="C10" s="149" t="s">
        <v>376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373</v>
      </c>
      <c r="L10" s="316"/>
    </row>
    <row r="11" spans="1:12" s="153" customFormat="1" ht="17.25" customHeight="1">
      <c r="A11" s="450"/>
      <c r="B11" s="458"/>
      <c r="C11" s="149" t="s">
        <v>377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373</v>
      </c>
      <c r="L11" s="316"/>
    </row>
    <row r="12" spans="1:12" s="153" customFormat="1" ht="17.25" customHeight="1">
      <c r="A12" s="450"/>
      <c r="B12" s="458"/>
      <c r="C12" s="149" t="s">
        <v>378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373</v>
      </c>
      <c r="L12" s="316"/>
    </row>
    <row r="13" spans="1:12" s="153" customFormat="1" ht="17.25" customHeight="1">
      <c r="A13" s="450"/>
      <c r="B13" s="458"/>
      <c r="C13" s="149" t="s">
        <v>379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373</v>
      </c>
      <c r="L13" s="316"/>
    </row>
    <row r="14" spans="1:12" s="153" customFormat="1" ht="17.25" customHeight="1">
      <c r="A14" s="450"/>
      <c r="B14" s="458"/>
      <c r="C14" s="154"/>
      <c r="D14" s="155"/>
      <c r="E14" s="156"/>
      <c r="F14" s="156"/>
      <c r="G14" s="151"/>
      <c r="H14" s="156"/>
      <c r="I14" s="156"/>
      <c r="J14" s="155"/>
      <c r="K14" s="229"/>
      <c r="L14" s="316"/>
    </row>
    <row r="15" spans="1:12" s="153" customFormat="1" ht="17.25" customHeight="1">
      <c r="A15" s="450"/>
      <c r="B15" s="458"/>
      <c r="C15" s="154"/>
      <c r="D15" s="155"/>
      <c r="E15" s="156"/>
      <c r="F15" s="156"/>
      <c r="G15" s="151"/>
      <c r="H15" s="156"/>
      <c r="I15" s="156"/>
      <c r="J15" s="155"/>
      <c r="K15" s="157"/>
      <c r="L15" s="316"/>
    </row>
    <row r="16" spans="1:12" s="161" customFormat="1" ht="17.25" customHeight="1">
      <c r="A16" s="450"/>
      <c r="B16" s="458"/>
      <c r="C16" s="432" t="s">
        <v>94</v>
      </c>
      <c r="D16" s="433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13"/>
    </row>
    <row r="17" spans="1:12" s="161" customFormat="1" ht="17.25" customHeight="1">
      <c r="A17" s="450"/>
      <c r="B17" s="459"/>
      <c r="C17" s="432" t="s">
        <v>380</v>
      </c>
      <c r="D17" s="433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13"/>
    </row>
    <row r="18" spans="1:12" s="153" customFormat="1" ht="17.25" customHeight="1">
      <c r="A18" s="450">
        <v>2</v>
      </c>
      <c r="B18" s="450" t="s">
        <v>108</v>
      </c>
      <c r="C18" s="152" t="s">
        <v>382</v>
      </c>
      <c r="D18" s="150">
        <v>41718</v>
      </c>
      <c r="E18" s="167">
        <v>80000000</v>
      </c>
      <c r="F18" s="220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373</v>
      </c>
      <c r="L18" s="316"/>
    </row>
    <row r="19" spans="1:12" s="161" customFormat="1" ht="17.25" customHeight="1">
      <c r="A19" s="450"/>
      <c r="B19" s="450"/>
      <c r="C19" s="432" t="s">
        <v>94</v>
      </c>
      <c r="D19" s="433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13"/>
    </row>
    <row r="20" spans="1:12" s="161" customFormat="1" ht="17.25" customHeight="1">
      <c r="A20" s="450"/>
      <c r="B20" s="450"/>
      <c r="C20" s="432" t="s">
        <v>380</v>
      </c>
      <c r="D20" s="433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13"/>
    </row>
    <row r="21" spans="1:12" s="153" customFormat="1" ht="17.25" customHeight="1">
      <c r="A21" s="450">
        <v>3</v>
      </c>
      <c r="B21" s="450" t="s">
        <v>383</v>
      </c>
      <c r="C21" s="152"/>
      <c r="D21" s="150"/>
      <c r="E21" s="167">
        <v>30800005</v>
      </c>
      <c r="F21" s="220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373</v>
      </c>
      <c r="L21" s="316"/>
    </row>
    <row r="22" spans="1:12" s="161" customFormat="1" ht="17.25" customHeight="1">
      <c r="A22" s="450"/>
      <c r="B22" s="450"/>
      <c r="C22" s="432" t="s">
        <v>94</v>
      </c>
      <c r="D22" s="433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13"/>
    </row>
    <row r="23" spans="1:12" s="161" customFormat="1" ht="17.25" customHeight="1">
      <c r="A23" s="450"/>
      <c r="B23" s="450"/>
      <c r="C23" s="432" t="s">
        <v>380</v>
      </c>
      <c r="D23" s="433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13"/>
    </row>
    <row r="24" spans="1:12" s="153" customFormat="1" ht="17.25" customHeight="1">
      <c r="A24" s="450">
        <v>4</v>
      </c>
      <c r="B24" s="450" t="s">
        <v>285</v>
      </c>
      <c r="C24" s="152"/>
      <c r="D24" s="150"/>
      <c r="E24" s="167">
        <v>30440000</v>
      </c>
      <c r="F24" s="220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373</v>
      </c>
      <c r="L24" s="316"/>
    </row>
    <row r="25" spans="1:12" s="161" customFormat="1" ht="17.25" customHeight="1">
      <c r="A25" s="450"/>
      <c r="B25" s="450"/>
      <c r="C25" s="432" t="s">
        <v>94</v>
      </c>
      <c r="D25" s="433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13"/>
    </row>
    <row r="26" spans="1:12" s="161" customFormat="1" ht="17.25" customHeight="1">
      <c r="A26" s="450"/>
      <c r="B26" s="450"/>
      <c r="C26" s="432" t="s">
        <v>380</v>
      </c>
      <c r="D26" s="433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13"/>
    </row>
    <row r="27" spans="1:12" s="153" customFormat="1" ht="18" customHeight="1">
      <c r="A27" s="450">
        <v>5</v>
      </c>
      <c r="B27" s="450" t="s">
        <v>384</v>
      </c>
      <c r="C27" s="152"/>
      <c r="D27" s="150"/>
      <c r="E27" s="167">
        <v>21610454</v>
      </c>
      <c r="F27" s="220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373</v>
      </c>
      <c r="L27" s="316"/>
    </row>
    <row r="28" spans="1:12" s="161" customFormat="1" ht="18" customHeight="1">
      <c r="A28" s="450"/>
      <c r="B28" s="450"/>
      <c r="C28" s="432" t="s">
        <v>94</v>
      </c>
      <c r="D28" s="433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13"/>
    </row>
    <row r="29" spans="1:12" s="161" customFormat="1" ht="18" customHeight="1">
      <c r="A29" s="450"/>
      <c r="B29" s="450"/>
      <c r="C29" s="432" t="s">
        <v>380</v>
      </c>
      <c r="D29" s="433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13"/>
    </row>
    <row r="30" spans="1:12" s="153" customFormat="1" ht="18" customHeight="1">
      <c r="A30" s="450">
        <v>6</v>
      </c>
      <c r="B30" s="450" t="s">
        <v>441</v>
      </c>
      <c r="C30" s="237"/>
      <c r="D30" s="240"/>
      <c r="E30" s="239">
        <v>33000000</v>
      </c>
      <c r="F30" s="239">
        <f>E30</f>
        <v>33000000</v>
      </c>
      <c r="G30" s="164">
        <f>F30</f>
        <v>33000000</v>
      </c>
      <c r="H30" s="239">
        <f>F30</f>
        <v>33000000</v>
      </c>
      <c r="I30" s="164">
        <f>F30</f>
        <v>33000000</v>
      </c>
      <c r="J30" s="238">
        <v>42235</v>
      </c>
      <c r="K30" s="236" t="s">
        <v>373</v>
      </c>
      <c r="L30" s="316"/>
    </row>
    <row r="31" spans="1:12" s="161" customFormat="1" ht="18" customHeight="1">
      <c r="A31" s="450"/>
      <c r="B31" s="450"/>
      <c r="C31" s="432" t="s">
        <v>94</v>
      </c>
      <c r="D31" s="433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13"/>
    </row>
    <row r="32" spans="1:12" s="161" customFormat="1" ht="18" customHeight="1">
      <c r="A32" s="450"/>
      <c r="B32" s="450"/>
      <c r="C32" s="432" t="s">
        <v>380</v>
      </c>
      <c r="D32" s="433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13"/>
    </row>
    <row r="33" spans="1:12" s="153" customFormat="1" ht="18" customHeight="1">
      <c r="A33" s="450">
        <v>7</v>
      </c>
      <c r="B33" s="450" t="s">
        <v>188</v>
      </c>
      <c r="C33" s="152" t="s">
        <v>385</v>
      </c>
      <c r="D33" s="150">
        <v>41904</v>
      </c>
      <c r="E33" s="167">
        <v>16327199</v>
      </c>
      <c r="F33" s="220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373</v>
      </c>
      <c r="L33" s="316"/>
    </row>
    <row r="34" spans="1:12" s="161" customFormat="1" ht="18" customHeight="1">
      <c r="A34" s="450"/>
      <c r="B34" s="450"/>
      <c r="C34" s="432" t="s">
        <v>94</v>
      </c>
      <c r="D34" s="433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13"/>
    </row>
    <row r="35" spans="1:12" s="161" customFormat="1" ht="18" customHeight="1">
      <c r="A35" s="450"/>
      <c r="B35" s="450"/>
      <c r="C35" s="432" t="s">
        <v>380</v>
      </c>
      <c r="D35" s="433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13"/>
    </row>
    <row r="36" spans="1:12" s="153" customFormat="1" ht="17.25" customHeight="1">
      <c r="A36" s="450">
        <v>8</v>
      </c>
      <c r="B36" s="450" t="s">
        <v>89</v>
      </c>
      <c r="C36" s="451" t="s">
        <v>386</v>
      </c>
      <c r="D36" s="452">
        <v>41697</v>
      </c>
      <c r="E36" s="453">
        <f>324737600+1262599800</f>
        <v>1587337400</v>
      </c>
      <c r="F36" s="453">
        <f>324737600+1262599800</f>
        <v>1587337400</v>
      </c>
      <c r="G36" s="164">
        <v>43824000</v>
      </c>
      <c r="H36" s="453">
        <f>324737600+1262599800</f>
        <v>1587337400</v>
      </c>
      <c r="I36" s="164">
        <v>43824000</v>
      </c>
      <c r="J36" s="168">
        <v>41664</v>
      </c>
      <c r="K36" s="157" t="s">
        <v>373</v>
      </c>
      <c r="L36" s="316"/>
    </row>
    <row r="37" spans="1:12" s="153" customFormat="1" ht="17.25" customHeight="1">
      <c r="A37" s="450"/>
      <c r="B37" s="450"/>
      <c r="C37" s="451"/>
      <c r="D37" s="451"/>
      <c r="E37" s="453"/>
      <c r="F37" s="453"/>
      <c r="G37" s="151">
        <v>76462320</v>
      </c>
      <c r="H37" s="453"/>
      <c r="I37" s="151">
        <v>76462320</v>
      </c>
      <c r="J37" s="150">
        <v>41699</v>
      </c>
      <c r="K37" s="152" t="s">
        <v>373</v>
      </c>
      <c r="L37" s="316"/>
    </row>
    <row r="38" spans="1:12" s="153" customFormat="1" ht="17.25" customHeight="1">
      <c r="A38" s="450"/>
      <c r="B38" s="450"/>
      <c r="C38" s="451"/>
      <c r="D38" s="451"/>
      <c r="E38" s="453"/>
      <c r="F38" s="453"/>
      <c r="G38" s="151">
        <v>133147080</v>
      </c>
      <c r="H38" s="453"/>
      <c r="I38" s="151">
        <v>133147080</v>
      </c>
      <c r="J38" s="150">
        <v>41718</v>
      </c>
      <c r="K38" s="152" t="s">
        <v>373</v>
      </c>
      <c r="L38" s="316"/>
    </row>
    <row r="39" spans="1:12" s="153" customFormat="1" ht="17.25" customHeight="1">
      <c r="A39" s="450"/>
      <c r="B39" s="450"/>
      <c r="C39" s="451"/>
      <c r="D39" s="451"/>
      <c r="E39" s="453"/>
      <c r="F39" s="453"/>
      <c r="G39" s="151">
        <v>378779940</v>
      </c>
      <c r="H39" s="453"/>
      <c r="I39" s="151">
        <v>378779940</v>
      </c>
      <c r="J39" s="150">
        <v>41834</v>
      </c>
      <c r="K39" s="152" t="s">
        <v>373</v>
      </c>
      <c r="L39" s="316"/>
    </row>
    <row r="40" spans="1:12" s="153" customFormat="1" ht="17.25" customHeight="1">
      <c r="A40" s="450"/>
      <c r="B40" s="450"/>
      <c r="C40" s="451"/>
      <c r="D40" s="451"/>
      <c r="E40" s="453"/>
      <c r="F40" s="453"/>
      <c r="G40" s="156">
        <v>252519960</v>
      </c>
      <c r="H40" s="453"/>
      <c r="I40" s="156">
        <v>252519960</v>
      </c>
      <c r="J40" s="155">
        <v>41865</v>
      </c>
      <c r="K40" s="169" t="s">
        <v>373</v>
      </c>
      <c r="L40" s="316"/>
    </row>
    <row r="41" spans="1:12" s="153" customFormat="1" ht="17.25" customHeight="1">
      <c r="A41" s="450"/>
      <c r="B41" s="450"/>
      <c r="C41" s="451"/>
      <c r="D41" s="451"/>
      <c r="E41" s="453"/>
      <c r="F41" s="453"/>
      <c r="G41" s="151">
        <v>378779940</v>
      </c>
      <c r="H41" s="453"/>
      <c r="I41" s="151">
        <v>378779940</v>
      </c>
      <c r="J41" s="150">
        <v>41871</v>
      </c>
      <c r="K41" s="169" t="s">
        <v>373</v>
      </c>
      <c r="L41" s="316"/>
    </row>
    <row r="42" spans="1:12" s="153" customFormat="1" ht="17.25" customHeight="1">
      <c r="A42" s="450"/>
      <c r="B42" s="450"/>
      <c r="C42" s="451"/>
      <c r="D42" s="451"/>
      <c r="E42" s="453"/>
      <c r="F42" s="453"/>
      <c r="G42" s="170">
        <v>323824160</v>
      </c>
      <c r="H42" s="453"/>
      <c r="I42" s="170">
        <v>323824160</v>
      </c>
      <c r="J42" s="171">
        <v>41928</v>
      </c>
      <c r="K42" s="169" t="s">
        <v>373</v>
      </c>
      <c r="L42" s="316"/>
    </row>
    <row r="43" spans="1:12" s="161" customFormat="1" ht="18" customHeight="1">
      <c r="A43" s="450"/>
      <c r="B43" s="450"/>
      <c r="C43" s="432" t="s">
        <v>94</v>
      </c>
      <c r="D43" s="433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13"/>
    </row>
    <row r="44" spans="1:12" s="161" customFormat="1" ht="18" customHeight="1">
      <c r="A44" s="450"/>
      <c r="B44" s="450"/>
      <c r="C44" s="432" t="s">
        <v>380</v>
      </c>
      <c r="D44" s="433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13"/>
    </row>
    <row r="45" spans="1:12" s="153" customFormat="1" ht="17.25" customHeight="1">
      <c r="A45" s="450">
        <v>9</v>
      </c>
      <c r="B45" s="450" t="s">
        <v>91</v>
      </c>
      <c r="C45" s="451" t="s">
        <v>388</v>
      </c>
      <c r="D45" s="452">
        <v>41627</v>
      </c>
      <c r="E45" s="453">
        <v>289000000</v>
      </c>
      <c r="F45" s="453">
        <v>289000000</v>
      </c>
      <c r="G45" s="151">
        <v>20000000</v>
      </c>
      <c r="H45" s="453">
        <v>289000000</v>
      </c>
      <c r="I45" s="151">
        <v>20000000</v>
      </c>
      <c r="J45" s="168">
        <v>41664</v>
      </c>
      <c r="K45" s="157" t="s">
        <v>373</v>
      </c>
      <c r="L45" s="316"/>
    </row>
    <row r="46" spans="1:12" s="153" customFormat="1" ht="17.25" customHeight="1">
      <c r="A46" s="450"/>
      <c r="B46" s="450"/>
      <c r="C46" s="451"/>
      <c r="D46" s="451"/>
      <c r="E46" s="453"/>
      <c r="F46" s="453"/>
      <c r="G46" s="151">
        <v>20000000</v>
      </c>
      <c r="H46" s="453"/>
      <c r="I46" s="151">
        <v>20000000</v>
      </c>
      <c r="J46" s="168">
        <v>41843</v>
      </c>
      <c r="K46" s="157" t="s">
        <v>373</v>
      </c>
      <c r="L46" s="316"/>
    </row>
    <row r="47" spans="1:12" s="153" customFormat="1" ht="17.25" customHeight="1">
      <c r="A47" s="450"/>
      <c r="B47" s="450"/>
      <c r="C47" s="451"/>
      <c r="D47" s="451"/>
      <c r="E47" s="453"/>
      <c r="F47" s="453"/>
      <c r="G47" s="151">
        <v>50000000</v>
      </c>
      <c r="H47" s="453"/>
      <c r="I47" s="151">
        <v>50000000</v>
      </c>
      <c r="J47" s="168">
        <v>41851</v>
      </c>
      <c r="K47" s="157" t="s">
        <v>373</v>
      </c>
      <c r="L47" s="316"/>
    </row>
    <row r="48" spans="1:12" s="153" customFormat="1" ht="17.25" customHeight="1">
      <c r="A48" s="450"/>
      <c r="B48" s="450"/>
      <c r="C48" s="451"/>
      <c r="D48" s="451"/>
      <c r="E48" s="453"/>
      <c r="F48" s="453"/>
      <c r="G48" s="151">
        <v>50000000</v>
      </c>
      <c r="H48" s="453"/>
      <c r="I48" s="151">
        <v>50000000</v>
      </c>
      <c r="J48" s="150">
        <v>41858</v>
      </c>
      <c r="K48" s="152" t="s">
        <v>373</v>
      </c>
      <c r="L48" s="316"/>
    </row>
    <row r="49" spans="1:12" s="153" customFormat="1" ht="17.25" customHeight="1">
      <c r="A49" s="450"/>
      <c r="B49" s="450"/>
      <c r="C49" s="451"/>
      <c r="D49" s="451"/>
      <c r="E49" s="453"/>
      <c r="F49" s="453"/>
      <c r="G49" s="151">
        <v>50000000</v>
      </c>
      <c r="H49" s="453"/>
      <c r="I49" s="151">
        <v>50000000</v>
      </c>
      <c r="J49" s="150">
        <v>41871</v>
      </c>
      <c r="K49" s="152" t="s">
        <v>373</v>
      </c>
      <c r="L49" s="316"/>
    </row>
    <row r="50" spans="1:12" s="153" customFormat="1" ht="17.25" customHeight="1">
      <c r="A50" s="450"/>
      <c r="B50" s="450"/>
      <c r="C50" s="451"/>
      <c r="D50" s="451"/>
      <c r="E50" s="453"/>
      <c r="F50" s="453"/>
      <c r="G50" s="151">
        <v>50000000</v>
      </c>
      <c r="H50" s="453"/>
      <c r="I50" s="151">
        <v>50000000</v>
      </c>
      <c r="J50" s="155">
        <v>41894</v>
      </c>
      <c r="K50" s="152" t="s">
        <v>373</v>
      </c>
      <c r="L50" s="316"/>
    </row>
    <row r="51" spans="1:12" s="153" customFormat="1" ht="17.25" customHeight="1">
      <c r="A51" s="450"/>
      <c r="B51" s="450"/>
      <c r="C51" s="451"/>
      <c r="D51" s="451"/>
      <c r="E51" s="453"/>
      <c r="F51" s="453"/>
      <c r="G51" s="170">
        <v>49000000</v>
      </c>
      <c r="H51" s="453"/>
      <c r="I51" s="170">
        <v>49000000</v>
      </c>
      <c r="J51" s="171">
        <v>41942</v>
      </c>
      <c r="K51" s="152" t="s">
        <v>373</v>
      </c>
      <c r="L51" s="316"/>
    </row>
    <row r="52" spans="1:12" s="161" customFormat="1" ht="18" customHeight="1">
      <c r="A52" s="450"/>
      <c r="B52" s="450"/>
      <c r="C52" s="432" t="s">
        <v>94</v>
      </c>
      <c r="D52" s="433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13"/>
    </row>
    <row r="53" spans="1:12" s="161" customFormat="1" ht="18" customHeight="1">
      <c r="A53" s="450"/>
      <c r="B53" s="450"/>
      <c r="C53" s="432" t="s">
        <v>380</v>
      </c>
      <c r="D53" s="433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13"/>
    </row>
    <row r="54" spans="1:12" ht="16.5" customHeight="1">
      <c r="A54" s="437">
        <v>10</v>
      </c>
      <c r="B54" s="425" t="s">
        <v>305</v>
      </c>
      <c r="C54" s="438" t="s">
        <v>405</v>
      </c>
      <c r="D54" s="428">
        <v>42182</v>
      </c>
      <c r="E54" s="430">
        <v>150126466</v>
      </c>
      <c r="F54" s="430">
        <v>150126466</v>
      </c>
      <c r="G54" s="172">
        <v>45000000</v>
      </c>
      <c r="H54" s="430">
        <v>150126466</v>
      </c>
      <c r="I54" s="172">
        <v>45000000</v>
      </c>
      <c r="J54" s="176">
        <v>42185</v>
      </c>
      <c r="K54" s="174" t="s">
        <v>373</v>
      </c>
    </row>
    <row r="55" spans="1:12" ht="16.5" customHeight="1">
      <c r="A55" s="437"/>
      <c r="B55" s="425"/>
      <c r="C55" s="427"/>
      <c r="D55" s="427"/>
      <c r="E55" s="431"/>
      <c r="F55" s="431"/>
      <c r="G55" s="138">
        <v>105126466</v>
      </c>
      <c r="H55" s="431"/>
      <c r="I55" s="138">
        <v>105126466</v>
      </c>
      <c r="J55" s="176">
        <v>42195</v>
      </c>
      <c r="K55" s="174" t="s">
        <v>373</v>
      </c>
    </row>
    <row r="56" spans="1:12" ht="16.5" customHeight="1">
      <c r="A56" s="437"/>
      <c r="B56" s="425"/>
      <c r="C56" s="284"/>
      <c r="D56" s="285"/>
      <c r="E56" s="281"/>
      <c r="F56" s="281"/>
      <c r="G56" s="281"/>
      <c r="H56" s="281"/>
      <c r="I56" s="281"/>
      <c r="J56" s="280"/>
      <c r="K56" s="279"/>
    </row>
    <row r="57" spans="1:12" s="161" customFormat="1" ht="18" customHeight="1">
      <c r="A57" s="437"/>
      <c r="B57" s="425"/>
      <c r="C57" s="432" t="s">
        <v>94</v>
      </c>
      <c r="D57" s="433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13"/>
    </row>
    <row r="58" spans="1:12" s="161" customFormat="1" ht="18" customHeight="1">
      <c r="A58" s="437"/>
      <c r="B58" s="425"/>
      <c r="C58" s="432" t="s">
        <v>380</v>
      </c>
      <c r="D58" s="433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13"/>
    </row>
    <row r="59" spans="1:12" ht="16.5" customHeight="1">
      <c r="A59" s="437">
        <v>11</v>
      </c>
      <c r="B59" s="425" t="s">
        <v>357</v>
      </c>
      <c r="C59" s="210" t="s">
        <v>426</v>
      </c>
      <c r="D59" s="211">
        <v>42206</v>
      </c>
      <c r="E59" s="212">
        <v>53060000</v>
      </c>
      <c r="F59" s="223">
        <f>E59</f>
        <v>53060000</v>
      </c>
      <c r="G59" s="212">
        <v>53060000</v>
      </c>
      <c r="H59" s="212">
        <v>53060000</v>
      </c>
      <c r="I59" s="212">
        <v>53060000</v>
      </c>
      <c r="J59" s="207">
        <v>42212</v>
      </c>
      <c r="K59" s="213" t="s">
        <v>373</v>
      </c>
    </row>
    <row r="60" spans="1:12" s="161" customFormat="1" ht="18" customHeight="1">
      <c r="A60" s="437"/>
      <c r="B60" s="425"/>
      <c r="C60" s="432" t="s">
        <v>94</v>
      </c>
      <c r="D60" s="433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13"/>
    </row>
    <row r="61" spans="1:12" s="161" customFormat="1" ht="18" customHeight="1">
      <c r="A61" s="437"/>
      <c r="B61" s="425"/>
      <c r="C61" s="432" t="s">
        <v>380</v>
      </c>
      <c r="D61" s="433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13"/>
    </row>
    <row r="62" spans="1:12" ht="17.25" customHeight="1">
      <c r="A62" s="437">
        <v>12</v>
      </c>
      <c r="B62" s="437" t="s">
        <v>90</v>
      </c>
      <c r="C62" s="446" t="s">
        <v>389</v>
      </c>
      <c r="D62" s="447">
        <v>41353</v>
      </c>
      <c r="E62" s="439"/>
      <c r="F62" s="439">
        <v>100000000</v>
      </c>
      <c r="G62" s="177">
        <v>30000000</v>
      </c>
      <c r="H62" s="439">
        <v>100000000</v>
      </c>
      <c r="I62" s="177">
        <v>30000000</v>
      </c>
      <c r="J62" s="173">
        <v>41723</v>
      </c>
      <c r="K62" s="174" t="s">
        <v>373</v>
      </c>
    </row>
    <row r="63" spans="1:12" ht="17.25" customHeight="1">
      <c r="A63" s="437"/>
      <c r="B63" s="437"/>
      <c r="C63" s="446"/>
      <c r="D63" s="447"/>
      <c r="E63" s="439"/>
      <c r="F63" s="439"/>
      <c r="G63" s="172">
        <v>30000000</v>
      </c>
      <c r="H63" s="439"/>
      <c r="I63" s="172">
        <v>30000000</v>
      </c>
      <c r="J63" s="176">
        <v>41813</v>
      </c>
      <c r="K63" s="178" t="s">
        <v>373</v>
      </c>
    </row>
    <row r="64" spans="1:12" s="161" customFormat="1" ht="18" customHeight="1">
      <c r="A64" s="437"/>
      <c r="B64" s="437"/>
      <c r="C64" s="432" t="s">
        <v>94</v>
      </c>
      <c r="D64" s="433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13"/>
    </row>
    <row r="65" spans="1:13" s="161" customFormat="1" ht="18" customHeight="1">
      <c r="A65" s="437"/>
      <c r="B65" s="437"/>
      <c r="C65" s="432" t="s">
        <v>380</v>
      </c>
      <c r="D65" s="433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13"/>
    </row>
    <row r="66" spans="1:13" s="153" customFormat="1" ht="17.25" customHeight="1">
      <c r="A66" s="457">
        <v>13</v>
      </c>
      <c r="B66" s="457" t="s">
        <v>86</v>
      </c>
      <c r="C66" s="462" t="s">
        <v>381</v>
      </c>
      <c r="D66" s="463">
        <v>41292</v>
      </c>
      <c r="E66" s="460">
        <v>60500000</v>
      </c>
      <c r="F66" s="460">
        <v>60500000</v>
      </c>
      <c r="G66" s="164">
        <v>27500000</v>
      </c>
      <c r="H66" s="471">
        <v>60500000</v>
      </c>
      <c r="I66" s="164">
        <v>27500000</v>
      </c>
      <c r="J66" s="165">
        <v>41641</v>
      </c>
      <c r="K66" s="157" t="s">
        <v>373</v>
      </c>
      <c r="L66" s="316"/>
    </row>
    <row r="67" spans="1:13" s="153" customFormat="1" ht="17.25" customHeight="1">
      <c r="A67" s="458"/>
      <c r="B67" s="458"/>
      <c r="C67" s="451"/>
      <c r="D67" s="451"/>
      <c r="E67" s="461"/>
      <c r="F67" s="461"/>
      <c r="G67" s="151">
        <v>33000000</v>
      </c>
      <c r="H67" s="453"/>
      <c r="I67" s="151">
        <v>33000000</v>
      </c>
      <c r="J67" s="166">
        <v>41775</v>
      </c>
      <c r="K67" s="157" t="s">
        <v>373</v>
      </c>
      <c r="L67" s="316"/>
    </row>
    <row r="68" spans="1:13" s="161" customFormat="1" ht="17.25" customHeight="1">
      <c r="A68" s="458"/>
      <c r="B68" s="458"/>
      <c r="C68" s="432" t="s">
        <v>94</v>
      </c>
      <c r="D68" s="433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13"/>
    </row>
    <row r="69" spans="1:13" s="161" customFormat="1" ht="17.25" customHeight="1">
      <c r="A69" s="458"/>
      <c r="B69" s="458"/>
      <c r="C69" s="432" t="s">
        <v>380</v>
      </c>
      <c r="D69" s="433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13"/>
    </row>
    <row r="70" spans="1:13" s="153" customFormat="1" ht="17.25" customHeight="1">
      <c r="A70" s="458"/>
      <c r="B70" s="458"/>
      <c r="C70" s="462" t="s">
        <v>453</v>
      </c>
      <c r="D70" s="463">
        <v>42217</v>
      </c>
      <c r="E70" s="460"/>
      <c r="F70" s="460">
        <v>428000000</v>
      </c>
      <c r="G70" s="164">
        <v>128400000</v>
      </c>
      <c r="H70" s="460">
        <v>428000000</v>
      </c>
      <c r="I70" s="164">
        <v>128400000</v>
      </c>
      <c r="J70" s="165">
        <v>42236</v>
      </c>
      <c r="K70" s="229" t="s">
        <v>373</v>
      </c>
      <c r="L70" s="316"/>
    </row>
    <row r="71" spans="1:13" s="153" customFormat="1" ht="17.25" customHeight="1">
      <c r="A71" s="458"/>
      <c r="B71" s="458"/>
      <c r="C71" s="451"/>
      <c r="D71" s="451"/>
      <c r="E71" s="461"/>
      <c r="F71" s="461"/>
      <c r="G71" s="151"/>
      <c r="H71" s="461"/>
      <c r="I71" s="151"/>
      <c r="J71" s="166"/>
      <c r="K71" s="229"/>
      <c r="L71" s="316"/>
    </row>
    <row r="72" spans="1:13" s="161" customFormat="1" ht="17.25" customHeight="1">
      <c r="A72" s="458"/>
      <c r="B72" s="458"/>
      <c r="C72" s="432" t="s">
        <v>94</v>
      </c>
      <c r="D72" s="433"/>
      <c r="E72" s="158">
        <f>SUM(E70:E71)</f>
        <v>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13"/>
    </row>
    <row r="73" spans="1:13" s="161" customFormat="1" ht="17.25" customHeight="1">
      <c r="A73" s="459"/>
      <c r="B73" s="459"/>
      <c r="C73" s="432" t="s">
        <v>380</v>
      </c>
      <c r="D73" s="433"/>
      <c r="E73" s="162"/>
      <c r="F73" s="162"/>
      <c r="G73" s="163">
        <f>E72-G72</f>
        <v>-128400000</v>
      </c>
      <c r="H73" s="162"/>
      <c r="I73" s="163">
        <f>H72-I72</f>
        <v>299600000</v>
      </c>
      <c r="J73" s="159"/>
      <c r="K73" s="160"/>
      <c r="L73" s="313"/>
      <c r="M73" s="312"/>
    </row>
    <row r="74" spans="1:13" ht="17.25" customHeight="1">
      <c r="A74" s="437">
        <v>14</v>
      </c>
      <c r="B74" s="437" t="s">
        <v>109</v>
      </c>
      <c r="C74" s="446" t="s">
        <v>389</v>
      </c>
      <c r="D74" s="447">
        <v>41353</v>
      </c>
      <c r="E74" s="439"/>
      <c r="F74" s="439">
        <v>200000000</v>
      </c>
      <c r="G74" s="172">
        <f>IF(I74&gt;0,I74,0)</f>
        <v>50000000</v>
      </c>
      <c r="H74" s="439">
        <v>200000000</v>
      </c>
      <c r="I74" s="177">
        <v>50000000</v>
      </c>
      <c r="J74" s="173">
        <v>41871</v>
      </c>
      <c r="K74" s="174" t="s">
        <v>373</v>
      </c>
    </row>
    <row r="75" spans="1:13" ht="17.25" customHeight="1">
      <c r="A75" s="437"/>
      <c r="B75" s="437"/>
      <c r="C75" s="446"/>
      <c r="D75" s="447"/>
      <c r="E75" s="439"/>
      <c r="F75" s="439"/>
      <c r="G75" s="172">
        <f t="shared" ref="G75:G77" si="1">IF(I75&gt;0,I75,0)</f>
        <v>50000000</v>
      </c>
      <c r="H75" s="439"/>
      <c r="I75" s="177">
        <v>50000000</v>
      </c>
      <c r="J75" s="176">
        <v>42034</v>
      </c>
      <c r="K75" s="174" t="s">
        <v>373</v>
      </c>
    </row>
    <row r="76" spans="1:13" ht="17.25" customHeight="1">
      <c r="A76" s="437"/>
      <c r="B76" s="437"/>
      <c r="C76" s="446"/>
      <c r="D76" s="447"/>
      <c r="E76" s="439"/>
      <c r="F76" s="439"/>
      <c r="G76" s="172">
        <f t="shared" si="1"/>
        <v>50000000</v>
      </c>
      <c r="H76" s="439"/>
      <c r="I76" s="177">
        <v>50000000</v>
      </c>
      <c r="J76" s="176">
        <v>42144</v>
      </c>
      <c r="K76" s="174" t="s">
        <v>373</v>
      </c>
    </row>
    <row r="77" spans="1:13" ht="17.25" customHeight="1">
      <c r="A77" s="437"/>
      <c r="B77" s="437"/>
      <c r="C77" s="446"/>
      <c r="D77" s="447"/>
      <c r="E77" s="439"/>
      <c r="F77" s="439"/>
      <c r="G77" s="172">
        <f t="shared" si="1"/>
        <v>0</v>
      </c>
      <c r="H77" s="439"/>
      <c r="I77" s="151"/>
      <c r="J77" s="183"/>
      <c r="K77" s="184"/>
    </row>
    <row r="78" spans="1:13" s="161" customFormat="1" ht="18" customHeight="1">
      <c r="A78" s="437"/>
      <c r="B78" s="437"/>
      <c r="C78" s="432" t="s">
        <v>94</v>
      </c>
      <c r="D78" s="433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13"/>
    </row>
    <row r="79" spans="1:13" s="161" customFormat="1" ht="18" customHeight="1">
      <c r="A79" s="437"/>
      <c r="B79" s="437"/>
      <c r="C79" s="432" t="s">
        <v>380</v>
      </c>
      <c r="D79" s="433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13"/>
    </row>
    <row r="80" spans="1:13" ht="16.5" customHeight="1">
      <c r="A80" s="437">
        <v>15</v>
      </c>
      <c r="B80" s="437" t="s">
        <v>400</v>
      </c>
      <c r="C80" s="446" t="s">
        <v>401</v>
      </c>
      <c r="D80" s="447">
        <v>42118</v>
      </c>
      <c r="E80" s="439">
        <v>255297700</v>
      </c>
      <c r="F80" s="439">
        <v>255297700</v>
      </c>
      <c r="G80" s="172">
        <v>100000000</v>
      </c>
      <c r="H80" s="439">
        <v>255297700</v>
      </c>
      <c r="I80" s="172">
        <v>100000000</v>
      </c>
      <c r="J80" s="176">
        <v>42131</v>
      </c>
      <c r="K80" s="174" t="s">
        <v>373</v>
      </c>
    </row>
    <row r="81" spans="1:12" ht="16.5" customHeight="1">
      <c r="A81" s="437"/>
      <c r="B81" s="437"/>
      <c r="C81" s="446"/>
      <c r="D81" s="447"/>
      <c r="E81" s="439"/>
      <c r="F81" s="439"/>
      <c r="G81" s="172">
        <v>100000000</v>
      </c>
      <c r="H81" s="439"/>
      <c r="I81" s="172">
        <v>100000000</v>
      </c>
      <c r="J81" s="176">
        <v>42157</v>
      </c>
      <c r="K81" s="174" t="s">
        <v>373</v>
      </c>
    </row>
    <row r="82" spans="1:12" ht="16.5" customHeight="1">
      <c r="A82" s="437"/>
      <c r="B82" s="437"/>
      <c r="C82" s="446"/>
      <c r="D82" s="447"/>
      <c r="E82" s="439"/>
      <c r="F82" s="439"/>
      <c r="G82" s="172">
        <v>55297700</v>
      </c>
      <c r="H82" s="439"/>
      <c r="I82" s="172">
        <v>55297700</v>
      </c>
      <c r="J82" s="176">
        <v>42195</v>
      </c>
      <c r="K82" s="174" t="s">
        <v>373</v>
      </c>
    </row>
    <row r="83" spans="1:12" s="161" customFormat="1" ht="18" customHeight="1">
      <c r="A83" s="437"/>
      <c r="B83" s="437"/>
      <c r="C83" s="432" t="s">
        <v>94</v>
      </c>
      <c r="D83" s="433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13"/>
    </row>
    <row r="84" spans="1:12" s="161" customFormat="1" ht="18" customHeight="1">
      <c r="A84" s="437"/>
      <c r="B84" s="437"/>
      <c r="C84" s="432" t="s">
        <v>380</v>
      </c>
      <c r="D84" s="433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13"/>
    </row>
    <row r="85" spans="1:12" ht="16.5" customHeight="1">
      <c r="A85" s="437"/>
      <c r="B85" s="437"/>
      <c r="C85" s="446" t="s">
        <v>494</v>
      </c>
      <c r="D85" s="447">
        <v>42203</v>
      </c>
      <c r="E85" s="439">
        <f>188280000+102950000+150022500+59760000+114906620</f>
        <v>615919120</v>
      </c>
      <c r="F85" s="439">
        <f>188280000+102950000+150022500</f>
        <v>441252500</v>
      </c>
      <c r="G85" s="172">
        <v>100000000</v>
      </c>
      <c r="H85" s="439">
        <f>188280000+102950000+150022500+59760000+114906620</f>
        <v>615919120</v>
      </c>
      <c r="I85" s="172">
        <v>100000000</v>
      </c>
      <c r="J85" s="176">
        <v>42174</v>
      </c>
      <c r="K85" s="174" t="s">
        <v>373</v>
      </c>
    </row>
    <row r="86" spans="1:12" ht="16.5" customHeight="1">
      <c r="A86" s="437"/>
      <c r="B86" s="437"/>
      <c r="C86" s="446"/>
      <c r="D86" s="447"/>
      <c r="E86" s="439"/>
      <c r="F86" s="439"/>
      <c r="G86" s="172">
        <v>200000000</v>
      </c>
      <c r="H86" s="439"/>
      <c r="I86" s="172">
        <v>200000000</v>
      </c>
      <c r="J86" s="176">
        <v>42212</v>
      </c>
      <c r="K86" s="174" t="s">
        <v>373</v>
      </c>
    </row>
    <row r="87" spans="1:12" ht="16.5" customHeight="1">
      <c r="A87" s="437"/>
      <c r="B87" s="437"/>
      <c r="C87" s="446"/>
      <c r="D87" s="447"/>
      <c r="E87" s="439"/>
      <c r="F87" s="439"/>
      <c r="G87" s="172">
        <f>I87</f>
        <v>201012500</v>
      </c>
      <c r="H87" s="439"/>
      <c r="I87" s="172">
        <v>201012500</v>
      </c>
      <c r="J87" s="176">
        <v>42266</v>
      </c>
      <c r="K87" s="174" t="s">
        <v>373</v>
      </c>
    </row>
    <row r="88" spans="1:12" ht="16.5" customHeight="1">
      <c r="A88" s="437"/>
      <c r="B88" s="437"/>
      <c r="C88" s="284"/>
      <c r="D88" s="286"/>
      <c r="E88" s="281"/>
      <c r="F88" s="281"/>
      <c r="G88" s="287"/>
      <c r="H88" s="281"/>
      <c r="I88" s="287"/>
      <c r="J88" s="280"/>
      <c r="K88" s="279"/>
    </row>
    <row r="89" spans="1:12" s="161" customFormat="1" ht="18" customHeight="1">
      <c r="A89" s="437"/>
      <c r="B89" s="437"/>
      <c r="C89" s="432" t="s">
        <v>94</v>
      </c>
      <c r="D89" s="433"/>
      <c r="E89" s="158">
        <f>SUM(E85:E87)</f>
        <v>615919120</v>
      </c>
      <c r="F89" s="158">
        <f>SUM(F85:F87)</f>
        <v>441252500</v>
      </c>
      <c r="G89" s="158">
        <f>SUM(G85:G87)</f>
        <v>501012500</v>
      </c>
      <c r="H89" s="158">
        <f>SUM(H85:H87)</f>
        <v>615919120</v>
      </c>
      <c r="I89" s="158">
        <f>SUM(I85:I87)</f>
        <v>501012500</v>
      </c>
      <c r="J89" s="159"/>
      <c r="K89" s="160" t="s">
        <v>42</v>
      </c>
      <c r="L89" s="313"/>
    </row>
    <row r="90" spans="1:12" s="161" customFormat="1" ht="18" customHeight="1">
      <c r="A90" s="437"/>
      <c r="B90" s="437"/>
      <c r="C90" s="432" t="s">
        <v>380</v>
      </c>
      <c r="D90" s="433"/>
      <c r="E90" s="162"/>
      <c r="F90" s="162"/>
      <c r="G90" s="163">
        <f>E89-G89</f>
        <v>114906620</v>
      </c>
      <c r="H90" s="162"/>
      <c r="I90" s="163">
        <f>H89-I89</f>
        <v>114906620</v>
      </c>
      <c r="J90" s="159"/>
      <c r="K90" s="160"/>
      <c r="L90" s="313"/>
    </row>
    <row r="91" spans="1:12" ht="16.5" customHeight="1">
      <c r="A91" s="437">
        <v>16</v>
      </c>
      <c r="B91" s="425" t="s">
        <v>302</v>
      </c>
      <c r="C91" s="438" t="s">
        <v>404</v>
      </c>
      <c r="D91" s="428"/>
      <c r="E91" s="430">
        <f>399000000</f>
        <v>399000000</v>
      </c>
      <c r="F91" s="430">
        <v>570000000</v>
      </c>
      <c r="G91" s="172">
        <v>171000000</v>
      </c>
      <c r="H91" s="430">
        <v>570000000</v>
      </c>
      <c r="I91" s="172">
        <v>171000000</v>
      </c>
      <c r="J91" s="176">
        <v>42174</v>
      </c>
      <c r="K91" s="174" t="s">
        <v>373</v>
      </c>
    </row>
    <row r="92" spans="1:12" ht="16.5" customHeight="1">
      <c r="A92" s="437"/>
      <c r="B92" s="425"/>
      <c r="C92" s="427"/>
      <c r="D92" s="429"/>
      <c r="E92" s="431"/>
      <c r="F92" s="431"/>
      <c r="G92" s="172">
        <v>228000000</v>
      </c>
      <c r="H92" s="431"/>
      <c r="I92" s="172">
        <v>228000000</v>
      </c>
      <c r="J92" s="176">
        <v>42251</v>
      </c>
      <c r="K92" s="245" t="s">
        <v>373</v>
      </c>
    </row>
    <row r="93" spans="1:12" ht="16.5" customHeight="1">
      <c r="A93" s="437"/>
      <c r="B93" s="425"/>
      <c r="C93" s="427"/>
      <c r="D93" s="427"/>
      <c r="E93" s="431"/>
      <c r="F93" s="431"/>
      <c r="G93" s="138"/>
      <c r="H93" s="431"/>
      <c r="I93" s="151"/>
      <c r="J93" s="176"/>
      <c r="K93" s="190"/>
    </row>
    <row r="94" spans="1:12" s="161" customFormat="1" ht="18" customHeight="1">
      <c r="A94" s="437"/>
      <c r="B94" s="425"/>
      <c r="C94" s="432" t="s">
        <v>94</v>
      </c>
      <c r="D94" s="433"/>
      <c r="E94" s="158">
        <f>SUM(E91:E93)</f>
        <v>399000000</v>
      </c>
      <c r="F94" s="158">
        <f>SUM(F91:F93)</f>
        <v>570000000</v>
      </c>
      <c r="G94" s="158">
        <f>SUM(G91:G93)</f>
        <v>399000000</v>
      </c>
      <c r="H94" s="158">
        <f>SUM(H91:H93)</f>
        <v>570000000</v>
      </c>
      <c r="I94" s="158">
        <f>SUM(I91:I93)</f>
        <v>399000000</v>
      </c>
      <c r="J94" s="159"/>
      <c r="K94" s="160" t="s">
        <v>42</v>
      </c>
      <c r="L94" s="313"/>
    </row>
    <row r="95" spans="1:12" s="161" customFormat="1" ht="18" customHeight="1">
      <c r="A95" s="437"/>
      <c r="B95" s="425"/>
      <c r="C95" s="432" t="s">
        <v>380</v>
      </c>
      <c r="D95" s="433"/>
      <c r="E95" s="162"/>
      <c r="F95" s="162"/>
      <c r="G95" s="163">
        <f>E94-G94</f>
        <v>0</v>
      </c>
      <c r="H95" s="162"/>
      <c r="I95" s="163">
        <f>H94-I94</f>
        <v>171000000</v>
      </c>
      <c r="J95" s="159"/>
      <c r="K95" s="160"/>
      <c r="L95" s="313"/>
    </row>
    <row r="96" spans="1:12" ht="16.5" customHeight="1">
      <c r="A96" s="437">
        <v>17</v>
      </c>
      <c r="B96" s="425" t="s">
        <v>454</v>
      </c>
      <c r="C96" s="426" t="s">
        <v>442</v>
      </c>
      <c r="D96" s="428">
        <v>42230</v>
      </c>
      <c r="E96" s="430">
        <v>599632000</v>
      </c>
      <c r="F96" s="430">
        <f>E96</f>
        <v>599632000</v>
      </c>
      <c r="G96" s="151">
        <v>200000000</v>
      </c>
      <c r="H96" s="430">
        <v>599632000</v>
      </c>
      <c r="I96" s="151">
        <v>200000000</v>
      </c>
      <c r="J96" s="230">
        <v>42236</v>
      </c>
      <c r="K96" s="232" t="s">
        <v>373</v>
      </c>
    </row>
    <row r="97" spans="1:12" ht="16.5" customHeight="1">
      <c r="A97" s="437"/>
      <c r="B97" s="425"/>
      <c r="C97" s="427"/>
      <c r="D97" s="429"/>
      <c r="E97" s="431"/>
      <c r="F97" s="431"/>
      <c r="G97" s="164"/>
      <c r="H97" s="431"/>
      <c r="I97" s="151"/>
      <c r="J97" s="230"/>
      <c r="K97" s="232"/>
    </row>
    <row r="98" spans="1:12" s="161" customFormat="1" ht="18" customHeight="1">
      <c r="A98" s="437"/>
      <c r="B98" s="425"/>
      <c r="C98" s="432" t="s">
        <v>94</v>
      </c>
      <c r="D98" s="433"/>
      <c r="E98" s="158">
        <f>SUM(E96:E97)</f>
        <v>599632000</v>
      </c>
      <c r="F98" s="158">
        <f>SUM(F96:F97)</f>
        <v>599632000</v>
      </c>
      <c r="G98" s="158">
        <f>SUM(G96:G97)</f>
        <v>200000000</v>
      </c>
      <c r="H98" s="158">
        <f>SUM(H96:H97)</f>
        <v>599632000</v>
      </c>
      <c r="I98" s="158">
        <f>SUM(I96:I97)</f>
        <v>200000000</v>
      </c>
      <c r="J98" s="159"/>
      <c r="K98" s="160" t="s">
        <v>42</v>
      </c>
      <c r="L98" s="313"/>
    </row>
    <row r="99" spans="1:12" s="161" customFormat="1" ht="18" customHeight="1">
      <c r="A99" s="437"/>
      <c r="B99" s="425"/>
      <c r="C99" s="432" t="s">
        <v>380</v>
      </c>
      <c r="D99" s="433"/>
      <c r="E99" s="162"/>
      <c r="F99" s="162"/>
      <c r="G99" s="163">
        <f>E98-G98</f>
        <v>399632000</v>
      </c>
      <c r="H99" s="162"/>
      <c r="I99" s="163">
        <f>H98-I98</f>
        <v>399632000</v>
      </c>
      <c r="J99" s="159"/>
      <c r="K99" s="160"/>
      <c r="L99" s="313"/>
    </row>
    <row r="100" spans="1:12" ht="17.25" customHeight="1">
      <c r="A100" s="437">
        <v>18</v>
      </c>
      <c r="B100" s="437" t="s">
        <v>85</v>
      </c>
      <c r="C100" s="472" t="s">
        <v>390</v>
      </c>
      <c r="D100" s="473">
        <v>40549</v>
      </c>
      <c r="E100" s="455">
        <v>1000000000</v>
      </c>
      <c r="F100" s="455">
        <v>1150000000</v>
      </c>
      <c r="G100" s="172">
        <f t="shared" ref="G100:G112" si="2">IF(I100&gt;0,I100,0)</f>
        <v>100000000</v>
      </c>
      <c r="H100" s="455">
        <v>1150000000</v>
      </c>
      <c r="I100" s="177">
        <v>100000000</v>
      </c>
      <c r="J100" s="173">
        <v>40570</v>
      </c>
      <c r="K100" s="174" t="s">
        <v>373</v>
      </c>
    </row>
    <row r="101" spans="1:12" ht="17.25" customHeight="1">
      <c r="A101" s="437"/>
      <c r="B101" s="437"/>
      <c r="C101" s="446"/>
      <c r="D101" s="474"/>
      <c r="E101" s="439"/>
      <c r="F101" s="439"/>
      <c r="G101" s="172">
        <f t="shared" si="2"/>
        <v>50000000</v>
      </c>
      <c r="H101" s="439"/>
      <c r="I101" s="172">
        <v>50000000</v>
      </c>
      <c r="J101" s="173">
        <v>40588</v>
      </c>
      <c r="K101" s="174" t="s">
        <v>373</v>
      </c>
    </row>
    <row r="102" spans="1:12" ht="17.25" customHeight="1">
      <c r="A102" s="437"/>
      <c r="B102" s="437"/>
      <c r="C102" s="446"/>
      <c r="D102" s="474"/>
      <c r="E102" s="439"/>
      <c r="F102" s="439"/>
      <c r="G102" s="172">
        <f t="shared" si="2"/>
        <v>100000000</v>
      </c>
      <c r="H102" s="439"/>
      <c r="I102" s="172">
        <v>100000000</v>
      </c>
      <c r="J102" s="173">
        <v>40605</v>
      </c>
      <c r="K102" s="174" t="s">
        <v>373</v>
      </c>
    </row>
    <row r="103" spans="1:12" ht="17.25" customHeight="1">
      <c r="A103" s="437"/>
      <c r="B103" s="437"/>
      <c r="C103" s="446"/>
      <c r="D103" s="474"/>
      <c r="E103" s="439"/>
      <c r="F103" s="439"/>
      <c r="G103" s="172"/>
      <c r="H103" s="439"/>
      <c r="I103" s="172">
        <v>100000000</v>
      </c>
      <c r="J103" s="173">
        <v>40612</v>
      </c>
      <c r="K103" s="174" t="s">
        <v>387</v>
      </c>
    </row>
    <row r="104" spans="1:12" ht="17.25" customHeight="1">
      <c r="A104" s="437"/>
      <c r="B104" s="437"/>
      <c r="C104" s="446"/>
      <c r="D104" s="474"/>
      <c r="E104" s="439"/>
      <c r="F104" s="439"/>
      <c r="G104" s="172">
        <f t="shared" si="2"/>
        <v>200000000</v>
      </c>
      <c r="H104" s="439"/>
      <c r="I104" s="172">
        <v>200000000</v>
      </c>
      <c r="J104" s="173">
        <v>40623</v>
      </c>
      <c r="K104" s="174" t="s">
        <v>373</v>
      </c>
    </row>
    <row r="105" spans="1:12" ht="17.25" customHeight="1">
      <c r="A105" s="437"/>
      <c r="B105" s="437"/>
      <c r="C105" s="446"/>
      <c r="D105" s="474"/>
      <c r="E105" s="439"/>
      <c r="F105" s="439"/>
      <c r="G105" s="172">
        <f t="shared" si="2"/>
        <v>0</v>
      </c>
      <c r="H105" s="439"/>
      <c r="I105" s="172">
        <v>-91500000</v>
      </c>
      <c r="J105" s="173">
        <v>40627</v>
      </c>
      <c r="K105" s="174" t="s">
        <v>391</v>
      </c>
    </row>
    <row r="106" spans="1:12" ht="17.25" customHeight="1">
      <c r="A106" s="437"/>
      <c r="B106" s="437"/>
      <c r="C106" s="446"/>
      <c r="D106" s="474"/>
      <c r="E106" s="439"/>
      <c r="F106" s="439"/>
      <c r="G106" s="172">
        <f t="shared" si="2"/>
        <v>100000000</v>
      </c>
      <c r="H106" s="439"/>
      <c r="I106" s="172">
        <v>100000000</v>
      </c>
      <c r="J106" s="173">
        <v>40630</v>
      </c>
      <c r="K106" s="174" t="s">
        <v>373</v>
      </c>
    </row>
    <row r="107" spans="1:12" ht="17.25" customHeight="1">
      <c r="A107" s="437"/>
      <c r="B107" s="437"/>
      <c r="C107" s="446"/>
      <c r="D107" s="474"/>
      <c r="E107" s="439"/>
      <c r="F107" s="439"/>
      <c r="G107" s="172"/>
      <c r="H107" s="439"/>
      <c r="I107" s="172">
        <v>100000000</v>
      </c>
      <c r="J107" s="173">
        <v>40676</v>
      </c>
      <c r="K107" s="174" t="s">
        <v>387</v>
      </c>
    </row>
    <row r="108" spans="1:12" ht="17.25" customHeight="1">
      <c r="A108" s="437"/>
      <c r="B108" s="437"/>
      <c r="C108" s="446"/>
      <c r="D108" s="474"/>
      <c r="E108" s="439"/>
      <c r="F108" s="439"/>
      <c r="G108" s="172">
        <f t="shared" si="2"/>
        <v>100000000</v>
      </c>
      <c r="H108" s="439"/>
      <c r="I108" s="172">
        <v>100000000</v>
      </c>
      <c r="J108" s="173">
        <v>40686</v>
      </c>
      <c r="K108" s="174" t="s">
        <v>373</v>
      </c>
    </row>
    <row r="109" spans="1:12" s="180" customFormat="1" ht="17.25" customHeight="1">
      <c r="A109" s="437"/>
      <c r="B109" s="437"/>
      <c r="C109" s="446"/>
      <c r="D109" s="474"/>
      <c r="E109" s="439"/>
      <c r="F109" s="439"/>
      <c r="G109" s="172">
        <f t="shared" si="2"/>
        <v>50000000</v>
      </c>
      <c r="H109" s="439"/>
      <c r="I109" s="172">
        <v>50000000</v>
      </c>
      <c r="J109" s="173">
        <v>40690</v>
      </c>
      <c r="K109" s="174" t="s">
        <v>373</v>
      </c>
      <c r="L109" s="317"/>
    </row>
    <row r="110" spans="1:12" s="180" customFormat="1" ht="17.25" customHeight="1">
      <c r="A110" s="437"/>
      <c r="B110" s="437"/>
      <c r="C110" s="446"/>
      <c r="D110" s="474"/>
      <c r="E110" s="439"/>
      <c r="F110" s="439"/>
      <c r="G110" s="172">
        <f t="shared" si="2"/>
        <v>100000000</v>
      </c>
      <c r="H110" s="439"/>
      <c r="I110" s="172">
        <v>100000000</v>
      </c>
      <c r="J110" s="173">
        <v>40724</v>
      </c>
      <c r="K110" s="174" t="s">
        <v>373</v>
      </c>
      <c r="L110" s="317"/>
    </row>
    <row r="111" spans="1:12" s="180" customFormat="1" ht="17.25" customHeight="1">
      <c r="A111" s="437"/>
      <c r="B111" s="437"/>
      <c r="C111" s="446"/>
      <c r="D111" s="474"/>
      <c r="E111" s="439"/>
      <c r="F111" s="439"/>
      <c r="G111" s="172"/>
      <c r="H111" s="439"/>
      <c r="I111" s="172">
        <v>100000000</v>
      </c>
      <c r="J111" s="176">
        <v>40747</v>
      </c>
      <c r="K111" s="178" t="s">
        <v>387</v>
      </c>
      <c r="L111" s="317"/>
    </row>
    <row r="112" spans="1:12" ht="17.25" customHeight="1">
      <c r="A112" s="437"/>
      <c r="B112" s="437"/>
      <c r="C112" s="446"/>
      <c r="D112" s="474"/>
      <c r="E112" s="439"/>
      <c r="F112" s="439"/>
      <c r="G112" s="172">
        <f t="shared" si="2"/>
        <v>50000000</v>
      </c>
      <c r="H112" s="439"/>
      <c r="I112" s="172">
        <v>50000000</v>
      </c>
      <c r="J112" s="176">
        <v>41115</v>
      </c>
      <c r="K112" s="174" t="s">
        <v>373</v>
      </c>
    </row>
    <row r="113" spans="1:12" ht="17.25" customHeight="1">
      <c r="A113" s="437"/>
      <c r="B113" s="437"/>
      <c r="C113" s="446" t="s">
        <v>392</v>
      </c>
      <c r="D113" s="474">
        <v>41860</v>
      </c>
      <c r="E113" s="439">
        <v>7500000000</v>
      </c>
      <c r="F113" s="439">
        <v>10172555140</v>
      </c>
      <c r="G113" s="172">
        <f>IF(I113&gt;0,I113,0)</f>
        <v>800000000</v>
      </c>
      <c r="H113" s="439">
        <v>10172555140</v>
      </c>
      <c r="I113" s="172">
        <v>800000000</v>
      </c>
      <c r="J113" s="176">
        <v>41905</v>
      </c>
      <c r="K113" s="174" t="s">
        <v>373</v>
      </c>
    </row>
    <row r="114" spans="1:12" ht="17.25" customHeight="1">
      <c r="A114" s="437"/>
      <c r="B114" s="437"/>
      <c r="C114" s="446"/>
      <c r="D114" s="474"/>
      <c r="E114" s="439"/>
      <c r="F114" s="439"/>
      <c r="G114" s="172">
        <f t="shared" ref="G114:G124" si="3">IF(I114&gt;0,I114,0)</f>
        <v>1500000000</v>
      </c>
      <c r="H114" s="439"/>
      <c r="I114" s="172">
        <v>1500000000</v>
      </c>
      <c r="J114" s="176">
        <v>41935</v>
      </c>
      <c r="K114" s="174" t="s">
        <v>373</v>
      </c>
    </row>
    <row r="115" spans="1:12" ht="17.25" customHeight="1">
      <c r="A115" s="437"/>
      <c r="B115" s="437"/>
      <c r="C115" s="446"/>
      <c r="D115" s="474"/>
      <c r="E115" s="439"/>
      <c r="F115" s="439"/>
      <c r="G115" s="172">
        <f t="shared" si="3"/>
        <v>1000000000</v>
      </c>
      <c r="H115" s="439"/>
      <c r="I115" s="172">
        <v>1000000000</v>
      </c>
      <c r="J115" s="176">
        <v>41963</v>
      </c>
      <c r="K115" s="174" t="s">
        <v>373</v>
      </c>
    </row>
    <row r="116" spans="1:12" ht="17.25" customHeight="1">
      <c r="A116" s="437"/>
      <c r="B116" s="437"/>
      <c r="C116" s="446"/>
      <c r="D116" s="474"/>
      <c r="E116" s="439"/>
      <c r="F116" s="439"/>
      <c r="G116" s="172">
        <f t="shared" si="3"/>
        <v>1000000000</v>
      </c>
      <c r="H116" s="439"/>
      <c r="I116" s="172">
        <v>1000000000</v>
      </c>
      <c r="J116" s="176">
        <v>41984</v>
      </c>
      <c r="K116" s="174" t="s">
        <v>373</v>
      </c>
    </row>
    <row r="117" spans="1:12" ht="17.25" customHeight="1">
      <c r="A117" s="437"/>
      <c r="B117" s="437"/>
      <c r="C117" s="446"/>
      <c r="D117" s="474"/>
      <c r="E117" s="439"/>
      <c r="F117" s="439"/>
      <c r="G117" s="172">
        <f t="shared" si="3"/>
        <v>700000000</v>
      </c>
      <c r="H117" s="439"/>
      <c r="I117" s="172">
        <v>700000000</v>
      </c>
      <c r="J117" s="176">
        <v>42034</v>
      </c>
      <c r="K117" s="174" t="s">
        <v>373</v>
      </c>
      <c r="L117" s="199" t="s">
        <v>393</v>
      </c>
    </row>
    <row r="118" spans="1:12" ht="17.25" customHeight="1">
      <c r="A118" s="437"/>
      <c r="B118" s="437"/>
      <c r="C118" s="446"/>
      <c r="D118" s="474"/>
      <c r="E118" s="439"/>
      <c r="F118" s="439"/>
      <c r="G118" s="172">
        <f t="shared" si="3"/>
        <v>500000000</v>
      </c>
      <c r="H118" s="439"/>
      <c r="I118" s="172">
        <v>500000000</v>
      </c>
      <c r="J118" s="176">
        <v>42096</v>
      </c>
      <c r="K118" s="174" t="s">
        <v>373</v>
      </c>
    </row>
    <row r="119" spans="1:12" ht="17.25" customHeight="1">
      <c r="A119" s="437"/>
      <c r="B119" s="437"/>
      <c r="C119" s="446"/>
      <c r="D119" s="474"/>
      <c r="E119" s="439"/>
      <c r="F119" s="439"/>
      <c r="G119" s="172">
        <f t="shared" si="3"/>
        <v>500000000</v>
      </c>
      <c r="H119" s="439"/>
      <c r="I119" s="172">
        <v>500000000</v>
      </c>
      <c r="J119" s="176">
        <v>42116</v>
      </c>
      <c r="K119" s="174" t="s">
        <v>373</v>
      </c>
    </row>
    <row r="120" spans="1:12" ht="17.25" customHeight="1">
      <c r="A120" s="437"/>
      <c r="B120" s="437"/>
      <c r="C120" s="446"/>
      <c r="D120" s="474"/>
      <c r="E120" s="439"/>
      <c r="F120" s="439"/>
      <c r="G120" s="172">
        <f t="shared" si="3"/>
        <v>500000000</v>
      </c>
      <c r="H120" s="439"/>
      <c r="I120" s="172">
        <v>500000000</v>
      </c>
      <c r="J120" s="176">
        <v>42138</v>
      </c>
      <c r="K120" s="174" t="s">
        <v>373</v>
      </c>
    </row>
    <row r="121" spans="1:12" ht="17.25" customHeight="1">
      <c r="A121" s="437"/>
      <c r="B121" s="437"/>
      <c r="C121" s="446"/>
      <c r="D121" s="474"/>
      <c r="E121" s="439"/>
      <c r="F121" s="439"/>
      <c r="G121" s="172">
        <f t="shared" si="3"/>
        <v>1000000000</v>
      </c>
      <c r="H121" s="439"/>
      <c r="I121" s="138">
        <v>1000000000</v>
      </c>
      <c r="J121" s="176">
        <v>42187</v>
      </c>
      <c r="K121" s="174" t="s">
        <v>373</v>
      </c>
    </row>
    <row r="122" spans="1:12" ht="17.25" customHeight="1">
      <c r="A122" s="437"/>
      <c r="B122" s="437"/>
      <c r="C122" s="438"/>
      <c r="D122" s="476"/>
      <c r="E122" s="430"/>
      <c r="F122" s="430"/>
      <c r="G122" s="172">
        <f t="shared" si="3"/>
        <v>300000000</v>
      </c>
      <c r="H122" s="430"/>
      <c r="I122" s="225">
        <v>300000000</v>
      </c>
      <c r="J122" s="221">
        <v>42209</v>
      </c>
      <c r="K122" s="224" t="s">
        <v>373</v>
      </c>
    </row>
    <row r="123" spans="1:12" ht="17.25" customHeight="1">
      <c r="A123" s="437"/>
      <c r="B123" s="437"/>
      <c r="C123" s="438"/>
      <c r="D123" s="476"/>
      <c r="E123" s="430"/>
      <c r="F123" s="430"/>
      <c r="G123" s="172">
        <f t="shared" si="3"/>
        <v>200000000</v>
      </c>
      <c r="H123" s="430"/>
      <c r="I123" s="228">
        <v>200000000</v>
      </c>
      <c r="J123" s="230">
        <v>42342</v>
      </c>
      <c r="K123" s="400" t="s">
        <v>373</v>
      </c>
    </row>
    <row r="124" spans="1:12" ht="17.25" customHeight="1">
      <c r="A124" s="437"/>
      <c r="B124" s="437"/>
      <c r="C124" s="475"/>
      <c r="D124" s="477"/>
      <c r="E124" s="456"/>
      <c r="F124" s="456"/>
      <c r="G124" s="172">
        <f t="shared" si="3"/>
        <v>0</v>
      </c>
      <c r="H124" s="456"/>
      <c r="I124" s="138"/>
      <c r="J124" s="176"/>
      <c r="K124" s="174"/>
    </row>
    <row r="125" spans="1:12" s="161" customFormat="1" ht="18" customHeight="1">
      <c r="A125" s="437"/>
      <c r="B125" s="437"/>
      <c r="C125" s="432" t="s">
        <v>94</v>
      </c>
      <c r="D125" s="433"/>
      <c r="E125" s="158">
        <f>SUM(E100:E124)</f>
        <v>8500000000</v>
      </c>
      <c r="F125" s="158">
        <f>SUM(F100:F124)</f>
        <v>11322555140</v>
      </c>
      <c r="G125" s="158">
        <f>SUM(G100:G124)</f>
        <v>8850000000</v>
      </c>
      <c r="H125" s="158">
        <f>SUM(H100:H124)</f>
        <v>11322555140</v>
      </c>
      <c r="I125" s="158">
        <f>SUM(I100:I124)</f>
        <v>9058500000</v>
      </c>
      <c r="J125" s="159"/>
      <c r="K125" s="160" t="s">
        <v>42</v>
      </c>
      <c r="L125" s="313"/>
    </row>
    <row r="126" spans="1:12" s="161" customFormat="1" ht="18" customHeight="1">
      <c r="A126" s="437"/>
      <c r="B126" s="437"/>
      <c r="C126" s="432" t="s">
        <v>380</v>
      </c>
      <c r="D126" s="433"/>
      <c r="E126" s="162"/>
      <c r="F126" s="162"/>
      <c r="G126" s="163">
        <f>E125-G125</f>
        <v>-350000000</v>
      </c>
      <c r="H126" s="162"/>
      <c r="I126" s="163">
        <f>H125-I125</f>
        <v>2264055140</v>
      </c>
      <c r="J126" s="159"/>
      <c r="K126" s="160"/>
      <c r="L126" s="313"/>
    </row>
    <row r="127" spans="1:12" ht="17.25" customHeight="1">
      <c r="A127" s="437">
        <v>19</v>
      </c>
      <c r="B127" s="437" t="s">
        <v>111</v>
      </c>
      <c r="C127" s="438" t="s">
        <v>394</v>
      </c>
      <c r="D127" s="428">
        <v>41871</v>
      </c>
      <c r="E127" s="430">
        <v>2200000000</v>
      </c>
      <c r="F127" s="430">
        <f>2508700000</f>
        <v>2508700000</v>
      </c>
      <c r="G127" s="172">
        <f>IF(I127&gt;0,I127,0)</f>
        <v>752610000</v>
      </c>
      <c r="H127" s="430">
        <v>1858000000</v>
      </c>
      <c r="I127" s="172">
        <v>752610000</v>
      </c>
      <c r="J127" s="173">
        <v>41905</v>
      </c>
      <c r="K127" s="174" t="s">
        <v>373</v>
      </c>
    </row>
    <row r="128" spans="1:12" s="180" customFormat="1" ht="17.25" customHeight="1">
      <c r="A128" s="437"/>
      <c r="B128" s="437"/>
      <c r="C128" s="427"/>
      <c r="D128" s="427"/>
      <c r="E128" s="431"/>
      <c r="F128" s="431"/>
      <c r="G128" s="172">
        <f t="shared" ref="G128:G138" si="4">IF(I128&gt;0,I128,0)</f>
        <v>0</v>
      </c>
      <c r="H128" s="431"/>
      <c r="I128" s="185">
        <v>-200000000</v>
      </c>
      <c r="J128" s="186">
        <v>41907</v>
      </c>
      <c r="K128" s="187" t="s">
        <v>391</v>
      </c>
      <c r="L128" s="317"/>
    </row>
    <row r="129" spans="1:12" ht="17.25" customHeight="1">
      <c r="A129" s="437"/>
      <c r="B129" s="437"/>
      <c r="C129" s="427"/>
      <c r="D129" s="427"/>
      <c r="E129" s="431"/>
      <c r="F129" s="431"/>
      <c r="G129" s="172">
        <f t="shared" si="4"/>
        <v>500000000</v>
      </c>
      <c r="H129" s="431"/>
      <c r="I129" s="172">
        <v>500000000</v>
      </c>
      <c r="J129" s="173">
        <v>41942</v>
      </c>
      <c r="K129" s="174" t="s">
        <v>373</v>
      </c>
    </row>
    <row r="130" spans="1:12" ht="17.25" customHeight="1">
      <c r="A130" s="437"/>
      <c r="B130" s="437"/>
      <c r="C130" s="427"/>
      <c r="D130" s="427"/>
      <c r="E130" s="431"/>
      <c r="F130" s="431"/>
      <c r="G130" s="172">
        <f t="shared" si="4"/>
        <v>0</v>
      </c>
      <c r="H130" s="431"/>
      <c r="I130" s="185">
        <v>-100000000</v>
      </c>
      <c r="J130" s="186">
        <v>41951</v>
      </c>
      <c r="K130" s="187" t="s">
        <v>391</v>
      </c>
    </row>
    <row r="131" spans="1:12" ht="17.25" customHeight="1">
      <c r="A131" s="437"/>
      <c r="B131" s="437"/>
      <c r="C131" s="427"/>
      <c r="D131" s="427"/>
      <c r="E131" s="431"/>
      <c r="F131" s="431"/>
      <c r="G131" s="172">
        <f t="shared" si="4"/>
        <v>500000000</v>
      </c>
      <c r="H131" s="431"/>
      <c r="I131" s="172">
        <v>500000000</v>
      </c>
      <c r="J131" s="173">
        <v>42010</v>
      </c>
      <c r="K131" s="174" t="s">
        <v>373</v>
      </c>
    </row>
    <row r="132" spans="1:12" ht="17.25" customHeight="1">
      <c r="A132" s="437"/>
      <c r="B132" s="437"/>
      <c r="C132" s="427" t="s">
        <v>395</v>
      </c>
      <c r="D132" s="429">
        <v>42139</v>
      </c>
      <c r="E132" s="454">
        <f>308700000+501400000</f>
        <v>810100000</v>
      </c>
      <c r="F132" s="454">
        <f>184000000+317400000</f>
        <v>501400000</v>
      </c>
      <c r="G132" s="172">
        <f t="shared" si="4"/>
        <v>0</v>
      </c>
      <c r="H132" s="431">
        <f>139900000+250800000</f>
        <v>390700000</v>
      </c>
      <c r="I132" s="185">
        <v>-100000000</v>
      </c>
      <c r="J132" s="186">
        <v>42017</v>
      </c>
      <c r="K132" s="187" t="s">
        <v>391</v>
      </c>
    </row>
    <row r="133" spans="1:12" ht="17.25" customHeight="1">
      <c r="A133" s="437"/>
      <c r="B133" s="437"/>
      <c r="C133" s="427"/>
      <c r="D133" s="429"/>
      <c r="E133" s="454"/>
      <c r="F133" s="454"/>
      <c r="G133" s="172">
        <f t="shared" si="4"/>
        <v>251000000</v>
      </c>
      <c r="H133" s="431"/>
      <c r="I133" s="172">
        <v>251000000</v>
      </c>
      <c r="J133" s="173">
        <v>42094</v>
      </c>
      <c r="K133" s="174" t="s">
        <v>373</v>
      </c>
    </row>
    <row r="134" spans="1:12" ht="17.25" customHeight="1">
      <c r="A134" s="437"/>
      <c r="B134" s="437"/>
      <c r="C134" s="427"/>
      <c r="D134" s="429"/>
      <c r="E134" s="454"/>
      <c r="F134" s="454"/>
      <c r="G134" s="172">
        <f t="shared" si="4"/>
        <v>200000000</v>
      </c>
      <c r="H134" s="431"/>
      <c r="I134" s="172">
        <v>200000000</v>
      </c>
      <c r="J134" s="173">
        <v>42170</v>
      </c>
      <c r="K134" s="174" t="s">
        <v>373</v>
      </c>
    </row>
    <row r="135" spans="1:12" ht="17.25" customHeight="1">
      <c r="A135" s="437"/>
      <c r="B135" s="437"/>
      <c r="C135" s="427"/>
      <c r="D135" s="429"/>
      <c r="E135" s="454"/>
      <c r="F135" s="454"/>
      <c r="G135" s="172">
        <f t="shared" si="4"/>
        <v>400000000</v>
      </c>
      <c r="H135" s="431"/>
      <c r="I135" s="172">
        <v>400000000</v>
      </c>
      <c r="J135" s="173">
        <v>42199</v>
      </c>
      <c r="K135" s="174" t="s">
        <v>373</v>
      </c>
    </row>
    <row r="136" spans="1:12" ht="17.25" customHeight="1">
      <c r="A136" s="437"/>
      <c r="B136" s="437"/>
      <c r="C136" s="427"/>
      <c r="D136" s="429"/>
      <c r="E136" s="454"/>
      <c r="F136" s="454"/>
      <c r="G136" s="172">
        <f t="shared" si="4"/>
        <v>0</v>
      </c>
      <c r="H136" s="431"/>
      <c r="I136" s="185">
        <v>-200000000</v>
      </c>
      <c r="J136" s="173">
        <v>42202</v>
      </c>
      <c r="K136" s="187" t="s">
        <v>391</v>
      </c>
    </row>
    <row r="137" spans="1:12" ht="17.25" customHeight="1">
      <c r="A137" s="437"/>
      <c r="B137" s="437"/>
      <c r="C137" s="427"/>
      <c r="D137" s="429"/>
      <c r="E137" s="454"/>
      <c r="F137" s="454"/>
      <c r="G137" s="172">
        <f t="shared" si="4"/>
        <v>0</v>
      </c>
      <c r="H137" s="431"/>
      <c r="I137" s="151"/>
      <c r="J137" s="173"/>
      <c r="K137" s="174"/>
    </row>
    <row r="138" spans="1:12" ht="17.25" customHeight="1">
      <c r="A138" s="437"/>
      <c r="B138" s="437"/>
      <c r="C138" s="427"/>
      <c r="D138" s="429"/>
      <c r="E138" s="454"/>
      <c r="F138" s="454"/>
      <c r="G138" s="172">
        <f t="shared" si="4"/>
        <v>0</v>
      </c>
      <c r="H138" s="431"/>
      <c r="I138" s="151"/>
      <c r="J138" s="188"/>
      <c r="K138" s="189"/>
    </row>
    <row r="139" spans="1:12" s="161" customFormat="1" ht="18" customHeight="1">
      <c r="A139" s="437"/>
      <c r="B139" s="437"/>
      <c r="C139" s="432" t="s">
        <v>94</v>
      </c>
      <c r="D139" s="433"/>
      <c r="E139" s="158">
        <f>SUM(E127:E138)</f>
        <v>3010100000</v>
      </c>
      <c r="F139" s="158">
        <f>SUM(F127:F138)</f>
        <v>3010100000</v>
      </c>
      <c r="G139" s="158">
        <f>SUM(G127:G138)</f>
        <v>2603610000</v>
      </c>
      <c r="H139" s="158">
        <f>SUM(H127:H138)</f>
        <v>2248700000</v>
      </c>
      <c r="I139" s="158">
        <f>SUM(I127:I138)</f>
        <v>2003610000</v>
      </c>
      <c r="J139" s="160">
        <f>F139-H139</f>
        <v>761400000</v>
      </c>
      <c r="K139" s="160" t="s">
        <v>42</v>
      </c>
      <c r="L139" s="313"/>
    </row>
    <row r="140" spans="1:12" s="161" customFormat="1" ht="18" customHeight="1">
      <c r="A140" s="437"/>
      <c r="B140" s="437"/>
      <c r="C140" s="432" t="s">
        <v>380</v>
      </c>
      <c r="D140" s="433"/>
      <c r="E140" s="162"/>
      <c r="F140" s="162"/>
      <c r="G140" s="163">
        <f>E139-G139</f>
        <v>406490000</v>
      </c>
      <c r="H140" s="162">
        <f>G140-K140</f>
        <v>85260000</v>
      </c>
      <c r="I140" s="163">
        <f>H139-I139</f>
        <v>245090000</v>
      </c>
      <c r="J140" s="336">
        <f>J139*10%</f>
        <v>76140000</v>
      </c>
      <c r="K140" s="160">
        <f>I140+J140</f>
        <v>321230000</v>
      </c>
      <c r="L140" s="313"/>
    </row>
    <row r="141" spans="1:12" ht="17.25" customHeight="1">
      <c r="A141" s="437">
        <v>20</v>
      </c>
      <c r="B141" s="437" t="s">
        <v>138</v>
      </c>
      <c r="C141" s="446" t="s">
        <v>396</v>
      </c>
      <c r="D141" s="447">
        <v>42014</v>
      </c>
      <c r="E141" s="439">
        <f>2200000000</f>
        <v>2200000000</v>
      </c>
      <c r="F141" s="439">
        <v>3500000000</v>
      </c>
      <c r="G141" s="172">
        <f>IF(I141&gt;0,I141,0)</f>
        <v>600000000</v>
      </c>
      <c r="H141" s="439">
        <v>2910000000</v>
      </c>
      <c r="I141" s="177">
        <v>600000000</v>
      </c>
      <c r="J141" s="173">
        <v>42034</v>
      </c>
      <c r="K141" s="174" t="s">
        <v>373</v>
      </c>
    </row>
    <row r="142" spans="1:12" ht="17.25" customHeight="1">
      <c r="A142" s="437"/>
      <c r="B142" s="437"/>
      <c r="C142" s="446"/>
      <c r="D142" s="446"/>
      <c r="E142" s="439"/>
      <c r="F142" s="439"/>
      <c r="G142" s="172">
        <f t="shared" ref="G142:G149" si="5">IF(I142&gt;0,I142,0)</f>
        <v>600000000</v>
      </c>
      <c r="H142" s="439"/>
      <c r="I142" s="177">
        <v>600000000</v>
      </c>
      <c r="J142" s="176">
        <v>42088</v>
      </c>
      <c r="K142" s="174" t="s">
        <v>373</v>
      </c>
    </row>
    <row r="143" spans="1:12" ht="17.25" customHeight="1">
      <c r="A143" s="437"/>
      <c r="B143" s="437"/>
      <c r="C143" s="446"/>
      <c r="D143" s="446"/>
      <c r="E143" s="439"/>
      <c r="F143" s="439"/>
      <c r="G143" s="172">
        <f t="shared" si="5"/>
        <v>500000000</v>
      </c>
      <c r="H143" s="439"/>
      <c r="I143" s="172">
        <v>500000000</v>
      </c>
      <c r="J143" s="176">
        <v>42131</v>
      </c>
      <c r="K143" s="174" t="s">
        <v>373</v>
      </c>
    </row>
    <row r="144" spans="1:12" ht="17.25" customHeight="1">
      <c r="A144" s="437"/>
      <c r="B144" s="437"/>
      <c r="C144" s="446"/>
      <c r="D144" s="446"/>
      <c r="E144" s="439"/>
      <c r="F144" s="439"/>
      <c r="G144" s="172">
        <f t="shared" si="5"/>
        <v>500000000</v>
      </c>
      <c r="H144" s="439"/>
      <c r="I144" s="172">
        <v>500000000</v>
      </c>
      <c r="J144" s="176">
        <v>42142</v>
      </c>
      <c r="K144" s="174" t="s">
        <v>373</v>
      </c>
    </row>
    <row r="145" spans="1:12" ht="17.25" customHeight="1">
      <c r="A145" s="437"/>
      <c r="B145" s="437"/>
      <c r="C145" s="446"/>
      <c r="D145" s="446"/>
      <c r="E145" s="439"/>
      <c r="F145" s="439"/>
      <c r="G145" s="172">
        <f t="shared" si="5"/>
        <v>0</v>
      </c>
      <c r="H145" s="439"/>
      <c r="I145" s="185">
        <v>-500000000</v>
      </c>
      <c r="J145" s="186">
        <v>42144</v>
      </c>
      <c r="K145" s="187" t="s">
        <v>391</v>
      </c>
    </row>
    <row r="146" spans="1:12" ht="17.25" customHeight="1">
      <c r="A146" s="437"/>
      <c r="B146" s="437"/>
      <c r="C146" s="446"/>
      <c r="D146" s="446"/>
      <c r="E146" s="439"/>
      <c r="F146" s="439"/>
      <c r="G146" s="172">
        <f t="shared" si="5"/>
        <v>500000000</v>
      </c>
      <c r="H146" s="439"/>
      <c r="I146" s="172">
        <v>500000000</v>
      </c>
      <c r="J146" s="176">
        <v>42164</v>
      </c>
      <c r="K146" s="174" t="s">
        <v>373</v>
      </c>
    </row>
    <row r="147" spans="1:12" ht="17.25" customHeight="1">
      <c r="A147" s="437"/>
      <c r="B147" s="437"/>
      <c r="C147" s="446"/>
      <c r="D147" s="446"/>
      <c r="E147" s="439"/>
      <c r="F147" s="439"/>
      <c r="G147" s="172">
        <f t="shared" si="5"/>
        <v>500000000</v>
      </c>
      <c r="H147" s="439"/>
      <c r="I147" s="172">
        <v>500000000</v>
      </c>
      <c r="J147" s="176">
        <v>42199</v>
      </c>
      <c r="K147" s="174" t="s">
        <v>373</v>
      </c>
    </row>
    <row r="148" spans="1:12" ht="17.25" customHeight="1">
      <c r="A148" s="437"/>
      <c r="B148" s="437"/>
      <c r="C148" s="446"/>
      <c r="D148" s="446"/>
      <c r="E148" s="439"/>
      <c r="F148" s="439"/>
      <c r="G148" s="172">
        <f t="shared" si="5"/>
        <v>0</v>
      </c>
      <c r="H148" s="439"/>
      <c r="I148" s="172">
        <v>-200000000</v>
      </c>
      <c r="J148" s="176">
        <v>42205</v>
      </c>
      <c r="K148" s="187" t="s">
        <v>391</v>
      </c>
    </row>
    <row r="149" spans="1:12" ht="17.25" customHeight="1">
      <c r="A149" s="437"/>
      <c r="B149" s="437"/>
      <c r="C149" s="446"/>
      <c r="D149" s="446"/>
      <c r="E149" s="439"/>
      <c r="F149" s="439"/>
      <c r="G149" s="172">
        <f t="shared" si="5"/>
        <v>0</v>
      </c>
      <c r="H149" s="439"/>
      <c r="I149" s="151"/>
      <c r="J149" s="176"/>
      <c r="K149" s="174"/>
    </row>
    <row r="150" spans="1:12" s="161" customFormat="1" ht="18" customHeight="1">
      <c r="A150" s="437"/>
      <c r="B150" s="437"/>
      <c r="C150" s="432" t="s">
        <v>94</v>
      </c>
      <c r="D150" s="433"/>
      <c r="E150" s="158">
        <f>SUM(E141:E149)</f>
        <v>2200000000</v>
      </c>
      <c r="F150" s="158">
        <f>SUM(F141:F149)</f>
        <v>3500000000</v>
      </c>
      <c r="G150" s="158">
        <f>SUM(G141:G149)</f>
        <v>3200000000</v>
      </c>
      <c r="H150" s="158">
        <f>SUM(H141:H149)</f>
        <v>2910000000</v>
      </c>
      <c r="I150" s="158">
        <f>SUM(I141:I149)</f>
        <v>2500000000</v>
      </c>
      <c r="J150" s="159"/>
      <c r="K150" s="160" t="s">
        <v>42</v>
      </c>
      <c r="L150" s="313"/>
    </row>
    <row r="151" spans="1:12" s="161" customFormat="1" ht="18" customHeight="1">
      <c r="A151" s="437"/>
      <c r="B151" s="437"/>
      <c r="C151" s="432" t="s">
        <v>380</v>
      </c>
      <c r="D151" s="433"/>
      <c r="E151" s="162"/>
      <c r="F151" s="162"/>
      <c r="G151" s="163">
        <f>E150-G150</f>
        <v>-1000000000</v>
      </c>
      <c r="H151" s="162"/>
      <c r="I151" s="163">
        <f>H150-I150</f>
        <v>410000000</v>
      </c>
      <c r="J151" s="159"/>
      <c r="K151" s="160"/>
      <c r="L151" s="313"/>
    </row>
    <row r="152" spans="1:12" ht="17.25" customHeight="1">
      <c r="A152" s="437">
        <v>21</v>
      </c>
      <c r="B152" s="437" t="s">
        <v>150</v>
      </c>
      <c r="C152" s="446" t="s">
        <v>397</v>
      </c>
      <c r="D152" s="447">
        <v>42088</v>
      </c>
      <c r="E152" s="439"/>
      <c r="F152" s="439">
        <v>1858997690</v>
      </c>
      <c r="G152" s="177">
        <v>360000000</v>
      </c>
      <c r="H152" s="439">
        <v>1300000000</v>
      </c>
      <c r="I152" s="177">
        <v>360000000</v>
      </c>
      <c r="J152" s="173">
        <v>42094</v>
      </c>
      <c r="K152" s="174" t="s">
        <v>373</v>
      </c>
    </row>
    <row r="153" spans="1:12" ht="17.25" customHeight="1">
      <c r="A153" s="437"/>
      <c r="B153" s="437"/>
      <c r="C153" s="446"/>
      <c r="D153" s="446"/>
      <c r="E153" s="439"/>
      <c r="F153" s="439"/>
      <c r="G153" s="138"/>
      <c r="H153" s="439"/>
      <c r="I153" s="151"/>
      <c r="J153" s="176"/>
      <c r="K153" s="174"/>
    </row>
    <row r="154" spans="1:12" s="161" customFormat="1" ht="18" customHeight="1">
      <c r="A154" s="437"/>
      <c r="B154" s="437"/>
      <c r="C154" s="432" t="s">
        <v>94</v>
      </c>
      <c r="D154" s="433"/>
      <c r="E154" s="158">
        <f>SUM(E152:E153)</f>
        <v>0</v>
      </c>
      <c r="F154" s="158">
        <f>SUM(F152:F153)</f>
        <v>1858997690</v>
      </c>
      <c r="G154" s="158">
        <f>SUM(G152:G153)</f>
        <v>360000000</v>
      </c>
      <c r="H154" s="158">
        <f>SUM(H152:H153)</f>
        <v>1300000000</v>
      </c>
      <c r="I154" s="158">
        <f>SUM(I152:I153)</f>
        <v>360000000</v>
      </c>
      <c r="J154" s="159"/>
      <c r="K154" s="160" t="s">
        <v>42</v>
      </c>
      <c r="L154" s="313"/>
    </row>
    <row r="155" spans="1:12" s="161" customFormat="1" ht="18" customHeight="1">
      <c r="A155" s="437"/>
      <c r="B155" s="437"/>
      <c r="C155" s="432" t="s">
        <v>380</v>
      </c>
      <c r="D155" s="433"/>
      <c r="E155" s="162"/>
      <c r="F155" s="162"/>
      <c r="G155" s="163">
        <f>E154-G154</f>
        <v>-360000000</v>
      </c>
      <c r="H155" s="162"/>
      <c r="I155" s="163">
        <f>H154-I154</f>
        <v>940000000</v>
      </c>
      <c r="J155" s="159"/>
      <c r="K155" s="160"/>
      <c r="L155" s="313"/>
    </row>
    <row r="156" spans="1:12" ht="16.5" customHeight="1">
      <c r="A156" s="437">
        <v>22</v>
      </c>
      <c r="B156" s="425" t="s">
        <v>306</v>
      </c>
      <c r="C156" s="438" t="s">
        <v>406</v>
      </c>
      <c r="D156" s="428">
        <v>42173</v>
      </c>
      <c r="E156" s="430"/>
      <c r="F156" s="430">
        <v>3652000000</v>
      </c>
      <c r="G156" s="172">
        <f>IF(I156&gt;0,I156,0)</f>
        <v>100000000</v>
      </c>
      <c r="H156" s="430">
        <v>2255000000</v>
      </c>
      <c r="I156" s="172">
        <v>100000000</v>
      </c>
      <c r="J156" s="176">
        <v>42185</v>
      </c>
      <c r="K156" s="174" t="s">
        <v>373</v>
      </c>
    </row>
    <row r="157" spans="1:12" ht="16.5" customHeight="1">
      <c r="A157" s="437"/>
      <c r="B157" s="425"/>
      <c r="C157" s="427"/>
      <c r="D157" s="427"/>
      <c r="E157" s="431"/>
      <c r="F157" s="431"/>
      <c r="G157" s="172">
        <f t="shared" ref="G157:G167" si="6">IF(I157&gt;0,I157,0)</f>
        <v>200000000</v>
      </c>
      <c r="H157" s="431"/>
      <c r="I157" s="172">
        <v>200000000</v>
      </c>
      <c r="J157" s="176">
        <v>42187</v>
      </c>
      <c r="K157" s="174" t="s">
        <v>373</v>
      </c>
    </row>
    <row r="158" spans="1:12" ht="16.5" customHeight="1">
      <c r="A158" s="437"/>
      <c r="B158" s="425"/>
      <c r="C158" s="427"/>
      <c r="D158" s="427"/>
      <c r="E158" s="431"/>
      <c r="F158" s="431"/>
      <c r="G158" s="172">
        <f t="shared" si="6"/>
        <v>500000000</v>
      </c>
      <c r="H158" s="431"/>
      <c r="I158" s="172">
        <v>500000000</v>
      </c>
      <c r="J158" s="219">
        <v>42221</v>
      </c>
      <c r="K158" s="218" t="s">
        <v>373</v>
      </c>
    </row>
    <row r="159" spans="1:12" ht="16.5" customHeight="1">
      <c r="A159" s="437"/>
      <c r="B159" s="425"/>
      <c r="C159" s="427"/>
      <c r="D159" s="427"/>
      <c r="E159" s="431"/>
      <c r="F159" s="431"/>
      <c r="G159" s="172">
        <f t="shared" si="6"/>
        <v>0</v>
      </c>
      <c r="H159" s="431"/>
      <c r="I159" s="195">
        <v>-300000000</v>
      </c>
      <c r="J159" s="196">
        <v>42234</v>
      </c>
      <c r="K159" s="197" t="s">
        <v>391</v>
      </c>
    </row>
    <row r="160" spans="1:12" ht="16.5" customHeight="1">
      <c r="A160" s="437"/>
      <c r="B160" s="425"/>
      <c r="C160" s="427"/>
      <c r="D160" s="427"/>
      <c r="E160" s="431"/>
      <c r="F160" s="431"/>
      <c r="G160" s="172">
        <f t="shared" si="6"/>
        <v>400000000</v>
      </c>
      <c r="H160" s="431"/>
      <c r="I160" s="172">
        <v>400000000</v>
      </c>
      <c r="J160" s="288">
        <v>42275</v>
      </c>
      <c r="K160" s="289" t="s">
        <v>373</v>
      </c>
    </row>
    <row r="161" spans="1:12" ht="16.5" customHeight="1">
      <c r="A161" s="437"/>
      <c r="B161" s="425"/>
      <c r="C161" s="427"/>
      <c r="D161" s="427"/>
      <c r="E161" s="431"/>
      <c r="F161" s="431"/>
      <c r="G161" s="172">
        <f t="shared" si="6"/>
        <v>0</v>
      </c>
      <c r="H161" s="431"/>
      <c r="I161" s="195">
        <v>-200000000</v>
      </c>
      <c r="J161" s="196">
        <v>42279</v>
      </c>
      <c r="K161" s="197" t="s">
        <v>391</v>
      </c>
    </row>
    <row r="162" spans="1:12" ht="16.5" customHeight="1">
      <c r="A162" s="437"/>
      <c r="B162" s="425"/>
      <c r="C162" s="427"/>
      <c r="D162" s="427"/>
      <c r="E162" s="431"/>
      <c r="F162" s="431"/>
      <c r="G162" s="172">
        <f t="shared" si="6"/>
        <v>150000000</v>
      </c>
      <c r="H162" s="431"/>
      <c r="I162" s="172">
        <v>150000000</v>
      </c>
      <c r="J162" s="304">
        <v>42291</v>
      </c>
      <c r="K162" s="303" t="s">
        <v>373</v>
      </c>
    </row>
    <row r="163" spans="1:12" ht="16.5" customHeight="1">
      <c r="A163" s="437"/>
      <c r="B163" s="425"/>
      <c r="C163" s="427"/>
      <c r="D163" s="427"/>
      <c r="E163" s="431"/>
      <c r="F163" s="431"/>
      <c r="G163" s="172">
        <f t="shared" si="6"/>
        <v>400000000</v>
      </c>
      <c r="H163" s="431"/>
      <c r="I163" s="172">
        <v>400000000</v>
      </c>
      <c r="J163" s="304">
        <v>42305</v>
      </c>
      <c r="K163" s="303" t="s">
        <v>373</v>
      </c>
    </row>
    <row r="164" spans="1:12" ht="16.5" customHeight="1">
      <c r="A164" s="437"/>
      <c r="B164" s="425"/>
      <c r="C164" s="427"/>
      <c r="D164" s="427"/>
      <c r="E164" s="431"/>
      <c r="F164" s="431"/>
      <c r="G164" s="172">
        <f t="shared" si="6"/>
        <v>0</v>
      </c>
      <c r="H164" s="431"/>
      <c r="I164" s="172"/>
      <c r="J164" s="304"/>
      <c r="K164" s="303"/>
    </row>
    <row r="165" spans="1:12" ht="16.5" customHeight="1">
      <c r="A165" s="437"/>
      <c r="B165" s="425"/>
      <c r="C165" s="427"/>
      <c r="D165" s="427"/>
      <c r="E165" s="431"/>
      <c r="F165" s="431"/>
      <c r="G165" s="172">
        <f t="shared" si="6"/>
        <v>0</v>
      </c>
      <c r="H165" s="431"/>
      <c r="I165" s="172"/>
      <c r="J165" s="304"/>
      <c r="K165" s="303"/>
    </row>
    <row r="166" spans="1:12" ht="16.5" customHeight="1">
      <c r="A166" s="437"/>
      <c r="B166" s="425"/>
      <c r="C166" s="427"/>
      <c r="D166" s="427"/>
      <c r="E166" s="431"/>
      <c r="F166" s="431"/>
      <c r="G166" s="172">
        <f t="shared" si="6"/>
        <v>0</v>
      </c>
      <c r="H166" s="431"/>
      <c r="I166" s="172"/>
      <c r="J166" s="304"/>
      <c r="K166" s="303"/>
    </row>
    <row r="167" spans="1:12" ht="16.5" customHeight="1">
      <c r="A167" s="437"/>
      <c r="B167" s="425"/>
      <c r="C167" s="448"/>
      <c r="D167" s="448"/>
      <c r="E167" s="449"/>
      <c r="F167" s="449"/>
      <c r="G167" s="172">
        <f t="shared" si="6"/>
        <v>0</v>
      </c>
      <c r="H167" s="449"/>
      <c r="I167" s="172"/>
      <c r="J167" s="301"/>
      <c r="K167" s="302"/>
    </row>
    <row r="168" spans="1:12" s="161" customFormat="1" ht="18" customHeight="1">
      <c r="A168" s="437"/>
      <c r="B168" s="425"/>
      <c r="C168" s="432" t="s">
        <v>94</v>
      </c>
      <c r="D168" s="433"/>
      <c r="E168" s="158">
        <f>SUM(E156:E167)</f>
        <v>0</v>
      </c>
      <c r="F168" s="158">
        <f>SUM(F156:F167)</f>
        <v>3652000000</v>
      </c>
      <c r="G168" s="158">
        <f>SUM(G156:G167)</f>
        <v>1750000000</v>
      </c>
      <c r="H168" s="158">
        <f>SUM(H156:H167)</f>
        <v>2255000000</v>
      </c>
      <c r="I168" s="158">
        <f>SUM(I156:I167)</f>
        <v>1250000000</v>
      </c>
      <c r="J168" s="159"/>
      <c r="K168" s="160" t="s">
        <v>42</v>
      </c>
      <c r="L168" s="313"/>
    </row>
    <row r="169" spans="1:12" s="161" customFormat="1" ht="18" customHeight="1">
      <c r="A169" s="437"/>
      <c r="B169" s="425"/>
      <c r="C169" s="432" t="s">
        <v>380</v>
      </c>
      <c r="D169" s="433"/>
      <c r="E169" s="162"/>
      <c r="F169" s="162"/>
      <c r="G169" s="163">
        <f>E168-G168</f>
        <v>-1750000000</v>
      </c>
      <c r="H169" s="162"/>
      <c r="I169" s="163">
        <f>H168-I168</f>
        <v>1005000000</v>
      </c>
      <c r="J169" s="159"/>
      <c r="K169" s="160"/>
      <c r="L169" s="313"/>
    </row>
    <row r="170" spans="1:12" ht="17.25" customHeight="1">
      <c r="A170" s="437">
        <v>23</v>
      </c>
      <c r="B170" s="437" t="s">
        <v>151</v>
      </c>
      <c r="C170" s="446"/>
      <c r="D170" s="447">
        <v>42094</v>
      </c>
      <c r="E170" s="439"/>
      <c r="F170" s="439">
        <v>650650000</v>
      </c>
      <c r="G170" s="172">
        <v>195195000</v>
      </c>
      <c r="H170" s="439">
        <v>485650000</v>
      </c>
      <c r="I170" s="172">
        <v>195195000</v>
      </c>
      <c r="J170" s="176">
        <v>42103</v>
      </c>
      <c r="K170" s="174" t="s">
        <v>373</v>
      </c>
    </row>
    <row r="171" spans="1:12" ht="17.25" customHeight="1">
      <c r="A171" s="437"/>
      <c r="B171" s="437"/>
      <c r="C171" s="446"/>
      <c r="D171" s="447"/>
      <c r="E171" s="439"/>
      <c r="F171" s="439"/>
      <c r="G171" s="172">
        <v>140000000</v>
      </c>
      <c r="H171" s="439"/>
      <c r="I171" s="172">
        <v>140000000</v>
      </c>
      <c r="J171" s="176">
        <v>42170</v>
      </c>
      <c r="K171" s="174" t="s">
        <v>373</v>
      </c>
    </row>
    <row r="172" spans="1:12" ht="17.25" customHeight="1">
      <c r="A172" s="437"/>
      <c r="B172" s="437"/>
      <c r="C172" s="446"/>
      <c r="D172" s="447"/>
      <c r="E172" s="439"/>
      <c r="F172" s="439"/>
      <c r="G172" s="177">
        <f>I172</f>
        <v>50000000</v>
      </c>
      <c r="H172" s="439"/>
      <c r="I172" s="172">
        <v>50000000</v>
      </c>
      <c r="J172" s="399">
        <v>42319</v>
      </c>
      <c r="K172" s="400" t="s">
        <v>373</v>
      </c>
    </row>
    <row r="173" spans="1:12" ht="17.25" customHeight="1">
      <c r="A173" s="437"/>
      <c r="B173" s="437"/>
      <c r="C173" s="446"/>
      <c r="D173" s="447"/>
      <c r="E173" s="439"/>
      <c r="F173" s="439"/>
      <c r="G173" s="177">
        <f t="shared" ref="G173:G174" si="7">I173</f>
        <v>0</v>
      </c>
      <c r="H173" s="439"/>
      <c r="I173" s="172"/>
      <c r="J173" s="399"/>
      <c r="K173" s="400"/>
    </row>
    <row r="174" spans="1:12" ht="16.5" customHeight="1">
      <c r="A174" s="437"/>
      <c r="B174" s="437"/>
      <c r="C174" s="446"/>
      <c r="D174" s="447"/>
      <c r="E174" s="439"/>
      <c r="F174" s="439"/>
      <c r="G174" s="177">
        <f t="shared" si="7"/>
        <v>0</v>
      </c>
      <c r="H174" s="439"/>
      <c r="I174" s="151"/>
      <c r="J174" s="176"/>
      <c r="K174" s="190"/>
    </row>
    <row r="175" spans="1:12" s="161" customFormat="1" ht="18" customHeight="1">
      <c r="A175" s="437"/>
      <c r="B175" s="437"/>
      <c r="C175" s="432" t="s">
        <v>94</v>
      </c>
      <c r="D175" s="433"/>
      <c r="E175" s="158">
        <f>SUM(E170:E174)</f>
        <v>0</v>
      </c>
      <c r="F175" s="158">
        <f>SUM(F170:F174)</f>
        <v>650650000</v>
      </c>
      <c r="G175" s="158">
        <f>SUM(G170:G174)</f>
        <v>385195000</v>
      </c>
      <c r="H175" s="158">
        <f>SUM(H170:H174)</f>
        <v>485650000</v>
      </c>
      <c r="I175" s="158">
        <f>SUM(I170:I174)</f>
        <v>385195000</v>
      </c>
      <c r="J175" s="159"/>
      <c r="K175" s="160" t="s">
        <v>42</v>
      </c>
      <c r="L175" s="313"/>
    </row>
    <row r="176" spans="1:12" s="161" customFormat="1" ht="18" customHeight="1">
      <c r="A176" s="437"/>
      <c r="B176" s="437"/>
      <c r="C176" s="432" t="s">
        <v>380</v>
      </c>
      <c r="D176" s="433"/>
      <c r="E176" s="162"/>
      <c r="F176" s="162"/>
      <c r="G176" s="163">
        <f>E175-G175</f>
        <v>-385195000</v>
      </c>
      <c r="H176" s="162"/>
      <c r="I176" s="163">
        <f>H175-I175</f>
        <v>100455000</v>
      </c>
      <c r="J176" s="159"/>
      <c r="K176" s="160"/>
      <c r="L176" s="313"/>
    </row>
    <row r="177" spans="1:12" ht="16.5" customHeight="1">
      <c r="A177" s="437">
        <v>24</v>
      </c>
      <c r="B177" s="437" t="s">
        <v>152</v>
      </c>
      <c r="C177" s="446" t="s">
        <v>398</v>
      </c>
      <c r="D177" s="447">
        <v>41618</v>
      </c>
      <c r="E177" s="439"/>
      <c r="F177" s="439">
        <v>394100000</v>
      </c>
      <c r="G177" s="172">
        <v>100000000</v>
      </c>
      <c r="H177" s="439">
        <v>298500000</v>
      </c>
      <c r="I177" s="172">
        <v>100000000</v>
      </c>
      <c r="J177" s="176">
        <v>42116</v>
      </c>
      <c r="K177" s="174" t="s">
        <v>373</v>
      </c>
    </row>
    <row r="178" spans="1:12" ht="16.5" customHeight="1">
      <c r="A178" s="437"/>
      <c r="B178" s="437"/>
      <c r="C178" s="446"/>
      <c r="D178" s="447"/>
      <c r="E178" s="439"/>
      <c r="F178" s="439"/>
      <c r="G178" s="138"/>
      <c r="H178" s="439"/>
      <c r="I178" s="151"/>
      <c r="J178" s="176"/>
      <c r="K178" s="190"/>
    </row>
    <row r="179" spans="1:12" s="161" customFormat="1" ht="18" customHeight="1">
      <c r="A179" s="437"/>
      <c r="B179" s="437"/>
      <c r="C179" s="432" t="s">
        <v>94</v>
      </c>
      <c r="D179" s="433"/>
      <c r="E179" s="158">
        <f>SUM(E177:E178)</f>
        <v>0</v>
      </c>
      <c r="F179" s="158">
        <f>SUM(F177:F178)</f>
        <v>394100000</v>
      </c>
      <c r="G179" s="158">
        <f>SUM(G177:G178)</f>
        <v>100000000</v>
      </c>
      <c r="H179" s="158">
        <f>SUM(H177:H178)</f>
        <v>298500000</v>
      </c>
      <c r="I179" s="158">
        <f>SUM(I177:I178)</f>
        <v>100000000</v>
      </c>
      <c r="J179" s="159"/>
      <c r="K179" s="160" t="s">
        <v>42</v>
      </c>
      <c r="L179" s="313"/>
    </row>
    <row r="180" spans="1:12" s="161" customFormat="1" ht="18" customHeight="1">
      <c r="A180" s="437"/>
      <c r="B180" s="437"/>
      <c r="C180" s="432" t="s">
        <v>380</v>
      </c>
      <c r="D180" s="433"/>
      <c r="E180" s="162"/>
      <c r="F180" s="162"/>
      <c r="G180" s="163">
        <f>E179-G179</f>
        <v>-100000000</v>
      </c>
      <c r="H180" s="162"/>
      <c r="I180" s="163">
        <f>H179-I179</f>
        <v>198500000</v>
      </c>
      <c r="J180" s="159"/>
      <c r="K180" s="160"/>
      <c r="L180" s="313"/>
    </row>
    <row r="181" spans="1:12" ht="16.5" customHeight="1">
      <c r="A181" s="437">
        <v>25</v>
      </c>
      <c r="B181" s="437" t="s">
        <v>172</v>
      </c>
      <c r="C181" s="446" t="s">
        <v>399</v>
      </c>
      <c r="D181" s="447"/>
      <c r="E181" s="439"/>
      <c r="F181" s="439">
        <v>898744036</v>
      </c>
      <c r="G181" s="172">
        <f>IF(I181&gt;0,I181,0)</f>
        <v>150000000</v>
      </c>
      <c r="H181" s="439">
        <f>663683801</f>
        <v>663683801</v>
      </c>
      <c r="I181" s="172">
        <v>150000000</v>
      </c>
      <c r="J181" s="176">
        <v>42132</v>
      </c>
      <c r="K181" s="174" t="s">
        <v>373</v>
      </c>
    </row>
    <row r="182" spans="1:12" ht="16.5" customHeight="1">
      <c r="A182" s="437"/>
      <c r="B182" s="437"/>
      <c r="C182" s="446"/>
      <c r="D182" s="447"/>
      <c r="E182" s="439"/>
      <c r="F182" s="439"/>
      <c r="G182" s="172">
        <f t="shared" ref="G182:G188" si="8">IF(I182&gt;0,I182,0)</f>
        <v>150000000</v>
      </c>
      <c r="H182" s="439"/>
      <c r="I182" s="172">
        <v>150000000</v>
      </c>
      <c r="J182" s="176">
        <v>42144</v>
      </c>
      <c r="K182" s="174" t="s">
        <v>373</v>
      </c>
    </row>
    <row r="183" spans="1:12" ht="16.5" customHeight="1">
      <c r="A183" s="437"/>
      <c r="B183" s="437"/>
      <c r="C183" s="446"/>
      <c r="D183" s="447"/>
      <c r="E183" s="439"/>
      <c r="F183" s="439"/>
      <c r="G183" s="172">
        <f t="shared" si="8"/>
        <v>50000000</v>
      </c>
      <c r="H183" s="439"/>
      <c r="I183" s="172">
        <v>50000000</v>
      </c>
      <c r="J183" s="176">
        <v>42157</v>
      </c>
      <c r="K183" s="174" t="s">
        <v>373</v>
      </c>
    </row>
    <row r="184" spans="1:12" ht="16.5" customHeight="1">
      <c r="A184" s="437"/>
      <c r="B184" s="437"/>
      <c r="C184" s="446"/>
      <c r="D184" s="447"/>
      <c r="E184" s="439"/>
      <c r="F184" s="439"/>
      <c r="G184" s="172">
        <f t="shared" si="8"/>
        <v>200000000</v>
      </c>
      <c r="H184" s="439"/>
      <c r="I184" s="172">
        <v>200000000</v>
      </c>
      <c r="J184" s="176">
        <v>42167</v>
      </c>
      <c r="K184" s="174" t="s">
        <v>373</v>
      </c>
    </row>
    <row r="185" spans="1:12" ht="16.5" customHeight="1">
      <c r="A185" s="437"/>
      <c r="B185" s="437"/>
      <c r="C185" s="446"/>
      <c r="D185" s="447"/>
      <c r="E185" s="439"/>
      <c r="F185" s="439"/>
      <c r="G185" s="172">
        <f t="shared" si="8"/>
        <v>100000000</v>
      </c>
      <c r="H185" s="439"/>
      <c r="I185" s="172">
        <v>100000000</v>
      </c>
      <c r="J185" s="176">
        <v>42198</v>
      </c>
      <c r="K185" s="174" t="s">
        <v>373</v>
      </c>
    </row>
    <row r="186" spans="1:12" ht="16.5" customHeight="1">
      <c r="A186" s="437"/>
      <c r="B186" s="437"/>
      <c r="C186" s="446" t="s">
        <v>414</v>
      </c>
      <c r="D186" s="447"/>
      <c r="E186" s="439"/>
      <c r="F186" s="439">
        <v>627830692</v>
      </c>
      <c r="G186" s="172">
        <f t="shared" si="8"/>
        <v>400000000</v>
      </c>
      <c r="H186" s="439">
        <v>304043967</v>
      </c>
      <c r="I186" s="172">
        <v>400000000</v>
      </c>
      <c r="J186" s="176">
        <v>42219</v>
      </c>
      <c r="K186" s="174" t="s">
        <v>373</v>
      </c>
    </row>
    <row r="187" spans="1:12" ht="16.5" customHeight="1">
      <c r="A187" s="437"/>
      <c r="B187" s="437"/>
      <c r="C187" s="446"/>
      <c r="D187" s="447"/>
      <c r="E187" s="439"/>
      <c r="F187" s="439"/>
      <c r="G187" s="172">
        <f t="shared" si="8"/>
        <v>0</v>
      </c>
      <c r="H187" s="439"/>
      <c r="I187" s="195">
        <v>-200000000</v>
      </c>
      <c r="J187" s="196">
        <v>42220</v>
      </c>
      <c r="K187" s="197" t="s">
        <v>391</v>
      </c>
    </row>
    <row r="188" spans="1:12" ht="16.5" customHeight="1">
      <c r="A188" s="437"/>
      <c r="B188" s="437"/>
      <c r="C188" s="446"/>
      <c r="D188" s="447"/>
      <c r="E188" s="439"/>
      <c r="F188" s="439"/>
      <c r="G188" s="172">
        <f t="shared" si="8"/>
        <v>0</v>
      </c>
      <c r="H188" s="439"/>
      <c r="I188" s="172"/>
      <c r="J188" s="176"/>
      <c r="K188" s="174"/>
    </row>
    <row r="189" spans="1:12" s="161" customFormat="1" ht="18" customHeight="1">
      <c r="A189" s="437"/>
      <c r="B189" s="437"/>
      <c r="C189" s="432" t="s">
        <v>94</v>
      </c>
      <c r="D189" s="433"/>
      <c r="E189" s="158">
        <f>SUM(E181:E188)</f>
        <v>0</v>
      </c>
      <c r="F189" s="158">
        <f>SUM(F181:F188)</f>
        <v>1526574728</v>
      </c>
      <c r="G189" s="158">
        <f>SUM(G181:G188)</f>
        <v>1050000000</v>
      </c>
      <c r="H189" s="158">
        <f>SUM(H181:H188)</f>
        <v>967727768</v>
      </c>
      <c r="I189" s="158">
        <f>SUM(I181:I188)</f>
        <v>850000000</v>
      </c>
      <c r="J189" s="159"/>
      <c r="K189" s="160" t="s">
        <v>42</v>
      </c>
      <c r="L189" s="313"/>
    </row>
    <row r="190" spans="1:12" s="161" customFormat="1" ht="18" customHeight="1">
      <c r="A190" s="437"/>
      <c r="B190" s="437"/>
      <c r="C190" s="432" t="s">
        <v>380</v>
      </c>
      <c r="D190" s="433"/>
      <c r="E190" s="162"/>
      <c r="F190" s="162"/>
      <c r="G190" s="163">
        <f>E189-G189</f>
        <v>-1050000000</v>
      </c>
      <c r="H190" s="162"/>
      <c r="I190" s="163">
        <f>H189-I189</f>
        <v>117727768</v>
      </c>
      <c r="J190" s="159"/>
      <c r="K190" s="160"/>
      <c r="L190" s="313"/>
    </row>
    <row r="191" spans="1:12" ht="16.5" customHeight="1">
      <c r="A191" s="437">
        <v>26</v>
      </c>
      <c r="B191" s="425" t="s">
        <v>190</v>
      </c>
      <c r="C191" s="440" t="s">
        <v>402</v>
      </c>
      <c r="D191" s="442">
        <v>42125</v>
      </c>
      <c r="E191" s="444">
        <f>99315638+525544049+60382018+295513229+100001957+81027109</f>
        <v>1161784000</v>
      </c>
      <c r="F191" s="444">
        <v>893000000</v>
      </c>
      <c r="G191" s="172">
        <f>IF(I191&gt;0,I191,0)</f>
        <v>200000000</v>
      </c>
      <c r="H191" s="444">
        <f>99315000+278359000+247185000+61180000+303311000+82240000+19689000</f>
        <v>1091279000</v>
      </c>
      <c r="I191" s="179">
        <v>200000000</v>
      </c>
      <c r="J191" s="191">
        <v>42144</v>
      </c>
      <c r="K191" s="192" t="s">
        <v>373</v>
      </c>
    </row>
    <row r="192" spans="1:12" ht="16.5" customHeight="1">
      <c r="A192" s="437"/>
      <c r="B192" s="425"/>
      <c r="C192" s="427"/>
      <c r="D192" s="429"/>
      <c r="E192" s="431"/>
      <c r="F192" s="431"/>
      <c r="G192" s="172">
        <f t="shared" ref="G192:G197" si="9">IF(I192&gt;0,I192,0)</f>
        <v>250000000</v>
      </c>
      <c r="H192" s="431"/>
      <c r="I192" s="172">
        <v>250000000</v>
      </c>
      <c r="J192" s="176">
        <v>42188</v>
      </c>
      <c r="K192" s="178" t="s">
        <v>373</v>
      </c>
    </row>
    <row r="193" spans="1:12" ht="16.5" customHeight="1">
      <c r="A193" s="437"/>
      <c r="B193" s="425"/>
      <c r="C193" s="427"/>
      <c r="D193" s="429"/>
      <c r="E193" s="431"/>
      <c r="F193" s="431"/>
      <c r="G193" s="172">
        <f t="shared" si="9"/>
        <v>300000000</v>
      </c>
      <c r="H193" s="431"/>
      <c r="I193" s="181">
        <v>300000000</v>
      </c>
      <c r="J193" s="176">
        <v>42219</v>
      </c>
      <c r="K193" s="178" t="s">
        <v>373</v>
      </c>
    </row>
    <row r="194" spans="1:12" ht="16.5" customHeight="1">
      <c r="A194" s="437"/>
      <c r="B194" s="425"/>
      <c r="C194" s="427"/>
      <c r="D194" s="429"/>
      <c r="E194" s="431"/>
      <c r="F194" s="431"/>
      <c r="G194" s="172">
        <f t="shared" si="9"/>
        <v>0</v>
      </c>
      <c r="H194" s="431"/>
      <c r="I194" s="181">
        <v>-100000000</v>
      </c>
      <c r="J194" s="176">
        <v>42220</v>
      </c>
      <c r="K194" s="187" t="s">
        <v>391</v>
      </c>
    </row>
    <row r="195" spans="1:12" ht="16.5" customHeight="1">
      <c r="A195" s="437"/>
      <c r="B195" s="425"/>
      <c r="C195" s="427"/>
      <c r="D195" s="429"/>
      <c r="E195" s="431"/>
      <c r="F195" s="431"/>
      <c r="G195" s="172">
        <f t="shared" si="9"/>
        <v>150000000</v>
      </c>
      <c r="H195" s="431"/>
      <c r="I195" s="227">
        <v>150000000</v>
      </c>
      <c r="J195" s="231">
        <v>42251</v>
      </c>
      <c r="K195" s="244" t="s">
        <v>373</v>
      </c>
    </row>
    <row r="196" spans="1:12" ht="16.5" customHeight="1">
      <c r="A196" s="437"/>
      <c r="B196" s="425"/>
      <c r="C196" s="427"/>
      <c r="D196" s="429"/>
      <c r="E196" s="431"/>
      <c r="F196" s="431"/>
      <c r="G196" s="172">
        <f t="shared" si="9"/>
        <v>150000000</v>
      </c>
      <c r="H196" s="431"/>
      <c r="I196" s="298">
        <v>150000000</v>
      </c>
      <c r="J196" s="299">
        <v>42279</v>
      </c>
      <c r="K196" s="296" t="s">
        <v>373</v>
      </c>
    </row>
    <row r="197" spans="1:12" ht="16.5" customHeight="1">
      <c r="A197" s="437"/>
      <c r="B197" s="425"/>
      <c r="C197" s="441"/>
      <c r="D197" s="443"/>
      <c r="E197" s="445"/>
      <c r="F197" s="445"/>
      <c r="G197" s="172">
        <f t="shared" si="9"/>
        <v>0</v>
      </c>
      <c r="H197" s="445"/>
      <c r="I197" s="182"/>
      <c r="J197" s="193"/>
      <c r="K197" s="194"/>
    </row>
    <row r="198" spans="1:12" s="161" customFormat="1" ht="18" customHeight="1">
      <c r="A198" s="437"/>
      <c r="B198" s="425"/>
      <c r="C198" s="432" t="s">
        <v>94</v>
      </c>
      <c r="D198" s="433"/>
      <c r="E198" s="158">
        <f>SUM(E191:E197)</f>
        <v>1161784000</v>
      </c>
      <c r="F198" s="158">
        <f>SUM(F191:F197)</f>
        <v>893000000</v>
      </c>
      <c r="G198" s="158">
        <f t="shared" ref="G198:I198" si="10">SUM(G191:G197)</f>
        <v>1050000000</v>
      </c>
      <c r="H198" s="158">
        <f t="shared" si="10"/>
        <v>1091279000</v>
      </c>
      <c r="I198" s="158">
        <f t="shared" si="10"/>
        <v>950000000</v>
      </c>
      <c r="J198" s="159"/>
      <c r="K198" s="160" t="s">
        <v>42</v>
      </c>
      <c r="L198" s="313"/>
    </row>
    <row r="199" spans="1:12" s="161" customFormat="1" ht="18" customHeight="1">
      <c r="A199" s="437"/>
      <c r="B199" s="425"/>
      <c r="C199" s="432" t="s">
        <v>380</v>
      </c>
      <c r="D199" s="433"/>
      <c r="E199" s="162"/>
      <c r="F199" s="162"/>
      <c r="G199" s="163">
        <f>E198-G198</f>
        <v>111784000</v>
      </c>
      <c r="H199" s="162"/>
      <c r="I199" s="163">
        <f>H198-I198</f>
        <v>141279000</v>
      </c>
      <c r="J199" s="159"/>
      <c r="K199" s="160"/>
      <c r="L199" s="313"/>
    </row>
    <row r="200" spans="1:12" ht="16.5" customHeight="1">
      <c r="A200" s="437">
        <v>27</v>
      </c>
      <c r="B200" s="425" t="s">
        <v>269</v>
      </c>
      <c r="C200" s="438" t="s">
        <v>403</v>
      </c>
      <c r="D200" s="428">
        <v>42125</v>
      </c>
      <c r="E200" s="430"/>
      <c r="F200" s="430">
        <v>1489950000</v>
      </c>
      <c r="G200" s="172">
        <f>IF(I200&gt;0,I200,0)</f>
        <v>200000000</v>
      </c>
      <c r="H200" s="430">
        <v>868450000</v>
      </c>
      <c r="I200" s="172">
        <v>200000000</v>
      </c>
      <c r="J200" s="176">
        <v>42150</v>
      </c>
      <c r="K200" s="174" t="s">
        <v>373</v>
      </c>
    </row>
    <row r="201" spans="1:12" ht="16.5" customHeight="1">
      <c r="A201" s="437"/>
      <c r="B201" s="425"/>
      <c r="C201" s="427"/>
      <c r="D201" s="427"/>
      <c r="E201" s="431"/>
      <c r="F201" s="431"/>
      <c r="G201" s="172">
        <f t="shared" ref="G201:G207" si="11">IF(I201&gt;0,I201,0)</f>
        <v>500000000</v>
      </c>
      <c r="H201" s="431"/>
      <c r="I201" s="172">
        <v>500000000</v>
      </c>
      <c r="J201" s="176">
        <v>42198</v>
      </c>
      <c r="K201" s="174" t="s">
        <v>373</v>
      </c>
    </row>
    <row r="202" spans="1:12" ht="16.5" customHeight="1">
      <c r="A202" s="437"/>
      <c r="B202" s="425"/>
      <c r="C202" s="427"/>
      <c r="D202" s="427"/>
      <c r="E202" s="431"/>
      <c r="F202" s="431"/>
      <c r="G202" s="172">
        <f t="shared" si="11"/>
        <v>0</v>
      </c>
      <c r="H202" s="431"/>
      <c r="I202" s="195">
        <v>-300000000</v>
      </c>
      <c r="J202" s="196">
        <v>42199</v>
      </c>
      <c r="K202" s="197" t="s">
        <v>391</v>
      </c>
    </row>
    <row r="203" spans="1:12" ht="16.5" customHeight="1">
      <c r="A203" s="437"/>
      <c r="B203" s="425"/>
      <c r="C203" s="427"/>
      <c r="D203" s="427"/>
      <c r="E203" s="431"/>
      <c r="F203" s="431"/>
      <c r="G203" s="172">
        <f t="shared" si="11"/>
        <v>500000000</v>
      </c>
      <c r="H203" s="431"/>
      <c r="I203" s="172">
        <v>500000000</v>
      </c>
      <c r="J203" s="235">
        <v>42241</v>
      </c>
      <c r="K203" s="234" t="s">
        <v>373</v>
      </c>
    </row>
    <row r="204" spans="1:12" ht="16.5" customHeight="1">
      <c r="A204" s="437"/>
      <c r="B204" s="425"/>
      <c r="C204" s="427"/>
      <c r="D204" s="427"/>
      <c r="E204" s="431"/>
      <c r="F204" s="431"/>
      <c r="G204" s="172">
        <f t="shared" si="11"/>
        <v>0</v>
      </c>
      <c r="H204" s="431"/>
      <c r="I204" s="195">
        <v>-300000000</v>
      </c>
      <c r="J204" s="196">
        <v>42242</v>
      </c>
      <c r="K204" s="197" t="s">
        <v>391</v>
      </c>
    </row>
    <row r="205" spans="1:12" ht="16.5" customHeight="1">
      <c r="A205" s="437"/>
      <c r="B205" s="425"/>
      <c r="C205" s="427"/>
      <c r="D205" s="427"/>
      <c r="E205" s="431"/>
      <c r="F205" s="431"/>
      <c r="G205" s="172">
        <f t="shared" si="11"/>
        <v>400000000</v>
      </c>
      <c r="H205" s="431"/>
      <c r="I205" s="172">
        <v>400000000</v>
      </c>
      <c r="J205" s="297">
        <v>42279</v>
      </c>
      <c r="K205" s="300" t="s">
        <v>373</v>
      </c>
    </row>
    <row r="206" spans="1:12" ht="16.5" customHeight="1">
      <c r="A206" s="437"/>
      <c r="B206" s="425"/>
      <c r="C206" s="427"/>
      <c r="D206" s="427"/>
      <c r="E206" s="431"/>
      <c r="F206" s="431"/>
      <c r="G206" s="172">
        <f t="shared" si="11"/>
        <v>0</v>
      </c>
      <c r="H206" s="431"/>
      <c r="I206" s="195"/>
      <c r="J206" s="196"/>
      <c r="K206" s="197"/>
    </row>
    <row r="207" spans="1:12" ht="16.5" customHeight="1">
      <c r="A207" s="437"/>
      <c r="B207" s="425"/>
      <c r="C207" s="427"/>
      <c r="D207" s="427"/>
      <c r="E207" s="431"/>
      <c r="F207" s="431"/>
      <c r="G207" s="172">
        <f t="shared" si="11"/>
        <v>0</v>
      </c>
      <c r="H207" s="431"/>
      <c r="I207" s="151"/>
      <c r="J207" s="176"/>
      <c r="K207" s="190"/>
    </row>
    <row r="208" spans="1:12" s="161" customFormat="1" ht="18" customHeight="1">
      <c r="A208" s="437"/>
      <c r="B208" s="425"/>
      <c r="C208" s="432" t="s">
        <v>94</v>
      </c>
      <c r="D208" s="433"/>
      <c r="E208" s="158">
        <f>SUM(E200:E207)</f>
        <v>0</v>
      </c>
      <c r="F208" s="158">
        <f>SUM(F200:F207)</f>
        <v>1489950000</v>
      </c>
      <c r="G208" s="158">
        <f>SUM(G200:G207)</f>
        <v>1600000000</v>
      </c>
      <c r="H208" s="158">
        <f>SUM(H200:H207)</f>
        <v>868450000</v>
      </c>
      <c r="I208" s="158">
        <f>SUM(I200:I207)</f>
        <v>1000000000</v>
      </c>
      <c r="J208" s="159"/>
      <c r="K208" s="160" t="s">
        <v>42</v>
      </c>
      <c r="L208" s="313"/>
    </row>
    <row r="209" spans="1:12" s="161" customFormat="1" ht="18" customHeight="1">
      <c r="A209" s="437"/>
      <c r="B209" s="425"/>
      <c r="C209" s="432" t="s">
        <v>380</v>
      </c>
      <c r="D209" s="433"/>
      <c r="E209" s="162"/>
      <c r="F209" s="162"/>
      <c r="G209" s="163">
        <f>E208-G208</f>
        <v>-1600000000</v>
      </c>
      <c r="H209" s="162"/>
      <c r="I209" s="163">
        <f>H208-I208</f>
        <v>-131550000</v>
      </c>
      <c r="J209" s="159"/>
      <c r="K209" s="160"/>
      <c r="L209" s="313"/>
    </row>
    <row r="210" spans="1:12" ht="16.5" customHeight="1">
      <c r="A210" s="437">
        <v>28</v>
      </c>
      <c r="B210" s="425" t="s">
        <v>407</v>
      </c>
      <c r="C210" s="438" t="s">
        <v>408</v>
      </c>
      <c r="D210" s="428">
        <v>42205</v>
      </c>
      <c r="E210" s="430"/>
      <c r="F210" s="430">
        <v>282530000</v>
      </c>
      <c r="G210" s="172">
        <f t="shared" ref="G210:G218" si="12">IF(I210&gt;0,I210,0)</f>
        <v>90000000</v>
      </c>
      <c r="H210" s="430">
        <v>282530000</v>
      </c>
      <c r="I210" s="151">
        <v>90000000</v>
      </c>
      <c r="J210" s="176">
        <v>42212</v>
      </c>
      <c r="K210" s="174" t="s">
        <v>373</v>
      </c>
    </row>
    <row r="211" spans="1:12" ht="16.5" customHeight="1">
      <c r="A211" s="437"/>
      <c r="B211" s="425"/>
      <c r="C211" s="427"/>
      <c r="D211" s="429"/>
      <c r="E211" s="431"/>
      <c r="F211" s="431"/>
      <c r="G211" s="172">
        <f t="shared" si="12"/>
        <v>50000000</v>
      </c>
      <c r="H211" s="431"/>
      <c r="I211" s="151">
        <v>50000000</v>
      </c>
      <c r="J211" s="216">
        <v>42229</v>
      </c>
      <c r="K211" s="217" t="s">
        <v>373</v>
      </c>
    </row>
    <row r="212" spans="1:12" ht="16.5" customHeight="1">
      <c r="A212" s="437"/>
      <c r="B212" s="425"/>
      <c r="C212" s="427"/>
      <c r="D212" s="429"/>
      <c r="E212" s="431"/>
      <c r="F212" s="431"/>
      <c r="G212" s="172">
        <f t="shared" si="12"/>
        <v>50000000</v>
      </c>
      <c r="H212" s="431"/>
      <c r="I212" s="151">
        <v>50000000</v>
      </c>
      <c r="J212" s="235">
        <v>42241</v>
      </c>
      <c r="K212" s="234" t="s">
        <v>373</v>
      </c>
    </row>
    <row r="213" spans="1:12" ht="16.5" customHeight="1">
      <c r="A213" s="437"/>
      <c r="B213" s="425"/>
      <c r="C213" s="427"/>
      <c r="D213" s="429"/>
      <c r="E213" s="431"/>
      <c r="F213" s="431"/>
      <c r="G213" s="172">
        <f t="shared" si="12"/>
        <v>50000000</v>
      </c>
      <c r="H213" s="431"/>
      <c r="I213" s="151">
        <v>50000000</v>
      </c>
      <c r="J213" s="283">
        <v>42251</v>
      </c>
      <c r="K213" s="282" t="s">
        <v>373</v>
      </c>
    </row>
    <row r="214" spans="1:12" ht="16.5" customHeight="1">
      <c r="A214" s="437"/>
      <c r="B214" s="425"/>
      <c r="C214" s="427"/>
      <c r="D214" s="429"/>
      <c r="E214" s="431"/>
      <c r="F214" s="431"/>
      <c r="G214" s="172">
        <f t="shared" si="12"/>
        <v>30000000</v>
      </c>
      <c r="H214" s="431"/>
      <c r="I214" s="151">
        <v>30000000</v>
      </c>
      <c r="J214" s="319">
        <v>42285</v>
      </c>
      <c r="K214" s="320" t="s">
        <v>373</v>
      </c>
    </row>
    <row r="215" spans="1:12" ht="16.5" customHeight="1">
      <c r="A215" s="437"/>
      <c r="B215" s="425"/>
      <c r="C215" s="427"/>
      <c r="D215" s="429"/>
      <c r="E215" s="431"/>
      <c r="F215" s="431"/>
      <c r="G215" s="172"/>
      <c r="H215" s="431"/>
      <c r="I215" s="151">
        <v>10000000</v>
      </c>
      <c r="J215" s="319">
        <v>42306</v>
      </c>
      <c r="K215" s="320" t="s">
        <v>387</v>
      </c>
    </row>
    <row r="216" spans="1:12" ht="16.5" customHeight="1">
      <c r="A216" s="437"/>
      <c r="B216" s="425"/>
      <c r="C216" s="427"/>
      <c r="D216" s="429"/>
      <c r="E216" s="431"/>
      <c r="F216" s="431"/>
      <c r="G216" s="172">
        <f t="shared" si="12"/>
        <v>30000000</v>
      </c>
      <c r="H216" s="431"/>
      <c r="I216" s="151">
        <v>30000000</v>
      </c>
      <c r="J216" s="341">
        <v>42342</v>
      </c>
      <c r="K216" s="400" t="s">
        <v>373</v>
      </c>
    </row>
    <row r="217" spans="1:12" ht="16.5" customHeight="1">
      <c r="A217" s="437"/>
      <c r="B217" s="425"/>
      <c r="C217" s="427"/>
      <c r="D217" s="429"/>
      <c r="E217" s="431"/>
      <c r="F217" s="431"/>
      <c r="G217" s="172">
        <f t="shared" si="12"/>
        <v>0</v>
      </c>
      <c r="H217" s="431"/>
      <c r="I217" s="151"/>
      <c r="J217" s="341"/>
      <c r="K217" s="340"/>
    </row>
    <row r="218" spans="1:12" ht="16.5" customHeight="1">
      <c r="A218" s="437"/>
      <c r="B218" s="425"/>
      <c r="C218" s="427"/>
      <c r="D218" s="427"/>
      <c r="E218" s="431"/>
      <c r="F218" s="431"/>
      <c r="G218" s="172">
        <f t="shared" si="12"/>
        <v>0</v>
      </c>
      <c r="H218" s="431"/>
      <c r="I218" s="151"/>
      <c r="J218" s="176"/>
      <c r="K218" s="302"/>
    </row>
    <row r="219" spans="1:12" s="161" customFormat="1" ht="18" customHeight="1">
      <c r="A219" s="437"/>
      <c r="B219" s="425"/>
      <c r="C219" s="432" t="s">
        <v>94</v>
      </c>
      <c r="D219" s="433"/>
      <c r="E219" s="158">
        <f>SUM(E210:E218)</f>
        <v>0</v>
      </c>
      <c r="F219" s="158">
        <f>SUM(F210:F218)</f>
        <v>282530000</v>
      </c>
      <c r="G219" s="158">
        <f>SUM(G210:G218)</f>
        <v>300000000</v>
      </c>
      <c r="H219" s="158">
        <f>SUM(H210:H218)</f>
        <v>282530000</v>
      </c>
      <c r="I219" s="158">
        <f>SUM(I210:I218)</f>
        <v>310000000</v>
      </c>
      <c r="J219" s="159"/>
      <c r="K219" s="160" t="s">
        <v>42</v>
      </c>
      <c r="L219" s="313"/>
    </row>
    <row r="220" spans="1:12" s="161" customFormat="1" ht="18" customHeight="1">
      <c r="A220" s="437"/>
      <c r="B220" s="425"/>
      <c r="C220" s="432" t="s">
        <v>380</v>
      </c>
      <c r="D220" s="433"/>
      <c r="E220" s="162"/>
      <c r="F220" s="162"/>
      <c r="G220" s="163">
        <f>E219-G219</f>
        <v>-300000000</v>
      </c>
      <c r="H220" s="162"/>
      <c r="I220" s="163">
        <f>H219-I219</f>
        <v>-27470000</v>
      </c>
      <c r="J220" s="159"/>
      <c r="K220" s="160"/>
      <c r="L220" s="313"/>
    </row>
    <row r="221" spans="1:12" ht="16.5" customHeight="1">
      <c r="A221" s="437">
        <v>29</v>
      </c>
      <c r="B221" s="425" t="s">
        <v>428</v>
      </c>
      <c r="C221" s="209" t="str">
        <f ca="1">"Chi phí TM (có HĐ) đến "&amp; TEXT(NOW(),"dd/MM/yy")</f>
        <v>Chi phí TM (có HĐ) đến 21/12/15</v>
      </c>
      <c r="D221" s="191"/>
      <c r="E221" s="214">
        <f t="array" ref="E221">SUM(IF(KHN&amp;KHC="642"&amp;"1111",TH))</f>
        <v>71848533</v>
      </c>
      <c r="F221" s="225">
        <f t="array" ref="F221">SUM(IF(KHN&amp;KHC="642"&amp;"1111",TH))</f>
        <v>71848533</v>
      </c>
      <c r="G221" s="214">
        <f>F221</f>
        <v>71848533</v>
      </c>
      <c r="H221" s="228">
        <f t="shared" ref="H221:I221" si="13">G221</f>
        <v>71848533</v>
      </c>
      <c r="I221" s="228">
        <f t="shared" si="13"/>
        <v>71848533</v>
      </c>
      <c r="J221" s="207" t="str">
        <f>IF(D221&lt;&gt;"",D221,"")</f>
        <v/>
      </c>
      <c r="K221" s="213" t="s">
        <v>387</v>
      </c>
    </row>
    <row r="222" spans="1:12" ht="16.5" customHeight="1">
      <c r="A222" s="437"/>
      <c r="B222" s="425"/>
      <c r="C222" s="213" t="str">
        <f ca="1">"CP lãi vay ( 09/2014 - "&amp;MONTH(NOW())&amp;"/"&amp;YEAR(NOW())&amp;" )"</f>
        <v>CP lãi vay ( 09/2014 - 12/2015 )</v>
      </c>
      <c r="D222" s="173"/>
      <c r="E222" s="214">
        <f t="array" ref="E222">SUM(IF(KHN&amp;KHC="635"&amp;"1121",TH))</f>
        <v>1374345651</v>
      </c>
      <c r="F222" s="225">
        <f t="array" ref="F222">SUM(IF(KHN&amp;KHC="635"&amp;"1121",TH))</f>
        <v>1374345651</v>
      </c>
      <c r="G222" s="228">
        <f t="shared" ref="G222:I225" si="14">F222</f>
        <v>1374345651</v>
      </c>
      <c r="H222" s="228">
        <f t="shared" si="14"/>
        <v>1374345651</v>
      </c>
      <c r="I222" s="228">
        <f t="shared" si="14"/>
        <v>1374345651</v>
      </c>
      <c r="J222" s="207" t="str">
        <f t="shared" ref="J222" si="15">IF(D222&lt;&gt;"",D222,"")</f>
        <v/>
      </c>
      <c r="K222" s="213" t="s">
        <v>387</v>
      </c>
    </row>
    <row r="223" spans="1:12" ht="16.5" customHeight="1">
      <c r="A223" s="437"/>
      <c r="B223" s="425"/>
      <c r="C223" s="213" t="s">
        <v>427</v>
      </c>
      <c r="D223" s="173">
        <v>42130</v>
      </c>
      <c r="E223" s="228"/>
      <c r="F223" s="225">
        <v>23000000</v>
      </c>
      <c r="G223" s="228">
        <f t="shared" si="14"/>
        <v>23000000</v>
      </c>
      <c r="H223" s="228">
        <f t="shared" si="14"/>
        <v>23000000</v>
      </c>
      <c r="I223" s="228">
        <f t="shared" si="14"/>
        <v>23000000</v>
      </c>
      <c r="J223" s="207">
        <f t="shared" ref="J223:J225" si="16">IF(D223&lt;&gt;"",D223,"")</f>
        <v>42130</v>
      </c>
      <c r="K223" s="213" t="s">
        <v>387</v>
      </c>
    </row>
    <row r="224" spans="1:12" ht="16.5" customHeight="1">
      <c r="A224" s="437"/>
      <c r="B224" s="425"/>
      <c r="C224" s="206" t="s">
        <v>429</v>
      </c>
      <c r="D224" s="207">
        <v>42224</v>
      </c>
      <c r="E224" s="208"/>
      <c r="F224" s="222">
        <v>3740000</v>
      </c>
      <c r="G224" s="228">
        <f t="shared" si="14"/>
        <v>3740000</v>
      </c>
      <c r="H224" s="228">
        <f t="shared" si="14"/>
        <v>3740000</v>
      </c>
      <c r="I224" s="228">
        <f t="shared" si="14"/>
        <v>3740000</v>
      </c>
      <c r="J224" s="207">
        <f t="shared" si="16"/>
        <v>42224</v>
      </c>
      <c r="K224" s="213" t="s">
        <v>387</v>
      </c>
    </row>
    <row r="225" spans="1:13" ht="16.5" customHeight="1">
      <c r="A225" s="437"/>
      <c r="B225" s="425"/>
      <c r="C225" s="206"/>
      <c r="D225" s="207"/>
      <c r="E225" s="208"/>
      <c r="F225" s="222"/>
      <c r="G225" s="228">
        <f t="shared" si="14"/>
        <v>0</v>
      </c>
      <c r="H225" s="228">
        <f t="shared" si="14"/>
        <v>0</v>
      </c>
      <c r="I225" s="228">
        <f t="shared" si="14"/>
        <v>0</v>
      </c>
      <c r="J225" s="207" t="str">
        <f t="shared" si="16"/>
        <v/>
      </c>
      <c r="K225" s="213"/>
    </row>
    <row r="226" spans="1:13" s="161" customFormat="1" ht="18" customHeight="1">
      <c r="A226" s="437"/>
      <c r="B226" s="425"/>
      <c r="C226" s="432" t="s">
        <v>94</v>
      </c>
      <c r="D226" s="433"/>
      <c r="E226" s="158">
        <f>SUM(E221:E225)</f>
        <v>1446194184</v>
      </c>
      <c r="F226" s="158">
        <f>SUM(F221:F225)</f>
        <v>1472934184</v>
      </c>
      <c r="G226" s="158">
        <f>SUM(G221:G225)</f>
        <v>1472934184</v>
      </c>
      <c r="H226" s="158">
        <f>SUM(H221:H225)</f>
        <v>1472934184</v>
      </c>
      <c r="I226" s="158">
        <f>SUM(I221:I225)</f>
        <v>1472934184</v>
      </c>
      <c r="J226" s="159"/>
      <c r="K226" s="160" t="s">
        <v>42</v>
      </c>
      <c r="L226" s="313"/>
    </row>
    <row r="227" spans="1:13" s="161" customFormat="1" ht="18" customHeight="1">
      <c r="A227" s="437"/>
      <c r="B227" s="425"/>
      <c r="C227" s="432" t="s">
        <v>380</v>
      </c>
      <c r="D227" s="433"/>
      <c r="E227" s="162"/>
      <c r="F227" s="162"/>
      <c r="G227" s="163"/>
      <c r="H227" s="162"/>
      <c r="I227" s="163">
        <f>H226-I226</f>
        <v>0</v>
      </c>
      <c r="J227" s="159"/>
      <c r="K227" s="160"/>
      <c r="L227" s="313"/>
    </row>
    <row r="228" spans="1:13" ht="28.5" customHeight="1">
      <c r="A228" s="434" t="s">
        <v>409</v>
      </c>
      <c r="B228" s="435"/>
      <c r="C228" s="435"/>
      <c r="D228" s="436"/>
      <c r="E228" s="146">
        <f>SUMIF(DSTT,"x",$E$7:$E$227)</f>
        <v>20739529194</v>
      </c>
      <c r="F228" s="146">
        <f>SUMIF(DSTT,"x",$F$7:$F$227)</f>
        <v>35273976132</v>
      </c>
      <c r="G228" s="146">
        <f>SUMIF(DSTT,"x",$G$7:$G$227)</f>
        <v>27041851574</v>
      </c>
      <c r="H228" s="146">
        <f>SUMIF(DSTT,"x",$H$7:$H$227)</f>
        <v>30823777102</v>
      </c>
      <c r="I228" s="146">
        <f>SUMIF(DSTT,"x",$I$7:$I$227)</f>
        <v>24560351574</v>
      </c>
      <c r="J228" s="198"/>
      <c r="K228" s="198"/>
      <c r="M228" s="199"/>
    </row>
    <row r="229" spans="1:13" ht="17.25" customHeight="1"/>
    <row r="230" spans="1:13" ht="17.25" customHeight="1"/>
    <row r="231" spans="1:13" ht="17.25" customHeight="1"/>
    <row r="232" spans="1:13" ht="17.25" customHeight="1">
      <c r="J232" s="200" t="s">
        <v>387</v>
      </c>
      <c r="K232" s="201">
        <f>SUMIF(DSTT,J232,DSTT1)</f>
        <v>1782934184</v>
      </c>
    </row>
    <row r="233" spans="1:13" ht="17.25" customHeight="1">
      <c r="J233" s="200" t="s">
        <v>373</v>
      </c>
      <c r="K233" s="201">
        <f>SUMIF(DSTT,J233,DSTT1)</f>
        <v>25524037390</v>
      </c>
      <c r="L233" s="199">
        <f>'331'!E38</f>
        <v>26058168873</v>
      </c>
      <c r="M233" s="202">
        <f>K233-L233+L234</f>
        <v>-533803883</v>
      </c>
    </row>
    <row r="234" spans="1:13" ht="17.25" customHeight="1">
      <c r="J234" s="203" t="s">
        <v>391</v>
      </c>
      <c r="K234" s="201">
        <f>SUMIF(DSTT,J234,DSTT1)</f>
        <v>-2791500000</v>
      </c>
      <c r="L234" s="199">
        <f>327600</f>
        <v>327600</v>
      </c>
    </row>
    <row r="235" spans="1:13" ht="17.25" customHeight="1"/>
    <row r="236" spans="1:13" ht="17.25" customHeight="1">
      <c r="K236" s="204"/>
    </row>
  </sheetData>
  <autoFilter ref="A4:M209">
    <filterColumn colId="5"/>
    <filterColumn colId="6"/>
    <filterColumn colId="8"/>
  </autoFilter>
  <mergeCells count="255">
    <mergeCell ref="H70:H71"/>
    <mergeCell ref="H36:H42"/>
    <mergeCell ref="A36:A44"/>
    <mergeCell ref="B36:B44"/>
    <mergeCell ref="C36:C42"/>
    <mergeCell ref="D36:D42"/>
    <mergeCell ref="F36:F42"/>
    <mergeCell ref="A62:A65"/>
    <mergeCell ref="B62:B65"/>
    <mergeCell ref="C62:C63"/>
    <mergeCell ref="D62:D63"/>
    <mergeCell ref="E62:E63"/>
    <mergeCell ref="H62:H63"/>
    <mergeCell ref="C64:D64"/>
    <mergeCell ref="C65:D65"/>
    <mergeCell ref="E36:E42"/>
    <mergeCell ref="C43:D43"/>
    <mergeCell ref="C44:D44"/>
    <mergeCell ref="A66:A73"/>
    <mergeCell ref="B66:B73"/>
    <mergeCell ref="E45:E51"/>
    <mergeCell ref="H45:H51"/>
    <mergeCell ref="C52:D52"/>
    <mergeCell ref="C53:D53"/>
    <mergeCell ref="F156:F167"/>
    <mergeCell ref="F210:F218"/>
    <mergeCell ref="H66:H67"/>
    <mergeCell ref="C68:D68"/>
    <mergeCell ref="C69:D69"/>
    <mergeCell ref="H74:H77"/>
    <mergeCell ref="C78:D78"/>
    <mergeCell ref="H100:H112"/>
    <mergeCell ref="H113:H124"/>
    <mergeCell ref="C73:D73"/>
    <mergeCell ref="C100:C112"/>
    <mergeCell ref="D100:D112"/>
    <mergeCell ref="E100:E112"/>
    <mergeCell ref="C113:C124"/>
    <mergeCell ref="D113:D124"/>
    <mergeCell ref="E113:E124"/>
    <mergeCell ref="C70:C71"/>
    <mergeCell ref="D70:D71"/>
    <mergeCell ref="E70:E71"/>
    <mergeCell ref="F70:F71"/>
    <mergeCell ref="E181:E185"/>
    <mergeCell ref="H181:H185"/>
    <mergeCell ref="C186:C188"/>
    <mergeCell ref="D186:D188"/>
    <mergeCell ref="A127:A140"/>
    <mergeCell ref="B127:B140"/>
    <mergeCell ref="C127:C131"/>
    <mergeCell ref="D127:D131"/>
    <mergeCell ref="E127:E131"/>
    <mergeCell ref="H127:H131"/>
    <mergeCell ref="A141:A151"/>
    <mergeCell ref="B141:B151"/>
    <mergeCell ref="C141:C149"/>
    <mergeCell ref="D141:D149"/>
    <mergeCell ref="H132:H138"/>
    <mergeCell ref="C139:D139"/>
    <mergeCell ref="C140:D140"/>
    <mergeCell ref="F141:F149"/>
    <mergeCell ref="H141:H149"/>
    <mergeCell ref="C150:D150"/>
    <mergeCell ref="C151:D151"/>
    <mergeCell ref="E141:E149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F74:F77"/>
    <mergeCell ref="C72:D72"/>
    <mergeCell ref="A5:A17"/>
    <mergeCell ref="B5:B17"/>
    <mergeCell ref="C16:D16"/>
    <mergeCell ref="C17:D17"/>
    <mergeCell ref="E66:E67"/>
    <mergeCell ref="C66:C67"/>
    <mergeCell ref="D66:D67"/>
    <mergeCell ref="B21:B23"/>
    <mergeCell ref="C22:D22"/>
    <mergeCell ref="A18:A20"/>
    <mergeCell ref="B18:B20"/>
    <mergeCell ref="C19:D19"/>
    <mergeCell ref="C20:D20"/>
    <mergeCell ref="F66:F67"/>
    <mergeCell ref="A27:A29"/>
    <mergeCell ref="B27:B29"/>
    <mergeCell ref="C28:D28"/>
    <mergeCell ref="C29:D29"/>
    <mergeCell ref="A33:A35"/>
    <mergeCell ref="B33:B35"/>
    <mergeCell ref="C34:D34"/>
    <mergeCell ref="C35:D35"/>
    <mergeCell ref="E156:E167"/>
    <mergeCell ref="H156:H167"/>
    <mergeCell ref="A45:A53"/>
    <mergeCell ref="B45:B53"/>
    <mergeCell ref="C45:C51"/>
    <mergeCell ref="D45:D51"/>
    <mergeCell ref="F45:F51"/>
    <mergeCell ref="A74:A79"/>
    <mergeCell ref="B74:B79"/>
    <mergeCell ref="C79:D79"/>
    <mergeCell ref="C132:C138"/>
    <mergeCell ref="D132:D138"/>
    <mergeCell ref="E132:E138"/>
    <mergeCell ref="F127:F131"/>
    <mergeCell ref="F132:F138"/>
    <mergeCell ref="E74:E77"/>
    <mergeCell ref="A100:A126"/>
    <mergeCell ref="B100:B126"/>
    <mergeCell ref="F54:F55"/>
    <mergeCell ref="F62:F63"/>
    <mergeCell ref="C74:C77"/>
    <mergeCell ref="D74:D77"/>
    <mergeCell ref="F100:F112"/>
    <mergeCell ref="F113:F124"/>
    <mergeCell ref="A152:A155"/>
    <mergeCell ref="B152:B155"/>
    <mergeCell ref="C152:C153"/>
    <mergeCell ref="D152:D153"/>
    <mergeCell ref="E152:E153"/>
    <mergeCell ref="H152:H153"/>
    <mergeCell ref="C154:D154"/>
    <mergeCell ref="C155:D155"/>
    <mergeCell ref="F152:F153"/>
    <mergeCell ref="F186:F188"/>
    <mergeCell ref="A170:A176"/>
    <mergeCell ref="B170:B176"/>
    <mergeCell ref="C170:C174"/>
    <mergeCell ref="D170:D174"/>
    <mergeCell ref="E170:E174"/>
    <mergeCell ref="H170:H174"/>
    <mergeCell ref="C175:D175"/>
    <mergeCell ref="C176:D176"/>
    <mergeCell ref="F170:F174"/>
    <mergeCell ref="B177:B180"/>
    <mergeCell ref="C177:C178"/>
    <mergeCell ref="D177:D178"/>
    <mergeCell ref="E177:E178"/>
    <mergeCell ref="H177:H178"/>
    <mergeCell ref="C179:D179"/>
    <mergeCell ref="C180:D180"/>
    <mergeCell ref="F177:F178"/>
    <mergeCell ref="F181:F185"/>
    <mergeCell ref="A80:A90"/>
    <mergeCell ref="B80:B90"/>
    <mergeCell ref="C80:C82"/>
    <mergeCell ref="D80:D82"/>
    <mergeCell ref="C89:D89"/>
    <mergeCell ref="C90:D90"/>
    <mergeCell ref="A181:A190"/>
    <mergeCell ref="B181:B190"/>
    <mergeCell ref="C181:C185"/>
    <mergeCell ref="D181:D185"/>
    <mergeCell ref="C125:D125"/>
    <mergeCell ref="C126:D126"/>
    <mergeCell ref="A156:A169"/>
    <mergeCell ref="B156:B169"/>
    <mergeCell ref="C156:C167"/>
    <mergeCell ref="D156:D167"/>
    <mergeCell ref="C168:D168"/>
    <mergeCell ref="C169:D169"/>
    <mergeCell ref="A91:A95"/>
    <mergeCell ref="B91:B95"/>
    <mergeCell ref="C91:C93"/>
    <mergeCell ref="D91:D93"/>
    <mergeCell ref="A96:A99"/>
    <mergeCell ref="A177:A180"/>
    <mergeCell ref="E80:E82"/>
    <mergeCell ref="H80:H82"/>
    <mergeCell ref="C83:D83"/>
    <mergeCell ref="C84:D84"/>
    <mergeCell ref="C85:C87"/>
    <mergeCell ref="D85:D87"/>
    <mergeCell ref="E85:E87"/>
    <mergeCell ref="H85:H87"/>
    <mergeCell ref="F80:F82"/>
    <mergeCell ref="F85:F87"/>
    <mergeCell ref="E91:E93"/>
    <mergeCell ref="H91:H93"/>
    <mergeCell ref="C94:D94"/>
    <mergeCell ref="C95:D95"/>
    <mergeCell ref="A200:A209"/>
    <mergeCell ref="B200:B209"/>
    <mergeCell ref="C200:C207"/>
    <mergeCell ref="D200:D207"/>
    <mergeCell ref="E200:E207"/>
    <mergeCell ref="H200:H207"/>
    <mergeCell ref="C208:D208"/>
    <mergeCell ref="C209:D209"/>
    <mergeCell ref="F200:F207"/>
    <mergeCell ref="F91:F93"/>
    <mergeCell ref="A191:A199"/>
    <mergeCell ref="B191:B199"/>
    <mergeCell ref="C191:C197"/>
    <mergeCell ref="D191:D197"/>
    <mergeCell ref="E191:E197"/>
    <mergeCell ref="H191:H197"/>
    <mergeCell ref="C198:D198"/>
    <mergeCell ref="C199:D199"/>
    <mergeCell ref="F191:F197"/>
    <mergeCell ref="C189:D189"/>
    <mergeCell ref="A54:A58"/>
    <mergeCell ref="B54:B58"/>
    <mergeCell ref="C54:C55"/>
    <mergeCell ref="D54:D55"/>
    <mergeCell ref="E54:E55"/>
    <mergeCell ref="H54:H55"/>
    <mergeCell ref="C57:D57"/>
    <mergeCell ref="C58:D58"/>
    <mergeCell ref="A59:A61"/>
    <mergeCell ref="B59:B61"/>
    <mergeCell ref="C60:D60"/>
    <mergeCell ref="C61:D61"/>
    <mergeCell ref="B96:B99"/>
    <mergeCell ref="C96:C97"/>
    <mergeCell ref="D96:D97"/>
    <mergeCell ref="E96:E97"/>
    <mergeCell ref="F96:F97"/>
    <mergeCell ref="H96:H97"/>
    <mergeCell ref="C98:D98"/>
    <mergeCell ref="C99:D99"/>
    <mergeCell ref="A228:D228"/>
    <mergeCell ref="A210:A220"/>
    <mergeCell ref="B210:B220"/>
    <mergeCell ref="C210:C218"/>
    <mergeCell ref="D210:D218"/>
    <mergeCell ref="E210:E218"/>
    <mergeCell ref="H210:H218"/>
    <mergeCell ref="C219:D219"/>
    <mergeCell ref="C220:D220"/>
    <mergeCell ref="A221:A227"/>
    <mergeCell ref="B221:B227"/>
    <mergeCell ref="C226:D226"/>
    <mergeCell ref="C227:D227"/>
    <mergeCell ref="C190:D190"/>
    <mergeCell ref="E186:E188"/>
    <mergeCell ref="H186:H188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42"/>
  <sheetViews>
    <sheetView showZeros="0" tabSelected="1" workbookViewId="0">
      <selection activeCell="B20" sqref="B20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481" t="s">
        <v>425</v>
      </c>
      <c r="B1" s="481"/>
      <c r="C1" s="481"/>
      <c r="D1" s="481"/>
      <c r="E1" s="481"/>
    </row>
    <row r="2" spans="1:10" s="13" customFormat="1" ht="17.25" customHeight="1">
      <c r="A2" s="482" t="s">
        <v>79</v>
      </c>
      <c r="B2" s="484" t="s">
        <v>80</v>
      </c>
      <c r="C2" s="478" t="s">
        <v>81</v>
      </c>
      <c r="D2" s="479"/>
      <c r="E2" s="478" t="s">
        <v>82</v>
      </c>
      <c r="F2" s="479"/>
      <c r="G2" s="478" t="s">
        <v>102</v>
      </c>
      <c r="H2" s="479"/>
      <c r="I2" s="480"/>
    </row>
    <row r="3" spans="1:10" s="13" customFormat="1" ht="17.25" customHeight="1">
      <c r="A3" s="483"/>
      <c r="B3" s="485"/>
      <c r="C3" s="205" t="s">
        <v>103</v>
      </c>
      <c r="D3" s="205" t="s">
        <v>104</v>
      </c>
      <c r="E3" s="205" t="s">
        <v>103</v>
      </c>
      <c r="F3" s="205" t="s">
        <v>104</v>
      </c>
      <c r="G3" s="205" t="s">
        <v>103</v>
      </c>
      <c r="H3" s="205" t="s">
        <v>104</v>
      </c>
      <c r="I3" s="480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199400666</v>
      </c>
      <c r="F4" s="8">
        <f t="array" ref="F4">SUM(IF("331"&amp;B4=KHC&amp;KH,TH))</f>
        <v>199400666</v>
      </c>
      <c r="G4" s="215">
        <f>ROUND(MAX(C4+E4-D4-F4,0),2)</f>
        <v>0</v>
      </c>
      <c r="H4" s="215">
        <f>ROUND(MAX(D4+F4-C4-E4,0),2)</f>
        <v>0</v>
      </c>
      <c r="I4" s="21"/>
    </row>
    <row r="5" spans="1:10" s="13" customFormat="1" ht="17.25" customHeight="1">
      <c r="A5" s="6">
        <f t="shared" ref="A5:A36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60500000</v>
      </c>
      <c r="G5" s="215">
        <f>ROUND(MAX(C5+E5-D5-F5,0),2)</f>
        <v>128400000</v>
      </c>
      <c r="H5" s="215">
        <f>ROUND(MAX(D5+F5-C5-E5,0),2)</f>
        <v>0</v>
      </c>
      <c r="I5" s="21"/>
      <c r="J5" s="318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5">
        <f t="shared" ref="G6" si="1">ROUND(MAX(C6+E6-D6-F6,0),2)</f>
        <v>0</v>
      </c>
      <c r="H6" s="215">
        <f t="shared" ref="H6" si="2">ROUND(MAX(D6+F6-C6-E6,0),2)</f>
        <v>0</v>
      </c>
      <c r="I6" s="21"/>
      <c r="J6" s="318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5">
        <f t="shared" ref="G7:G30" si="3">ROUND(MAX(C7+E7-D7-F7,0),2)</f>
        <v>0</v>
      </c>
      <c r="H7" s="215">
        <f t="shared" ref="H7:H30" si="4">ROUND(MAX(D7+F7-C7-E7,0),2)</f>
        <v>0</v>
      </c>
      <c r="I7" s="21"/>
      <c r="J7" s="318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5">
        <f t="shared" si="3"/>
        <v>0</v>
      </c>
      <c r="H8" s="215">
        <f t="shared" si="4"/>
        <v>0</v>
      </c>
      <c r="I8" s="21"/>
      <c r="J8" s="318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5">
        <f t="shared" si="3"/>
        <v>0</v>
      </c>
      <c r="H9" s="215">
        <f t="shared" si="4"/>
        <v>0</v>
      </c>
      <c r="I9" s="21"/>
      <c r="J9" s="318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5">
        <f t="shared" si="3"/>
        <v>0</v>
      </c>
      <c r="H10" s="215">
        <f t="shared" si="4"/>
        <v>0</v>
      </c>
      <c r="I10" s="21"/>
      <c r="J10" s="318"/>
    </row>
    <row r="11" spans="1:10" s="14" customFormat="1" ht="17.25" customHeight="1">
      <c r="A11" s="6">
        <f t="shared" si="0"/>
        <v>8</v>
      </c>
      <c r="B11" s="9" t="s">
        <v>285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5">
        <f>ROUND(MAX(C11+E11-D11-F11,0),2)</f>
        <v>0</v>
      </c>
      <c r="H11" s="215">
        <f>ROUND(MAX(D11+F11-C11-E11,0),2)</f>
        <v>0</v>
      </c>
      <c r="I11" s="21"/>
      <c r="J11" s="318"/>
    </row>
    <row r="12" spans="1:10" s="14" customFormat="1" ht="17.25" customHeight="1">
      <c r="A12" s="6">
        <f t="shared" si="0"/>
        <v>9</v>
      </c>
      <c r="B12" s="9" t="s">
        <v>305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5">
        <f>ROUND(MAX(C12+E12-D12-F12,0),2)</f>
        <v>0</v>
      </c>
      <c r="H12" s="215">
        <f>ROUND(MAX(D12+F12-C12-E12,0),2)</f>
        <v>0</v>
      </c>
      <c r="I12" s="21"/>
      <c r="J12" s="318"/>
    </row>
    <row r="13" spans="1:10" s="14" customFormat="1" ht="17.25" customHeight="1">
      <c r="A13" s="6">
        <f t="shared" si="0"/>
        <v>10</v>
      </c>
      <c r="B13" s="9" t="s">
        <v>312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5">
        <f>ROUND(MAX(C13+E13-D13-F13,0),2)</f>
        <v>0</v>
      </c>
      <c r="H13" s="215">
        <f>ROUND(MAX(D13+F13-C13-E13,0),2)</f>
        <v>0</v>
      </c>
      <c r="I13" s="21"/>
      <c r="J13" s="318"/>
    </row>
    <row r="14" spans="1:10" s="14" customFormat="1" ht="17.25" customHeight="1">
      <c r="A14" s="6">
        <f t="shared" si="0"/>
        <v>11</v>
      </c>
      <c r="B14" s="9" t="s">
        <v>357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5">
        <f t="shared" ref="G14" si="5">ROUND(MAX(C14+E14-D14-F14,0),2)</f>
        <v>0</v>
      </c>
      <c r="H14" s="215">
        <f t="shared" ref="H14" si="6">ROUND(MAX(D14+F14-C14-E14,0),2)</f>
        <v>0</v>
      </c>
      <c r="I14" s="21"/>
      <c r="J14" s="318"/>
    </row>
    <row r="15" spans="1:10" s="14" customFormat="1" ht="17.25" customHeight="1">
      <c r="A15" s="6">
        <f t="shared" si="0"/>
        <v>12</v>
      </c>
      <c r="B15" s="125" t="s">
        <v>441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15">
        <f>ROUND(MAX(C15+E15-D15-F15,0),2)</f>
        <v>0</v>
      </c>
      <c r="H15" s="215">
        <f>ROUND(MAX(D15+F15-C15-E15,0),2)</f>
        <v>0</v>
      </c>
      <c r="I15" s="21"/>
      <c r="J15" s="318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8850000000</v>
      </c>
      <c r="F16" s="8">
        <f t="array" ref="F16">SUM(IF("331"&amp;B16=KHC&amp;KH,TH))</f>
        <v>8500000000</v>
      </c>
      <c r="G16" s="215">
        <f t="shared" si="3"/>
        <v>350000000</v>
      </c>
      <c r="H16" s="215">
        <f t="shared" si="4"/>
        <v>0</v>
      </c>
      <c r="I16" s="21"/>
      <c r="J16" s="318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2603610000</v>
      </c>
      <c r="F17" s="8">
        <f t="array" ref="F17">SUM(IF("331"&amp;B17=KHC&amp;KH,TH))</f>
        <v>3010100000</v>
      </c>
      <c r="G17" s="215">
        <f>ROUND(MAX(C17+E17-D17-F17,0),2)</f>
        <v>0</v>
      </c>
      <c r="H17" s="215">
        <f>ROUND(MAX(D17+F17-C17-E17,0),2)</f>
        <v>406490000</v>
      </c>
      <c r="I17" s="21"/>
      <c r="J17" s="318"/>
    </row>
    <row r="18" spans="1:10" s="14" customFormat="1" ht="17.25" customHeight="1">
      <c r="A18" s="6">
        <f t="shared" si="0"/>
        <v>15</v>
      </c>
      <c r="B18" s="9" t="s">
        <v>300</v>
      </c>
      <c r="C18" s="10"/>
      <c r="D18" s="10"/>
      <c r="E18" s="8">
        <f t="array" ref="E18">SUM(IF("331"&amp;B18=KHN&amp;KH,TH))</f>
        <v>871216820</v>
      </c>
      <c r="F18" s="8">
        <f t="array" ref="F18">SUM(IF("331"&amp;B18=KHC&amp;KH,TH))</f>
        <v>963508720</v>
      </c>
      <c r="G18" s="215">
        <f>ROUND(MAX(C18+E18-D18-F18,0),2)</f>
        <v>0</v>
      </c>
      <c r="H18" s="215">
        <f>ROUND(MAX(D18+F18-C18-E18,0),2)</f>
        <v>92291900</v>
      </c>
      <c r="I18" s="21"/>
      <c r="J18" s="318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1050000000</v>
      </c>
      <c r="F19" s="8">
        <f t="array" ref="F19">SUM(IF("331"&amp;B19=KHC&amp;KH,TH))</f>
        <v>1173128513</v>
      </c>
      <c r="G19" s="215">
        <f>ROUND(MAX(C19+E19-D19-F19,0),2)</f>
        <v>0</v>
      </c>
      <c r="H19" s="215">
        <f>ROUND(MAX(D19+F19-C19-E19,0),2)</f>
        <v>123128513</v>
      </c>
      <c r="I19" s="21"/>
      <c r="J19" s="318"/>
    </row>
    <row r="20" spans="1:10" s="14" customFormat="1" ht="17.25" customHeight="1">
      <c r="A20" s="6">
        <f t="shared" si="0"/>
        <v>17</v>
      </c>
      <c r="B20" s="125" t="s">
        <v>481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5">
        <f t="shared" ref="G20" si="7">ROUND(MAX(C20+E20-D20-F20,0),2)</f>
        <v>0</v>
      </c>
      <c r="H20" s="215">
        <f t="shared" ref="H20" si="8">ROUND(MAX(D20+F20-C20-E20,0),2)</f>
        <v>199632000</v>
      </c>
      <c r="I20" s="21"/>
      <c r="J20" s="318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1050000000</v>
      </c>
      <c r="F21" s="8">
        <f t="array" ref="F21">SUM(IF("331"&amp;B21=KHC&amp;KH,TH))</f>
        <v>0</v>
      </c>
      <c r="G21" s="215">
        <f>ROUND(MAX(C21+E21-D21-F21,0),2)</f>
        <v>1050000000</v>
      </c>
      <c r="H21" s="215">
        <f>ROUND(MAX(D21+F21-C21-E21,0),2)</f>
        <v>0</v>
      </c>
      <c r="I21" s="21"/>
      <c r="J21" s="318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5">
        <f t="shared" si="3"/>
        <v>60000000</v>
      </c>
      <c r="H22" s="215">
        <f t="shared" si="4"/>
        <v>0</v>
      </c>
      <c r="I22" s="21"/>
      <c r="J22" s="318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150000000</v>
      </c>
      <c r="F23" s="8">
        <f t="array" ref="F23">SUM(IF("331"&amp;B23=KHC&amp;KH,TH))</f>
        <v>0</v>
      </c>
      <c r="G23" s="215">
        <f t="shared" si="3"/>
        <v>150000000</v>
      </c>
      <c r="H23" s="215">
        <f t="shared" si="4"/>
        <v>0</v>
      </c>
      <c r="I23" s="21"/>
      <c r="J23" s="318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215">
        <f t="shared" si="3"/>
        <v>1000000000</v>
      </c>
      <c r="H24" s="215">
        <f t="shared" si="4"/>
        <v>0</v>
      </c>
      <c r="I24" s="21"/>
      <c r="J24" s="318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360000000</v>
      </c>
      <c r="F25" s="8">
        <f t="array" ref="F25">SUM(IF("331"&amp;B25=KHC&amp;KH,TH))</f>
        <v>1858997690</v>
      </c>
      <c r="G25" s="215">
        <f t="shared" si="3"/>
        <v>0</v>
      </c>
      <c r="H25" s="215">
        <f t="shared" si="4"/>
        <v>1498997690</v>
      </c>
      <c r="I25" s="21"/>
      <c r="J25" s="318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385195000</v>
      </c>
      <c r="F26" s="8">
        <f t="array" ref="F26">SUM(IF("331"&amp;B26=KHC&amp;KH,TH))</f>
        <v>0</v>
      </c>
      <c r="G26" s="215">
        <f t="shared" si="3"/>
        <v>385195000</v>
      </c>
      <c r="H26" s="215">
        <f t="shared" si="4"/>
        <v>0</v>
      </c>
      <c r="I26" s="21"/>
      <c r="J26" s="318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100000000</v>
      </c>
      <c r="F27" s="8">
        <f t="array" ref="F27">SUM(IF("331"&amp;B27=KHC&amp;KH,TH))</f>
        <v>0</v>
      </c>
      <c r="G27" s="215">
        <f t="shared" si="3"/>
        <v>100000000</v>
      </c>
      <c r="H27" s="215">
        <f t="shared" si="4"/>
        <v>0</v>
      </c>
      <c r="I27" s="21"/>
      <c r="J27" s="318"/>
    </row>
    <row r="28" spans="1:10" s="14" customFormat="1" ht="17.25" customHeight="1">
      <c r="A28" s="6">
        <f t="shared" si="0"/>
        <v>25</v>
      </c>
      <c r="B28" s="9" t="s">
        <v>269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215">
        <f t="shared" si="3"/>
        <v>1600000000</v>
      </c>
      <c r="H28" s="215">
        <f t="shared" si="4"/>
        <v>0</v>
      </c>
      <c r="I28" s="21"/>
      <c r="J28" s="318"/>
    </row>
    <row r="29" spans="1:10" s="14" customFormat="1" ht="17.25" customHeight="1">
      <c r="A29" s="6">
        <f t="shared" si="0"/>
        <v>26</v>
      </c>
      <c r="B29" s="9" t="s">
        <v>302</v>
      </c>
      <c r="C29" s="10"/>
      <c r="D29" s="10"/>
      <c r="E29" s="8">
        <f t="array" ref="E29">SUM(IF("331"&amp;B29=KHN&amp;KH,TH))</f>
        <v>399000000</v>
      </c>
      <c r="F29" s="8">
        <f t="array" ref="F29">SUM(IF("331"&amp;B29=KHC&amp;KH,TH))</f>
        <v>399000000</v>
      </c>
      <c r="G29" s="215">
        <f t="shared" si="3"/>
        <v>0</v>
      </c>
      <c r="H29" s="215">
        <f t="shared" si="4"/>
        <v>0</v>
      </c>
      <c r="I29" s="21"/>
      <c r="J29" s="318"/>
    </row>
    <row r="30" spans="1:10" s="14" customFormat="1" ht="17.25" customHeight="1">
      <c r="A30" s="6">
        <f t="shared" si="0"/>
        <v>27</v>
      </c>
      <c r="B30" s="9" t="s">
        <v>306</v>
      </c>
      <c r="C30" s="10"/>
      <c r="D30" s="10"/>
      <c r="E30" s="8">
        <f t="array" ref="E30">SUM(IF("331"&amp;B30=KHN&amp;KH,TH))</f>
        <v>1750000000</v>
      </c>
      <c r="F30" s="8">
        <f t="array" ref="F30">SUM(IF("331"&amp;B30=KHC&amp;KH,TH))</f>
        <v>0</v>
      </c>
      <c r="G30" s="215">
        <f t="shared" si="3"/>
        <v>1750000000</v>
      </c>
      <c r="H30" s="215">
        <f t="shared" si="4"/>
        <v>0</v>
      </c>
      <c r="I30" s="21"/>
      <c r="J30" s="318"/>
    </row>
    <row r="31" spans="1:10" s="14" customFormat="1" ht="17.25" customHeight="1">
      <c r="A31" s="6">
        <f t="shared" si="0"/>
        <v>28</v>
      </c>
      <c r="B31" s="9" t="s">
        <v>407</v>
      </c>
      <c r="C31" s="10"/>
      <c r="D31" s="10"/>
      <c r="E31" s="8">
        <f t="array" ref="E31">SUM(IF("331"&amp;B31=KHN&amp;KH,TH))</f>
        <v>300000000</v>
      </c>
      <c r="F31" s="8">
        <f t="array" ref="F31">SUM(IF("331"&amp;B31=KHC&amp;KH,TH))</f>
        <v>0</v>
      </c>
      <c r="G31" s="215">
        <f t="shared" ref="G31" si="9">ROUND(MAX(C31+E31-D31-F31,0),2)</f>
        <v>300000000</v>
      </c>
      <c r="H31" s="215">
        <f t="shared" ref="H31" si="10">ROUND(MAX(D31+F31-C31-E31,0),2)</f>
        <v>0</v>
      </c>
      <c r="I31" s="21"/>
      <c r="J31" s="318"/>
    </row>
    <row r="32" spans="1:10" s="14" customFormat="1" ht="17.25" customHeight="1">
      <c r="A32" s="6">
        <f t="shared" si="0"/>
        <v>29</v>
      </c>
      <c r="B32" s="9" t="s">
        <v>602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5">
        <f t="shared" ref="G32" si="11">ROUND(MAX(C32+E32-D32-F32,0),2)</f>
        <v>0</v>
      </c>
      <c r="H32" s="215">
        <f t="shared" ref="H32" si="12">ROUND(MAX(D32+F32-C32-E32,0),2)</f>
        <v>0</v>
      </c>
      <c r="I32" s="21"/>
      <c r="J32" s="318"/>
    </row>
    <row r="33" spans="1:10" s="14" customFormat="1" ht="17.25" customHeight="1">
      <c r="A33" s="6">
        <f t="shared" si="0"/>
        <v>30</v>
      </c>
      <c r="B33" s="9" t="s">
        <v>632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5">
        <f t="shared" ref="G33" si="13">ROUND(MAX(C33+E33-D33-F33,0),2)</f>
        <v>0</v>
      </c>
      <c r="H33" s="215">
        <f t="shared" ref="H33" si="14">ROUND(MAX(D33+F33-C33-E33,0),2)</f>
        <v>0</v>
      </c>
      <c r="I33" s="21"/>
      <c r="J33" s="318"/>
    </row>
    <row r="34" spans="1:10" s="15" customFormat="1" ht="17.25" customHeight="1">
      <c r="A34" s="6">
        <f t="shared" si="0"/>
        <v>31</v>
      </c>
      <c r="B34" s="122" t="s">
        <v>649</v>
      </c>
      <c r="C34" s="10"/>
      <c r="D34" s="10"/>
      <c r="E34" s="8">
        <f t="array" ref="E34">SUM(IF("331"&amp;B34=KHN&amp;KH,TH))</f>
        <v>126492259</v>
      </c>
      <c r="F34" s="8">
        <f t="array" ref="F34">SUM(IF("331"&amp;B34=KHC&amp;KH,TH))</f>
        <v>126492259</v>
      </c>
      <c r="G34" s="215">
        <f t="shared" ref="G34" si="15">ROUND(MAX(C34+E34-D34-F34,0),2)</f>
        <v>0</v>
      </c>
      <c r="H34" s="215">
        <f t="shared" ref="H34" si="16">ROUND(MAX(D34+F34-C34-E34,0),2)</f>
        <v>0</v>
      </c>
      <c r="I34" s="21"/>
      <c r="J34" s="318"/>
    </row>
    <row r="35" spans="1:10" s="15" customFormat="1" ht="17.25" customHeight="1">
      <c r="A35" s="6">
        <f t="shared" si="0"/>
        <v>32</v>
      </c>
      <c r="B35" s="122" t="s">
        <v>742</v>
      </c>
      <c r="C35" s="10"/>
      <c r="D35" s="10"/>
      <c r="E35" s="8">
        <f t="array" ref="E35">SUM(IF("331"&amp;B35=KHN&amp;KH,TH))</f>
        <v>10199904</v>
      </c>
      <c r="F35" s="8">
        <f t="array" ref="F35">SUM(IF("331"&amp;B35=KHC&amp;KH,TH))</f>
        <v>10199904</v>
      </c>
      <c r="G35" s="215">
        <f t="shared" ref="G35:G36" si="17">ROUND(MAX(C35+E35-D35-F35,0),2)</f>
        <v>0</v>
      </c>
      <c r="H35" s="215">
        <f t="shared" ref="H35:H36" si="18">ROUND(MAX(D35+F35-C35-E35,0),2)</f>
        <v>0</v>
      </c>
      <c r="I35" s="21"/>
      <c r="J35" s="318"/>
    </row>
    <row r="36" spans="1:10" s="15" customFormat="1" ht="17.25" customHeight="1">
      <c r="A36" s="6">
        <f t="shared" si="0"/>
        <v>33</v>
      </c>
      <c r="B36" s="122" t="s">
        <v>791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5">
        <f t="shared" si="17"/>
        <v>0</v>
      </c>
      <c r="H36" s="215">
        <f t="shared" si="18"/>
        <v>0</v>
      </c>
      <c r="I36" s="21"/>
      <c r="J36" s="318"/>
    </row>
    <row r="37" spans="1:10" s="15" customFormat="1" ht="17.25" customHeight="1">
      <c r="A37" s="6"/>
      <c r="B37" s="122"/>
      <c r="C37" s="10"/>
      <c r="D37" s="10"/>
      <c r="E37" s="8"/>
      <c r="F37" s="8"/>
      <c r="G37" s="215"/>
      <c r="H37" s="215"/>
      <c r="I37" s="22"/>
      <c r="J37" s="318"/>
    </row>
    <row r="38" spans="1:10" s="19" customFormat="1" ht="17.25" customHeight="1">
      <c r="A38" s="16"/>
      <c r="B38" s="17" t="s">
        <v>94</v>
      </c>
      <c r="C38" s="18">
        <f t="shared" ref="C38:H38" si="19">SUM(C4:C37)</f>
        <v>0</v>
      </c>
      <c r="D38" s="18">
        <f t="shared" si="19"/>
        <v>0</v>
      </c>
      <c r="E38" s="18">
        <f t="shared" si="19"/>
        <v>26058168873</v>
      </c>
      <c r="F38" s="18">
        <f t="shared" si="19"/>
        <v>21505113976</v>
      </c>
      <c r="G38" s="18">
        <f t="shared" si="19"/>
        <v>6873595000</v>
      </c>
      <c r="H38" s="18">
        <f t="shared" si="19"/>
        <v>2320540103</v>
      </c>
      <c r="I38" s="23"/>
      <c r="J38" s="23"/>
    </row>
    <row r="40" spans="1:10" ht="17.25" customHeight="1">
      <c r="E40" s="20">
        <f>CDPS!E20</f>
        <v>26058168873</v>
      </c>
      <c r="F40" s="20">
        <f>CDPS!F20</f>
        <v>21505113976</v>
      </c>
    </row>
    <row r="42" spans="1:10" ht="17.25" customHeight="1">
      <c r="E42" s="143">
        <f>E38-E40</f>
        <v>0</v>
      </c>
      <c r="F42" s="143">
        <f>F38-F40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J59"/>
  <sheetViews>
    <sheetView topLeftCell="A4" workbookViewId="0">
      <pane ySplit="10" topLeftCell="A14" activePane="bottomLeft" state="frozen"/>
      <selection activeCell="E10" sqref="E10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488" t="s">
        <v>186</v>
      </c>
      <c r="I1" s="488"/>
      <c r="J1" s="488"/>
    </row>
    <row r="2" spans="1:10" s="3" customFormat="1" ht="14.25" customHeight="1">
      <c r="A2" s="1" t="s">
        <v>30</v>
      </c>
      <c r="B2" s="24"/>
      <c r="C2" s="24"/>
      <c r="G2" s="25"/>
      <c r="H2" s="489" t="s">
        <v>187</v>
      </c>
      <c r="I2" s="489"/>
      <c r="J2" s="489"/>
    </row>
    <row r="3" spans="1:10" s="3" customFormat="1" ht="14.25" customHeight="1">
      <c r="A3" s="4"/>
      <c r="B3" s="24"/>
      <c r="C3" s="24"/>
      <c r="G3" s="25"/>
      <c r="H3" s="489"/>
      <c r="I3" s="489"/>
      <c r="J3" s="489"/>
    </row>
    <row r="4" spans="1:10" s="5" customFormat="1" ht="28.5" customHeight="1">
      <c r="A4" s="495" t="s">
        <v>64</v>
      </c>
      <c r="B4" s="495"/>
      <c r="C4" s="495"/>
      <c r="D4" s="495"/>
      <c r="E4" s="495"/>
      <c r="F4" s="495"/>
      <c r="G4" s="495"/>
      <c r="H4" s="495"/>
      <c r="I4" s="495"/>
      <c r="J4" s="495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490" t="s">
        <v>407</v>
      </c>
      <c r="F7" s="490"/>
      <c r="G7" s="490"/>
      <c r="H7" s="490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491"/>
      <c r="D9" s="491"/>
      <c r="E9" s="491"/>
      <c r="F9" s="491"/>
      <c r="G9" s="491"/>
      <c r="H9" s="491"/>
      <c r="I9" s="491"/>
      <c r="J9" s="491"/>
    </row>
    <row r="10" spans="1:10" s="26" customFormat="1" ht="14.25" customHeight="1">
      <c r="A10" s="487" t="s">
        <v>50</v>
      </c>
      <c r="B10" s="492" t="s">
        <v>10</v>
      </c>
      <c r="C10" s="492"/>
      <c r="D10" s="487" t="s">
        <v>0</v>
      </c>
      <c r="E10" s="487" t="s">
        <v>31</v>
      </c>
      <c r="F10" s="487" t="s">
        <v>68</v>
      </c>
      <c r="G10" s="493" t="s">
        <v>51</v>
      </c>
      <c r="H10" s="494"/>
      <c r="I10" s="493" t="s">
        <v>69</v>
      </c>
      <c r="J10" s="494"/>
    </row>
    <row r="11" spans="1:10" s="26" customFormat="1" ht="24.75" customHeight="1">
      <c r="A11" s="487"/>
      <c r="B11" s="38" t="s">
        <v>32</v>
      </c>
      <c r="C11" s="38" t="s">
        <v>70</v>
      </c>
      <c r="D11" s="487"/>
      <c r="E11" s="487"/>
      <c r="F11" s="487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42212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42212</v>
      </c>
      <c r="D14" s="126" t="str">
        <f ca="1">IF(ROWS($1:1)&gt;COUNT(Dong),"",OFFSET(TH!F$1,SMALL(Dong,ROWS($1:1)),))</f>
        <v>Thanh toán tiền công trình</v>
      </c>
      <c r="E14" s="127" t="str">
        <f ca="1">IF(ROWS($1:1)&gt;COUNT(Dong),"",IF(OFFSET(TH!J$1,SMALL(Dong,ROWS($1:1)),)="331",OFFSET(TH!K$1,SMALL(Dong,ROWS($1:1)),),OFFSET(TH!J$1,SMALL(Dong,ROWS($1:1)),)))</f>
        <v>1121</v>
      </c>
      <c r="F14" s="127"/>
      <c r="G14" s="253">
        <f ca="1">IF(ROWS($1:1)&gt;COUNT(Dong),"",IF(OFFSET(TH!J$1,SMALL(Dong,ROWS($1:1)),)="331",OFFSET(TH!I$1,SMALL(Dong,ROWS($1:1)),),0))</f>
        <v>90000000</v>
      </c>
      <c r="H14" s="253">
        <f ca="1">IF(ROWS($1:1)&gt;COUNT(Dong),"",IF(OFFSET(TH!K$1,SMALL(Dong,ROWS($1:1)),)="331",OFFSET(TH!I$1,SMALL(Dong,ROWS($1:1)),),0))</f>
        <v>0</v>
      </c>
      <c r="I14" s="33">
        <f t="shared" ref="I14:I20" ca="1" si="1">IF(D14&lt;&gt;"",MAX(I13+G14-H14-J13,0),0)</f>
        <v>90000000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42229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42229</v>
      </c>
      <c r="D15" s="126" t="str">
        <f ca="1">IF(ROWS($1:2)&gt;COUNT(Dong),"",OFFSET(TH!F$1,SMALL(Dong,ROWS($1:2)),))</f>
        <v>Thanh toán tiền công trình</v>
      </c>
      <c r="E15" s="127" t="str">
        <f ca="1">IF(ROWS($1:2)&gt;COUNT(Dong),"",IF(OFFSET(TH!J$1,SMALL(Dong,ROWS($1:2)),)="331",OFFSET(TH!K$1,SMALL(Dong,ROWS($1:2)),),OFFSET(TH!J$1,SMALL(Dong,ROWS($1:2)),)))</f>
        <v>1121</v>
      </c>
      <c r="F15" s="127"/>
      <c r="G15" s="253">
        <f ca="1">IF(ROWS($1:2)&gt;COUNT(Dong),"",IF(OFFSET(TH!J$1,SMALL(Dong,ROWS($1:2)),)="331",OFFSET(TH!I$1,SMALL(Dong,ROWS($1:2)),),0))</f>
        <v>50000000</v>
      </c>
      <c r="H15" s="253">
        <f ca="1">IF(ROWS($1:2)&gt;COUNT(Dong),"",IF(OFFSET(TH!K$1,SMALL(Dong,ROWS($1:2)),)="331",OFFSET(TH!I$1,SMALL(Dong,ROWS($1:2)),),0))</f>
        <v>0</v>
      </c>
      <c r="I15" s="33">
        <f t="shared" ca="1" si="1"/>
        <v>140000000</v>
      </c>
      <c r="J15" s="33">
        <f t="shared" ca="1" si="2"/>
        <v>0</v>
      </c>
    </row>
    <row r="16" spans="1:10" s="26" customFormat="1" ht="18" customHeight="1">
      <c r="A16" s="11">
        <f t="shared" ca="1" si="0"/>
        <v>42241</v>
      </c>
      <c r="B16" s="11" t="str">
        <f ca="1">IF(ROWS($1:3)&gt;COUNT(Dong),"",OFFSET(TH!D$1,SMALL(Dong,ROWS($1:3)),))</f>
        <v>GBN</v>
      </c>
      <c r="C16" s="11">
        <f ca="1">IF(ROWS($1:3)&gt;COUNT(Dong),"",OFFSET(TH!E$1,SMALL(Dong,ROWS($1:3)),))</f>
        <v>42241</v>
      </c>
      <c r="D16" s="126" t="str">
        <f ca="1">IF(ROWS($1:3)&gt;COUNT(Dong),"",OFFSET(TH!F$1,SMALL(Dong,ROWS($1:3)),))</f>
        <v>Thanh toán tiền công trình</v>
      </c>
      <c r="E16" s="127" t="str">
        <f ca="1">IF(ROWS($1:3)&gt;COUNT(Dong),"",IF(OFFSET(TH!J$1,SMALL(Dong,ROWS($1:3)),)="331",OFFSET(TH!K$1,SMALL(Dong,ROWS($1:3)),),OFFSET(TH!J$1,SMALL(Dong,ROWS($1:3)),)))</f>
        <v>1121</v>
      </c>
      <c r="F16" s="127"/>
      <c r="G16" s="253">
        <f ca="1">IF(ROWS($1:3)&gt;COUNT(Dong),"",IF(OFFSET(TH!J$1,SMALL(Dong,ROWS($1:3)),)="331",OFFSET(TH!I$1,SMALL(Dong,ROWS($1:3)),),0))</f>
        <v>50000000</v>
      </c>
      <c r="H16" s="253">
        <f ca="1">IF(ROWS($1:3)&gt;COUNT(Dong),"",IF(OFFSET(TH!K$1,SMALL(Dong,ROWS($1:3)),)="331",OFFSET(TH!I$1,SMALL(Dong,ROWS($1:3)),),0))</f>
        <v>0</v>
      </c>
      <c r="I16" s="33">
        <f t="shared" ca="1" si="1"/>
        <v>190000000</v>
      </c>
      <c r="J16" s="33">
        <f t="shared" ca="1" si="2"/>
        <v>0</v>
      </c>
    </row>
    <row r="17" spans="1:10" s="26" customFormat="1" ht="18" customHeight="1">
      <c r="A17" s="11">
        <f t="shared" ca="1" si="0"/>
        <v>42251</v>
      </c>
      <c r="B17" s="11" t="str">
        <f ca="1">IF(ROWS($1:4)&gt;COUNT(Dong),"",OFFSET(TH!D$1,SMALL(Dong,ROWS($1:4)),))</f>
        <v>GBN</v>
      </c>
      <c r="C17" s="11">
        <f ca="1">IF(ROWS($1:4)&gt;COUNT(Dong),"",OFFSET(TH!E$1,SMALL(Dong,ROWS($1:4)),))</f>
        <v>42251</v>
      </c>
      <c r="D17" s="126" t="str">
        <f ca="1">IF(ROWS($1:4)&gt;COUNT(Dong),"",OFFSET(TH!F$1,SMALL(Dong,ROWS($1:4)),))</f>
        <v>Thanh toán tiền công trình</v>
      </c>
      <c r="E17" s="127" t="str">
        <f ca="1">IF(ROWS($1:4)&gt;COUNT(Dong),"",IF(OFFSET(TH!J$1,SMALL(Dong,ROWS($1:4)),)="331",OFFSET(TH!K$1,SMALL(Dong,ROWS($1:4)),),OFFSET(TH!J$1,SMALL(Dong,ROWS($1:4)),)))</f>
        <v>1121</v>
      </c>
      <c r="F17" s="127"/>
      <c r="G17" s="253">
        <f ca="1">IF(ROWS($1:4)&gt;COUNT(Dong),"",IF(OFFSET(TH!J$1,SMALL(Dong,ROWS($1:4)),)="331",OFFSET(TH!I$1,SMALL(Dong,ROWS($1:4)),),0))</f>
        <v>50000000</v>
      </c>
      <c r="H17" s="253">
        <f ca="1">IF(ROWS($1:4)&gt;COUNT(Dong),"",IF(OFFSET(TH!K$1,SMALL(Dong,ROWS($1:4)),)="331",OFFSET(TH!I$1,SMALL(Dong,ROWS($1:4)),),0))</f>
        <v>0</v>
      </c>
      <c r="I17" s="33">
        <f t="shared" ca="1" si="1"/>
        <v>240000000</v>
      </c>
      <c r="J17" s="33">
        <f t="shared" ca="1" si="2"/>
        <v>0</v>
      </c>
    </row>
    <row r="18" spans="1:10" s="26" customFormat="1" ht="18" customHeight="1">
      <c r="A18" s="11">
        <f t="shared" ca="1" si="0"/>
        <v>42285</v>
      </c>
      <c r="B18" s="11" t="str">
        <f ca="1">IF(ROWS($1:5)&gt;COUNT(Dong),"",OFFSET(TH!D$1,SMALL(Dong,ROWS($1:5)),))</f>
        <v>GBN</v>
      </c>
      <c r="C18" s="11">
        <f ca="1">IF(ROWS($1:5)&gt;COUNT(Dong),"",OFFSET(TH!E$1,SMALL(Dong,ROWS($1:5)),))</f>
        <v>42285</v>
      </c>
      <c r="D18" s="126" t="str">
        <f ca="1">IF(ROWS($1:5)&gt;COUNT(Dong),"",OFFSET(TH!F$1,SMALL(Dong,ROWS($1:5)),))</f>
        <v>Thanh toán tiền công trình</v>
      </c>
      <c r="E18" s="127" t="str">
        <f ca="1">IF(ROWS($1:5)&gt;COUNT(Dong),"",IF(OFFSET(TH!J$1,SMALL(Dong,ROWS($1:5)),)="331",OFFSET(TH!K$1,SMALL(Dong,ROWS($1:5)),),OFFSET(TH!J$1,SMALL(Dong,ROWS($1:5)),)))</f>
        <v>1121</v>
      </c>
      <c r="F18" s="127"/>
      <c r="G18" s="253">
        <f ca="1">IF(ROWS($1:5)&gt;COUNT(Dong),"",IF(OFFSET(TH!J$1,SMALL(Dong,ROWS($1:5)),)="331",OFFSET(TH!I$1,SMALL(Dong,ROWS($1:5)),),0))</f>
        <v>30000000</v>
      </c>
      <c r="H18" s="253">
        <f ca="1">IF(ROWS($1:5)&gt;COUNT(Dong),"",IF(OFFSET(TH!K$1,SMALL(Dong,ROWS($1:5)),)="331",OFFSET(TH!I$1,SMALL(Dong,ROWS($1:5)),),0))</f>
        <v>0</v>
      </c>
      <c r="I18" s="33">
        <f t="shared" ca="1" si="1"/>
        <v>270000000</v>
      </c>
      <c r="J18" s="33">
        <f t="shared" ca="1" si="2"/>
        <v>0</v>
      </c>
    </row>
    <row r="19" spans="1:10" s="26" customFormat="1" ht="18" customHeight="1">
      <c r="A19" s="11">
        <f t="shared" ca="1" si="0"/>
        <v>42342</v>
      </c>
      <c r="B19" s="11" t="str">
        <f ca="1">IF(ROWS($1:6)&gt;COUNT(Dong),"",OFFSET(TH!D$1,SMALL(Dong,ROWS($1:6)),))</f>
        <v>GBN</v>
      </c>
      <c r="C19" s="11">
        <f ca="1">IF(ROWS($1:6)&gt;COUNT(Dong),"",OFFSET(TH!E$1,SMALL(Dong,ROWS($1:6)),))</f>
        <v>42342</v>
      </c>
      <c r="D19" s="126" t="str">
        <f ca="1">IF(ROWS($1:6)&gt;COUNT(Dong),"",OFFSET(TH!F$1,SMALL(Dong,ROWS($1:6)),))</f>
        <v>Thanh toán tiền công trình</v>
      </c>
      <c r="E19" s="127" t="str">
        <f ca="1">IF(ROWS($1:6)&gt;COUNT(Dong),"",IF(OFFSET(TH!J$1,SMALL(Dong,ROWS($1:6)),)="331",OFFSET(TH!K$1,SMALL(Dong,ROWS($1:6)),),OFFSET(TH!J$1,SMALL(Dong,ROWS($1:6)),)))</f>
        <v>1121</v>
      </c>
      <c r="F19" s="127"/>
      <c r="G19" s="253">
        <f ca="1">IF(ROWS($1:6)&gt;COUNT(Dong),"",IF(OFFSET(TH!J$1,SMALL(Dong,ROWS($1:6)),)="331",OFFSET(TH!I$1,SMALL(Dong,ROWS($1:6)),),0))</f>
        <v>30000000</v>
      </c>
      <c r="H19" s="253">
        <f ca="1">IF(ROWS($1:6)&gt;COUNT(Dong),"",IF(OFFSET(TH!K$1,SMALL(Dong,ROWS($1:6)),)="331",OFFSET(TH!I$1,SMALL(Dong,ROWS($1:6)),),0))</f>
        <v>0</v>
      </c>
      <c r="I19" s="33">
        <f t="shared" ca="1" si="1"/>
        <v>300000000</v>
      </c>
      <c r="J19" s="33">
        <f t="shared" ca="1" si="2"/>
        <v>0</v>
      </c>
    </row>
    <row r="20" spans="1:10" s="26" customFormat="1" ht="18" customHeight="1">
      <c r="A20" s="11" t="str">
        <f t="shared" ca="1" si="0"/>
        <v/>
      </c>
      <c r="B20" s="11" t="str">
        <f ca="1">IF(ROWS($1:7)&gt;COUNT(Dong),"",OFFSET(TH!D$1,SMALL(Dong,ROWS($1:7)),))</f>
        <v/>
      </c>
      <c r="C20" s="11" t="str">
        <f ca="1">IF(ROWS($1:7)&gt;COUNT(Dong),"",OFFSET(TH!E$1,SMALL(Dong,ROWS($1:7)),))</f>
        <v/>
      </c>
      <c r="D20" s="126" t="str">
        <f ca="1">IF(ROWS($1:7)&gt;COUNT(Dong),"",OFFSET(TH!F$1,SMALL(Dong,ROWS($1:7)),))</f>
        <v/>
      </c>
      <c r="E20" s="127" t="str">
        <f ca="1">IF(ROWS($1:7)&gt;COUNT(Dong),"",IF(OFFSET(TH!J$1,SMALL(Dong,ROWS($1:7)),)="331",OFFSET(TH!K$1,SMALL(Dong,ROWS($1:7)),),OFFSET(TH!J$1,SMALL(Dong,ROWS($1:7)),)))</f>
        <v/>
      </c>
      <c r="F20" s="127"/>
      <c r="G20" s="253" t="str">
        <f ca="1">IF(ROWS($1:7)&gt;COUNT(Dong),"",IF(OFFSET(TH!J$1,SMALL(Dong,ROWS($1:7)),)="331",OFFSET(TH!I$1,SMALL(Dong,ROWS($1:7)),),0))</f>
        <v/>
      </c>
      <c r="H20" s="253" t="str">
        <f ca="1">IF(ROWS($1:7)&gt;COUNT(Dong),"",IF(OFFSET(TH!K$1,SMALL(Dong,ROWS($1:7)),)="331",OFFSET(TH!I$1,SMALL(Dong,ROWS($1:7)),),0))</f>
        <v/>
      </c>
      <c r="I20" s="33">
        <f t="shared" ca="1" si="1"/>
        <v>0</v>
      </c>
      <c r="J20" s="33">
        <f t="shared" ca="1" si="2"/>
        <v>0</v>
      </c>
    </row>
    <row r="21" spans="1:10" s="26" customFormat="1" ht="18" customHeight="1">
      <c r="A21" s="11" t="str">
        <f t="shared" ref="A21:A32" ca="1" si="3">IF(C21&lt;&gt;"",C21,"")</f>
        <v/>
      </c>
      <c r="B21" s="11" t="str">
        <f ca="1">IF(ROWS($1:8)&gt;COUNT(Dong),"",OFFSET(TH!D$1,SMALL(Dong,ROWS($1:8)),))</f>
        <v/>
      </c>
      <c r="C21" s="11" t="str">
        <f ca="1">IF(ROWS($1:8)&gt;COUNT(Dong),"",OFFSET(TH!E$1,SMALL(Dong,ROWS($1:8)),))</f>
        <v/>
      </c>
      <c r="D21" s="126" t="str">
        <f ca="1">IF(ROWS($1:8)&gt;COUNT(Dong),"",OFFSET(TH!F$1,SMALL(Dong,ROWS($1:8)),))</f>
        <v/>
      </c>
      <c r="E21" s="127" t="str">
        <f ca="1">IF(ROWS($1:8)&gt;COUNT(Dong),"",IF(OFFSET(TH!J$1,SMALL(Dong,ROWS($1:8)),)="331",OFFSET(TH!K$1,SMALL(Dong,ROWS($1:8)),),OFFSET(TH!J$1,SMALL(Dong,ROWS($1:8)),)))</f>
        <v/>
      </c>
      <c r="F21" s="127"/>
      <c r="G21" s="108" t="str">
        <f ca="1">IF(ROWS($1:8)&gt;COUNT(Dong),"",IF(OFFSET(TH!J$1,SMALL(Dong,ROWS($1:8)),)="331",OFFSET(TH!I$1,SMALL(Dong,ROWS($1:8)),),0))</f>
        <v/>
      </c>
      <c r="H21" s="108" t="str">
        <f ca="1">IF(ROWS($1:8)&gt;COUNT(Dong),"",IF(OFFSET(TH!K$1,SMALL(Dong,ROWS($1:8)),)="331",OFFSET(TH!I$1,SMALL(Dong,ROWS($1:8)),),0))</f>
        <v/>
      </c>
      <c r="I21" s="33">
        <f t="shared" ref="I21:I32" ca="1" si="4">IF(D21&lt;&gt;"",MAX(I20+G21-H21-J20,0),0)</f>
        <v>0</v>
      </c>
      <c r="J21" s="33">
        <f t="shared" ref="J21:J32" ca="1" si="5">IF(D21&lt;&gt;"",MAX(J20+H21-I20-G21,0),0)</f>
        <v>0</v>
      </c>
    </row>
    <row r="22" spans="1:10" s="26" customFormat="1" ht="18" customHeight="1">
      <c r="A22" s="11" t="str">
        <f t="shared" ca="1" si="3"/>
        <v/>
      </c>
      <c r="B22" s="11" t="str">
        <f ca="1">IF(ROWS($1:9)&gt;COUNT(Dong),"",OFFSET(TH!D$1,SMALL(Dong,ROWS($1:9)),))</f>
        <v/>
      </c>
      <c r="C22" s="11" t="str">
        <f ca="1">IF(ROWS($1:9)&gt;COUNT(Dong),"",OFFSET(TH!E$1,SMALL(Dong,ROWS($1:9)),))</f>
        <v/>
      </c>
      <c r="D22" s="126" t="str">
        <f ca="1">IF(ROWS($1:9)&gt;COUNT(Dong),"",OFFSET(TH!F$1,SMALL(Dong,ROWS($1:9)),))</f>
        <v/>
      </c>
      <c r="E22" s="127" t="str">
        <f ca="1">IF(ROWS($1:9)&gt;COUNT(Dong),"",IF(OFFSET(TH!J$1,SMALL(Dong,ROWS($1:9)),)="331",OFFSET(TH!K$1,SMALL(Dong,ROWS($1:9)),),OFFSET(TH!J$1,SMALL(Dong,ROWS($1:9)),)))</f>
        <v/>
      </c>
      <c r="F22" s="127"/>
      <c r="G22" s="108" t="str">
        <f ca="1">IF(ROWS($1:9)&gt;COUNT(Dong),"",IF(OFFSET(TH!J$1,SMALL(Dong,ROWS($1:9)),)="331",OFFSET(TH!I$1,SMALL(Dong,ROWS($1:9)),),0))</f>
        <v/>
      </c>
      <c r="H22" s="108" t="str">
        <f ca="1">IF(ROWS($1:9)&gt;COUNT(Dong),"",IF(OFFSET(TH!K$1,SMALL(Dong,ROWS($1:9)),)="331",OFFSET(TH!I$1,SMALL(Dong,ROWS($1:9)),),0))</f>
        <v/>
      </c>
      <c r="I22" s="33">
        <f t="shared" ca="1" si="4"/>
        <v>0</v>
      </c>
      <c r="J22" s="33">
        <f t="shared" ca="1" si="5"/>
        <v>0</v>
      </c>
    </row>
    <row r="23" spans="1:10" s="26" customFormat="1" ht="18" customHeight="1">
      <c r="A23" s="11" t="str">
        <f t="shared" ca="1" si="3"/>
        <v/>
      </c>
      <c r="B23" s="11" t="str">
        <f ca="1">IF(ROWS($1:10)&gt;COUNT(Dong),"",OFFSET(TH!D$1,SMALL(Dong,ROWS($1:10)),))</f>
        <v/>
      </c>
      <c r="C23" s="11" t="str">
        <f ca="1">IF(ROWS($1:10)&gt;COUNT(Dong),"",OFFSET(TH!E$1,SMALL(Dong,ROWS($1:10)),))</f>
        <v/>
      </c>
      <c r="D23" s="126" t="str">
        <f ca="1">IF(ROWS($1:10)&gt;COUNT(Dong),"",OFFSET(TH!F$1,SMALL(Dong,ROWS($1:10)),))</f>
        <v/>
      </c>
      <c r="E23" s="127" t="str">
        <f ca="1">IF(ROWS($1:10)&gt;COUNT(Dong),"",IF(OFFSET(TH!J$1,SMALL(Dong,ROWS($1:10)),)="331",OFFSET(TH!K$1,SMALL(Dong,ROWS($1:10)),),OFFSET(TH!J$1,SMALL(Dong,ROWS($1:10)),)))</f>
        <v/>
      </c>
      <c r="F23" s="127"/>
      <c r="G23" s="108" t="str">
        <f ca="1">IF(ROWS($1:10)&gt;COUNT(Dong),"",IF(OFFSET(TH!J$1,SMALL(Dong,ROWS($1:10)),)="331",OFFSET(TH!I$1,SMALL(Dong,ROWS($1:10)),),0))</f>
        <v/>
      </c>
      <c r="H23" s="108" t="str">
        <f ca="1">IF(ROWS($1:10)&gt;COUNT(Dong),"",IF(OFFSET(TH!K$1,SMALL(Dong,ROWS($1:10)),)="331",OFFSET(TH!I$1,SMALL(Dong,ROWS($1:10)),),0))</f>
        <v/>
      </c>
      <c r="I23" s="33">
        <f t="shared" ca="1" si="4"/>
        <v>0</v>
      </c>
      <c r="J23" s="33">
        <f t="shared" ca="1" si="5"/>
        <v>0</v>
      </c>
    </row>
    <row r="24" spans="1:10" s="26" customFormat="1" ht="18" customHeight="1">
      <c r="A24" s="11" t="str">
        <f t="shared" ca="1" si="3"/>
        <v/>
      </c>
      <c r="B24" s="11" t="str">
        <f ca="1">IF(ROWS($1:11)&gt;COUNT(Dong),"",OFFSET(TH!D$1,SMALL(Dong,ROWS($1:11)),))</f>
        <v/>
      </c>
      <c r="C24" s="11" t="str">
        <f ca="1">IF(ROWS($1:11)&gt;COUNT(Dong),"",OFFSET(TH!E$1,SMALL(Dong,ROWS($1:11)),))</f>
        <v/>
      </c>
      <c r="D24" s="126" t="str">
        <f ca="1">IF(ROWS($1:11)&gt;COUNT(Dong),"",OFFSET(TH!F$1,SMALL(Dong,ROWS($1:11)),))</f>
        <v/>
      </c>
      <c r="E24" s="127" t="str">
        <f ca="1">IF(ROWS($1:11)&gt;COUNT(Dong),"",IF(OFFSET(TH!J$1,SMALL(Dong,ROWS($1:11)),)="331",OFFSET(TH!K$1,SMALL(Dong,ROWS($1:11)),),OFFSET(TH!J$1,SMALL(Dong,ROWS($1:11)),)))</f>
        <v/>
      </c>
      <c r="F24" s="127"/>
      <c r="G24" s="108" t="str">
        <f ca="1">IF(ROWS($1:11)&gt;COUNT(Dong),"",IF(OFFSET(TH!J$1,SMALL(Dong,ROWS($1:11)),)="331",OFFSET(TH!I$1,SMALL(Dong,ROWS($1:11)),),0))</f>
        <v/>
      </c>
      <c r="H24" s="108" t="str">
        <f ca="1">IF(ROWS($1:11)&gt;COUNT(Dong),"",IF(OFFSET(TH!K$1,SMALL(Dong,ROWS($1:11)),)="331",OFFSET(TH!I$1,SMALL(Dong,ROWS($1:11)),),0))</f>
        <v/>
      </c>
      <c r="I24" s="33">
        <f t="shared" ca="1" si="4"/>
        <v>0</v>
      </c>
      <c r="J24" s="33">
        <f t="shared" ca="1" si="5"/>
        <v>0</v>
      </c>
    </row>
    <row r="25" spans="1:10" s="26" customFormat="1" ht="18" customHeight="1">
      <c r="A25" s="11" t="str">
        <f t="shared" ca="1" si="3"/>
        <v/>
      </c>
      <c r="B25" s="11" t="str">
        <f ca="1">IF(ROWS($1:12)&gt;COUNT(Dong),"",OFFSET(TH!D$1,SMALL(Dong,ROWS($1:12)),))</f>
        <v/>
      </c>
      <c r="C25" s="11" t="str">
        <f ca="1">IF(ROWS($1:12)&gt;COUNT(Dong),"",OFFSET(TH!E$1,SMALL(Dong,ROWS($1:12)),))</f>
        <v/>
      </c>
      <c r="D25" s="126" t="str">
        <f ca="1">IF(ROWS($1:12)&gt;COUNT(Dong),"",OFFSET(TH!F$1,SMALL(Dong,ROWS($1:12)),))</f>
        <v/>
      </c>
      <c r="E25" s="127" t="str">
        <f ca="1">IF(ROWS($1:12)&gt;COUNT(Dong),"",IF(OFFSET(TH!J$1,SMALL(Dong,ROWS($1:12)),)="331",OFFSET(TH!K$1,SMALL(Dong,ROWS($1:12)),),OFFSET(TH!J$1,SMALL(Dong,ROWS($1:12)),)))</f>
        <v/>
      </c>
      <c r="F25" s="127"/>
      <c r="G25" s="108" t="str">
        <f ca="1">IF(ROWS($1:12)&gt;COUNT(Dong),"",IF(OFFSET(TH!J$1,SMALL(Dong,ROWS($1:12)),)="331",OFFSET(TH!I$1,SMALL(Dong,ROWS($1:12)),),0))</f>
        <v/>
      </c>
      <c r="H25" s="108" t="str">
        <f ca="1">IF(ROWS($1:12)&gt;COUNT(Dong),"",IF(OFFSET(TH!K$1,SMALL(Dong,ROWS($1:12)),)="331",OFFSET(TH!I$1,SMALL(Dong,ROWS($1:12)),),0))</f>
        <v/>
      </c>
      <c r="I25" s="33">
        <f t="shared" ca="1" si="4"/>
        <v>0</v>
      </c>
      <c r="J25" s="33">
        <f t="shared" ca="1" si="5"/>
        <v>0</v>
      </c>
    </row>
    <row r="26" spans="1:10" s="26" customFormat="1" ht="18" customHeight="1">
      <c r="A26" s="11" t="str">
        <f t="shared" ca="1" si="3"/>
        <v/>
      </c>
      <c r="B26" s="11" t="str">
        <f ca="1">IF(ROWS($1:13)&gt;COUNT(Dong),"",OFFSET(TH!D$1,SMALL(Dong,ROWS($1:13)),))</f>
        <v/>
      </c>
      <c r="C26" s="11" t="str">
        <f ca="1">IF(ROWS($1:13)&gt;COUNT(Dong),"",OFFSET(TH!E$1,SMALL(Dong,ROWS($1:13)),))</f>
        <v/>
      </c>
      <c r="D26" s="126" t="str">
        <f ca="1">IF(ROWS($1:13)&gt;COUNT(Dong),"",OFFSET(TH!F$1,SMALL(Dong,ROWS($1:13)),))</f>
        <v/>
      </c>
      <c r="E26" s="127" t="str">
        <f ca="1">IF(ROWS($1:13)&gt;COUNT(Dong),"",IF(OFFSET(TH!J$1,SMALL(Dong,ROWS($1:13)),)="331",OFFSET(TH!K$1,SMALL(Dong,ROWS($1:13)),),OFFSET(TH!J$1,SMALL(Dong,ROWS($1:13)),)))</f>
        <v/>
      </c>
      <c r="F26" s="127"/>
      <c r="G26" s="108" t="str">
        <f ca="1">IF(ROWS($1:13)&gt;COUNT(Dong),"",IF(OFFSET(TH!J$1,SMALL(Dong,ROWS($1:13)),)="331",OFFSET(TH!I$1,SMALL(Dong,ROWS($1:13)),),0))</f>
        <v/>
      </c>
      <c r="H26" s="108" t="str">
        <f ca="1">IF(ROWS($1:13)&gt;COUNT(Dong),"",IF(OFFSET(TH!K$1,SMALL(Dong,ROWS($1:13)),)="331",OFFSET(TH!I$1,SMALL(Dong,ROWS($1:13)),),0))</f>
        <v/>
      </c>
      <c r="I26" s="33">
        <f t="shared" ca="1" si="4"/>
        <v>0</v>
      </c>
      <c r="J26" s="33">
        <f t="shared" ca="1" si="5"/>
        <v>0</v>
      </c>
    </row>
    <row r="27" spans="1:10" s="26" customFormat="1" ht="18" customHeight="1">
      <c r="A27" s="11" t="str">
        <f t="shared" ca="1" si="3"/>
        <v/>
      </c>
      <c r="B27" s="11" t="str">
        <f ca="1">IF(ROWS($1:14)&gt;COUNT(Dong),"",OFFSET(TH!D$1,SMALL(Dong,ROWS($1:14)),))</f>
        <v/>
      </c>
      <c r="C27" s="11" t="str">
        <f ca="1">IF(ROWS($1:14)&gt;COUNT(Dong),"",OFFSET(TH!E$1,SMALL(Dong,ROWS($1:14)),))</f>
        <v/>
      </c>
      <c r="D27" s="126" t="str">
        <f ca="1">IF(ROWS($1:14)&gt;COUNT(Dong),"",OFFSET(TH!F$1,SMALL(Dong,ROWS($1:14)),))</f>
        <v/>
      </c>
      <c r="E27" s="127" t="str">
        <f ca="1">IF(ROWS($1:14)&gt;COUNT(Dong),"",IF(OFFSET(TH!J$1,SMALL(Dong,ROWS($1:14)),)="331",OFFSET(TH!K$1,SMALL(Dong,ROWS($1:14)),),OFFSET(TH!J$1,SMALL(Dong,ROWS($1:14)),)))</f>
        <v/>
      </c>
      <c r="F27" s="127"/>
      <c r="G27" s="108" t="str">
        <f ca="1">IF(ROWS($1:14)&gt;COUNT(Dong),"",IF(OFFSET(TH!J$1,SMALL(Dong,ROWS($1:14)),)="331",OFFSET(TH!I$1,SMALL(Dong,ROWS($1:14)),),0))</f>
        <v/>
      </c>
      <c r="H27" s="108" t="str">
        <f ca="1">IF(ROWS($1:14)&gt;COUNT(Dong),"",IF(OFFSET(TH!K$1,SMALL(Dong,ROWS($1:14)),)="331",OFFSET(TH!I$1,SMALL(Dong,ROWS($1:14)),),0))</f>
        <v/>
      </c>
      <c r="I27" s="33">
        <f t="shared" ca="1" si="4"/>
        <v>0</v>
      </c>
      <c r="J27" s="33">
        <f t="shared" ca="1" si="5"/>
        <v>0</v>
      </c>
    </row>
    <row r="28" spans="1:10" s="26" customFormat="1" ht="18" customHeight="1">
      <c r="A28" s="11" t="str">
        <f t="shared" ca="1" si="3"/>
        <v/>
      </c>
      <c r="B28" s="11" t="str">
        <f ca="1">IF(ROWS($1:15)&gt;COUNT(Dong),"",OFFSET(TH!D$1,SMALL(Dong,ROWS($1:15)),))</f>
        <v/>
      </c>
      <c r="C28" s="11" t="str">
        <f ca="1">IF(ROWS($1:15)&gt;COUNT(Dong),"",OFFSET(TH!E$1,SMALL(Dong,ROWS($1:15)),))</f>
        <v/>
      </c>
      <c r="D28" s="126" t="str">
        <f ca="1">IF(ROWS($1:15)&gt;COUNT(Dong),"",OFFSET(TH!F$1,SMALL(Dong,ROWS($1:15)),))</f>
        <v/>
      </c>
      <c r="E28" s="127" t="str">
        <f ca="1">IF(ROWS($1:15)&gt;COUNT(Dong),"",IF(OFFSET(TH!J$1,SMALL(Dong,ROWS($1:15)),)="331",OFFSET(TH!K$1,SMALL(Dong,ROWS($1:15)),),OFFSET(TH!J$1,SMALL(Dong,ROWS($1:15)),)))</f>
        <v/>
      </c>
      <c r="F28" s="127"/>
      <c r="G28" s="108" t="str">
        <f ca="1">IF(ROWS($1:15)&gt;COUNT(Dong),"",IF(OFFSET(TH!J$1,SMALL(Dong,ROWS($1:15)),)="331",OFFSET(TH!I$1,SMALL(Dong,ROWS($1:15)),),0))</f>
        <v/>
      </c>
      <c r="H28" s="108" t="str">
        <f ca="1">IF(ROWS($1:15)&gt;COUNT(Dong),"",IF(OFFSET(TH!K$1,SMALL(Dong,ROWS($1:15)),)="331",OFFSET(TH!I$1,SMALL(Dong,ROWS($1:15)),),0))</f>
        <v/>
      </c>
      <c r="I28" s="33">
        <f t="shared" ca="1" si="4"/>
        <v>0</v>
      </c>
      <c r="J28" s="33">
        <f t="shared" ca="1" si="5"/>
        <v>0</v>
      </c>
    </row>
    <row r="29" spans="1:10" s="26" customFormat="1" ht="18" customHeight="1">
      <c r="A29" s="11" t="str">
        <f t="shared" ca="1" si="3"/>
        <v/>
      </c>
      <c r="B29" s="11" t="str">
        <f ca="1">IF(ROWS($1:16)&gt;COUNT(Dong),"",OFFSET(TH!D$1,SMALL(Dong,ROWS($1:16)),))</f>
        <v/>
      </c>
      <c r="C29" s="11" t="str">
        <f ca="1">IF(ROWS($1:16)&gt;COUNT(Dong),"",OFFSET(TH!E$1,SMALL(Dong,ROWS($1:16)),))</f>
        <v/>
      </c>
      <c r="D29" s="126" t="str">
        <f ca="1">IF(ROWS($1:16)&gt;COUNT(Dong),"",OFFSET(TH!F$1,SMALL(Dong,ROWS($1:16)),))</f>
        <v/>
      </c>
      <c r="E29" s="127" t="str">
        <f ca="1">IF(ROWS($1:16)&gt;COUNT(Dong),"",IF(OFFSET(TH!J$1,SMALL(Dong,ROWS($1:16)),)="331",OFFSET(TH!K$1,SMALL(Dong,ROWS($1:16)),),OFFSET(TH!J$1,SMALL(Dong,ROWS($1:16)),)))</f>
        <v/>
      </c>
      <c r="F29" s="127"/>
      <c r="G29" s="108" t="str">
        <f ca="1">IF(ROWS($1:16)&gt;COUNT(Dong),"",IF(OFFSET(TH!J$1,SMALL(Dong,ROWS($1:16)),)="331",OFFSET(TH!I$1,SMALL(Dong,ROWS($1:16)),),0))</f>
        <v/>
      </c>
      <c r="H29" s="108" t="str">
        <f ca="1">IF(ROWS($1:16)&gt;COUNT(Dong),"",IF(OFFSET(TH!K$1,SMALL(Dong,ROWS($1:16)),)="331",OFFSET(TH!I$1,SMALL(Dong,ROWS($1:16)),),0))</f>
        <v/>
      </c>
      <c r="I29" s="33">
        <f t="shared" ca="1" si="4"/>
        <v>0</v>
      </c>
      <c r="J29" s="33">
        <f t="shared" ca="1" si="5"/>
        <v>0</v>
      </c>
    </row>
    <row r="30" spans="1:10" s="26" customFormat="1" ht="18" customHeight="1">
      <c r="A30" s="11" t="str">
        <f t="shared" ca="1" si="3"/>
        <v/>
      </c>
      <c r="B30" s="11" t="str">
        <f ca="1">IF(ROWS($1:17)&gt;COUNT(Dong),"",OFFSET(TH!D$1,SMALL(Dong,ROWS($1:17)),))</f>
        <v/>
      </c>
      <c r="C30" s="11" t="str">
        <f ca="1">IF(ROWS($1:17)&gt;COUNT(Dong),"",OFFSET(TH!E$1,SMALL(Dong,ROWS($1:17)),))</f>
        <v/>
      </c>
      <c r="D30" s="126" t="str">
        <f ca="1">IF(ROWS($1:17)&gt;COUNT(Dong),"",OFFSET(TH!F$1,SMALL(Dong,ROWS($1:17)),))</f>
        <v/>
      </c>
      <c r="E30" s="127" t="str">
        <f ca="1">IF(ROWS($1:17)&gt;COUNT(Dong),"",IF(OFFSET(TH!J$1,SMALL(Dong,ROWS($1:17)),)="331",OFFSET(TH!K$1,SMALL(Dong,ROWS($1:17)),),OFFSET(TH!J$1,SMALL(Dong,ROWS($1:17)),)))</f>
        <v/>
      </c>
      <c r="F30" s="127"/>
      <c r="G30" s="108" t="str">
        <f ca="1">IF(ROWS($1:17)&gt;COUNT(Dong),"",IF(OFFSET(TH!J$1,SMALL(Dong,ROWS($1:17)),)="331",OFFSET(TH!I$1,SMALL(Dong,ROWS($1:17)),),0))</f>
        <v/>
      </c>
      <c r="H30" s="108" t="str">
        <f ca="1">IF(ROWS($1:17)&gt;COUNT(Dong),"",IF(OFFSET(TH!K$1,SMALL(Dong,ROWS($1:17)),)="331",OFFSET(TH!I$1,SMALL(Dong,ROWS($1:17)),),0))</f>
        <v/>
      </c>
      <c r="I30" s="33">
        <f t="shared" ca="1" si="4"/>
        <v>0</v>
      </c>
      <c r="J30" s="33">
        <f t="shared" ca="1" si="5"/>
        <v>0</v>
      </c>
    </row>
    <row r="31" spans="1:10" s="26" customFormat="1" ht="18" customHeight="1">
      <c r="A31" s="11" t="str">
        <f t="shared" ca="1" si="3"/>
        <v/>
      </c>
      <c r="B31" s="11" t="str">
        <f ca="1">IF(ROWS($1:18)&gt;COUNT(Dong),"",OFFSET(TH!D$1,SMALL(Dong,ROWS($1:18)),))</f>
        <v/>
      </c>
      <c r="C31" s="11" t="str">
        <f ca="1">IF(ROWS($1:18)&gt;COUNT(Dong),"",OFFSET(TH!E$1,SMALL(Dong,ROWS($1:18)),))</f>
        <v/>
      </c>
      <c r="D31" s="126" t="str">
        <f ca="1">IF(ROWS($1:18)&gt;COUNT(Dong),"",OFFSET(TH!F$1,SMALL(Dong,ROWS($1:18)),))</f>
        <v/>
      </c>
      <c r="E31" s="127" t="str">
        <f ca="1">IF(ROWS($1:18)&gt;COUNT(Dong),"",IF(OFFSET(TH!J$1,SMALL(Dong,ROWS($1:18)),)="331",OFFSET(TH!K$1,SMALL(Dong,ROWS($1:18)),),OFFSET(TH!J$1,SMALL(Dong,ROWS($1:18)),)))</f>
        <v/>
      </c>
      <c r="F31" s="127"/>
      <c r="G31" s="108" t="str">
        <f ca="1">IF(ROWS($1:18)&gt;COUNT(Dong),"",IF(OFFSET(TH!J$1,SMALL(Dong,ROWS($1:18)),)="331",OFFSET(TH!I$1,SMALL(Dong,ROWS($1:18)),),0))</f>
        <v/>
      </c>
      <c r="H31" s="108" t="str">
        <f ca="1">IF(ROWS($1:18)&gt;COUNT(Dong),"",IF(OFFSET(TH!K$1,SMALL(Dong,ROWS($1:18)),)="331",OFFSET(TH!I$1,SMALL(Dong,ROWS($1:18)),),0))</f>
        <v/>
      </c>
      <c r="I31" s="33">
        <f t="shared" ca="1" si="4"/>
        <v>0</v>
      </c>
      <c r="J31" s="33">
        <f t="shared" ca="1" si="5"/>
        <v>0</v>
      </c>
    </row>
    <row r="32" spans="1:10" s="26" customFormat="1" ht="18" customHeight="1">
      <c r="A32" s="11" t="str">
        <f t="shared" ca="1" si="3"/>
        <v/>
      </c>
      <c r="B32" s="11" t="str">
        <f ca="1">IF(ROWS($1:19)&gt;COUNT(Dong),"",OFFSET(TH!D$1,SMALL(Dong,ROWS($1:19)),))</f>
        <v/>
      </c>
      <c r="C32" s="11" t="str">
        <f ca="1">IF(ROWS($1:19)&gt;COUNT(Dong),"",OFFSET(TH!E$1,SMALL(Dong,ROWS($1:19)),))</f>
        <v/>
      </c>
      <c r="D32" s="126" t="str">
        <f ca="1">IF(ROWS($1:19)&gt;COUNT(Dong),"",OFFSET(TH!F$1,SMALL(Dong,ROWS($1:19)),))</f>
        <v/>
      </c>
      <c r="E32" s="127" t="str">
        <f ca="1">IF(ROWS($1:19)&gt;COUNT(Dong),"",IF(OFFSET(TH!J$1,SMALL(Dong,ROWS($1:19)),)="331",OFFSET(TH!K$1,SMALL(Dong,ROWS($1:19)),),OFFSET(TH!J$1,SMALL(Dong,ROWS($1:19)),)))</f>
        <v/>
      </c>
      <c r="F32" s="127"/>
      <c r="G32" s="108" t="str">
        <f ca="1">IF(ROWS($1:19)&gt;COUNT(Dong),"",IF(OFFSET(TH!J$1,SMALL(Dong,ROWS($1:19)),)="331",OFFSET(TH!I$1,SMALL(Dong,ROWS($1:19)),),0))</f>
        <v/>
      </c>
      <c r="H32" s="108" t="str">
        <f ca="1">IF(ROWS($1:19)&gt;COUNT(Dong),"",IF(OFFSET(TH!K$1,SMALL(Dong,ROWS($1:19)),)="331",OFFSET(TH!I$1,SMALL(Dong,ROWS($1:19)),),0))</f>
        <v/>
      </c>
      <c r="I32" s="33">
        <f t="shared" ca="1" si="4"/>
        <v>0</v>
      </c>
      <c r="J32" s="33">
        <f t="shared" ca="1" si="5"/>
        <v>0</v>
      </c>
    </row>
    <row r="33" spans="1:10" s="26" customFormat="1" ht="18" customHeight="1">
      <c r="A33" s="11" t="str">
        <f t="shared" ref="A33:A39" ca="1" si="6">IF(C33&lt;&gt;"",C33,"")</f>
        <v/>
      </c>
      <c r="B33" s="11" t="str">
        <f ca="1">IF(ROWS($1:20)&gt;COUNT(Dong),"",OFFSET(TH!D$1,SMALL(Dong,ROWS($1:20)),))</f>
        <v/>
      </c>
      <c r="C33" s="11" t="str">
        <f ca="1">IF(ROWS($1:20)&gt;COUNT(Dong),"",OFFSET(TH!E$1,SMALL(Dong,ROWS($1:20)),))</f>
        <v/>
      </c>
      <c r="D33" s="126" t="str">
        <f ca="1">IF(ROWS($1:20)&gt;COUNT(Dong),"",OFFSET(TH!F$1,SMALL(Dong,ROWS($1:20)),))</f>
        <v/>
      </c>
      <c r="E33" s="127" t="str">
        <f ca="1">IF(ROWS($1:20)&gt;COUNT(Dong),"",IF(OFFSET(TH!J$1,SMALL(Dong,ROWS($1:20)),)="331",OFFSET(TH!K$1,SMALL(Dong,ROWS($1:20)),),OFFSET(TH!J$1,SMALL(Dong,ROWS($1:20)),)))</f>
        <v/>
      </c>
      <c r="F33" s="127"/>
      <c r="G33" s="138" t="str">
        <f ca="1">IF(ROWS($1:20)&gt;COUNT(Dong),"",IF(OFFSET(TH!J$1,SMALL(Dong,ROWS($1:20)),)="331",OFFSET(TH!I$1,SMALL(Dong,ROWS($1:20)),),0))</f>
        <v/>
      </c>
      <c r="H33" s="138" t="str">
        <f ca="1">IF(ROWS($1:20)&gt;COUNT(Dong),"",IF(OFFSET(TH!K$1,SMALL(Dong,ROWS($1:20)),)="331",OFFSET(TH!I$1,SMALL(Dong,ROWS($1:20)),),0))</f>
        <v/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IF(ROWS($1:21)&gt;COUNT(Dong),"",IF(OFFSET(TH!J$1,SMALL(Dong,ROWS($1:21)),)="331",OFFSET(TH!K$1,SMALL(Dong,ROWS($1:21)),),OFFSET(TH!J$1,SMALL(Dong,ROWS($1:21)),)))</f>
        <v/>
      </c>
      <c r="F34" s="127"/>
      <c r="G34" s="138" t="str">
        <f ca="1">IF(ROWS($1:21)&gt;COUNT(Dong),"",IF(OFFSET(TH!J$1,SMALL(Dong,ROWS($1:21)),)="331",OFFSET(TH!I$1,SMALL(Dong,ROWS($1:21)),),0))</f>
        <v/>
      </c>
      <c r="H34" s="138" t="str">
        <f ca="1">IF(ROWS($1:21)&gt;COUNT(Dong),"",IF(OFFSET(TH!K$1,SMALL(Dong,ROWS($1:21)),)="331",OFFSET(TH!I$1,SMALL(Dong,ROWS($1:21)),),0))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IF(ROWS($1:22)&gt;COUNT(Dong),"",IF(OFFSET(TH!J$1,SMALL(Dong,ROWS($1:22)),)="331",OFFSET(TH!K$1,SMALL(Dong,ROWS($1:22)),),OFFSET(TH!J$1,SMALL(Dong,ROWS($1:22)),)))</f>
        <v/>
      </c>
      <c r="F35" s="127"/>
      <c r="G35" s="138" t="str">
        <f ca="1">IF(ROWS($1:22)&gt;COUNT(Dong),"",IF(OFFSET(TH!J$1,SMALL(Dong,ROWS($1:22)),)="331",OFFSET(TH!I$1,SMALL(Dong,ROWS($1:22)),),0))</f>
        <v/>
      </c>
      <c r="H35" s="138" t="str">
        <f ca="1">IF(ROWS($1:22)&gt;COUNT(Dong),"",IF(OFFSET(TH!K$1,SMALL(Dong,ROWS($1:22)),)="331",OFFSET(TH!I$1,SMALL(Dong,ROWS($1:22)),),0))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IF(ROWS($1:23)&gt;COUNT(Dong),"",IF(OFFSET(TH!J$1,SMALL(Dong,ROWS($1:23)),)="331",OFFSET(TH!K$1,SMALL(Dong,ROWS($1:23)),),OFFSET(TH!J$1,SMALL(Dong,ROWS($1:23)),)))</f>
        <v/>
      </c>
      <c r="F36" s="127"/>
      <c r="G36" s="138" t="str">
        <f ca="1">IF(ROWS($1:23)&gt;COUNT(Dong),"",IF(OFFSET(TH!J$1,SMALL(Dong,ROWS($1:23)),)="331",OFFSET(TH!I$1,SMALL(Dong,ROWS($1:23)),),0))</f>
        <v/>
      </c>
      <c r="H36" s="138" t="str">
        <f ca="1">IF(ROWS($1:23)&gt;COUNT(Dong),"",IF(OFFSET(TH!K$1,SMALL(Dong,ROWS($1:23)),)="331",OFFSET(TH!I$1,SMALL(Dong,ROWS($1:23)),),0))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IF(ROWS($1:24)&gt;COUNT(Dong),"",IF(OFFSET(TH!J$1,SMALL(Dong,ROWS($1:24)),)="331",OFFSET(TH!K$1,SMALL(Dong,ROWS($1:24)),),OFFSET(TH!J$1,SMALL(Dong,ROWS($1:24)),)))</f>
        <v/>
      </c>
      <c r="F37" s="127"/>
      <c r="G37" s="138" t="str">
        <f ca="1">IF(ROWS($1:24)&gt;COUNT(Dong),"",IF(OFFSET(TH!J$1,SMALL(Dong,ROWS($1:24)),)="331",OFFSET(TH!I$1,SMALL(Dong,ROWS($1:24)),),0))</f>
        <v/>
      </c>
      <c r="H37" s="138" t="str">
        <f ca="1">IF(ROWS($1:24)&gt;COUNT(Dong),"",IF(OFFSET(TH!K$1,SMALL(Dong,ROWS($1:24)),)="331",OFFSET(TH!I$1,SMALL(Dong,ROWS($1:24)),),0))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IF(ROWS($1:25)&gt;COUNT(Dong),"",IF(OFFSET(TH!J$1,SMALL(Dong,ROWS($1:25)),)="331",OFFSET(TH!K$1,SMALL(Dong,ROWS($1:25)),),OFFSET(TH!J$1,SMALL(Dong,ROWS($1:25)),)))</f>
        <v/>
      </c>
      <c r="F38" s="127"/>
      <c r="G38" s="138" t="str">
        <f ca="1">IF(ROWS($1:25)&gt;COUNT(Dong),"",IF(OFFSET(TH!J$1,SMALL(Dong,ROWS($1:25)),)="331",OFFSET(TH!I$1,SMALL(Dong,ROWS($1:25)),),0))</f>
        <v/>
      </c>
      <c r="H38" s="138" t="str">
        <f ca="1">IF(ROWS($1:25)&gt;COUNT(Dong),"",IF(OFFSET(TH!K$1,SMALL(Dong,ROWS($1:25)),)="331",OFFSET(TH!I$1,SMALL(Dong,ROWS($1:25)),),0))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IF(ROWS($1:26)&gt;COUNT(Dong),"",IF(OFFSET(TH!J$1,SMALL(Dong,ROWS($1:26)),)="331",OFFSET(TH!K$1,SMALL(Dong,ROWS($1:26)),),OFFSET(TH!J$1,SMALL(Dong,ROWS($1:26)),)))</f>
        <v/>
      </c>
      <c r="F39" s="127"/>
      <c r="G39" s="138" t="str">
        <f ca="1">IF(ROWS($1:26)&gt;COUNT(Dong),"",IF(OFFSET(TH!J$1,SMALL(Dong,ROWS($1:26)),)="331",OFFSET(TH!I$1,SMALL(Dong,ROWS($1:26)),),0))</f>
        <v/>
      </c>
      <c r="H39" s="138" t="str">
        <f ca="1">IF(ROWS($1:26)&gt;COUNT(Dong),"",IF(OFFSET(TH!K$1,SMALL(Dong,ROWS($1:26)),)="331",OFFSET(TH!I$1,SMALL(Dong,ROWS($1:26)),),0))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IF(ROWS($1:27)&gt;COUNT(Dong),"",IF(OFFSET(TH!J$1,SMALL(Dong,ROWS($1:27)),)="331",OFFSET(TH!K$1,SMALL(Dong,ROWS($1:27)),),OFFSET(TH!J$1,SMALL(Dong,ROWS($1:27)),)))</f>
        <v/>
      </c>
      <c r="F40" s="127"/>
      <c r="G40" s="233" t="str">
        <f ca="1">IF(ROWS($1:27)&gt;COUNT(Dong),"",IF(OFFSET(TH!J$1,SMALL(Dong,ROWS($1:27)),)="331",OFFSET(TH!I$1,SMALL(Dong,ROWS($1:27)),),0))</f>
        <v/>
      </c>
      <c r="H40" s="233" t="str">
        <f ca="1">IF(ROWS($1:27)&gt;COUNT(Dong),"",IF(OFFSET(TH!K$1,SMALL(Dong,ROWS($1:27)),)="331",OFFSET(TH!I$1,SMALL(Dong,ROWS($1:27)),),0))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IF(ROWS($1:28)&gt;COUNT(Dong),"",IF(OFFSET(TH!J$1,SMALL(Dong,ROWS($1:28)),)="331",OFFSET(TH!K$1,SMALL(Dong,ROWS($1:28)),),OFFSET(TH!J$1,SMALL(Dong,ROWS($1:28)),)))</f>
        <v/>
      </c>
      <c r="F41" s="127"/>
      <c r="G41" s="233" t="str">
        <f ca="1">IF(ROWS($1:28)&gt;COUNT(Dong),"",IF(OFFSET(TH!J$1,SMALL(Dong,ROWS($1:28)),)="331",OFFSET(TH!I$1,SMALL(Dong,ROWS($1:28)),),0))</f>
        <v/>
      </c>
      <c r="H41" s="233" t="str">
        <f ca="1">IF(ROWS($1:28)&gt;COUNT(Dong),"",IF(OFFSET(TH!K$1,SMALL(Dong,ROWS($1:28)),)="331",OFFSET(TH!I$1,SMALL(Dong,ROWS($1:28)),),0))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IF(ROWS($1:29)&gt;COUNT(Dong),"",IF(OFFSET(TH!J$1,SMALL(Dong,ROWS($1:29)),)="331",OFFSET(TH!K$1,SMALL(Dong,ROWS($1:29)),),OFFSET(TH!J$1,SMALL(Dong,ROWS($1:29)),)))</f>
        <v/>
      </c>
      <c r="F42" s="127"/>
      <c r="G42" s="233" t="str">
        <f ca="1">IF(ROWS($1:29)&gt;COUNT(Dong),"",IF(OFFSET(TH!J$1,SMALL(Dong,ROWS($1:29)),)="331",OFFSET(TH!I$1,SMALL(Dong,ROWS($1:29)),),0))</f>
        <v/>
      </c>
      <c r="H42" s="233" t="str">
        <f ca="1">IF(ROWS($1:29)&gt;COUNT(Dong),"",IF(OFFSET(TH!K$1,SMALL(Dong,ROWS($1:29)),)="331",OFFSET(TH!I$1,SMALL(Dong,ROWS($1:29)),),0))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IF(ROWS($1:30)&gt;COUNT(Dong),"",IF(OFFSET(TH!J$1,SMALL(Dong,ROWS($1:30)),)="331",OFFSET(TH!K$1,SMALL(Dong,ROWS($1:30)),),OFFSET(TH!J$1,SMALL(Dong,ROWS($1:30)),)))</f>
        <v/>
      </c>
      <c r="F43" s="127"/>
      <c r="G43" s="233" t="str">
        <f ca="1">IF(ROWS($1:30)&gt;COUNT(Dong),"",IF(OFFSET(TH!J$1,SMALL(Dong,ROWS($1:30)),)="331",OFFSET(TH!I$1,SMALL(Dong,ROWS($1:30)),),0))</f>
        <v/>
      </c>
      <c r="H43" s="233" t="str">
        <f ca="1">IF(ROWS($1:30)&gt;COUNT(Dong),"",IF(OFFSET(TH!K$1,SMALL(Dong,ROWS($1:30)),)="331",OFFSET(TH!I$1,SMALL(Dong,ROWS($1:30)),),0))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IF(ROWS($1:31)&gt;COUNT(Dong),"",IF(OFFSET(TH!J$1,SMALL(Dong,ROWS($1:31)),)="331",OFFSET(TH!K$1,SMALL(Dong,ROWS($1:31)),),OFFSET(TH!J$1,SMALL(Dong,ROWS($1:31)),)))</f>
        <v/>
      </c>
      <c r="F44" s="127"/>
      <c r="G44" s="233" t="str">
        <f ca="1">IF(ROWS($1:31)&gt;COUNT(Dong),"",IF(OFFSET(TH!J$1,SMALL(Dong,ROWS($1:31)),)="331",OFFSET(TH!I$1,SMALL(Dong,ROWS($1:31)),),0))</f>
        <v/>
      </c>
      <c r="H44" s="233" t="str">
        <f ca="1">IF(ROWS($1:31)&gt;COUNT(Dong),"",IF(OFFSET(TH!K$1,SMALL(Dong,ROWS($1:31)),)="331",OFFSET(TH!I$1,SMALL(Dong,ROWS($1:31)),),0))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IF(ROWS($1:32)&gt;COUNT(Dong),"",IF(OFFSET(TH!J$1,SMALL(Dong,ROWS($1:32)),)="331",OFFSET(TH!K$1,SMALL(Dong,ROWS($1:32)),),OFFSET(TH!J$1,SMALL(Dong,ROWS($1:32)),)))</f>
        <v/>
      </c>
      <c r="F45" s="127"/>
      <c r="G45" s="233" t="str">
        <f ca="1">IF(ROWS($1:32)&gt;COUNT(Dong),"",IF(OFFSET(TH!J$1,SMALL(Dong,ROWS($1:32)),)="331",OFFSET(TH!I$1,SMALL(Dong,ROWS($1:32)),),0))</f>
        <v/>
      </c>
      <c r="H45" s="233" t="str">
        <f ca="1">IF(ROWS($1:32)&gt;COUNT(Dong),"",IF(OFFSET(TH!K$1,SMALL(Dong,ROWS($1:32)),)="331",OFFSET(TH!I$1,SMALL(Dong,ROWS($1:32)),),0))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IF(ROWS($1:33)&gt;COUNT(Dong),"",IF(OFFSET(TH!J$1,SMALL(Dong,ROWS($1:33)),)="331",OFFSET(TH!K$1,SMALL(Dong,ROWS($1:33)),),OFFSET(TH!J$1,SMALL(Dong,ROWS($1:33)),)))</f>
        <v/>
      </c>
      <c r="F46" s="127"/>
      <c r="G46" s="233" t="str">
        <f ca="1">IF(ROWS($1:33)&gt;COUNT(Dong),"",IF(OFFSET(TH!J$1,SMALL(Dong,ROWS($1:33)),)="331",OFFSET(TH!I$1,SMALL(Dong,ROWS($1:33)),),0))</f>
        <v/>
      </c>
      <c r="H46" s="233" t="str">
        <f ca="1">IF(ROWS($1:33)&gt;COUNT(Dong),"",IF(OFFSET(TH!K$1,SMALL(Dong,ROWS($1:33)),)="331",OFFSET(TH!I$1,SMALL(Dong,ROWS($1:33)),),0))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IF(ROWS($1:34)&gt;COUNT(Dong),"",IF(OFFSET(TH!J$1,SMALL(Dong,ROWS($1:34)),)="331",OFFSET(TH!K$1,SMALL(Dong,ROWS($1:34)),),OFFSET(TH!J$1,SMALL(Dong,ROWS($1:34)),)))</f>
        <v/>
      </c>
      <c r="F47" s="127"/>
      <c r="G47" s="233" t="str">
        <f ca="1">IF(ROWS($1:34)&gt;COUNT(Dong),"",IF(OFFSET(TH!J$1,SMALL(Dong,ROWS($1:34)),)="331",OFFSET(TH!I$1,SMALL(Dong,ROWS($1:34)),),0))</f>
        <v/>
      </c>
      <c r="H47" s="233" t="str">
        <f ca="1">IF(ROWS($1:34)&gt;COUNT(Dong),"",IF(OFFSET(TH!K$1,SMALL(Dong,ROWS($1:34)),)="331",OFFSET(TH!I$1,SMALL(Dong,ROWS($1:34)),),0))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IF(ROWS($1:35)&gt;COUNT(Dong),"",IF(OFFSET(TH!J$1,SMALL(Dong,ROWS($1:35)),)="331",OFFSET(TH!K$1,SMALL(Dong,ROWS($1:35)),),OFFSET(TH!J$1,SMALL(Dong,ROWS($1:35)),)))</f>
        <v/>
      </c>
      <c r="F48" s="127"/>
      <c r="G48" s="233" t="str">
        <f ca="1">IF(ROWS($1:35)&gt;COUNT(Dong),"",IF(OFFSET(TH!J$1,SMALL(Dong,ROWS($1:35)),)="331",OFFSET(TH!I$1,SMALL(Dong,ROWS($1:35)),),0))</f>
        <v/>
      </c>
      <c r="H48" s="233" t="str">
        <f ca="1">IF(ROWS($1:35)&gt;COUNT(Dong),"",IF(OFFSET(TH!K$1,SMALL(Dong,ROWS($1:35)),)="331",OFFSET(TH!I$1,SMALL(Dong,ROWS($1:35)),),0))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IF(ROWS($1:36)&gt;COUNT(Dong),"",IF(OFFSET(TH!J$1,SMALL(Dong,ROWS($1:36)),)="331",OFFSET(TH!K$1,SMALL(Dong,ROWS($1:36)),),OFFSET(TH!J$1,SMALL(Dong,ROWS($1:36)),)))</f>
        <v/>
      </c>
      <c r="F49" s="127"/>
      <c r="G49" s="233" t="str">
        <f ca="1">IF(ROWS($1:36)&gt;COUNT(Dong),"",IF(OFFSET(TH!J$1,SMALL(Dong,ROWS($1:36)),)="331",OFFSET(TH!I$1,SMALL(Dong,ROWS($1:36)),),0))</f>
        <v/>
      </c>
      <c r="H49" s="233" t="str">
        <f ca="1">IF(ROWS($1:36)&gt;COUNT(Dong),"",IF(OFFSET(TH!K$1,SMALL(Dong,ROWS($1:36)),)="331",OFFSET(TH!I$1,SMALL(Dong,ROWS($1:36)),),0))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IF(ROWS($1:37)&gt;COUNT(Dong),"",IF(OFFSET(TH!J$1,SMALL(Dong,ROWS($1:37)),)="331",OFFSET(TH!K$1,SMALL(Dong,ROWS($1:37)),),OFFSET(TH!J$1,SMALL(Dong,ROWS($1:37)),)))</f>
        <v/>
      </c>
      <c r="F50" s="127"/>
      <c r="G50" s="233" t="str">
        <f ca="1">IF(ROWS($1:37)&gt;COUNT(Dong),"",IF(OFFSET(TH!J$1,SMALL(Dong,ROWS($1:37)),)="331",OFFSET(TH!I$1,SMALL(Dong,ROWS($1:37)),),0))</f>
        <v/>
      </c>
      <c r="H50" s="233" t="str">
        <f ca="1">IF(ROWS($1:37)&gt;COUNT(Dong),"",IF(OFFSET(TH!K$1,SMALL(Dong,ROWS($1:37)),)="331",OFFSET(TH!I$1,SMALL(Dong,ROWS($1:37)),),0))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300000000</v>
      </c>
      <c r="H51" s="35">
        <f ca="1">SUM(H14:H50)</f>
        <v>0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300000000</v>
      </c>
      <c r="J52" s="35">
        <f ca="1">MAX(J13+H51-G51-I13,0)</f>
        <v>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486" t="s">
        <v>77</v>
      </c>
      <c r="F56" s="486"/>
      <c r="G56" s="486"/>
      <c r="H56" s="486"/>
      <c r="I56" s="486"/>
      <c r="J56" s="486"/>
    </row>
    <row r="57" spans="1:10" s="26" customFormat="1" ht="14.25" customHeight="1">
      <c r="A57" s="486" t="s">
        <v>26</v>
      </c>
      <c r="B57" s="486"/>
      <c r="C57" s="486"/>
      <c r="D57" s="486"/>
      <c r="E57" s="486" t="s">
        <v>27</v>
      </c>
      <c r="F57" s="486"/>
      <c r="G57" s="486"/>
      <c r="H57" s="486"/>
      <c r="I57" s="486"/>
      <c r="J57" s="486"/>
    </row>
    <row r="58" spans="1:10" s="26" customFormat="1" ht="14.25" customHeight="1">
      <c r="A58" s="486" t="s">
        <v>28</v>
      </c>
      <c r="B58" s="486"/>
      <c r="C58" s="486"/>
      <c r="D58" s="486"/>
      <c r="E58" s="486" t="s">
        <v>28</v>
      </c>
      <c r="F58" s="486"/>
      <c r="G58" s="486"/>
      <c r="H58" s="486"/>
      <c r="I58" s="486"/>
      <c r="J58" s="486"/>
    </row>
    <row r="59" spans="1:10" s="37" customFormat="1"/>
  </sheetData>
  <autoFilter ref="A12:J32"/>
  <mergeCells count="17"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  <mergeCell ref="A57:D57"/>
    <mergeCell ref="E57:J57"/>
    <mergeCell ref="A58:D58"/>
    <mergeCell ref="E58:J58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9" customWidth="1"/>
    <col min="10" max="10" width="16" style="148" customWidth="1"/>
    <col min="11" max="11" width="13.85546875" style="148" customWidth="1"/>
    <col min="12" max="12" width="14.85546875" style="199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64" t="str">
        <f ca="1">"CHI PHÍ XÂY DỰNG TRÀ VINH   " &amp; TEXT(NOW(),"dd/MM/yyyy")</f>
        <v>CHI PHÍ XÂY DỰNG TRÀ VINH   21/12/2015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314"/>
    </row>
    <row r="3" spans="1:12" s="145" customFormat="1" ht="19.5" customHeight="1">
      <c r="A3" s="465" t="s">
        <v>79</v>
      </c>
      <c r="B3" s="465" t="s">
        <v>360</v>
      </c>
      <c r="C3" s="465" t="s">
        <v>361</v>
      </c>
      <c r="D3" s="465" t="s">
        <v>362</v>
      </c>
      <c r="E3" s="466" t="s">
        <v>363</v>
      </c>
      <c r="F3" s="467"/>
      <c r="G3" s="468"/>
      <c r="H3" s="466" t="s">
        <v>364</v>
      </c>
      <c r="I3" s="468"/>
      <c r="J3" s="469" t="s">
        <v>365</v>
      </c>
      <c r="K3" s="465" t="s">
        <v>366</v>
      </c>
      <c r="L3" s="201"/>
    </row>
    <row r="4" spans="1:12" s="148" customFormat="1" ht="19.5" customHeight="1">
      <c r="A4" s="465"/>
      <c r="B4" s="465"/>
      <c r="C4" s="465"/>
      <c r="D4" s="465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70"/>
      <c r="K4" s="465"/>
      <c r="L4" s="315"/>
    </row>
    <row r="5" spans="1:12" ht="17.25" customHeight="1">
      <c r="A5" s="437">
        <v>16</v>
      </c>
      <c r="B5" s="437" t="s">
        <v>111</v>
      </c>
      <c r="C5" s="438" t="s">
        <v>394</v>
      </c>
      <c r="D5" s="428">
        <v>41871</v>
      </c>
      <c r="E5" s="430">
        <v>2200000000</v>
      </c>
      <c r="F5" s="430">
        <f>2508700000</f>
        <v>2508700000</v>
      </c>
      <c r="G5" s="172">
        <f>IF(I5&gt;0,I5,0)</f>
        <v>752610000</v>
      </c>
      <c r="H5" s="430">
        <v>1858000000</v>
      </c>
      <c r="I5" s="172">
        <v>752610000</v>
      </c>
      <c r="J5" s="173">
        <v>41905</v>
      </c>
      <c r="K5" s="339" t="s">
        <v>373</v>
      </c>
    </row>
    <row r="6" spans="1:12" s="180" customFormat="1" ht="17.25" customHeight="1">
      <c r="A6" s="437"/>
      <c r="B6" s="437"/>
      <c r="C6" s="427"/>
      <c r="D6" s="427"/>
      <c r="E6" s="431"/>
      <c r="F6" s="431"/>
      <c r="G6" s="172">
        <f t="shared" ref="G6:G16" si="0">IF(I6&gt;0,I6,0)</f>
        <v>0</v>
      </c>
      <c r="H6" s="431"/>
      <c r="I6" s="185">
        <v>-200000000</v>
      </c>
      <c r="J6" s="186">
        <v>41907</v>
      </c>
      <c r="K6" s="187" t="s">
        <v>391</v>
      </c>
      <c r="L6" s="317"/>
    </row>
    <row r="7" spans="1:12" ht="17.25" customHeight="1">
      <c r="A7" s="437"/>
      <c r="B7" s="437"/>
      <c r="C7" s="427"/>
      <c r="D7" s="427"/>
      <c r="E7" s="431"/>
      <c r="F7" s="431"/>
      <c r="G7" s="172">
        <f t="shared" si="0"/>
        <v>500000000</v>
      </c>
      <c r="H7" s="431"/>
      <c r="I7" s="172">
        <v>500000000</v>
      </c>
      <c r="J7" s="173">
        <v>41942</v>
      </c>
      <c r="K7" s="339" t="s">
        <v>373</v>
      </c>
    </row>
    <row r="8" spans="1:12" ht="17.25" customHeight="1">
      <c r="A8" s="437"/>
      <c r="B8" s="437"/>
      <c r="C8" s="427"/>
      <c r="D8" s="427"/>
      <c r="E8" s="431"/>
      <c r="F8" s="431"/>
      <c r="G8" s="172">
        <f t="shared" si="0"/>
        <v>0</v>
      </c>
      <c r="H8" s="431"/>
      <c r="I8" s="185">
        <v>-100000000</v>
      </c>
      <c r="J8" s="186">
        <v>41951</v>
      </c>
      <c r="K8" s="187" t="s">
        <v>391</v>
      </c>
    </row>
    <row r="9" spans="1:12" ht="17.25" customHeight="1">
      <c r="A9" s="437"/>
      <c r="B9" s="437"/>
      <c r="C9" s="427"/>
      <c r="D9" s="427"/>
      <c r="E9" s="431"/>
      <c r="F9" s="431"/>
      <c r="G9" s="172">
        <f t="shared" si="0"/>
        <v>500000000</v>
      </c>
      <c r="H9" s="431"/>
      <c r="I9" s="172">
        <v>500000000</v>
      </c>
      <c r="J9" s="173">
        <v>42010</v>
      </c>
      <c r="K9" s="339" t="s">
        <v>373</v>
      </c>
    </row>
    <row r="10" spans="1:12" ht="17.25" customHeight="1">
      <c r="A10" s="437"/>
      <c r="B10" s="437"/>
      <c r="C10" s="427" t="s">
        <v>395</v>
      </c>
      <c r="D10" s="429">
        <v>42139</v>
      </c>
      <c r="E10" s="454">
        <f>308700000+501400000</f>
        <v>810100000</v>
      </c>
      <c r="F10" s="454">
        <f>184000000+317400000</f>
        <v>501400000</v>
      </c>
      <c r="G10" s="172">
        <f t="shared" si="0"/>
        <v>0</v>
      </c>
      <c r="H10" s="431">
        <f>139900000+250800000</f>
        <v>390700000</v>
      </c>
      <c r="I10" s="185">
        <v>-100000000</v>
      </c>
      <c r="J10" s="186">
        <v>42017</v>
      </c>
      <c r="K10" s="187" t="s">
        <v>391</v>
      </c>
    </row>
    <row r="11" spans="1:12" ht="17.25" customHeight="1">
      <c r="A11" s="437"/>
      <c r="B11" s="437"/>
      <c r="C11" s="427"/>
      <c r="D11" s="429"/>
      <c r="E11" s="454"/>
      <c r="F11" s="454"/>
      <c r="G11" s="172">
        <f t="shared" si="0"/>
        <v>251000000</v>
      </c>
      <c r="H11" s="431"/>
      <c r="I11" s="172">
        <v>251000000</v>
      </c>
      <c r="J11" s="173">
        <v>42094</v>
      </c>
      <c r="K11" s="339" t="s">
        <v>373</v>
      </c>
    </row>
    <row r="12" spans="1:12" ht="17.25" customHeight="1">
      <c r="A12" s="437"/>
      <c r="B12" s="437"/>
      <c r="C12" s="427"/>
      <c r="D12" s="429"/>
      <c r="E12" s="454"/>
      <c r="F12" s="454"/>
      <c r="G12" s="172">
        <f t="shared" si="0"/>
        <v>200000000</v>
      </c>
      <c r="H12" s="431"/>
      <c r="I12" s="172">
        <v>200000000</v>
      </c>
      <c r="J12" s="173">
        <v>42170</v>
      </c>
      <c r="K12" s="339" t="s">
        <v>373</v>
      </c>
    </row>
    <row r="13" spans="1:12" ht="17.25" customHeight="1">
      <c r="A13" s="437"/>
      <c r="B13" s="437"/>
      <c r="C13" s="427"/>
      <c r="D13" s="429"/>
      <c r="E13" s="454"/>
      <c r="F13" s="454"/>
      <c r="G13" s="172">
        <f t="shared" si="0"/>
        <v>400000000</v>
      </c>
      <c r="H13" s="431"/>
      <c r="I13" s="172">
        <v>400000000</v>
      </c>
      <c r="J13" s="173">
        <v>42199</v>
      </c>
      <c r="K13" s="339" t="s">
        <v>373</v>
      </c>
    </row>
    <row r="14" spans="1:12" ht="17.25" customHeight="1">
      <c r="A14" s="437"/>
      <c r="B14" s="437"/>
      <c r="C14" s="427"/>
      <c r="D14" s="429"/>
      <c r="E14" s="454"/>
      <c r="F14" s="454"/>
      <c r="G14" s="172">
        <f t="shared" si="0"/>
        <v>0</v>
      </c>
      <c r="H14" s="431"/>
      <c r="I14" s="185">
        <v>-200000000</v>
      </c>
      <c r="J14" s="173">
        <v>42202</v>
      </c>
      <c r="K14" s="187" t="s">
        <v>391</v>
      </c>
    </row>
    <row r="15" spans="1:12" ht="17.25" customHeight="1">
      <c r="A15" s="437"/>
      <c r="B15" s="437"/>
      <c r="C15" s="427"/>
      <c r="D15" s="429"/>
      <c r="E15" s="454"/>
      <c r="F15" s="454"/>
      <c r="G15" s="172">
        <f t="shared" si="0"/>
        <v>0</v>
      </c>
      <c r="H15" s="431"/>
      <c r="I15" s="151"/>
      <c r="J15" s="173"/>
      <c r="K15" s="339"/>
    </row>
    <row r="16" spans="1:12" ht="17.25" customHeight="1">
      <c r="A16" s="437"/>
      <c r="B16" s="437"/>
      <c r="C16" s="427"/>
      <c r="D16" s="429"/>
      <c r="E16" s="454"/>
      <c r="F16" s="454"/>
      <c r="G16" s="172">
        <f t="shared" si="0"/>
        <v>0</v>
      </c>
      <c r="H16" s="431"/>
      <c r="I16" s="151"/>
      <c r="J16" s="338"/>
      <c r="K16" s="337"/>
    </row>
    <row r="17" spans="1:12" s="161" customFormat="1" ht="18" customHeight="1">
      <c r="A17" s="437"/>
      <c r="B17" s="437"/>
      <c r="C17" s="432" t="s">
        <v>94</v>
      </c>
      <c r="D17" s="433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13"/>
    </row>
    <row r="18" spans="1:12" s="161" customFormat="1" ht="18" customHeight="1">
      <c r="A18" s="437"/>
      <c r="B18" s="437"/>
      <c r="C18" s="432" t="s">
        <v>380</v>
      </c>
      <c r="D18" s="433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750</v>
      </c>
      <c r="L18" s="313"/>
    </row>
    <row r="19" spans="1:12" ht="17.25" customHeight="1">
      <c r="C19" s="496" t="s">
        <v>748</v>
      </c>
      <c r="D19" s="496"/>
      <c r="E19" s="158">
        <f>F17-H17</f>
        <v>761400000</v>
      </c>
      <c r="G19" s="496" t="s">
        <v>749</v>
      </c>
      <c r="H19" s="496"/>
      <c r="I19" s="158">
        <f>E19*10%</f>
        <v>76140000</v>
      </c>
      <c r="J19" s="158"/>
      <c r="K19" s="158"/>
    </row>
    <row r="20" spans="1:12" ht="17.25" customHeight="1">
      <c r="C20" s="496" t="s">
        <v>749</v>
      </c>
      <c r="D20" s="496"/>
      <c r="E20" s="158">
        <f>E19*10%</f>
        <v>76140000</v>
      </c>
      <c r="G20" s="432" t="s">
        <v>380</v>
      </c>
      <c r="H20" s="433"/>
      <c r="I20" s="158">
        <f>I18+I19-J18</f>
        <v>208795000</v>
      </c>
      <c r="K20" s="204"/>
    </row>
  </sheetData>
  <autoFilter ref="A4:M18">
    <filterColumn colId="5"/>
    <filterColumn colId="6"/>
    <filterColumn colId="8"/>
  </autoFilter>
  <mergeCells count="27"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8"/>
    <mergeCell ref="B5:B18"/>
    <mergeCell ref="C5:C9"/>
    <mergeCell ref="D5:D9"/>
    <mergeCell ref="E5:E9"/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N224"/>
  <sheetViews>
    <sheetView topLeftCell="C2" workbookViewId="0">
      <pane ySplit="2" topLeftCell="A174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95" customWidth="1"/>
    <col min="2" max="2" width="32.85546875" style="363" customWidth="1"/>
    <col min="3" max="3" width="7.42578125" style="363" customWidth="1"/>
    <col min="4" max="4" width="10.85546875" style="396" customWidth="1"/>
    <col min="5" max="5" width="11.5703125" style="397" customWidth="1"/>
    <col min="6" max="6" width="17" style="397" customWidth="1"/>
    <col min="7" max="7" width="10.85546875" style="396" customWidth="1"/>
    <col min="8" max="8" width="10.7109375" style="397" customWidth="1"/>
    <col min="9" max="9" width="16.85546875" style="397" customWidth="1"/>
    <col min="10" max="10" width="10.85546875" style="396" customWidth="1"/>
    <col min="11" max="11" width="15.85546875" style="397" customWidth="1"/>
    <col min="12" max="12" width="10.140625" style="396" customWidth="1"/>
    <col min="13" max="13" width="15" style="397" customWidth="1"/>
    <col min="14" max="14" width="14.42578125" style="363" customWidth="1"/>
    <col min="15" max="16384" width="9.140625" style="363"/>
  </cols>
  <sheetData>
    <row r="2" spans="1:14" s="349" customFormat="1" ht="32.25" customHeight="1">
      <c r="A2" s="497" t="s">
        <v>892</v>
      </c>
      <c r="B2" s="505" t="s">
        <v>893</v>
      </c>
      <c r="C2" s="505" t="s">
        <v>80</v>
      </c>
      <c r="D2" s="504" t="s">
        <v>894</v>
      </c>
      <c r="E2" s="504"/>
      <c r="F2" s="504"/>
      <c r="G2" s="504" t="s">
        <v>895</v>
      </c>
      <c r="H2" s="504"/>
      <c r="I2" s="504"/>
      <c r="J2" s="504" t="s">
        <v>896</v>
      </c>
      <c r="K2" s="504"/>
      <c r="L2" s="504" t="s">
        <v>897</v>
      </c>
      <c r="M2" s="504"/>
      <c r="N2" s="505" t="s">
        <v>366</v>
      </c>
    </row>
    <row r="3" spans="1:14" s="349" customFormat="1" ht="32.25" customHeight="1">
      <c r="A3" s="497"/>
      <c r="B3" s="505"/>
      <c r="C3" s="505"/>
      <c r="D3" s="350" t="s">
        <v>898</v>
      </c>
      <c r="E3" s="351" t="s">
        <v>899</v>
      </c>
      <c r="F3" s="351" t="s">
        <v>900</v>
      </c>
      <c r="G3" s="350" t="s">
        <v>898</v>
      </c>
      <c r="H3" s="351" t="s">
        <v>899</v>
      </c>
      <c r="I3" s="351" t="s">
        <v>900</v>
      </c>
      <c r="J3" s="350" t="s">
        <v>898</v>
      </c>
      <c r="K3" s="351" t="s">
        <v>900</v>
      </c>
      <c r="L3" s="350" t="s">
        <v>898</v>
      </c>
      <c r="M3" s="351" t="s">
        <v>900</v>
      </c>
      <c r="N3" s="505"/>
    </row>
    <row r="4" spans="1:14" s="349" customFormat="1" ht="32.25" customHeight="1">
      <c r="A4" s="506" t="s">
        <v>901</v>
      </c>
      <c r="B4" s="506"/>
      <c r="C4" s="506"/>
      <c r="D4" s="352"/>
      <c r="E4" s="353"/>
      <c r="F4" s="354"/>
      <c r="G4" s="352"/>
      <c r="H4" s="353"/>
      <c r="I4" s="354"/>
      <c r="J4" s="352"/>
      <c r="K4" s="353"/>
      <c r="L4" s="352"/>
      <c r="M4" s="353"/>
      <c r="N4" s="354"/>
    </row>
    <row r="5" spans="1:14" ht="32.25" customHeight="1">
      <c r="A5" s="355">
        <v>1</v>
      </c>
      <c r="B5" s="356" t="s">
        <v>902</v>
      </c>
      <c r="C5" s="357" t="s">
        <v>903</v>
      </c>
      <c r="D5" s="358">
        <v>175.89</v>
      </c>
      <c r="E5" s="359">
        <v>157313</v>
      </c>
      <c r="F5" s="359">
        <f>D5*E5</f>
        <v>27669783.569999997</v>
      </c>
      <c r="G5" s="358">
        <v>175.89</v>
      </c>
      <c r="H5" s="359">
        <v>157313</v>
      </c>
      <c r="I5" s="359">
        <f>G5*H5</f>
        <v>27669783.569999997</v>
      </c>
      <c r="J5" s="358">
        <f>MAX(D5-G5,0)</f>
        <v>0</v>
      </c>
      <c r="K5" s="359">
        <f>MAX(F5-I5,0)</f>
        <v>0</v>
      </c>
      <c r="L5" s="360">
        <f>MAX(G5-D5,0)</f>
        <v>0</v>
      </c>
      <c r="M5" s="361">
        <f>MAX(I5-F5,0)</f>
        <v>0</v>
      </c>
      <c r="N5" s="362"/>
    </row>
    <row r="6" spans="1:14" ht="32.25" customHeight="1">
      <c r="A6" s="364">
        <v>2</v>
      </c>
      <c r="B6" s="365" t="s">
        <v>904</v>
      </c>
      <c r="C6" s="357" t="s">
        <v>903</v>
      </c>
      <c r="D6" s="360">
        <v>117.26</v>
      </c>
      <c r="E6" s="361">
        <v>124076</v>
      </c>
      <c r="F6" s="359">
        <f t="shared" ref="F6:F69" si="0">D6*E6</f>
        <v>14549151.76</v>
      </c>
      <c r="G6" s="360">
        <v>117.26</v>
      </c>
      <c r="H6" s="361">
        <v>124076</v>
      </c>
      <c r="I6" s="359">
        <f t="shared" ref="I6:I69" si="1">G6*H6</f>
        <v>14549151.76</v>
      </c>
      <c r="J6" s="358">
        <f t="shared" ref="J6:J69" si="2">MAX(D6-G6,0)</f>
        <v>0</v>
      </c>
      <c r="K6" s="359">
        <f t="shared" ref="K6:K69" si="3">MAX(F6-I6,0)</f>
        <v>0</v>
      </c>
      <c r="L6" s="360">
        <f t="shared" ref="L6:L69" si="4">MAX(G6-D6,0)</f>
        <v>0</v>
      </c>
      <c r="M6" s="361">
        <f t="shared" ref="M6:M69" si="5">MAX(I6-F6,0)</f>
        <v>0</v>
      </c>
      <c r="N6" s="362"/>
    </row>
    <row r="7" spans="1:14" ht="32.25" customHeight="1">
      <c r="A7" s="364">
        <v>3</v>
      </c>
      <c r="B7" s="365" t="s">
        <v>905</v>
      </c>
      <c r="C7" s="362" t="s">
        <v>906</v>
      </c>
      <c r="D7" s="360">
        <v>164</v>
      </c>
      <c r="E7" s="361">
        <v>91683</v>
      </c>
      <c r="F7" s="359">
        <f t="shared" si="0"/>
        <v>15036012</v>
      </c>
      <c r="G7" s="360">
        <v>164</v>
      </c>
      <c r="H7" s="361">
        <v>91683</v>
      </c>
      <c r="I7" s="359">
        <f t="shared" si="1"/>
        <v>15036012</v>
      </c>
      <c r="J7" s="358">
        <f t="shared" si="2"/>
        <v>0</v>
      </c>
      <c r="K7" s="359">
        <f t="shared" si="3"/>
        <v>0</v>
      </c>
      <c r="L7" s="360">
        <f t="shared" si="4"/>
        <v>0</v>
      </c>
      <c r="M7" s="361">
        <f t="shared" si="5"/>
        <v>0</v>
      </c>
      <c r="N7" s="362"/>
    </row>
    <row r="8" spans="1:14" ht="32.25" customHeight="1">
      <c r="A8" s="364">
        <v>4</v>
      </c>
      <c r="B8" s="365" t="s">
        <v>907</v>
      </c>
      <c r="C8" s="362" t="s">
        <v>906</v>
      </c>
      <c r="D8" s="360">
        <v>164</v>
      </c>
      <c r="E8" s="361">
        <v>218411</v>
      </c>
      <c r="F8" s="359">
        <f t="shared" si="0"/>
        <v>35819404</v>
      </c>
      <c r="G8" s="360">
        <v>164</v>
      </c>
      <c r="H8" s="361">
        <v>218411</v>
      </c>
      <c r="I8" s="359">
        <f t="shared" si="1"/>
        <v>35819404</v>
      </c>
      <c r="J8" s="358">
        <f t="shared" si="2"/>
        <v>0</v>
      </c>
      <c r="K8" s="359">
        <f t="shared" si="3"/>
        <v>0</v>
      </c>
      <c r="L8" s="360">
        <f t="shared" si="4"/>
        <v>0</v>
      </c>
      <c r="M8" s="361">
        <f t="shared" si="5"/>
        <v>0</v>
      </c>
      <c r="N8" s="362"/>
    </row>
    <row r="9" spans="1:14" s="374" customFormat="1" ht="32.25" customHeight="1">
      <c r="A9" s="366">
        <v>5</v>
      </c>
      <c r="B9" s="367" t="s">
        <v>908</v>
      </c>
      <c r="C9" s="368" t="s">
        <v>903</v>
      </c>
      <c r="D9" s="369">
        <v>8.52</v>
      </c>
      <c r="E9" s="370">
        <v>1283592</v>
      </c>
      <c r="F9" s="371">
        <f t="shared" si="0"/>
        <v>10936203.84</v>
      </c>
      <c r="G9" s="369">
        <v>15.3</v>
      </c>
      <c r="H9" s="370">
        <v>1283592</v>
      </c>
      <c r="I9" s="371">
        <f t="shared" si="1"/>
        <v>19638957.600000001</v>
      </c>
      <c r="J9" s="372">
        <f t="shared" si="2"/>
        <v>0</v>
      </c>
      <c r="K9" s="371">
        <f t="shared" si="3"/>
        <v>0</v>
      </c>
      <c r="L9" s="369">
        <f t="shared" si="4"/>
        <v>6.7800000000000011</v>
      </c>
      <c r="M9" s="370">
        <f t="shared" si="5"/>
        <v>8702753.7600000016</v>
      </c>
      <c r="N9" s="373" t="s">
        <v>909</v>
      </c>
    </row>
    <row r="10" spans="1:14" ht="32.25" customHeight="1">
      <c r="A10" s="364">
        <v>6</v>
      </c>
      <c r="B10" s="365" t="s">
        <v>910</v>
      </c>
      <c r="C10" s="357" t="s">
        <v>903</v>
      </c>
      <c r="D10" s="360">
        <v>57.847999999999999</v>
      </c>
      <c r="E10" s="361">
        <v>1795808</v>
      </c>
      <c r="F10" s="359">
        <f t="shared" si="0"/>
        <v>103883901.184</v>
      </c>
      <c r="G10" s="360">
        <v>57.847999999999999</v>
      </c>
      <c r="H10" s="361">
        <v>1795808</v>
      </c>
      <c r="I10" s="359">
        <f t="shared" si="1"/>
        <v>103883901.184</v>
      </c>
      <c r="J10" s="358">
        <f t="shared" si="2"/>
        <v>0</v>
      </c>
      <c r="K10" s="359">
        <f t="shared" si="3"/>
        <v>0</v>
      </c>
      <c r="L10" s="360">
        <f t="shared" si="4"/>
        <v>0</v>
      </c>
      <c r="M10" s="361">
        <f t="shared" si="5"/>
        <v>0</v>
      </c>
      <c r="N10" s="362"/>
    </row>
    <row r="11" spans="1:14" s="374" customFormat="1" ht="32.25" customHeight="1">
      <c r="A11" s="366">
        <v>7</v>
      </c>
      <c r="B11" s="367" t="s">
        <v>911</v>
      </c>
      <c r="C11" s="368" t="s">
        <v>903</v>
      </c>
      <c r="D11" s="369">
        <v>117.29</v>
      </c>
      <c r="E11" s="370">
        <v>2327897</v>
      </c>
      <c r="F11" s="371">
        <f t="shared" si="0"/>
        <v>273039039.13</v>
      </c>
      <c r="G11" s="369">
        <v>111.60599999999999</v>
      </c>
      <c r="H11" s="370">
        <v>2327897</v>
      </c>
      <c r="I11" s="371">
        <f t="shared" si="1"/>
        <v>259807272.58199999</v>
      </c>
      <c r="J11" s="372">
        <f t="shared" si="2"/>
        <v>5.6840000000000117</v>
      </c>
      <c r="K11" s="371">
        <f t="shared" si="3"/>
        <v>13231766.548000008</v>
      </c>
      <c r="L11" s="369">
        <f t="shared" si="4"/>
        <v>0</v>
      </c>
      <c r="M11" s="370">
        <f t="shared" si="5"/>
        <v>0</v>
      </c>
      <c r="N11" s="373" t="s">
        <v>912</v>
      </c>
    </row>
    <row r="12" spans="1:14" ht="32.25" customHeight="1">
      <c r="A12" s="364">
        <v>8</v>
      </c>
      <c r="B12" s="365" t="s">
        <v>913</v>
      </c>
      <c r="C12" s="357" t="s">
        <v>903</v>
      </c>
      <c r="D12" s="360">
        <v>9.8870000000000005</v>
      </c>
      <c r="E12" s="361">
        <v>2654775</v>
      </c>
      <c r="F12" s="359">
        <f t="shared" si="0"/>
        <v>26247760.425000001</v>
      </c>
      <c r="G12" s="360">
        <v>9.8870000000000005</v>
      </c>
      <c r="H12" s="361">
        <v>2654775</v>
      </c>
      <c r="I12" s="359">
        <f t="shared" si="1"/>
        <v>26247760.425000001</v>
      </c>
      <c r="J12" s="358">
        <f t="shared" si="2"/>
        <v>0</v>
      </c>
      <c r="K12" s="359">
        <f t="shared" si="3"/>
        <v>0</v>
      </c>
      <c r="L12" s="360">
        <f t="shared" si="4"/>
        <v>0</v>
      </c>
      <c r="M12" s="361">
        <f t="shared" si="5"/>
        <v>0</v>
      </c>
      <c r="N12" s="362"/>
    </row>
    <row r="13" spans="1:14" s="374" customFormat="1" ht="32.25" customHeight="1">
      <c r="A13" s="366">
        <v>9</v>
      </c>
      <c r="B13" s="367" t="s">
        <v>914</v>
      </c>
      <c r="C13" s="368" t="s">
        <v>903</v>
      </c>
      <c r="D13" s="369">
        <v>273.89999999999998</v>
      </c>
      <c r="E13" s="370">
        <v>1788057</v>
      </c>
      <c r="F13" s="371">
        <f t="shared" si="0"/>
        <v>489748812.29999995</v>
      </c>
      <c r="G13" s="369">
        <v>393.9</v>
      </c>
      <c r="H13" s="370">
        <v>1788057</v>
      </c>
      <c r="I13" s="371">
        <f t="shared" si="1"/>
        <v>704315652.29999995</v>
      </c>
      <c r="J13" s="372">
        <f t="shared" si="2"/>
        <v>0</v>
      </c>
      <c r="K13" s="371">
        <f t="shared" si="3"/>
        <v>0</v>
      </c>
      <c r="L13" s="369">
        <f t="shared" si="4"/>
        <v>120</v>
      </c>
      <c r="M13" s="370">
        <f t="shared" si="5"/>
        <v>214566840</v>
      </c>
      <c r="N13" s="373" t="s">
        <v>915</v>
      </c>
    </row>
    <row r="14" spans="1:14" ht="32.25" customHeight="1">
      <c r="A14" s="364">
        <v>10</v>
      </c>
      <c r="B14" s="365" t="s">
        <v>916</v>
      </c>
      <c r="C14" s="362" t="s">
        <v>917</v>
      </c>
      <c r="D14" s="360">
        <v>3.0333000000000001</v>
      </c>
      <c r="E14" s="361">
        <v>16065408</v>
      </c>
      <c r="F14" s="359">
        <f t="shared" si="0"/>
        <v>48731202.086400002</v>
      </c>
      <c r="G14" s="360">
        <v>3.0333000000000001</v>
      </c>
      <c r="H14" s="361">
        <v>16065408</v>
      </c>
      <c r="I14" s="359">
        <f t="shared" si="1"/>
        <v>48731202.086400002</v>
      </c>
      <c r="J14" s="358">
        <f t="shared" si="2"/>
        <v>0</v>
      </c>
      <c r="K14" s="359">
        <f t="shared" si="3"/>
        <v>0</v>
      </c>
      <c r="L14" s="360">
        <f t="shared" si="4"/>
        <v>0</v>
      </c>
      <c r="M14" s="361">
        <f t="shared" si="5"/>
        <v>0</v>
      </c>
      <c r="N14" s="362"/>
    </row>
    <row r="15" spans="1:14" s="374" customFormat="1" ht="32.25" customHeight="1">
      <c r="A15" s="366">
        <v>11</v>
      </c>
      <c r="B15" s="367" t="s">
        <v>918</v>
      </c>
      <c r="C15" s="373" t="s">
        <v>917</v>
      </c>
      <c r="D15" s="369">
        <v>12</v>
      </c>
      <c r="E15" s="370">
        <v>21613723</v>
      </c>
      <c r="F15" s="371">
        <f t="shared" si="0"/>
        <v>259364676</v>
      </c>
      <c r="G15" s="369">
        <v>10.863200000000001</v>
      </c>
      <c r="H15" s="370">
        <v>21613723</v>
      </c>
      <c r="I15" s="371">
        <f t="shared" si="1"/>
        <v>234794195.69360003</v>
      </c>
      <c r="J15" s="372">
        <f t="shared" si="2"/>
        <v>1.1367999999999991</v>
      </c>
      <c r="K15" s="371">
        <f t="shared" si="3"/>
        <v>24570480.306399971</v>
      </c>
      <c r="L15" s="369">
        <f t="shared" si="4"/>
        <v>0</v>
      </c>
      <c r="M15" s="370">
        <f t="shared" si="5"/>
        <v>0</v>
      </c>
      <c r="N15" s="373" t="s">
        <v>919</v>
      </c>
    </row>
    <row r="16" spans="1:14" s="374" customFormat="1" ht="32.25" customHeight="1">
      <c r="A16" s="366">
        <v>12</v>
      </c>
      <c r="B16" s="367" t="s">
        <v>920</v>
      </c>
      <c r="C16" s="373" t="s">
        <v>917</v>
      </c>
      <c r="D16" s="369">
        <v>1.32</v>
      </c>
      <c r="E16" s="370">
        <v>17821387</v>
      </c>
      <c r="F16" s="371">
        <f t="shared" si="0"/>
        <v>23524230.84</v>
      </c>
      <c r="G16" s="369">
        <v>2.5865</v>
      </c>
      <c r="H16" s="370">
        <v>17821387</v>
      </c>
      <c r="I16" s="371">
        <f t="shared" si="1"/>
        <v>46095017.475500003</v>
      </c>
      <c r="J16" s="372">
        <f t="shared" si="2"/>
        <v>0</v>
      </c>
      <c r="K16" s="371">
        <f t="shared" si="3"/>
        <v>0</v>
      </c>
      <c r="L16" s="369">
        <f t="shared" si="4"/>
        <v>1.2665</v>
      </c>
      <c r="M16" s="370">
        <f t="shared" si="5"/>
        <v>22570786.635500003</v>
      </c>
      <c r="N16" s="373"/>
    </row>
    <row r="17" spans="1:14" ht="32.25" customHeight="1">
      <c r="A17" s="364">
        <v>13</v>
      </c>
      <c r="B17" s="365" t="s">
        <v>921</v>
      </c>
      <c r="C17" s="362" t="s">
        <v>922</v>
      </c>
      <c r="D17" s="360">
        <v>29.303999999999998</v>
      </c>
      <c r="E17" s="361">
        <v>21993359</v>
      </c>
      <c r="F17" s="359">
        <f t="shared" si="0"/>
        <v>644493392.13599992</v>
      </c>
      <c r="G17" s="360">
        <v>29.303999999999998</v>
      </c>
      <c r="H17" s="361">
        <v>21993359</v>
      </c>
      <c r="I17" s="359">
        <f t="shared" si="1"/>
        <v>644493392.13599992</v>
      </c>
      <c r="J17" s="358">
        <f t="shared" si="2"/>
        <v>0</v>
      </c>
      <c r="K17" s="359">
        <f t="shared" si="3"/>
        <v>0</v>
      </c>
      <c r="L17" s="360">
        <f t="shared" si="4"/>
        <v>0</v>
      </c>
      <c r="M17" s="361">
        <f t="shared" si="5"/>
        <v>0</v>
      </c>
      <c r="N17" s="362"/>
    </row>
    <row r="18" spans="1:14" s="374" customFormat="1" ht="32.25" customHeight="1">
      <c r="A18" s="366">
        <v>14</v>
      </c>
      <c r="B18" s="367" t="s">
        <v>923</v>
      </c>
      <c r="C18" s="373" t="s">
        <v>922</v>
      </c>
      <c r="D18" s="369">
        <v>16.456</v>
      </c>
      <c r="E18" s="370">
        <v>23112893</v>
      </c>
      <c r="F18" s="371">
        <f t="shared" si="0"/>
        <v>380345767.208</v>
      </c>
      <c r="G18" s="369">
        <v>16.0001</v>
      </c>
      <c r="H18" s="370">
        <v>23112893</v>
      </c>
      <c r="I18" s="371">
        <f t="shared" si="1"/>
        <v>369808599.28929996</v>
      </c>
      <c r="J18" s="372">
        <f t="shared" si="2"/>
        <v>0.45589999999999975</v>
      </c>
      <c r="K18" s="371">
        <f t="shared" si="3"/>
        <v>10537167.918700039</v>
      </c>
      <c r="L18" s="369">
        <f t="shared" si="4"/>
        <v>0</v>
      </c>
      <c r="M18" s="370">
        <f t="shared" si="5"/>
        <v>0</v>
      </c>
      <c r="N18" s="373"/>
    </row>
    <row r="19" spans="1:14" s="374" customFormat="1" ht="32.25" customHeight="1">
      <c r="A19" s="366">
        <v>15</v>
      </c>
      <c r="B19" s="367" t="s">
        <v>924</v>
      </c>
      <c r="C19" s="373" t="s">
        <v>922</v>
      </c>
      <c r="D19" s="369">
        <v>1.9770000000000001</v>
      </c>
      <c r="E19" s="370">
        <v>22795827</v>
      </c>
      <c r="F19" s="371">
        <f t="shared" si="0"/>
        <v>45067349.979000002</v>
      </c>
      <c r="G19" s="369">
        <v>2.2210000000000001</v>
      </c>
      <c r="H19" s="370">
        <v>22795827</v>
      </c>
      <c r="I19" s="371">
        <f t="shared" si="1"/>
        <v>50629531.767000005</v>
      </c>
      <c r="J19" s="372">
        <f t="shared" si="2"/>
        <v>0</v>
      </c>
      <c r="K19" s="371">
        <f t="shared" si="3"/>
        <v>0</v>
      </c>
      <c r="L19" s="369">
        <f t="shared" si="4"/>
        <v>0.24399999999999999</v>
      </c>
      <c r="M19" s="370">
        <f t="shared" si="5"/>
        <v>5562181.7880000025</v>
      </c>
      <c r="N19" s="373"/>
    </row>
    <row r="20" spans="1:14" ht="32.25" customHeight="1">
      <c r="A20" s="364">
        <v>16</v>
      </c>
      <c r="B20" s="365" t="s">
        <v>925</v>
      </c>
      <c r="C20" s="362" t="s">
        <v>922</v>
      </c>
      <c r="D20" s="360">
        <v>35.539200000000001</v>
      </c>
      <c r="E20" s="361">
        <v>22329835</v>
      </c>
      <c r="F20" s="359">
        <f t="shared" si="0"/>
        <v>793584472.03200006</v>
      </c>
      <c r="G20" s="360">
        <v>35.539200000000001</v>
      </c>
      <c r="H20" s="361">
        <v>22329835</v>
      </c>
      <c r="I20" s="359">
        <f t="shared" si="1"/>
        <v>793584472.03200006</v>
      </c>
      <c r="J20" s="358">
        <f t="shared" si="2"/>
        <v>0</v>
      </c>
      <c r="K20" s="359">
        <f t="shared" si="3"/>
        <v>0</v>
      </c>
      <c r="L20" s="360">
        <f t="shared" si="4"/>
        <v>0</v>
      </c>
      <c r="M20" s="361">
        <f t="shared" si="5"/>
        <v>0</v>
      </c>
      <c r="N20" s="362"/>
    </row>
    <row r="21" spans="1:14" ht="32.25" customHeight="1">
      <c r="A21" s="364">
        <v>17</v>
      </c>
      <c r="B21" s="365" t="s">
        <v>926</v>
      </c>
      <c r="C21" s="362" t="s">
        <v>903</v>
      </c>
      <c r="D21" s="360">
        <v>750.8</v>
      </c>
      <c r="E21" s="361">
        <v>118811</v>
      </c>
      <c r="F21" s="359">
        <f t="shared" si="0"/>
        <v>89203298.799999997</v>
      </c>
      <c r="G21" s="360">
        <v>750.8</v>
      </c>
      <c r="H21" s="361">
        <v>118811</v>
      </c>
      <c r="I21" s="359">
        <f t="shared" si="1"/>
        <v>89203298.799999997</v>
      </c>
      <c r="J21" s="358">
        <f t="shared" si="2"/>
        <v>0</v>
      </c>
      <c r="K21" s="359">
        <f t="shared" si="3"/>
        <v>0</v>
      </c>
      <c r="L21" s="360">
        <f t="shared" si="4"/>
        <v>0</v>
      </c>
      <c r="M21" s="361">
        <f t="shared" si="5"/>
        <v>0</v>
      </c>
      <c r="N21" s="362"/>
    </row>
    <row r="22" spans="1:14" ht="32.25" customHeight="1">
      <c r="A22" s="364">
        <v>18</v>
      </c>
      <c r="B22" s="365" t="s">
        <v>927</v>
      </c>
      <c r="C22" s="362" t="s">
        <v>928</v>
      </c>
      <c r="D22" s="360">
        <v>27.39</v>
      </c>
      <c r="E22" s="361">
        <v>682496</v>
      </c>
      <c r="F22" s="359">
        <f t="shared" si="0"/>
        <v>18693565.440000001</v>
      </c>
      <c r="G22" s="360">
        <v>27.39</v>
      </c>
      <c r="H22" s="361">
        <v>682496</v>
      </c>
      <c r="I22" s="359">
        <f t="shared" si="1"/>
        <v>18693565.440000001</v>
      </c>
      <c r="J22" s="358">
        <f t="shared" si="2"/>
        <v>0</v>
      </c>
      <c r="K22" s="359">
        <f t="shared" si="3"/>
        <v>0</v>
      </c>
      <c r="L22" s="360">
        <f t="shared" si="4"/>
        <v>0</v>
      </c>
      <c r="M22" s="361">
        <f t="shared" si="5"/>
        <v>0</v>
      </c>
      <c r="N22" s="362"/>
    </row>
    <row r="23" spans="1:14" s="374" customFormat="1" ht="32.25" customHeight="1">
      <c r="A23" s="366">
        <v>19</v>
      </c>
      <c r="B23" s="367" t="s">
        <v>929</v>
      </c>
      <c r="C23" s="373" t="s">
        <v>903</v>
      </c>
      <c r="D23" s="369">
        <v>19.8</v>
      </c>
      <c r="E23" s="370">
        <v>2600494</v>
      </c>
      <c r="F23" s="371">
        <f t="shared" si="0"/>
        <v>51489781.200000003</v>
      </c>
      <c r="G23" s="369">
        <v>27.84</v>
      </c>
      <c r="H23" s="370">
        <v>2600494</v>
      </c>
      <c r="I23" s="371">
        <f t="shared" si="1"/>
        <v>72397752.959999993</v>
      </c>
      <c r="J23" s="372">
        <f t="shared" si="2"/>
        <v>0</v>
      </c>
      <c r="K23" s="371">
        <f t="shared" si="3"/>
        <v>0</v>
      </c>
      <c r="L23" s="369">
        <f t="shared" si="4"/>
        <v>8.0399999999999991</v>
      </c>
      <c r="M23" s="370">
        <f t="shared" si="5"/>
        <v>20907971.75999999</v>
      </c>
      <c r="N23" s="373" t="s">
        <v>930</v>
      </c>
    </row>
    <row r="24" spans="1:14" s="374" customFormat="1" ht="32.25" customHeight="1">
      <c r="A24" s="366">
        <v>20</v>
      </c>
      <c r="B24" s="367" t="s">
        <v>931</v>
      </c>
      <c r="C24" s="373" t="s">
        <v>903</v>
      </c>
      <c r="D24" s="369">
        <v>105.6</v>
      </c>
      <c r="E24" s="370">
        <v>1537033</v>
      </c>
      <c r="F24" s="371">
        <f t="shared" si="0"/>
        <v>162310684.79999998</v>
      </c>
      <c r="G24" s="369">
        <v>315.94450000000001</v>
      </c>
      <c r="H24" s="370">
        <v>1537033</v>
      </c>
      <c r="I24" s="371">
        <f t="shared" si="1"/>
        <v>485617122.66850001</v>
      </c>
      <c r="J24" s="372">
        <f t="shared" si="2"/>
        <v>0</v>
      </c>
      <c r="K24" s="371">
        <f t="shared" si="3"/>
        <v>0</v>
      </c>
      <c r="L24" s="369">
        <f t="shared" si="4"/>
        <v>210.34450000000001</v>
      </c>
      <c r="M24" s="370">
        <f t="shared" si="5"/>
        <v>323306437.86849999</v>
      </c>
      <c r="N24" s="373"/>
    </row>
    <row r="25" spans="1:14" s="374" customFormat="1" ht="32.25" customHeight="1">
      <c r="A25" s="366">
        <v>21</v>
      </c>
      <c r="B25" s="367" t="s">
        <v>932</v>
      </c>
      <c r="C25" s="373" t="s">
        <v>933</v>
      </c>
      <c r="D25" s="369">
        <v>726</v>
      </c>
      <c r="E25" s="370">
        <v>81113</v>
      </c>
      <c r="F25" s="371">
        <f t="shared" si="0"/>
        <v>58888038</v>
      </c>
      <c r="G25" s="369">
        <v>414.95800000000003</v>
      </c>
      <c r="H25" s="370">
        <v>81113</v>
      </c>
      <c r="I25" s="371">
        <f t="shared" si="1"/>
        <v>33658488.254000001</v>
      </c>
      <c r="J25" s="372">
        <f t="shared" si="2"/>
        <v>311.04199999999997</v>
      </c>
      <c r="K25" s="371">
        <f t="shared" si="3"/>
        <v>25229549.745999999</v>
      </c>
      <c r="L25" s="369">
        <f t="shared" si="4"/>
        <v>0</v>
      </c>
      <c r="M25" s="370">
        <f t="shared" si="5"/>
        <v>0</v>
      </c>
      <c r="N25" s="373"/>
    </row>
    <row r="26" spans="1:14" s="374" customFormat="1" ht="32.25" customHeight="1">
      <c r="A26" s="366">
        <v>22</v>
      </c>
      <c r="B26" s="367" t="s">
        <v>934</v>
      </c>
      <c r="C26" s="373" t="s">
        <v>933</v>
      </c>
      <c r="D26" s="369">
        <v>2106</v>
      </c>
      <c r="E26" s="370">
        <v>187552</v>
      </c>
      <c r="F26" s="371">
        <f t="shared" si="0"/>
        <v>394984512</v>
      </c>
      <c r="G26" s="369">
        <v>1530.55</v>
      </c>
      <c r="H26" s="370">
        <v>100000</v>
      </c>
      <c r="I26" s="371">
        <f t="shared" si="1"/>
        <v>153055000</v>
      </c>
      <c r="J26" s="372">
        <f t="shared" si="2"/>
        <v>575.45000000000005</v>
      </c>
      <c r="K26" s="371">
        <f t="shared" si="3"/>
        <v>241929512</v>
      </c>
      <c r="L26" s="369">
        <f t="shared" si="4"/>
        <v>0</v>
      </c>
      <c r="M26" s="370">
        <f t="shared" si="5"/>
        <v>0</v>
      </c>
      <c r="N26" s="373"/>
    </row>
    <row r="27" spans="1:14" s="374" customFormat="1" ht="32.25" customHeight="1">
      <c r="A27" s="366">
        <v>23</v>
      </c>
      <c r="B27" s="367" t="s">
        <v>935</v>
      </c>
      <c r="C27" s="373" t="s">
        <v>933</v>
      </c>
      <c r="D27" s="369">
        <v>1320</v>
      </c>
      <c r="E27" s="370">
        <v>302602</v>
      </c>
      <c r="F27" s="371">
        <f t="shared" si="0"/>
        <v>399434640</v>
      </c>
      <c r="G27" s="369">
        <v>1866</v>
      </c>
      <c r="H27" s="370">
        <v>120000</v>
      </c>
      <c r="I27" s="371">
        <f t="shared" si="1"/>
        <v>223920000</v>
      </c>
      <c r="J27" s="372">
        <f t="shared" si="2"/>
        <v>0</v>
      </c>
      <c r="K27" s="371">
        <f t="shared" si="3"/>
        <v>175514640</v>
      </c>
      <c r="L27" s="369">
        <f t="shared" si="4"/>
        <v>546</v>
      </c>
      <c r="M27" s="370">
        <f t="shared" si="5"/>
        <v>0</v>
      </c>
      <c r="N27" s="373"/>
    </row>
    <row r="28" spans="1:14" s="374" customFormat="1" ht="32.25" customHeight="1">
      <c r="A28" s="366">
        <v>24</v>
      </c>
      <c r="B28" s="367" t="s">
        <v>936</v>
      </c>
      <c r="C28" s="373" t="s">
        <v>933</v>
      </c>
      <c r="D28" s="369">
        <v>1452</v>
      </c>
      <c r="E28" s="370">
        <v>83662</v>
      </c>
      <c r="F28" s="371">
        <f t="shared" si="0"/>
        <v>121477224</v>
      </c>
      <c r="G28" s="369">
        <v>335.55799999999999</v>
      </c>
      <c r="H28" s="370">
        <v>83662</v>
      </c>
      <c r="I28" s="371">
        <f t="shared" si="1"/>
        <v>28073453.395999998</v>
      </c>
      <c r="J28" s="372">
        <f t="shared" si="2"/>
        <v>1116.442</v>
      </c>
      <c r="K28" s="371">
        <f t="shared" si="3"/>
        <v>93403770.604000002</v>
      </c>
      <c r="L28" s="369">
        <f t="shared" si="4"/>
        <v>0</v>
      </c>
      <c r="M28" s="370">
        <f t="shared" si="5"/>
        <v>0</v>
      </c>
      <c r="N28" s="373"/>
    </row>
    <row r="29" spans="1:14" s="374" customFormat="1" ht="32.25" customHeight="1">
      <c r="A29" s="366">
        <v>25</v>
      </c>
      <c r="B29" s="367" t="s">
        <v>937</v>
      </c>
      <c r="C29" s="373" t="s">
        <v>933</v>
      </c>
      <c r="D29" s="369">
        <v>1452</v>
      </c>
      <c r="E29" s="370">
        <v>59365</v>
      </c>
      <c r="F29" s="371">
        <f t="shared" si="0"/>
        <v>86197980</v>
      </c>
      <c r="G29" s="369">
        <v>335.55799999999999</v>
      </c>
      <c r="H29" s="370">
        <v>29710</v>
      </c>
      <c r="I29" s="371">
        <f t="shared" si="1"/>
        <v>9969428.1799999997</v>
      </c>
      <c r="J29" s="372">
        <f t="shared" si="2"/>
        <v>1116.442</v>
      </c>
      <c r="K29" s="371">
        <f t="shared" si="3"/>
        <v>76228551.819999993</v>
      </c>
      <c r="L29" s="369">
        <f t="shared" si="4"/>
        <v>0</v>
      </c>
      <c r="M29" s="370">
        <f t="shared" si="5"/>
        <v>0</v>
      </c>
      <c r="N29" s="373"/>
    </row>
    <row r="30" spans="1:14" s="374" customFormat="1" ht="32.25" customHeight="1">
      <c r="A30" s="375">
        <v>26</v>
      </c>
      <c r="B30" s="376" t="s">
        <v>938</v>
      </c>
      <c r="C30" s="377" t="s">
        <v>933</v>
      </c>
      <c r="D30" s="378">
        <v>96</v>
      </c>
      <c r="E30" s="379">
        <v>443907</v>
      </c>
      <c r="F30" s="380">
        <f t="shared" si="0"/>
        <v>42615072</v>
      </c>
      <c r="G30" s="378">
        <v>621.87249999999995</v>
      </c>
      <c r="H30" s="379">
        <v>443907</v>
      </c>
      <c r="I30" s="380">
        <f t="shared" si="1"/>
        <v>276053555.85749996</v>
      </c>
      <c r="J30" s="381">
        <f t="shared" si="2"/>
        <v>0</v>
      </c>
      <c r="K30" s="380">
        <f t="shared" si="3"/>
        <v>0</v>
      </c>
      <c r="L30" s="378">
        <f t="shared" si="4"/>
        <v>525.87249999999995</v>
      </c>
      <c r="M30" s="379">
        <f t="shared" si="5"/>
        <v>233438483.85749996</v>
      </c>
      <c r="N30" s="377"/>
    </row>
    <row r="31" spans="1:14" s="349" customFormat="1" ht="32.25" customHeight="1">
      <c r="A31" s="497" t="s">
        <v>94</v>
      </c>
      <c r="B31" s="497"/>
      <c r="C31" s="497"/>
      <c r="D31" s="350"/>
      <c r="E31" s="351"/>
      <c r="F31" s="351">
        <f>SUM(F5:F30)</f>
        <v>4617335954.7304001</v>
      </c>
      <c r="G31" s="350"/>
      <c r="H31" s="351"/>
      <c r="I31" s="351">
        <f t="shared" ref="I31:M31" si="6">SUM(I5:I30)</f>
        <v>4785745971.4568005</v>
      </c>
      <c r="J31" s="350"/>
      <c r="K31" s="351">
        <f t="shared" si="6"/>
        <v>660645438.94309998</v>
      </c>
      <c r="L31" s="350"/>
      <c r="M31" s="351">
        <f t="shared" si="6"/>
        <v>829055455.66949999</v>
      </c>
      <c r="N31" s="382"/>
    </row>
    <row r="32" spans="1:14" s="349" customFormat="1" ht="32.25" customHeight="1">
      <c r="A32" s="507" t="s">
        <v>939</v>
      </c>
      <c r="B32" s="508"/>
      <c r="C32" s="509"/>
      <c r="D32" s="383"/>
      <c r="E32" s="384"/>
      <c r="F32" s="384"/>
      <c r="G32" s="383"/>
      <c r="H32" s="384"/>
      <c r="I32" s="384"/>
      <c r="J32" s="383"/>
      <c r="K32" s="384"/>
      <c r="L32" s="383"/>
      <c r="M32" s="384"/>
      <c r="N32" s="385"/>
    </row>
    <row r="33" spans="1:14" ht="32.25" customHeight="1">
      <c r="A33" s="364">
        <v>1</v>
      </c>
      <c r="B33" s="356" t="s">
        <v>902</v>
      </c>
      <c r="C33" s="362" t="s">
        <v>903</v>
      </c>
      <c r="D33" s="360">
        <v>152.4016</v>
      </c>
      <c r="E33" s="361">
        <v>157313</v>
      </c>
      <c r="F33" s="359">
        <f t="shared" si="0"/>
        <v>23974752.900800001</v>
      </c>
      <c r="G33" s="360">
        <v>152.4016</v>
      </c>
      <c r="H33" s="361">
        <v>157313</v>
      </c>
      <c r="I33" s="359">
        <f t="shared" si="1"/>
        <v>23974752.900800001</v>
      </c>
      <c r="J33" s="358">
        <f t="shared" si="2"/>
        <v>0</v>
      </c>
      <c r="K33" s="359">
        <f t="shared" si="3"/>
        <v>0</v>
      </c>
      <c r="L33" s="360">
        <f t="shared" si="4"/>
        <v>0</v>
      </c>
      <c r="M33" s="361">
        <f t="shared" si="5"/>
        <v>0</v>
      </c>
      <c r="N33" s="362"/>
    </row>
    <row r="34" spans="1:14" ht="32.25" customHeight="1">
      <c r="A34" s="364">
        <v>2</v>
      </c>
      <c r="B34" s="365" t="s">
        <v>940</v>
      </c>
      <c r="C34" s="362" t="s">
        <v>903</v>
      </c>
      <c r="D34" s="360">
        <v>101.6011</v>
      </c>
      <c r="E34" s="361">
        <v>124076</v>
      </c>
      <c r="F34" s="359">
        <f t="shared" si="0"/>
        <v>12606258.0836</v>
      </c>
      <c r="G34" s="360">
        <v>101.6011</v>
      </c>
      <c r="H34" s="361">
        <v>124076</v>
      </c>
      <c r="I34" s="359">
        <f t="shared" si="1"/>
        <v>12606258.0836</v>
      </c>
      <c r="J34" s="358">
        <f t="shared" si="2"/>
        <v>0</v>
      </c>
      <c r="K34" s="359">
        <f t="shared" si="3"/>
        <v>0</v>
      </c>
      <c r="L34" s="360">
        <f t="shared" si="4"/>
        <v>0</v>
      </c>
      <c r="M34" s="361">
        <f t="shared" si="5"/>
        <v>0</v>
      </c>
      <c r="N34" s="362"/>
    </row>
    <row r="35" spans="1:14" ht="32.25" customHeight="1">
      <c r="A35" s="364">
        <v>3</v>
      </c>
      <c r="B35" s="365" t="s">
        <v>941</v>
      </c>
      <c r="C35" s="362" t="s">
        <v>942</v>
      </c>
      <c r="D35" s="360">
        <v>68.45</v>
      </c>
      <c r="E35" s="361">
        <v>1206690</v>
      </c>
      <c r="F35" s="359">
        <f t="shared" si="0"/>
        <v>82597930.5</v>
      </c>
      <c r="G35" s="360">
        <v>68.45</v>
      </c>
      <c r="H35" s="361">
        <v>1206690</v>
      </c>
      <c r="I35" s="359">
        <f t="shared" si="1"/>
        <v>82597930.5</v>
      </c>
      <c r="J35" s="358">
        <f t="shared" si="2"/>
        <v>0</v>
      </c>
      <c r="K35" s="359">
        <f t="shared" si="3"/>
        <v>0</v>
      </c>
      <c r="L35" s="360">
        <f t="shared" si="4"/>
        <v>0</v>
      </c>
      <c r="M35" s="361">
        <f t="shared" si="5"/>
        <v>0</v>
      </c>
      <c r="N35" s="362"/>
    </row>
    <row r="36" spans="1:14" s="374" customFormat="1" ht="32.25" customHeight="1">
      <c r="A36" s="366">
        <v>4</v>
      </c>
      <c r="B36" s="367" t="s">
        <v>943</v>
      </c>
      <c r="C36" s="373" t="s">
        <v>903</v>
      </c>
      <c r="D36" s="369">
        <v>6.8959999999999999</v>
      </c>
      <c r="E36" s="370">
        <v>1283592</v>
      </c>
      <c r="F36" s="371">
        <f t="shared" si="0"/>
        <v>8851650.432</v>
      </c>
      <c r="G36" s="369">
        <v>9.4559999999999995</v>
      </c>
      <c r="H36" s="370">
        <v>1283592</v>
      </c>
      <c r="I36" s="371">
        <f t="shared" si="1"/>
        <v>12137645.952</v>
      </c>
      <c r="J36" s="372">
        <f t="shared" si="2"/>
        <v>0</v>
      </c>
      <c r="K36" s="371">
        <f t="shared" si="3"/>
        <v>0</v>
      </c>
      <c r="L36" s="369">
        <f t="shared" si="4"/>
        <v>2.5599999999999996</v>
      </c>
      <c r="M36" s="370">
        <f t="shared" si="5"/>
        <v>3285995.5199999996</v>
      </c>
      <c r="N36" s="373"/>
    </row>
    <row r="37" spans="1:14" ht="32.25" customHeight="1">
      <c r="A37" s="364">
        <v>5</v>
      </c>
      <c r="B37" s="365" t="s">
        <v>944</v>
      </c>
      <c r="C37" s="362" t="s">
        <v>903</v>
      </c>
      <c r="D37" s="360">
        <v>19.751200000000001</v>
      </c>
      <c r="E37" s="361">
        <v>1684611</v>
      </c>
      <c r="F37" s="359">
        <f t="shared" si="0"/>
        <v>33273088.783199999</v>
      </c>
      <c r="G37" s="360">
        <v>19.751200000000001</v>
      </c>
      <c r="H37" s="361">
        <v>1684611</v>
      </c>
      <c r="I37" s="359">
        <f t="shared" si="1"/>
        <v>33273088.783199999</v>
      </c>
      <c r="J37" s="358">
        <f t="shared" si="2"/>
        <v>0</v>
      </c>
      <c r="K37" s="359">
        <f t="shared" si="3"/>
        <v>0</v>
      </c>
      <c r="L37" s="360">
        <f t="shared" si="4"/>
        <v>0</v>
      </c>
      <c r="M37" s="361">
        <f t="shared" si="5"/>
        <v>0</v>
      </c>
      <c r="N37" s="362"/>
    </row>
    <row r="38" spans="1:14" ht="32.25" customHeight="1">
      <c r="A38" s="364">
        <v>6</v>
      </c>
      <c r="B38" s="365" t="s">
        <v>945</v>
      </c>
      <c r="C38" s="362" t="s">
        <v>903</v>
      </c>
      <c r="D38" s="360">
        <v>15.7469</v>
      </c>
      <c r="E38" s="361">
        <v>2216701</v>
      </c>
      <c r="F38" s="359">
        <f t="shared" si="0"/>
        <v>34906168.976900004</v>
      </c>
      <c r="G38" s="360">
        <v>15.7469</v>
      </c>
      <c r="H38" s="361">
        <v>2216701</v>
      </c>
      <c r="I38" s="359">
        <f t="shared" si="1"/>
        <v>34906168.976900004</v>
      </c>
      <c r="J38" s="358">
        <f t="shared" si="2"/>
        <v>0</v>
      </c>
      <c r="K38" s="359">
        <f t="shared" si="3"/>
        <v>0</v>
      </c>
      <c r="L38" s="360">
        <f t="shared" si="4"/>
        <v>0</v>
      </c>
      <c r="M38" s="361">
        <f t="shared" si="5"/>
        <v>0</v>
      </c>
      <c r="N38" s="362"/>
    </row>
    <row r="39" spans="1:14" ht="32.25" customHeight="1">
      <c r="A39" s="364">
        <v>7</v>
      </c>
      <c r="B39" s="365" t="s">
        <v>913</v>
      </c>
      <c r="C39" s="357" t="s">
        <v>903</v>
      </c>
      <c r="D39" s="360">
        <v>3.2669999999999999</v>
      </c>
      <c r="E39" s="361">
        <v>2543579</v>
      </c>
      <c r="F39" s="359">
        <f t="shared" si="0"/>
        <v>8309872.5929999994</v>
      </c>
      <c r="G39" s="360">
        <v>3.2669999999999999</v>
      </c>
      <c r="H39" s="361">
        <v>2543579</v>
      </c>
      <c r="I39" s="359">
        <f t="shared" si="1"/>
        <v>8309872.5929999994</v>
      </c>
      <c r="J39" s="358">
        <f t="shared" si="2"/>
        <v>0</v>
      </c>
      <c r="K39" s="359">
        <f t="shared" si="3"/>
        <v>0</v>
      </c>
      <c r="L39" s="360">
        <f t="shared" si="4"/>
        <v>0</v>
      </c>
      <c r="M39" s="361">
        <f t="shared" si="5"/>
        <v>0</v>
      </c>
      <c r="N39" s="362"/>
    </row>
    <row r="40" spans="1:14" ht="32.25" customHeight="1">
      <c r="A40" s="364">
        <v>8</v>
      </c>
      <c r="B40" s="365" t="s">
        <v>946</v>
      </c>
      <c r="C40" s="357" t="s">
        <v>903</v>
      </c>
      <c r="D40" s="360">
        <v>8.8181999999999992</v>
      </c>
      <c r="E40" s="361">
        <v>2261508</v>
      </c>
      <c r="F40" s="359">
        <f t="shared" si="0"/>
        <v>19942429.845599998</v>
      </c>
      <c r="G40" s="360">
        <v>8.8181999999999992</v>
      </c>
      <c r="H40" s="361">
        <v>2261508</v>
      </c>
      <c r="I40" s="359">
        <f t="shared" si="1"/>
        <v>19942429.845599998</v>
      </c>
      <c r="J40" s="358">
        <f t="shared" si="2"/>
        <v>0</v>
      </c>
      <c r="K40" s="359">
        <f t="shared" si="3"/>
        <v>0</v>
      </c>
      <c r="L40" s="360">
        <f t="shared" si="4"/>
        <v>0</v>
      </c>
      <c r="M40" s="361">
        <f t="shared" si="5"/>
        <v>0</v>
      </c>
      <c r="N40" s="362"/>
    </row>
    <row r="41" spans="1:14" ht="32.25" customHeight="1">
      <c r="A41" s="364">
        <v>9</v>
      </c>
      <c r="B41" s="365" t="s">
        <v>947</v>
      </c>
      <c r="C41" s="362" t="s">
        <v>917</v>
      </c>
      <c r="D41" s="360">
        <v>0.68440000000000001</v>
      </c>
      <c r="E41" s="361">
        <v>16065408</v>
      </c>
      <c r="F41" s="359">
        <f t="shared" si="0"/>
        <v>10995165.235200001</v>
      </c>
      <c r="G41" s="360">
        <v>0.68440000000000001</v>
      </c>
      <c r="H41" s="361">
        <v>16065408</v>
      </c>
      <c r="I41" s="359">
        <f t="shared" si="1"/>
        <v>10995165.235200001</v>
      </c>
      <c r="J41" s="358">
        <f t="shared" si="2"/>
        <v>0</v>
      </c>
      <c r="K41" s="359">
        <f t="shared" si="3"/>
        <v>0</v>
      </c>
      <c r="L41" s="360">
        <f t="shared" si="4"/>
        <v>0</v>
      </c>
      <c r="M41" s="361">
        <f t="shared" si="5"/>
        <v>0</v>
      </c>
      <c r="N41" s="362"/>
    </row>
    <row r="42" spans="1:14" ht="32.25" customHeight="1">
      <c r="A42" s="364">
        <v>10</v>
      </c>
      <c r="B42" s="365" t="s">
        <v>948</v>
      </c>
      <c r="C42" s="362" t="s">
        <v>917</v>
      </c>
      <c r="D42" s="360">
        <v>2.9308999999999998</v>
      </c>
      <c r="E42" s="361">
        <v>21613723</v>
      </c>
      <c r="F42" s="359">
        <f t="shared" si="0"/>
        <v>63347660.740699999</v>
      </c>
      <c r="G42" s="360">
        <v>2.9308999999999998</v>
      </c>
      <c r="H42" s="361">
        <v>21613723</v>
      </c>
      <c r="I42" s="359">
        <f t="shared" si="1"/>
        <v>63347660.740699999</v>
      </c>
      <c r="J42" s="358">
        <f t="shared" si="2"/>
        <v>0</v>
      </c>
      <c r="K42" s="359">
        <f t="shared" si="3"/>
        <v>0</v>
      </c>
      <c r="L42" s="360">
        <f t="shared" si="4"/>
        <v>0</v>
      </c>
      <c r="M42" s="361">
        <f t="shared" si="5"/>
        <v>0</v>
      </c>
      <c r="N42" s="362"/>
    </row>
    <row r="43" spans="1:14" ht="32.25" customHeight="1">
      <c r="A43" s="364">
        <v>11</v>
      </c>
      <c r="B43" s="365" t="s">
        <v>949</v>
      </c>
      <c r="C43" s="362" t="s">
        <v>917</v>
      </c>
      <c r="D43" s="360">
        <v>1.1357999999999999</v>
      </c>
      <c r="E43" s="361">
        <v>17821387</v>
      </c>
      <c r="F43" s="359">
        <f t="shared" si="0"/>
        <v>20241531.354599997</v>
      </c>
      <c r="G43" s="360">
        <v>1.1357999999999999</v>
      </c>
      <c r="H43" s="361">
        <v>17821387</v>
      </c>
      <c r="I43" s="359">
        <f t="shared" si="1"/>
        <v>20241531.354599997</v>
      </c>
      <c r="J43" s="358">
        <f t="shared" si="2"/>
        <v>0</v>
      </c>
      <c r="K43" s="359">
        <f t="shared" si="3"/>
        <v>0</v>
      </c>
      <c r="L43" s="360">
        <f t="shared" si="4"/>
        <v>0</v>
      </c>
      <c r="M43" s="361">
        <f t="shared" si="5"/>
        <v>0</v>
      </c>
      <c r="N43" s="362"/>
    </row>
    <row r="44" spans="1:14" ht="32.25" customHeight="1">
      <c r="A44" s="364">
        <v>12</v>
      </c>
      <c r="B44" s="365" t="s">
        <v>950</v>
      </c>
      <c r="C44" s="362" t="s">
        <v>917</v>
      </c>
      <c r="D44" s="360">
        <v>1.7662</v>
      </c>
      <c r="E44" s="361">
        <v>17572894</v>
      </c>
      <c r="F44" s="359">
        <f t="shared" si="0"/>
        <v>31037245.382800002</v>
      </c>
      <c r="G44" s="360">
        <v>1.7662</v>
      </c>
      <c r="H44" s="361">
        <v>17572894</v>
      </c>
      <c r="I44" s="359">
        <f t="shared" si="1"/>
        <v>31037245.382800002</v>
      </c>
      <c r="J44" s="358">
        <f t="shared" si="2"/>
        <v>0</v>
      </c>
      <c r="K44" s="359">
        <f t="shared" si="3"/>
        <v>0</v>
      </c>
      <c r="L44" s="360">
        <f t="shared" si="4"/>
        <v>0</v>
      </c>
      <c r="M44" s="361">
        <f t="shared" si="5"/>
        <v>0</v>
      </c>
      <c r="N44" s="362"/>
    </row>
    <row r="45" spans="1:14" ht="32.25" customHeight="1">
      <c r="A45" s="364">
        <v>13</v>
      </c>
      <c r="B45" s="365" t="s">
        <v>921</v>
      </c>
      <c r="C45" s="362" t="s">
        <v>922</v>
      </c>
      <c r="D45" s="360">
        <v>0.58109999999999995</v>
      </c>
      <c r="E45" s="361">
        <v>24512504</v>
      </c>
      <c r="F45" s="359">
        <f t="shared" si="0"/>
        <v>14244216.074399998</v>
      </c>
      <c r="G45" s="360">
        <v>0.58109999999999995</v>
      </c>
      <c r="H45" s="361">
        <v>24512504</v>
      </c>
      <c r="I45" s="359">
        <f t="shared" si="1"/>
        <v>14244216.074399998</v>
      </c>
      <c r="J45" s="358">
        <f t="shared" si="2"/>
        <v>0</v>
      </c>
      <c r="K45" s="359">
        <f t="shared" si="3"/>
        <v>0</v>
      </c>
      <c r="L45" s="360">
        <f t="shared" si="4"/>
        <v>0</v>
      </c>
      <c r="M45" s="361">
        <f t="shared" si="5"/>
        <v>0</v>
      </c>
      <c r="N45" s="362"/>
    </row>
    <row r="46" spans="1:14" ht="32.25" customHeight="1">
      <c r="A46" s="364">
        <v>14</v>
      </c>
      <c r="B46" s="365" t="s">
        <v>951</v>
      </c>
      <c r="C46" s="362" t="s">
        <v>922</v>
      </c>
      <c r="D46" s="360">
        <v>1.7214</v>
      </c>
      <c r="E46" s="361">
        <v>25684686</v>
      </c>
      <c r="F46" s="359">
        <f t="shared" si="0"/>
        <v>44213618.480400003</v>
      </c>
      <c r="G46" s="360">
        <v>1.7214</v>
      </c>
      <c r="H46" s="361">
        <v>25684686</v>
      </c>
      <c r="I46" s="359">
        <f t="shared" si="1"/>
        <v>44213618.480400003</v>
      </c>
      <c r="J46" s="358">
        <f t="shared" si="2"/>
        <v>0</v>
      </c>
      <c r="K46" s="359">
        <f t="shared" si="3"/>
        <v>0</v>
      </c>
      <c r="L46" s="360">
        <f t="shared" si="4"/>
        <v>0</v>
      </c>
      <c r="M46" s="361">
        <f t="shared" si="5"/>
        <v>0</v>
      </c>
      <c r="N46" s="362"/>
    </row>
    <row r="47" spans="1:14" ht="32.25" customHeight="1">
      <c r="A47" s="364">
        <v>15</v>
      </c>
      <c r="B47" s="365" t="s">
        <v>952</v>
      </c>
      <c r="C47" s="362" t="s">
        <v>922</v>
      </c>
      <c r="D47" s="360">
        <v>0.68940000000000001</v>
      </c>
      <c r="E47" s="361">
        <v>25367620</v>
      </c>
      <c r="F47" s="359">
        <f t="shared" si="0"/>
        <v>17488437.228</v>
      </c>
      <c r="G47" s="360">
        <v>0.68940000000000001</v>
      </c>
      <c r="H47" s="361">
        <v>25367620</v>
      </c>
      <c r="I47" s="359">
        <f t="shared" si="1"/>
        <v>17488437.228</v>
      </c>
      <c r="J47" s="358">
        <f t="shared" si="2"/>
        <v>0</v>
      </c>
      <c r="K47" s="359">
        <f t="shared" si="3"/>
        <v>0</v>
      </c>
      <c r="L47" s="360">
        <f t="shared" si="4"/>
        <v>0</v>
      </c>
      <c r="M47" s="361">
        <f t="shared" si="5"/>
        <v>0</v>
      </c>
      <c r="N47" s="362"/>
    </row>
    <row r="48" spans="1:14" ht="32.25" customHeight="1">
      <c r="A48" s="364">
        <v>16</v>
      </c>
      <c r="B48" s="365" t="s">
        <v>953</v>
      </c>
      <c r="C48" s="362" t="s">
        <v>922</v>
      </c>
      <c r="D48" s="360">
        <v>0.61509999999999998</v>
      </c>
      <c r="E48" s="361">
        <v>27010598</v>
      </c>
      <c r="F48" s="359">
        <f t="shared" si="0"/>
        <v>16614218.829799999</v>
      </c>
      <c r="G48" s="360">
        <v>0.61509999999999998</v>
      </c>
      <c r="H48" s="361">
        <v>27010598</v>
      </c>
      <c r="I48" s="359">
        <f t="shared" si="1"/>
        <v>16614218.829799999</v>
      </c>
      <c r="J48" s="358">
        <f t="shared" si="2"/>
        <v>0</v>
      </c>
      <c r="K48" s="359">
        <f t="shared" si="3"/>
        <v>0</v>
      </c>
      <c r="L48" s="360">
        <f t="shared" si="4"/>
        <v>0</v>
      </c>
      <c r="M48" s="361">
        <f t="shared" si="5"/>
        <v>0</v>
      </c>
      <c r="N48" s="362"/>
    </row>
    <row r="49" spans="1:14" ht="32.25" customHeight="1">
      <c r="A49" s="364">
        <v>17</v>
      </c>
      <c r="B49" s="365" t="s">
        <v>954</v>
      </c>
      <c r="C49" s="362" t="s">
        <v>903</v>
      </c>
      <c r="D49" s="360">
        <v>20.3</v>
      </c>
      <c r="E49" s="361">
        <v>1676247</v>
      </c>
      <c r="F49" s="359">
        <f t="shared" si="0"/>
        <v>34027814.100000001</v>
      </c>
      <c r="G49" s="360">
        <v>20.3</v>
      </c>
      <c r="H49" s="361">
        <v>1676247</v>
      </c>
      <c r="I49" s="359">
        <f t="shared" si="1"/>
        <v>34027814.100000001</v>
      </c>
      <c r="J49" s="358">
        <f t="shared" si="2"/>
        <v>0</v>
      </c>
      <c r="K49" s="359">
        <f t="shared" si="3"/>
        <v>0</v>
      </c>
      <c r="L49" s="360">
        <f t="shared" si="4"/>
        <v>0</v>
      </c>
      <c r="M49" s="361">
        <f t="shared" si="5"/>
        <v>0</v>
      </c>
      <c r="N49" s="362"/>
    </row>
    <row r="50" spans="1:14" s="374" customFormat="1" ht="32.25" customHeight="1">
      <c r="A50" s="366">
        <v>18</v>
      </c>
      <c r="B50" s="367" t="s">
        <v>955</v>
      </c>
      <c r="C50" s="373" t="s">
        <v>933</v>
      </c>
      <c r="D50" s="369">
        <v>13.65</v>
      </c>
      <c r="E50" s="370">
        <v>200476</v>
      </c>
      <c r="F50" s="371">
        <f t="shared" si="0"/>
        <v>2736497.4</v>
      </c>
      <c r="G50" s="369">
        <v>10.92</v>
      </c>
      <c r="H50" s="370">
        <v>100000</v>
      </c>
      <c r="I50" s="371">
        <f t="shared" si="1"/>
        <v>1092000</v>
      </c>
      <c r="J50" s="372">
        <f t="shared" si="2"/>
        <v>2.7300000000000004</v>
      </c>
      <c r="K50" s="371">
        <f t="shared" si="3"/>
        <v>1644497.4</v>
      </c>
      <c r="L50" s="369">
        <f t="shared" si="4"/>
        <v>0</v>
      </c>
      <c r="M50" s="370">
        <f t="shared" si="5"/>
        <v>0</v>
      </c>
      <c r="N50" s="373"/>
    </row>
    <row r="51" spans="1:14" s="374" customFormat="1" ht="32.25" customHeight="1">
      <c r="A51" s="366">
        <v>19</v>
      </c>
      <c r="B51" s="367" t="s">
        <v>934</v>
      </c>
      <c r="C51" s="373" t="s">
        <v>933</v>
      </c>
      <c r="D51" s="369">
        <v>21</v>
      </c>
      <c r="E51" s="370">
        <v>187552</v>
      </c>
      <c r="F51" s="371">
        <f t="shared" si="0"/>
        <v>3938592</v>
      </c>
      <c r="G51" s="369">
        <v>21</v>
      </c>
      <c r="H51" s="370">
        <v>100000</v>
      </c>
      <c r="I51" s="371">
        <f t="shared" si="1"/>
        <v>2100000</v>
      </c>
      <c r="J51" s="372">
        <f t="shared" si="2"/>
        <v>0</v>
      </c>
      <c r="K51" s="371">
        <f t="shared" si="3"/>
        <v>1838592</v>
      </c>
      <c r="L51" s="369">
        <f t="shared" si="4"/>
        <v>0</v>
      </c>
      <c r="M51" s="370">
        <f t="shared" si="5"/>
        <v>0</v>
      </c>
      <c r="N51" s="373"/>
    </row>
    <row r="52" spans="1:14" s="374" customFormat="1" ht="32.25" customHeight="1">
      <c r="A52" s="366">
        <v>20</v>
      </c>
      <c r="B52" s="367" t="s">
        <v>956</v>
      </c>
      <c r="C52" s="373" t="s">
        <v>933</v>
      </c>
      <c r="D52" s="369">
        <v>168.35</v>
      </c>
      <c r="E52" s="370">
        <v>424279</v>
      </c>
      <c r="F52" s="371">
        <f t="shared" si="0"/>
        <v>71427369.649999991</v>
      </c>
      <c r="G52" s="369">
        <v>184.73</v>
      </c>
      <c r="H52" s="370">
        <v>100000</v>
      </c>
      <c r="I52" s="371">
        <f t="shared" si="1"/>
        <v>18473000</v>
      </c>
      <c r="J52" s="372">
        <f t="shared" si="2"/>
        <v>0</v>
      </c>
      <c r="K52" s="371">
        <f t="shared" si="3"/>
        <v>52954369.649999991</v>
      </c>
      <c r="L52" s="369">
        <f t="shared" si="4"/>
        <v>16.379999999999995</v>
      </c>
      <c r="M52" s="370">
        <f t="shared" si="5"/>
        <v>0</v>
      </c>
      <c r="N52" s="373"/>
    </row>
    <row r="53" spans="1:14" s="374" customFormat="1" ht="32.25" customHeight="1">
      <c r="A53" s="366">
        <v>21</v>
      </c>
      <c r="B53" s="367" t="s">
        <v>957</v>
      </c>
      <c r="C53" s="373" t="s">
        <v>933</v>
      </c>
      <c r="D53" s="369">
        <v>48</v>
      </c>
      <c r="E53" s="370">
        <v>287331</v>
      </c>
      <c r="F53" s="371">
        <f t="shared" si="0"/>
        <v>13791888</v>
      </c>
      <c r="G53" s="369">
        <v>124.746</v>
      </c>
      <c r="H53" s="370">
        <v>120000</v>
      </c>
      <c r="I53" s="371">
        <f t="shared" si="1"/>
        <v>14969520</v>
      </c>
      <c r="J53" s="372">
        <f t="shared" si="2"/>
        <v>0</v>
      </c>
      <c r="K53" s="371">
        <f t="shared" si="3"/>
        <v>0</v>
      </c>
      <c r="L53" s="369">
        <f t="shared" si="4"/>
        <v>76.745999999999995</v>
      </c>
      <c r="M53" s="370">
        <f t="shared" si="5"/>
        <v>1177632</v>
      </c>
      <c r="N53" s="373"/>
    </row>
    <row r="54" spans="1:14" s="374" customFormat="1" ht="32.25" customHeight="1">
      <c r="A54" s="366">
        <v>22</v>
      </c>
      <c r="B54" s="367" t="s">
        <v>958</v>
      </c>
      <c r="C54" s="373" t="s">
        <v>922</v>
      </c>
      <c r="D54" s="369">
        <v>0.98909999999999998</v>
      </c>
      <c r="E54" s="370">
        <v>29502844</v>
      </c>
      <c r="F54" s="371">
        <f t="shared" si="0"/>
        <v>29181263.000399999</v>
      </c>
      <c r="G54" s="369">
        <v>1.1416999999999999</v>
      </c>
      <c r="H54" s="370">
        <v>29502844</v>
      </c>
      <c r="I54" s="371">
        <f t="shared" si="1"/>
        <v>33683396.994800001</v>
      </c>
      <c r="J54" s="372">
        <f t="shared" si="2"/>
        <v>0</v>
      </c>
      <c r="K54" s="371">
        <f t="shared" si="3"/>
        <v>0</v>
      </c>
      <c r="L54" s="369">
        <f t="shared" si="4"/>
        <v>0.15259999999999996</v>
      </c>
      <c r="M54" s="370">
        <f t="shared" si="5"/>
        <v>4502133.9944000021</v>
      </c>
      <c r="N54" s="373"/>
    </row>
    <row r="55" spans="1:14" s="374" customFormat="1" ht="32.25" customHeight="1">
      <c r="A55" s="366">
        <v>23</v>
      </c>
      <c r="B55" s="367" t="s">
        <v>959</v>
      </c>
      <c r="C55" s="373" t="s">
        <v>922</v>
      </c>
      <c r="D55" s="369">
        <v>0.98909999999999998</v>
      </c>
      <c r="E55" s="370">
        <v>1748576</v>
      </c>
      <c r="F55" s="371">
        <f t="shared" si="0"/>
        <v>1729516.5215999999</v>
      </c>
      <c r="G55" s="369">
        <v>1.1416999999999999</v>
      </c>
      <c r="H55" s="370">
        <v>1748576</v>
      </c>
      <c r="I55" s="371">
        <f t="shared" si="1"/>
        <v>1996349.2191999999</v>
      </c>
      <c r="J55" s="372">
        <f t="shared" si="2"/>
        <v>0</v>
      </c>
      <c r="K55" s="371">
        <f t="shared" si="3"/>
        <v>0</v>
      </c>
      <c r="L55" s="369">
        <f t="shared" si="4"/>
        <v>0.15259999999999996</v>
      </c>
      <c r="M55" s="370">
        <f t="shared" si="5"/>
        <v>266832.69760000007</v>
      </c>
      <c r="N55" s="373"/>
    </row>
    <row r="56" spans="1:14" s="374" customFormat="1" ht="32.25" customHeight="1">
      <c r="A56" s="366">
        <v>24</v>
      </c>
      <c r="B56" s="367" t="s">
        <v>960</v>
      </c>
      <c r="C56" s="373" t="s">
        <v>917</v>
      </c>
      <c r="D56" s="369">
        <v>2.1560000000000001</v>
      </c>
      <c r="E56" s="370">
        <v>16515504</v>
      </c>
      <c r="F56" s="371">
        <f t="shared" si="0"/>
        <v>35607426.624000005</v>
      </c>
      <c r="G56" s="369">
        <v>2.1560000000000001</v>
      </c>
      <c r="H56" s="370">
        <v>26515504</v>
      </c>
      <c r="I56" s="371">
        <f t="shared" si="1"/>
        <v>57167426.624000005</v>
      </c>
      <c r="J56" s="372">
        <f t="shared" si="2"/>
        <v>0</v>
      </c>
      <c r="K56" s="371">
        <f t="shared" si="3"/>
        <v>0</v>
      </c>
      <c r="L56" s="369">
        <f t="shared" si="4"/>
        <v>0</v>
      </c>
      <c r="M56" s="370">
        <f t="shared" si="5"/>
        <v>21560000</v>
      </c>
      <c r="N56" s="373"/>
    </row>
    <row r="57" spans="1:14" s="374" customFormat="1" ht="32.25" customHeight="1">
      <c r="A57" s="366">
        <v>25</v>
      </c>
      <c r="B57" s="367" t="s">
        <v>961</v>
      </c>
      <c r="C57" s="373" t="s">
        <v>903</v>
      </c>
      <c r="D57" s="369">
        <v>32.798999999999999</v>
      </c>
      <c r="E57" s="370">
        <v>1537033</v>
      </c>
      <c r="F57" s="371">
        <f t="shared" si="0"/>
        <v>50413145.366999999</v>
      </c>
      <c r="G57" s="369">
        <v>33.911999999999999</v>
      </c>
      <c r="H57" s="370">
        <v>1537033</v>
      </c>
      <c r="I57" s="371">
        <f t="shared" si="1"/>
        <v>52123863.096000001</v>
      </c>
      <c r="J57" s="372">
        <f t="shared" si="2"/>
        <v>0</v>
      </c>
      <c r="K57" s="371">
        <f t="shared" si="3"/>
        <v>0</v>
      </c>
      <c r="L57" s="369">
        <f t="shared" si="4"/>
        <v>1.1129999999999995</v>
      </c>
      <c r="M57" s="370">
        <f t="shared" si="5"/>
        <v>1710717.7290000021</v>
      </c>
      <c r="N57" s="373"/>
    </row>
    <row r="58" spans="1:14" s="374" customFormat="1" ht="32.25" customHeight="1">
      <c r="A58" s="366">
        <v>26</v>
      </c>
      <c r="B58" s="367" t="s">
        <v>962</v>
      </c>
      <c r="C58" s="373" t="s">
        <v>933</v>
      </c>
      <c r="D58" s="369">
        <v>182</v>
      </c>
      <c r="E58" s="370">
        <v>191935</v>
      </c>
      <c r="F58" s="371">
        <f t="shared" si="0"/>
        <v>34932170</v>
      </c>
      <c r="G58" s="369">
        <v>0</v>
      </c>
      <c r="H58" s="370">
        <v>191935</v>
      </c>
      <c r="I58" s="371">
        <f t="shared" si="1"/>
        <v>0</v>
      </c>
      <c r="J58" s="372">
        <f t="shared" si="2"/>
        <v>182</v>
      </c>
      <c r="K58" s="371">
        <f t="shared" si="3"/>
        <v>34932170</v>
      </c>
      <c r="L58" s="369">
        <f t="shared" si="4"/>
        <v>0</v>
      </c>
      <c r="M58" s="370">
        <f t="shared" si="5"/>
        <v>0</v>
      </c>
      <c r="N58" s="373"/>
    </row>
    <row r="59" spans="1:14" ht="32.25" customHeight="1">
      <c r="A59" s="364">
        <v>27</v>
      </c>
      <c r="B59" s="365" t="s">
        <v>932</v>
      </c>
      <c r="C59" s="362" t="s">
        <v>933</v>
      </c>
      <c r="D59" s="360">
        <v>655.98</v>
      </c>
      <c r="E59" s="361">
        <v>81113</v>
      </c>
      <c r="F59" s="359">
        <f t="shared" si="0"/>
        <v>53208505.740000002</v>
      </c>
      <c r="G59" s="360">
        <v>655.98</v>
      </c>
      <c r="H59" s="361">
        <v>81113</v>
      </c>
      <c r="I59" s="359">
        <f t="shared" si="1"/>
        <v>53208505.740000002</v>
      </c>
      <c r="J59" s="358">
        <f t="shared" si="2"/>
        <v>0</v>
      </c>
      <c r="K59" s="359">
        <f t="shared" si="3"/>
        <v>0</v>
      </c>
      <c r="L59" s="360">
        <f t="shared" si="4"/>
        <v>0</v>
      </c>
      <c r="M59" s="361">
        <f t="shared" si="5"/>
        <v>0</v>
      </c>
      <c r="N59" s="362"/>
    </row>
    <row r="60" spans="1:14" ht="32.25" customHeight="1">
      <c r="A60" s="364">
        <v>28</v>
      </c>
      <c r="B60" s="365" t="s">
        <v>963</v>
      </c>
      <c r="C60" s="362" t="s">
        <v>933</v>
      </c>
      <c r="D60" s="360">
        <v>50.468000000000004</v>
      </c>
      <c r="E60" s="361">
        <v>57407</v>
      </c>
      <c r="F60" s="359">
        <f t="shared" si="0"/>
        <v>2897216.4760000003</v>
      </c>
      <c r="G60" s="360">
        <v>50.468000000000004</v>
      </c>
      <c r="H60" s="361">
        <v>57407</v>
      </c>
      <c r="I60" s="359">
        <f t="shared" si="1"/>
        <v>2897216.4760000003</v>
      </c>
      <c r="J60" s="358">
        <f t="shared" si="2"/>
        <v>0</v>
      </c>
      <c r="K60" s="359">
        <f t="shared" si="3"/>
        <v>0</v>
      </c>
      <c r="L60" s="360">
        <f t="shared" si="4"/>
        <v>0</v>
      </c>
      <c r="M60" s="361">
        <f t="shared" si="5"/>
        <v>0</v>
      </c>
      <c r="N60" s="362"/>
    </row>
    <row r="61" spans="1:14" ht="32.25" customHeight="1">
      <c r="A61" s="364">
        <v>29</v>
      </c>
      <c r="B61" s="365" t="s">
        <v>964</v>
      </c>
      <c r="C61" s="362" t="s">
        <v>965</v>
      </c>
      <c r="D61" s="360">
        <v>68.2</v>
      </c>
      <c r="E61" s="361">
        <v>81305</v>
      </c>
      <c r="F61" s="359">
        <f t="shared" si="0"/>
        <v>5545001</v>
      </c>
      <c r="G61" s="360">
        <v>68.2</v>
      </c>
      <c r="H61" s="361">
        <v>81305</v>
      </c>
      <c r="I61" s="359">
        <f t="shared" si="1"/>
        <v>5545001</v>
      </c>
      <c r="J61" s="358">
        <f t="shared" si="2"/>
        <v>0</v>
      </c>
      <c r="K61" s="359">
        <f t="shared" si="3"/>
        <v>0</v>
      </c>
      <c r="L61" s="360">
        <f t="shared" si="4"/>
        <v>0</v>
      </c>
      <c r="M61" s="361">
        <f t="shared" si="5"/>
        <v>0</v>
      </c>
      <c r="N61" s="362"/>
    </row>
    <row r="62" spans="1:14" ht="32.25" customHeight="1">
      <c r="A62" s="364">
        <v>30</v>
      </c>
      <c r="B62" s="365" t="s">
        <v>966</v>
      </c>
      <c r="C62" s="362" t="s">
        <v>965</v>
      </c>
      <c r="D62" s="360">
        <v>68.2</v>
      </c>
      <c r="E62" s="361">
        <v>64868</v>
      </c>
      <c r="F62" s="359">
        <f t="shared" si="0"/>
        <v>4423997.6000000006</v>
      </c>
      <c r="G62" s="360">
        <v>68.2</v>
      </c>
      <c r="H62" s="361">
        <v>64868</v>
      </c>
      <c r="I62" s="359">
        <f t="shared" si="1"/>
        <v>4423997.6000000006</v>
      </c>
      <c r="J62" s="358">
        <f t="shared" si="2"/>
        <v>0</v>
      </c>
      <c r="K62" s="359">
        <f t="shared" si="3"/>
        <v>0</v>
      </c>
      <c r="L62" s="360">
        <f t="shared" si="4"/>
        <v>0</v>
      </c>
      <c r="M62" s="361">
        <f t="shared" si="5"/>
        <v>0</v>
      </c>
      <c r="N62" s="362"/>
    </row>
    <row r="63" spans="1:14" ht="32.25" customHeight="1">
      <c r="A63" s="364">
        <v>31</v>
      </c>
      <c r="B63" s="365" t="s">
        <v>967</v>
      </c>
      <c r="C63" s="362" t="s">
        <v>933</v>
      </c>
      <c r="D63" s="360">
        <v>136.78800000000001</v>
      </c>
      <c r="E63" s="361">
        <v>47287</v>
      </c>
      <c r="F63" s="359">
        <f t="shared" si="0"/>
        <v>6468294.1560000004</v>
      </c>
      <c r="G63" s="360">
        <v>136.78800000000001</v>
      </c>
      <c r="H63" s="361">
        <v>47287</v>
      </c>
      <c r="I63" s="359">
        <f t="shared" si="1"/>
        <v>6468294.1560000004</v>
      </c>
      <c r="J63" s="358">
        <f t="shared" si="2"/>
        <v>0</v>
      </c>
      <c r="K63" s="359">
        <f t="shared" si="3"/>
        <v>0</v>
      </c>
      <c r="L63" s="360">
        <f t="shared" si="4"/>
        <v>0</v>
      </c>
      <c r="M63" s="361">
        <f t="shared" si="5"/>
        <v>0</v>
      </c>
      <c r="N63" s="362"/>
    </row>
    <row r="64" spans="1:14" ht="32.25" customHeight="1">
      <c r="A64" s="364">
        <v>32</v>
      </c>
      <c r="B64" s="365" t="s">
        <v>927</v>
      </c>
      <c r="C64" s="362" t="s">
        <v>917</v>
      </c>
      <c r="D64" s="360">
        <v>2.0299999999999998</v>
      </c>
      <c r="E64" s="361">
        <v>682496</v>
      </c>
      <c r="F64" s="359">
        <f t="shared" si="0"/>
        <v>1385466.8799999999</v>
      </c>
      <c r="G64" s="360">
        <v>2.0299999999999998</v>
      </c>
      <c r="H64" s="361">
        <v>682496</v>
      </c>
      <c r="I64" s="359">
        <f t="shared" si="1"/>
        <v>1385466.8799999999</v>
      </c>
      <c r="J64" s="358">
        <f t="shared" si="2"/>
        <v>0</v>
      </c>
      <c r="K64" s="359">
        <f t="shared" si="3"/>
        <v>0</v>
      </c>
      <c r="L64" s="360">
        <f t="shared" si="4"/>
        <v>0</v>
      </c>
      <c r="M64" s="361">
        <f t="shared" si="5"/>
        <v>0</v>
      </c>
      <c r="N64" s="362"/>
    </row>
    <row r="65" spans="1:14" s="374" customFormat="1" ht="32.25" customHeight="1">
      <c r="A65" s="366">
        <v>33</v>
      </c>
      <c r="B65" s="367" t="s">
        <v>968</v>
      </c>
      <c r="C65" s="373" t="s">
        <v>933</v>
      </c>
      <c r="D65" s="369">
        <v>676.58</v>
      </c>
      <c r="E65" s="370">
        <v>81113</v>
      </c>
      <c r="F65" s="371">
        <f t="shared" si="0"/>
        <v>54879433.540000007</v>
      </c>
      <c r="G65" s="369">
        <v>672.73099999999999</v>
      </c>
      <c r="H65" s="370">
        <v>81113</v>
      </c>
      <c r="I65" s="371">
        <f t="shared" si="1"/>
        <v>54567229.603</v>
      </c>
      <c r="J65" s="372">
        <f t="shared" si="2"/>
        <v>3.8490000000000464</v>
      </c>
      <c r="K65" s="371">
        <f t="shared" si="3"/>
        <v>312203.93700000644</v>
      </c>
      <c r="L65" s="369">
        <f t="shared" si="4"/>
        <v>0</v>
      </c>
      <c r="M65" s="370">
        <f t="shared" si="5"/>
        <v>0</v>
      </c>
      <c r="N65" s="373"/>
    </row>
    <row r="66" spans="1:14" ht="32.25" customHeight="1">
      <c r="A66" s="364">
        <v>34</v>
      </c>
      <c r="B66" s="365" t="s">
        <v>969</v>
      </c>
      <c r="C66" s="362" t="s">
        <v>933</v>
      </c>
      <c r="D66" s="360">
        <v>136.78800000000001</v>
      </c>
      <c r="E66" s="361">
        <v>76892</v>
      </c>
      <c r="F66" s="359">
        <f t="shared" si="0"/>
        <v>10517902.896000002</v>
      </c>
      <c r="G66" s="360">
        <v>136.78800000000001</v>
      </c>
      <c r="H66" s="361">
        <v>76892</v>
      </c>
      <c r="I66" s="359">
        <f t="shared" si="1"/>
        <v>10517902.896000002</v>
      </c>
      <c r="J66" s="358">
        <f t="shared" si="2"/>
        <v>0</v>
      </c>
      <c r="K66" s="359">
        <f t="shared" si="3"/>
        <v>0</v>
      </c>
      <c r="L66" s="360">
        <f t="shared" si="4"/>
        <v>0</v>
      </c>
      <c r="M66" s="361">
        <f t="shared" si="5"/>
        <v>0</v>
      </c>
      <c r="N66" s="362"/>
    </row>
    <row r="67" spans="1:14" s="374" customFormat="1" ht="32.25" customHeight="1">
      <c r="A67" s="366">
        <v>35</v>
      </c>
      <c r="B67" s="367" t="s">
        <v>970</v>
      </c>
      <c r="C67" s="373" t="s">
        <v>933</v>
      </c>
      <c r="D67" s="369">
        <v>813.35799999999995</v>
      </c>
      <c r="E67" s="370">
        <v>83662</v>
      </c>
      <c r="F67" s="371">
        <f t="shared" si="0"/>
        <v>68047156.995999992</v>
      </c>
      <c r="G67" s="369">
        <v>758.178</v>
      </c>
      <c r="H67" s="370">
        <v>83740</v>
      </c>
      <c r="I67" s="371">
        <f t="shared" si="1"/>
        <v>63489825.719999999</v>
      </c>
      <c r="J67" s="372">
        <f t="shared" si="2"/>
        <v>55.17999999999995</v>
      </c>
      <c r="K67" s="371">
        <f t="shared" si="3"/>
        <v>4557331.2759999931</v>
      </c>
      <c r="L67" s="369">
        <f t="shared" si="4"/>
        <v>0</v>
      </c>
      <c r="M67" s="370">
        <f t="shared" si="5"/>
        <v>0</v>
      </c>
      <c r="N67" s="373"/>
    </row>
    <row r="68" spans="1:14" s="374" customFormat="1" ht="32.25" customHeight="1">
      <c r="A68" s="366">
        <v>36</v>
      </c>
      <c r="B68" s="367" t="s">
        <v>937</v>
      </c>
      <c r="C68" s="373" t="s">
        <v>933</v>
      </c>
      <c r="D68" s="369">
        <v>813.35799999999995</v>
      </c>
      <c r="E68" s="370">
        <v>59365</v>
      </c>
      <c r="F68" s="371">
        <f t="shared" si="0"/>
        <v>48284997.669999994</v>
      </c>
      <c r="G68" s="369">
        <v>758.178</v>
      </c>
      <c r="H68" s="370">
        <v>29710</v>
      </c>
      <c r="I68" s="371">
        <f t="shared" si="1"/>
        <v>22525468.379999999</v>
      </c>
      <c r="J68" s="372">
        <f t="shared" si="2"/>
        <v>55.17999999999995</v>
      </c>
      <c r="K68" s="371">
        <f t="shared" si="3"/>
        <v>25759529.289999995</v>
      </c>
      <c r="L68" s="369">
        <f t="shared" si="4"/>
        <v>0</v>
      </c>
      <c r="M68" s="370">
        <f t="shared" si="5"/>
        <v>0</v>
      </c>
      <c r="N68" s="373"/>
    </row>
    <row r="69" spans="1:14" ht="32.25" customHeight="1">
      <c r="A69" s="364">
        <v>37</v>
      </c>
      <c r="B69" s="365" t="s">
        <v>971</v>
      </c>
      <c r="C69" s="362" t="s">
        <v>942</v>
      </c>
      <c r="D69" s="360">
        <v>0.48</v>
      </c>
      <c r="E69" s="361">
        <v>14072168</v>
      </c>
      <c r="F69" s="359">
        <f t="shared" si="0"/>
        <v>6754640.6399999997</v>
      </c>
      <c r="G69" s="360">
        <v>0.48</v>
      </c>
      <c r="H69" s="361">
        <v>14072168</v>
      </c>
      <c r="I69" s="359">
        <f t="shared" si="1"/>
        <v>6754640.6399999997</v>
      </c>
      <c r="J69" s="358">
        <f t="shared" si="2"/>
        <v>0</v>
      </c>
      <c r="K69" s="359">
        <f t="shared" si="3"/>
        <v>0</v>
      </c>
      <c r="L69" s="360">
        <f t="shared" si="4"/>
        <v>0</v>
      </c>
      <c r="M69" s="361">
        <f t="shared" si="5"/>
        <v>0</v>
      </c>
      <c r="N69" s="362"/>
    </row>
    <row r="70" spans="1:14" ht="32.25" customHeight="1">
      <c r="A70" s="364">
        <v>38</v>
      </c>
      <c r="B70" s="365" t="s">
        <v>972</v>
      </c>
      <c r="C70" s="362" t="s">
        <v>906</v>
      </c>
      <c r="D70" s="360">
        <v>8</v>
      </c>
      <c r="E70" s="361">
        <v>44770</v>
      </c>
      <c r="F70" s="359">
        <f t="shared" ref="F70:F133" si="7">D70*E70</f>
        <v>358160</v>
      </c>
      <c r="G70" s="360">
        <v>8</v>
      </c>
      <c r="H70" s="361">
        <v>44770</v>
      </c>
      <c r="I70" s="359">
        <f t="shared" ref="I70:I133" si="8">G70*H70</f>
        <v>358160</v>
      </c>
      <c r="J70" s="358">
        <f t="shared" ref="J70:J133" si="9">MAX(D70-G70,0)</f>
        <v>0</v>
      </c>
      <c r="K70" s="359">
        <f t="shared" ref="K70:K133" si="10">MAX(F70-I70,0)</f>
        <v>0</v>
      </c>
      <c r="L70" s="360">
        <f t="shared" ref="L70:L133" si="11">MAX(G70-D70,0)</f>
        <v>0</v>
      </c>
      <c r="M70" s="361">
        <f t="shared" ref="M70:M133" si="12">MAX(I70-F70,0)</f>
        <v>0</v>
      </c>
      <c r="N70" s="362"/>
    </row>
    <row r="71" spans="1:14" s="374" customFormat="1" ht="32.25" customHeight="1">
      <c r="A71" s="366">
        <v>39</v>
      </c>
      <c r="B71" s="367" t="s">
        <v>929</v>
      </c>
      <c r="C71" s="373" t="s">
        <v>903</v>
      </c>
      <c r="D71" s="369"/>
      <c r="E71" s="370"/>
      <c r="F71" s="371">
        <f t="shared" si="7"/>
        <v>0</v>
      </c>
      <c r="G71" s="369">
        <v>7.68</v>
      </c>
      <c r="H71" s="370">
        <v>2602936</v>
      </c>
      <c r="I71" s="371">
        <f t="shared" si="8"/>
        <v>19990548.48</v>
      </c>
      <c r="J71" s="372">
        <f t="shared" si="9"/>
        <v>0</v>
      </c>
      <c r="K71" s="371">
        <f t="shared" si="10"/>
        <v>0</v>
      </c>
      <c r="L71" s="369">
        <f t="shared" si="11"/>
        <v>7.68</v>
      </c>
      <c r="M71" s="370">
        <f t="shared" si="12"/>
        <v>19990548.48</v>
      </c>
      <c r="N71" s="373"/>
    </row>
    <row r="72" spans="1:14" s="349" customFormat="1" ht="32.25" customHeight="1">
      <c r="A72" s="497" t="s">
        <v>94</v>
      </c>
      <c r="B72" s="497"/>
      <c r="C72" s="497"/>
      <c r="D72" s="350"/>
      <c r="E72" s="351"/>
      <c r="F72" s="351">
        <f>SUM(F33:F71)</f>
        <v>983200701.69799995</v>
      </c>
      <c r="G72" s="350"/>
      <c r="H72" s="351"/>
      <c r="I72" s="351">
        <f t="shared" ref="I72:M72" si="13">SUM(I33:I71)</f>
        <v>913695868.5660001</v>
      </c>
      <c r="J72" s="350"/>
      <c r="K72" s="351">
        <f t="shared" si="13"/>
        <v>121998693.55299997</v>
      </c>
      <c r="L72" s="350"/>
      <c r="M72" s="351">
        <f t="shared" si="13"/>
        <v>52493860.421000004</v>
      </c>
      <c r="N72" s="382"/>
    </row>
    <row r="73" spans="1:14" ht="32.25" customHeight="1">
      <c r="A73" s="497" t="s">
        <v>973</v>
      </c>
      <c r="B73" s="497"/>
      <c r="C73" s="497"/>
      <c r="D73" s="360"/>
      <c r="E73" s="361"/>
      <c r="F73" s="359"/>
      <c r="G73" s="360"/>
      <c r="H73" s="361"/>
      <c r="I73" s="359"/>
      <c r="J73" s="358"/>
      <c r="K73" s="359"/>
      <c r="L73" s="360"/>
      <c r="M73" s="361"/>
      <c r="N73" s="362"/>
    </row>
    <row r="74" spans="1:14" ht="32.25" customHeight="1">
      <c r="A74" s="364">
        <v>1</v>
      </c>
      <c r="B74" s="365" t="s">
        <v>902</v>
      </c>
      <c r="C74" s="362" t="s">
        <v>903</v>
      </c>
      <c r="D74" s="360">
        <v>125.4838</v>
      </c>
      <c r="E74" s="361">
        <v>157460</v>
      </c>
      <c r="F74" s="359">
        <f t="shared" si="7"/>
        <v>19758679.148000002</v>
      </c>
      <c r="G74" s="360">
        <v>125.4838</v>
      </c>
      <c r="H74" s="361">
        <v>157460</v>
      </c>
      <c r="I74" s="359">
        <f t="shared" si="8"/>
        <v>19758679.148000002</v>
      </c>
      <c r="J74" s="358">
        <f t="shared" si="9"/>
        <v>0</v>
      </c>
      <c r="K74" s="359">
        <f t="shared" si="10"/>
        <v>0</v>
      </c>
      <c r="L74" s="360">
        <f t="shared" si="11"/>
        <v>0</v>
      </c>
      <c r="M74" s="361">
        <f t="shared" si="12"/>
        <v>0</v>
      </c>
      <c r="N74" s="362"/>
    </row>
    <row r="75" spans="1:14" ht="32.25" customHeight="1">
      <c r="A75" s="364">
        <v>2</v>
      </c>
      <c r="B75" s="365" t="s">
        <v>904</v>
      </c>
      <c r="C75" s="362" t="s">
        <v>903</v>
      </c>
      <c r="D75" s="360">
        <v>83.656000000000006</v>
      </c>
      <c r="E75" s="361">
        <v>124194</v>
      </c>
      <c r="F75" s="359">
        <f t="shared" si="7"/>
        <v>10389573.264</v>
      </c>
      <c r="G75" s="360">
        <v>83.656000000000006</v>
      </c>
      <c r="H75" s="361">
        <v>124194</v>
      </c>
      <c r="I75" s="359">
        <f t="shared" si="8"/>
        <v>10389573.264</v>
      </c>
      <c r="J75" s="358">
        <f t="shared" si="9"/>
        <v>0</v>
      </c>
      <c r="K75" s="359">
        <f t="shared" si="10"/>
        <v>0</v>
      </c>
      <c r="L75" s="360">
        <f t="shared" si="11"/>
        <v>0</v>
      </c>
      <c r="M75" s="361">
        <f t="shared" si="12"/>
        <v>0</v>
      </c>
      <c r="N75" s="362"/>
    </row>
    <row r="76" spans="1:14" ht="32.25" customHeight="1">
      <c r="A76" s="364">
        <v>3</v>
      </c>
      <c r="B76" s="365" t="s">
        <v>941</v>
      </c>
      <c r="C76" s="362" t="s">
        <v>903</v>
      </c>
      <c r="D76" s="360">
        <v>61.75</v>
      </c>
      <c r="E76" s="361">
        <v>1207823</v>
      </c>
      <c r="F76" s="359">
        <f t="shared" si="7"/>
        <v>74583070.25</v>
      </c>
      <c r="G76" s="360">
        <v>61.75</v>
      </c>
      <c r="H76" s="361">
        <v>1207823</v>
      </c>
      <c r="I76" s="359">
        <f t="shared" si="8"/>
        <v>74583070.25</v>
      </c>
      <c r="J76" s="358">
        <f t="shared" si="9"/>
        <v>0</v>
      </c>
      <c r="K76" s="359">
        <f t="shared" si="10"/>
        <v>0</v>
      </c>
      <c r="L76" s="360">
        <f t="shared" si="11"/>
        <v>0</v>
      </c>
      <c r="M76" s="361">
        <f t="shared" si="12"/>
        <v>0</v>
      </c>
      <c r="N76" s="362"/>
    </row>
    <row r="77" spans="1:14" s="374" customFormat="1" ht="32.25" customHeight="1">
      <c r="A77" s="366">
        <v>4</v>
      </c>
      <c r="B77" s="367" t="s">
        <v>974</v>
      </c>
      <c r="C77" s="373" t="s">
        <v>903</v>
      </c>
      <c r="D77" s="369">
        <v>5.6779999999999999</v>
      </c>
      <c r="E77" s="370">
        <v>1284797</v>
      </c>
      <c r="F77" s="371">
        <f t="shared" si="7"/>
        <v>7295077.3659999995</v>
      </c>
      <c r="G77" s="369">
        <v>9.0380000000000003</v>
      </c>
      <c r="H77" s="370">
        <v>1284797</v>
      </c>
      <c r="I77" s="371">
        <f t="shared" si="8"/>
        <v>11611995.286</v>
      </c>
      <c r="J77" s="372">
        <f t="shared" si="9"/>
        <v>0</v>
      </c>
      <c r="K77" s="371">
        <f t="shared" si="10"/>
        <v>0</v>
      </c>
      <c r="L77" s="369">
        <f t="shared" si="11"/>
        <v>3.3600000000000003</v>
      </c>
      <c r="M77" s="370">
        <f t="shared" si="12"/>
        <v>4316917.9200000009</v>
      </c>
      <c r="N77" s="373"/>
    </row>
    <row r="78" spans="1:14" ht="32.25" customHeight="1">
      <c r="A78" s="364">
        <v>5</v>
      </c>
      <c r="B78" s="365" t="s">
        <v>975</v>
      </c>
      <c r="C78" s="362" t="s">
        <v>903</v>
      </c>
      <c r="D78" s="360">
        <v>14.7072</v>
      </c>
      <c r="E78" s="361">
        <v>1686193</v>
      </c>
      <c r="F78" s="359">
        <f t="shared" si="7"/>
        <v>24799177.689600002</v>
      </c>
      <c r="G78" s="360">
        <v>14.7072</v>
      </c>
      <c r="H78" s="361">
        <v>1686193</v>
      </c>
      <c r="I78" s="359">
        <f t="shared" si="8"/>
        <v>24799177.689600002</v>
      </c>
      <c r="J78" s="358">
        <f t="shared" si="9"/>
        <v>0</v>
      </c>
      <c r="K78" s="359">
        <f t="shared" si="10"/>
        <v>0</v>
      </c>
      <c r="L78" s="360">
        <f t="shared" si="11"/>
        <v>0</v>
      </c>
      <c r="M78" s="361">
        <f t="shared" si="12"/>
        <v>0</v>
      </c>
      <c r="N78" s="362"/>
    </row>
    <row r="79" spans="1:14" ht="32.25" customHeight="1">
      <c r="A79" s="364">
        <v>6</v>
      </c>
      <c r="B79" s="365" t="s">
        <v>976</v>
      </c>
      <c r="C79" s="362" t="s">
        <v>903</v>
      </c>
      <c r="D79" s="360">
        <v>15.308999999999999</v>
      </c>
      <c r="E79" s="361">
        <v>2218781</v>
      </c>
      <c r="F79" s="359">
        <f t="shared" si="7"/>
        <v>33967318.328999996</v>
      </c>
      <c r="G79" s="360">
        <v>15.308999999999999</v>
      </c>
      <c r="H79" s="361">
        <v>2218781</v>
      </c>
      <c r="I79" s="359">
        <f t="shared" si="8"/>
        <v>33967318.328999996</v>
      </c>
      <c r="J79" s="358">
        <f t="shared" si="9"/>
        <v>0</v>
      </c>
      <c r="K79" s="359">
        <f t="shared" si="10"/>
        <v>0</v>
      </c>
      <c r="L79" s="360">
        <f t="shared" si="11"/>
        <v>0</v>
      </c>
      <c r="M79" s="361">
        <f t="shared" si="12"/>
        <v>0</v>
      </c>
      <c r="N79" s="362"/>
    </row>
    <row r="80" spans="1:14" ht="32.25" customHeight="1">
      <c r="A80" s="364">
        <v>7</v>
      </c>
      <c r="B80" s="365" t="s">
        <v>977</v>
      </c>
      <c r="C80" s="362" t="s">
        <v>903</v>
      </c>
      <c r="D80" s="360">
        <v>2.6027</v>
      </c>
      <c r="E80" s="361">
        <v>2545968</v>
      </c>
      <c r="F80" s="359">
        <f t="shared" si="7"/>
        <v>6626390.9135999996</v>
      </c>
      <c r="G80" s="360">
        <v>2.6027</v>
      </c>
      <c r="H80" s="361">
        <v>2545968</v>
      </c>
      <c r="I80" s="359">
        <f t="shared" si="8"/>
        <v>6626390.9135999996</v>
      </c>
      <c r="J80" s="358">
        <f t="shared" si="9"/>
        <v>0</v>
      </c>
      <c r="K80" s="359">
        <f t="shared" si="10"/>
        <v>0</v>
      </c>
      <c r="L80" s="360">
        <f t="shared" si="11"/>
        <v>0</v>
      </c>
      <c r="M80" s="361">
        <f t="shared" si="12"/>
        <v>0</v>
      </c>
      <c r="N80" s="362"/>
    </row>
    <row r="81" spans="1:14" ht="32.25" customHeight="1">
      <c r="A81" s="364">
        <v>8</v>
      </c>
      <c r="B81" s="365" t="s">
        <v>946</v>
      </c>
      <c r="C81" s="362" t="s">
        <v>903</v>
      </c>
      <c r="D81" s="360">
        <v>6.16</v>
      </c>
      <c r="E81" s="361">
        <v>2263632</v>
      </c>
      <c r="F81" s="359">
        <f t="shared" si="7"/>
        <v>13943973.120000001</v>
      </c>
      <c r="G81" s="360">
        <v>6.16</v>
      </c>
      <c r="H81" s="361">
        <v>2263632</v>
      </c>
      <c r="I81" s="359">
        <f t="shared" si="8"/>
        <v>13943973.120000001</v>
      </c>
      <c r="J81" s="358">
        <f t="shared" si="9"/>
        <v>0</v>
      </c>
      <c r="K81" s="359">
        <f t="shared" si="10"/>
        <v>0</v>
      </c>
      <c r="L81" s="360">
        <f t="shared" si="11"/>
        <v>0</v>
      </c>
      <c r="M81" s="361">
        <f t="shared" si="12"/>
        <v>0</v>
      </c>
      <c r="N81" s="362"/>
    </row>
    <row r="82" spans="1:14" ht="32.25" customHeight="1">
      <c r="A82" s="364">
        <v>9</v>
      </c>
      <c r="B82" s="365" t="s">
        <v>947</v>
      </c>
      <c r="C82" s="362" t="s">
        <v>917</v>
      </c>
      <c r="D82" s="360">
        <v>0.63859999999999995</v>
      </c>
      <c r="E82" s="361">
        <v>16080494</v>
      </c>
      <c r="F82" s="359">
        <f t="shared" si="7"/>
        <v>10269003.4684</v>
      </c>
      <c r="G82" s="360">
        <v>0.63859999999999995</v>
      </c>
      <c r="H82" s="361">
        <v>16080494</v>
      </c>
      <c r="I82" s="359">
        <f t="shared" si="8"/>
        <v>10269003.4684</v>
      </c>
      <c r="J82" s="358">
        <f t="shared" si="9"/>
        <v>0</v>
      </c>
      <c r="K82" s="359">
        <f t="shared" si="10"/>
        <v>0</v>
      </c>
      <c r="L82" s="360">
        <f t="shared" si="11"/>
        <v>0</v>
      </c>
      <c r="M82" s="361">
        <f t="shared" si="12"/>
        <v>0</v>
      </c>
      <c r="N82" s="362"/>
    </row>
    <row r="83" spans="1:14" ht="32.25" customHeight="1">
      <c r="A83" s="364">
        <v>10</v>
      </c>
      <c r="B83" s="365" t="s">
        <v>978</v>
      </c>
      <c r="C83" s="362" t="s">
        <v>917</v>
      </c>
      <c r="D83" s="360">
        <v>2.9556</v>
      </c>
      <c r="E83" s="361">
        <v>21634016</v>
      </c>
      <c r="F83" s="359">
        <f t="shared" si="7"/>
        <v>63941497.689599998</v>
      </c>
      <c r="G83" s="360">
        <v>2.9556</v>
      </c>
      <c r="H83" s="361">
        <v>21634016</v>
      </c>
      <c r="I83" s="359">
        <f t="shared" si="8"/>
        <v>63941497.689599998</v>
      </c>
      <c r="J83" s="358">
        <f t="shared" si="9"/>
        <v>0</v>
      </c>
      <c r="K83" s="359">
        <f t="shared" si="10"/>
        <v>0</v>
      </c>
      <c r="L83" s="360">
        <f t="shared" si="11"/>
        <v>0</v>
      </c>
      <c r="M83" s="361">
        <f t="shared" si="12"/>
        <v>0</v>
      </c>
      <c r="N83" s="362"/>
    </row>
    <row r="84" spans="1:14" ht="32.25" customHeight="1">
      <c r="A84" s="364">
        <v>11</v>
      </c>
      <c r="B84" s="365" t="s">
        <v>949</v>
      </c>
      <c r="C84" s="362" t="s">
        <v>917</v>
      </c>
      <c r="D84" s="360">
        <v>0.67759999999999998</v>
      </c>
      <c r="E84" s="361">
        <v>17838122</v>
      </c>
      <c r="F84" s="359">
        <f t="shared" si="7"/>
        <v>12087111.4672</v>
      </c>
      <c r="G84" s="360">
        <v>0.67759999999999998</v>
      </c>
      <c r="H84" s="361">
        <v>17838122</v>
      </c>
      <c r="I84" s="359">
        <f t="shared" si="8"/>
        <v>12087111.4672</v>
      </c>
      <c r="J84" s="358">
        <f t="shared" si="9"/>
        <v>0</v>
      </c>
      <c r="K84" s="359">
        <f t="shared" si="10"/>
        <v>0</v>
      </c>
      <c r="L84" s="360">
        <f t="shared" si="11"/>
        <v>0</v>
      </c>
      <c r="M84" s="361">
        <f t="shared" si="12"/>
        <v>0</v>
      </c>
      <c r="N84" s="362"/>
    </row>
    <row r="85" spans="1:14" ht="32.25" customHeight="1">
      <c r="A85" s="364">
        <v>12</v>
      </c>
      <c r="B85" s="365" t="s">
        <v>979</v>
      </c>
      <c r="C85" s="362" t="s">
        <v>917</v>
      </c>
      <c r="D85" s="360">
        <v>1.19</v>
      </c>
      <c r="E85" s="361">
        <v>17589393</v>
      </c>
      <c r="F85" s="359">
        <f t="shared" si="7"/>
        <v>20931377.669999998</v>
      </c>
      <c r="G85" s="360">
        <v>1.19</v>
      </c>
      <c r="H85" s="361">
        <v>17589393</v>
      </c>
      <c r="I85" s="359">
        <f t="shared" si="8"/>
        <v>20931377.669999998</v>
      </c>
      <c r="J85" s="358">
        <f t="shared" si="9"/>
        <v>0</v>
      </c>
      <c r="K85" s="359">
        <f t="shared" si="10"/>
        <v>0</v>
      </c>
      <c r="L85" s="360">
        <f t="shared" si="11"/>
        <v>0</v>
      </c>
      <c r="M85" s="361">
        <f t="shared" si="12"/>
        <v>0</v>
      </c>
      <c r="N85" s="362"/>
    </row>
    <row r="86" spans="1:14" ht="32.25" customHeight="1">
      <c r="A86" s="364">
        <v>13</v>
      </c>
      <c r="B86" s="365" t="s">
        <v>980</v>
      </c>
      <c r="C86" s="362" t="s">
        <v>981</v>
      </c>
      <c r="D86" s="360">
        <v>0.37490000000000001</v>
      </c>
      <c r="E86" s="361">
        <v>21961313</v>
      </c>
      <c r="F86" s="359">
        <f t="shared" si="7"/>
        <v>8233296.2437000005</v>
      </c>
      <c r="G86" s="360">
        <v>0.37490000000000001</v>
      </c>
      <c r="H86" s="361">
        <v>21961313</v>
      </c>
      <c r="I86" s="359">
        <f t="shared" si="8"/>
        <v>8233296.2437000005</v>
      </c>
      <c r="J86" s="358">
        <f t="shared" si="9"/>
        <v>0</v>
      </c>
      <c r="K86" s="359">
        <f t="shared" si="10"/>
        <v>0</v>
      </c>
      <c r="L86" s="360">
        <f t="shared" si="11"/>
        <v>0</v>
      </c>
      <c r="M86" s="361">
        <f t="shared" si="12"/>
        <v>0</v>
      </c>
      <c r="N86" s="362"/>
    </row>
    <row r="87" spans="1:14" ht="32.25" customHeight="1">
      <c r="A87" s="364">
        <v>14</v>
      </c>
      <c r="B87" s="365" t="s">
        <v>982</v>
      </c>
      <c r="C87" s="362" t="s">
        <v>981</v>
      </c>
      <c r="D87" s="360">
        <v>2.5287999999999999</v>
      </c>
      <c r="E87" s="361">
        <v>23134596</v>
      </c>
      <c r="F87" s="359">
        <f t="shared" si="7"/>
        <v>58502766.364799999</v>
      </c>
      <c r="G87" s="360">
        <v>2.5287999999999999</v>
      </c>
      <c r="H87" s="361">
        <v>23134596</v>
      </c>
      <c r="I87" s="359">
        <f t="shared" si="8"/>
        <v>58502766.364799999</v>
      </c>
      <c r="J87" s="358">
        <f t="shared" si="9"/>
        <v>0</v>
      </c>
      <c r="K87" s="359">
        <f t="shared" si="10"/>
        <v>0</v>
      </c>
      <c r="L87" s="360">
        <f t="shared" si="11"/>
        <v>0</v>
      </c>
      <c r="M87" s="361">
        <f t="shared" si="12"/>
        <v>0</v>
      </c>
      <c r="N87" s="362"/>
    </row>
    <row r="88" spans="1:14" ht="32.25" customHeight="1">
      <c r="A88" s="364">
        <v>15</v>
      </c>
      <c r="B88" s="365" t="s">
        <v>983</v>
      </c>
      <c r="C88" s="362" t="s">
        <v>981</v>
      </c>
      <c r="D88" s="360">
        <v>0.89800000000000002</v>
      </c>
      <c r="E88" s="361">
        <v>22817232</v>
      </c>
      <c r="F88" s="359">
        <f t="shared" si="7"/>
        <v>20489874.335999999</v>
      </c>
      <c r="G88" s="360">
        <v>0.89800000000000002</v>
      </c>
      <c r="H88" s="361">
        <v>22817232</v>
      </c>
      <c r="I88" s="359">
        <f t="shared" si="8"/>
        <v>20489874.335999999</v>
      </c>
      <c r="J88" s="358">
        <f t="shared" si="9"/>
        <v>0</v>
      </c>
      <c r="K88" s="359">
        <f t="shared" si="10"/>
        <v>0</v>
      </c>
      <c r="L88" s="360">
        <f t="shared" si="11"/>
        <v>0</v>
      </c>
      <c r="M88" s="361">
        <f t="shared" si="12"/>
        <v>0</v>
      </c>
      <c r="N88" s="362"/>
    </row>
    <row r="89" spans="1:14" ht="32.25" customHeight="1">
      <c r="A89" s="364">
        <v>16</v>
      </c>
      <c r="B89" s="365" t="s">
        <v>984</v>
      </c>
      <c r="C89" s="362" t="s">
        <v>981</v>
      </c>
      <c r="D89" s="360">
        <v>0.47820000000000001</v>
      </c>
      <c r="E89" s="361">
        <v>24461752</v>
      </c>
      <c r="F89" s="359">
        <f t="shared" si="7"/>
        <v>11697609.806400001</v>
      </c>
      <c r="G89" s="360">
        <v>0.47820000000000001</v>
      </c>
      <c r="H89" s="361">
        <v>24461752</v>
      </c>
      <c r="I89" s="359">
        <f t="shared" si="8"/>
        <v>11697609.806400001</v>
      </c>
      <c r="J89" s="358">
        <f t="shared" si="9"/>
        <v>0</v>
      </c>
      <c r="K89" s="359">
        <f t="shared" si="10"/>
        <v>0</v>
      </c>
      <c r="L89" s="360">
        <f t="shared" si="11"/>
        <v>0</v>
      </c>
      <c r="M89" s="361">
        <f t="shared" si="12"/>
        <v>0</v>
      </c>
      <c r="N89" s="362"/>
    </row>
    <row r="90" spans="1:14" ht="32.25" customHeight="1">
      <c r="A90" s="364">
        <v>17</v>
      </c>
      <c r="B90" s="365" t="s">
        <v>929</v>
      </c>
      <c r="C90" s="362" t="s">
        <v>903</v>
      </c>
      <c r="D90" s="360">
        <v>6.8520000000000003</v>
      </c>
      <c r="E90" s="361">
        <v>2602936</v>
      </c>
      <c r="F90" s="359">
        <f t="shared" si="7"/>
        <v>17835317.471999999</v>
      </c>
      <c r="G90" s="360">
        <v>6.8520000000000003</v>
      </c>
      <c r="H90" s="361">
        <v>2602936</v>
      </c>
      <c r="I90" s="359">
        <f t="shared" si="8"/>
        <v>17835317.471999999</v>
      </c>
      <c r="J90" s="358">
        <f t="shared" si="9"/>
        <v>0</v>
      </c>
      <c r="K90" s="359">
        <f t="shared" si="10"/>
        <v>0</v>
      </c>
      <c r="L90" s="360">
        <f t="shared" si="11"/>
        <v>0</v>
      </c>
      <c r="M90" s="361">
        <f t="shared" si="12"/>
        <v>0</v>
      </c>
      <c r="N90" s="362"/>
    </row>
    <row r="91" spans="1:14" s="374" customFormat="1" ht="32.25" customHeight="1">
      <c r="A91" s="366">
        <v>18</v>
      </c>
      <c r="B91" s="367" t="s">
        <v>961</v>
      </c>
      <c r="C91" s="373" t="s">
        <v>903</v>
      </c>
      <c r="D91" s="369">
        <v>39.2395</v>
      </c>
      <c r="E91" s="370">
        <v>1538476</v>
      </c>
      <c r="F91" s="371">
        <f t="shared" si="7"/>
        <v>60369029.001999997</v>
      </c>
      <c r="G91" s="369">
        <v>39.266500000000001</v>
      </c>
      <c r="H91" s="370">
        <v>1538476</v>
      </c>
      <c r="I91" s="371">
        <f t="shared" si="8"/>
        <v>60410567.854000002</v>
      </c>
      <c r="J91" s="372">
        <f t="shared" si="9"/>
        <v>0</v>
      </c>
      <c r="K91" s="371">
        <f t="shared" si="10"/>
        <v>0</v>
      </c>
      <c r="L91" s="369">
        <f t="shared" si="11"/>
        <v>2.7000000000001023E-2</v>
      </c>
      <c r="M91" s="370">
        <f t="shared" si="12"/>
        <v>41538.852000005543</v>
      </c>
      <c r="N91" s="373"/>
    </row>
    <row r="92" spans="1:14" s="374" customFormat="1" ht="32.25" customHeight="1">
      <c r="A92" s="366">
        <v>19</v>
      </c>
      <c r="B92" s="367" t="s">
        <v>985</v>
      </c>
      <c r="C92" s="373" t="s">
        <v>933</v>
      </c>
      <c r="D92" s="369">
        <v>337.60500000000002</v>
      </c>
      <c r="E92" s="370">
        <v>81190</v>
      </c>
      <c r="F92" s="371">
        <f t="shared" si="7"/>
        <v>27410149.950000003</v>
      </c>
      <c r="G92" s="369">
        <v>352.86500000000001</v>
      </c>
      <c r="H92" s="370">
        <v>81190</v>
      </c>
      <c r="I92" s="371">
        <f t="shared" si="8"/>
        <v>28649109.350000001</v>
      </c>
      <c r="J92" s="372">
        <f t="shared" si="9"/>
        <v>0</v>
      </c>
      <c r="K92" s="371">
        <f t="shared" si="10"/>
        <v>0</v>
      </c>
      <c r="L92" s="369">
        <f t="shared" si="11"/>
        <v>15.259999999999991</v>
      </c>
      <c r="M92" s="370">
        <f t="shared" si="12"/>
        <v>1238959.3999999985</v>
      </c>
      <c r="N92" s="373"/>
    </row>
    <row r="93" spans="1:14" ht="32.25" customHeight="1">
      <c r="A93" s="364">
        <v>20</v>
      </c>
      <c r="B93" s="365" t="s">
        <v>986</v>
      </c>
      <c r="C93" s="362" t="s">
        <v>933</v>
      </c>
      <c r="D93" s="360">
        <v>118.32</v>
      </c>
      <c r="E93" s="361">
        <v>76963</v>
      </c>
      <c r="F93" s="359">
        <f t="shared" si="7"/>
        <v>9106262.1600000001</v>
      </c>
      <c r="G93" s="360">
        <v>118.32</v>
      </c>
      <c r="H93" s="361">
        <v>76963</v>
      </c>
      <c r="I93" s="359">
        <f t="shared" si="8"/>
        <v>9106262.1600000001</v>
      </c>
      <c r="J93" s="358">
        <f t="shared" si="9"/>
        <v>0</v>
      </c>
      <c r="K93" s="359">
        <f t="shared" si="10"/>
        <v>0</v>
      </c>
      <c r="L93" s="360">
        <f t="shared" si="11"/>
        <v>0</v>
      </c>
      <c r="M93" s="361">
        <f t="shared" si="12"/>
        <v>0</v>
      </c>
      <c r="N93" s="362"/>
    </row>
    <row r="94" spans="1:14" ht="32.25" customHeight="1">
      <c r="A94" s="364">
        <v>21</v>
      </c>
      <c r="B94" s="365" t="s">
        <v>987</v>
      </c>
      <c r="C94" s="362" t="s">
        <v>933</v>
      </c>
      <c r="D94" s="360">
        <v>32.015999999999998</v>
      </c>
      <c r="E94" s="361">
        <v>60916</v>
      </c>
      <c r="F94" s="359">
        <f t="shared" si="7"/>
        <v>1950286.656</v>
      </c>
      <c r="G94" s="360">
        <v>32.015999999999998</v>
      </c>
      <c r="H94" s="361">
        <v>60916</v>
      </c>
      <c r="I94" s="359">
        <f t="shared" si="8"/>
        <v>1950286.656</v>
      </c>
      <c r="J94" s="358">
        <f t="shared" si="9"/>
        <v>0</v>
      </c>
      <c r="K94" s="359">
        <f t="shared" si="10"/>
        <v>0</v>
      </c>
      <c r="L94" s="360">
        <f t="shared" si="11"/>
        <v>0</v>
      </c>
      <c r="M94" s="361">
        <f t="shared" si="12"/>
        <v>0</v>
      </c>
      <c r="N94" s="362"/>
    </row>
    <row r="95" spans="1:14" ht="32.25" customHeight="1">
      <c r="A95" s="364">
        <v>22</v>
      </c>
      <c r="B95" s="365" t="s">
        <v>964</v>
      </c>
      <c r="C95" s="362" t="s">
        <v>988</v>
      </c>
      <c r="D95" s="360">
        <v>34.799999999999997</v>
      </c>
      <c r="E95" s="361">
        <v>81382</v>
      </c>
      <c r="F95" s="359">
        <f t="shared" si="7"/>
        <v>2832093.5999999996</v>
      </c>
      <c r="G95" s="360">
        <v>34.799999999999997</v>
      </c>
      <c r="H95" s="361">
        <v>81382</v>
      </c>
      <c r="I95" s="359">
        <f t="shared" si="8"/>
        <v>2832093.5999999996</v>
      </c>
      <c r="J95" s="358">
        <f t="shared" si="9"/>
        <v>0</v>
      </c>
      <c r="K95" s="359">
        <f t="shared" si="10"/>
        <v>0</v>
      </c>
      <c r="L95" s="360">
        <f t="shared" si="11"/>
        <v>0</v>
      </c>
      <c r="M95" s="361">
        <f t="shared" si="12"/>
        <v>0</v>
      </c>
      <c r="N95" s="362"/>
    </row>
    <row r="96" spans="1:14" ht="32.25" customHeight="1">
      <c r="A96" s="364">
        <v>23</v>
      </c>
      <c r="B96" s="365" t="s">
        <v>966</v>
      </c>
      <c r="C96" s="362" t="s">
        <v>988</v>
      </c>
      <c r="D96" s="360">
        <v>34.799999999999997</v>
      </c>
      <c r="E96" s="361">
        <v>64929</v>
      </c>
      <c r="F96" s="359">
        <f t="shared" si="7"/>
        <v>2259529.1999999997</v>
      </c>
      <c r="G96" s="360">
        <v>34.799999999999997</v>
      </c>
      <c r="H96" s="361">
        <v>64929</v>
      </c>
      <c r="I96" s="359">
        <f t="shared" si="8"/>
        <v>2259529.1999999997</v>
      </c>
      <c r="J96" s="358">
        <f t="shared" si="9"/>
        <v>0</v>
      </c>
      <c r="K96" s="359">
        <f t="shared" si="10"/>
        <v>0</v>
      </c>
      <c r="L96" s="360">
        <f t="shared" si="11"/>
        <v>0</v>
      </c>
      <c r="M96" s="361">
        <f t="shared" si="12"/>
        <v>0</v>
      </c>
      <c r="N96" s="362"/>
    </row>
    <row r="97" spans="1:14" ht="32.25" customHeight="1">
      <c r="A97" s="364">
        <v>24</v>
      </c>
      <c r="B97" s="365" t="s">
        <v>967</v>
      </c>
      <c r="C97" s="362" t="s">
        <v>933</v>
      </c>
      <c r="D97" s="360">
        <v>76.56</v>
      </c>
      <c r="E97" s="361">
        <v>47332</v>
      </c>
      <c r="F97" s="359">
        <f t="shared" si="7"/>
        <v>3623737.92</v>
      </c>
      <c r="G97" s="360">
        <v>76.56</v>
      </c>
      <c r="H97" s="361">
        <v>47332</v>
      </c>
      <c r="I97" s="359">
        <f t="shared" si="8"/>
        <v>3623737.92</v>
      </c>
      <c r="J97" s="358">
        <f t="shared" si="9"/>
        <v>0</v>
      </c>
      <c r="K97" s="359">
        <f t="shared" si="10"/>
        <v>0</v>
      </c>
      <c r="L97" s="360">
        <f t="shared" si="11"/>
        <v>0</v>
      </c>
      <c r="M97" s="361">
        <f t="shared" si="12"/>
        <v>0</v>
      </c>
      <c r="N97" s="362"/>
    </row>
    <row r="98" spans="1:14" ht="32.25" customHeight="1">
      <c r="A98" s="364">
        <v>25</v>
      </c>
      <c r="B98" s="365" t="s">
        <v>989</v>
      </c>
      <c r="C98" s="362" t="s">
        <v>981</v>
      </c>
      <c r="D98" s="360">
        <v>0.98340000000000005</v>
      </c>
      <c r="E98" s="361">
        <v>29530547</v>
      </c>
      <c r="F98" s="359">
        <f t="shared" si="7"/>
        <v>29040339.919800002</v>
      </c>
      <c r="G98" s="360">
        <v>0.98340000000000005</v>
      </c>
      <c r="H98" s="361">
        <v>29530547</v>
      </c>
      <c r="I98" s="359">
        <f t="shared" si="8"/>
        <v>29040339.919800002</v>
      </c>
      <c r="J98" s="358">
        <f t="shared" si="9"/>
        <v>0</v>
      </c>
      <c r="K98" s="359">
        <f t="shared" si="10"/>
        <v>0</v>
      </c>
      <c r="L98" s="360">
        <f t="shared" si="11"/>
        <v>0</v>
      </c>
      <c r="M98" s="361">
        <f t="shared" si="12"/>
        <v>0</v>
      </c>
      <c r="N98" s="362"/>
    </row>
    <row r="99" spans="1:14" ht="32.25" customHeight="1">
      <c r="A99" s="364">
        <v>26</v>
      </c>
      <c r="B99" s="365" t="s">
        <v>959</v>
      </c>
      <c r="C99" s="362" t="s">
        <v>981</v>
      </c>
      <c r="D99" s="360">
        <v>0.98340000000000005</v>
      </c>
      <c r="E99" s="361">
        <v>1750217</v>
      </c>
      <c r="F99" s="359">
        <f t="shared" si="7"/>
        <v>1721163.3978000002</v>
      </c>
      <c r="G99" s="360">
        <v>0.98340000000000005</v>
      </c>
      <c r="H99" s="361">
        <v>1750217</v>
      </c>
      <c r="I99" s="359">
        <f t="shared" si="8"/>
        <v>1721163.3978000002</v>
      </c>
      <c r="J99" s="358">
        <f t="shared" si="9"/>
        <v>0</v>
      </c>
      <c r="K99" s="359">
        <f t="shared" si="10"/>
        <v>0</v>
      </c>
      <c r="L99" s="360">
        <f t="shared" si="11"/>
        <v>0</v>
      </c>
      <c r="M99" s="361">
        <f t="shared" si="12"/>
        <v>0</v>
      </c>
      <c r="N99" s="362"/>
    </row>
    <row r="100" spans="1:14" ht="32.25" customHeight="1">
      <c r="A100" s="364">
        <v>27</v>
      </c>
      <c r="B100" s="365" t="s">
        <v>990</v>
      </c>
      <c r="C100" s="362" t="s">
        <v>917</v>
      </c>
      <c r="D100" s="360">
        <v>2.262</v>
      </c>
      <c r="E100" s="361">
        <v>16531011</v>
      </c>
      <c r="F100" s="359">
        <f t="shared" si="7"/>
        <v>37393146.881999999</v>
      </c>
      <c r="G100" s="360">
        <v>2.262</v>
      </c>
      <c r="H100" s="361">
        <v>16531011</v>
      </c>
      <c r="I100" s="359">
        <f t="shared" si="8"/>
        <v>37393146.881999999</v>
      </c>
      <c r="J100" s="358">
        <f t="shared" si="9"/>
        <v>0</v>
      </c>
      <c r="K100" s="359">
        <f t="shared" si="10"/>
        <v>0</v>
      </c>
      <c r="L100" s="360">
        <f t="shared" si="11"/>
        <v>0</v>
      </c>
      <c r="M100" s="361">
        <f t="shared" si="12"/>
        <v>0</v>
      </c>
      <c r="N100" s="362"/>
    </row>
    <row r="101" spans="1:14" s="374" customFormat="1" ht="32.25" customHeight="1">
      <c r="A101" s="366">
        <v>28</v>
      </c>
      <c r="B101" s="367" t="s">
        <v>962</v>
      </c>
      <c r="C101" s="373" t="s">
        <v>933</v>
      </c>
      <c r="D101" s="369">
        <v>208.8</v>
      </c>
      <c r="E101" s="370">
        <v>192116</v>
      </c>
      <c r="F101" s="371">
        <f t="shared" si="7"/>
        <v>40113820.800000004</v>
      </c>
      <c r="G101" s="369">
        <v>0</v>
      </c>
      <c r="H101" s="370">
        <v>192116</v>
      </c>
      <c r="I101" s="371">
        <f t="shared" si="8"/>
        <v>0</v>
      </c>
      <c r="J101" s="372">
        <f t="shared" si="9"/>
        <v>208.8</v>
      </c>
      <c r="K101" s="371">
        <f t="shared" si="10"/>
        <v>40113820.800000004</v>
      </c>
      <c r="L101" s="369">
        <f t="shared" si="11"/>
        <v>0</v>
      </c>
      <c r="M101" s="370">
        <f t="shared" si="12"/>
        <v>0</v>
      </c>
      <c r="N101" s="373"/>
    </row>
    <row r="102" spans="1:14" ht="32.25" customHeight="1">
      <c r="A102" s="364">
        <v>29</v>
      </c>
      <c r="B102" s="365" t="s">
        <v>991</v>
      </c>
      <c r="C102" s="362" t="s">
        <v>903</v>
      </c>
      <c r="D102" s="360">
        <v>25.404</v>
      </c>
      <c r="E102" s="361">
        <v>1677821</v>
      </c>
      <c r="F102" s="359">
        <f t="shared" si="7"/>
        <v>42623364.684</v>
      </c>
      <c r="G102" s="360">
        <v>25.404</v>
      </c>
      <c r="H102" s="361">
        <v>1677821</v>
      </c>
      <c r="I102" s="359">
        <f t="shared" si="8"/>
        <v>42623364.684</v>
      </c>
      <c r="J102" s="358">
        <f t="shared" si="9"/>
        <v>0</v>
      </c>
      <c r="K102" s="359">
        <f t="shared" si="10"/>
        <v>0</v>
      </c>
      <c r="L102" s="360">
        <f t="shared" si="11"/>
        <v>0</v>
      </c>
      <c r="M102" s="361">
        <f t="shared" si="12"/>
        <v>0</v>
      </c>
      <c r="N102" s="362"/>
    </row>
    <row r="103" spans="1:14" ht="32.25" customHeight="1">
      <c r="A103" s="364">
        <v>30</v>
      </c>
      <c r="B103" s="365" t="s">
        <v>992</v>
      </c>
      <c r="C103" s="362" t="s">
        <v>903</v>
      </c>
      <c r="D103" s="360">
        <v>66.12</v>
      </c>
      <c r="E103" s="361">
        <v>195422</v>
      </c>
      <c r="F103" s="359">
        <f t="shared" si="7"/>
        <v>12921302.640000001</v>
      </c>
      <c r="G103" s="360">
        <v>66.12</v>
      </c>
      <c r="H103" s="361">
        <v>195422</v>
      </c>
      <c r="I103" s="359">
        <f t="shared" si="8"/>
        <v>12921302.640000001</v>
      </c>
      <c r="J103" s="358">
        <f t="shared" si="9"/>
        <v>0</v>
      </c>
      <c r="K103" s="359">
        <f t="shared" si="10"/>
        <v>0</v>
      </c>
      <c r="L103" s="360">
        <f t="shared" si="11"/>
        <v>0</v>
      </c>
      <c r="M103" s="361">
        <f t="shared" si="12"/>
        <v>0</v>
      </c>
      <c r="N103" s="362"/>
    </row>
    <row r="104" spans="1:14" ht="32.25" customHeight="1">
      <c r="A104" s="364">
        <v>31</v>
      </c>
      <c r="B104" s="365" t="s">
        <v>927</v>
      </c>
      <c r="C104" s="362" t="s">
        <v>917</v>
      </c>
      <c r="D104" s="360">
        <v>2.4359999999999999</v>
      </c>
      <c r="E104" s="361">
        <v>683138</v>
      </c>
      <c r="F104" s="359">
        <f t="shared" si="7"/>
        <v>1664124.1680000001</v>
      </c>
      <c r="G104" s="360">
        <v>2.4359999999999999</v>
      </c>
      <c r="H104" s="361">
        <v>683138</v>
      </c>
      <c r="I104" s="359">
        <f t="shared" si="8"/>
        <v>1664124.1680000001</v>
      </c>
      <c r="J104" s="358">
        <f t="shared" si="9"/>
        <v>0</v>
      </c>
      <c r="K104" s="359">
        <f t="shared" si="10"/>
        <v>0</v>
      </c>
      <c r="L104" s="360">
        <f t="shared" si="11"/>
        <v>0</v>
      </c>
      <c r="M104" s="361">
        <f t="shared" si="12"/>
        <v>0</v>
      </c>
      <c r="N104" s="362"/>
    </row>
    <row r="105" spans="1:14" s="374" customFormat="1" ht="32.25" customHeight="1">
      <c r="A105" s="366">
        <v>32</v>
      </c>
      <c r="B105" s="367" t="s">
        <v>993</v>
      </c>
      <c r="C105" s="373" t="s">
        <v>933</v>
      </c>
      <c r="D105" s="369">
        <v>30</v>
      </c>
      <c r="E105" s="370">
        <v>424678</v>
      </c>
      <c r="F105" s="371">
        <f t="shared" si="7"/>
        <v>12740340</v>
      </c>
      <c r="G105" s="369">
        <v>30</v>
      </c>
      <c r="H105" s="370">
        <v>100000</v>
      </c>
      <c r="I105" s="371">
        <f t="shared" si="8"/>
        <v>3000000</v>
      </c>
      <c r="J105" s="372">
        <f t="shared" si="9"/>
        <v>0</v>
      </c>
      <c r="K105" s="371">
        <f t="shared" si="10"/>
        <v>9740340</v>
      </c>
      <c r="L105" s="369">
        <f t="shared" si="11"/>
        <v>0</v>
      </c>
      <c r="M105" s="370">
        <f t="shared" si="12"/>
        <v>0</v>
      </c>
      <c r="N105" s="373"/>
    </row>
    <row r="106" spans="1:14" s="374" customFormat="1" ht="32.25" customHeight="1">
      <c r="A106" s="366">
        <v>33</v>
      </c>
      <c r="B106" s="367" t="s">
        <v>994</v>
      </c>
      <c r="C106" s="373" t="s">
        <v>933</v>
      </c>
      <c r="D106" s="369">
        <v>217.08</v>
      </c>
      <c r="E106" s="370">
        <v>187728</v>
      </c>
      <c r="F106" s="371">
        <f t="shared" si="7"/>
        <v>40751994.240000002</v>
      </c>
      <c r="G106" s="369">
        <v>217.08</v>
      </c>
      <c r="H106" s="370">
        <v>100000</v>
      </c>
      <c r="I106" s="371">
        <f t="shared" si="8"/>
        <v>21708000</v>
      </c>
      <c r="J106" s="372">
        <f t="shared" si="9"/>
        <v>0</v>
      </c>
      <c r="K106" s="371">
        <f t="shared" si="10"/>
        <v>19043994.240000002</v>
      </c>
      <c r="L106" s="369">
        <f t="shared" si="11"/>
        <v>0</v>
      </c>
      <c r="M106" s="370">
        <f t="shared" si="12"/>
        <v>0</v>
      </c>
      <c r="N106" s="373"/>
    </row>
    <row r="107" spans="1:14" s="374" customFormat="1" ht="32.25" customHeight="1">
      <c r="A107" s="366">
        <v>34</v>
      </c>
      <c r="B107" s="367" t="s">
        <v>995</v>
      </c>
      <c r="C107" s="373" t="s">
        <v>933</v>
      </c>
      <c r="D107" s="369">
        <v>464.22</v>
      </c>
      <c r="E107" s="370">
        <v>302887</v>
      </c>
      <c r="F107" s="371">
        <f t="shared" si="7"/>
        <v>140606203.14000002</v>
      </c>
      <c r="G107" s="369">
        <v>464.22</v>
      </c>
      <c r="H107" s="370">
        <v>120000</v>
      </c>
      <c r="I107" s="371">
        <f t="shared" si="8"/>
        <v>55706400</v>
      </c>
      <c r="J107" s="372">
        <f t="shared" si="9"/>
        <v>0</v>
      </c>
      <c r="K107" s="371">
        <f t="shared" si="10"/>
        <v>84899803.140000015</v>
      </c>
      <c r="L107" s="369">
        <f t="shared" si="11"/>
        <v>0</v>
      </c>
      <c r="M107" s="370">
        <f t="shared" si="12"/>
        <v>0</v>
      </c>
      <c r="N107" s="373"/>
    </row>
    <row r="108" spans="1:14" s="374" customFormat="1" ht="32.25" customHeight="1">
      <c r="A108" s="366">
        <v>35</v>
      </c>
      <c r="B108" s="386" t="s">
        <v>936</v>
      </c>
      <c r="C108" s="373" t="s">
        <v>933</v>
      </c>
      <c r="D108" s="369">
        <v>455.92500000000001</v>
      </c>
      <c r="E108" s="370">
        <v>83740</v>
      </c>
      <c r="F108" s="371">
        <f t="shared" si="7"/>
        <v>38179159.5</v>
      </c>
      <c r="G108" s="369">
        <v>456.46499999999997</v>
      </c>
      <c r="H108" s="370">
        <v>83740</v>
      </c>
      <c r="I108" s="371">
        <f t="shared" si="8"/>
        <v>38224379.100000001</v>
      </c>
      <c r="J108" s="372">
        <f t="shared" si="9"/>
        <v>0</v>
      </c>
      <c r="K108" s="371">
        <f t="shared" si="10"/>
        <v>0</v>
      </c>
      <c r="L108" s="369">
        <f t="shared" si="11"/>
        <v>0.53999999999996362</v>
      </c>
      <c r="M108" s="370">
        <f t="shared" si="12"/>
        <v>45219.60000000149</v>
      </c>
      <c r="N108" s="373"/>
    </row>
    <row r="109" spans="1:14" s="374" customFormat="1" ht="32.25" customHeight="1">
      <c r="A109" s="366">
        <v>36</v>
      </c>
      <c r="B109" s="367" t="s">
        <v>996</v>
      </c>
      <c r="C109" s="373" t="s">
        <v>933</v>
      </c>
      <c r="D109" s="369">
        <v>455.92500000000001</v>
      </c>
      <c r="E109" s="387">
        <v>59420</v>
      </c>
      <c r="F109" s="371">
        <f t="shared" si="7"/>
        <v>27091063.5</v>
      </c>
      <c r="G109" s="369">
        <v>456.46499999999997</v>
      </c>
      <c r="H109" s="370">
        <v>29710</v>
      </c>
      <c r="I109" s="371">
        <f t="shared" si="8"/>
        <v>13561575.149999999</v>
      </c>
      <c r="J109" s="372">
        <f t="shared" si="9"/>
        <v>0</v>
      </c>
      <c r="K109" s="371">
        <f t="shared" si="10"/>
        <v>13529488.350000001</v>
      </c>
      <c r="L109" s="369">
        <f t="shared" si="11"/>
        <v>0.53999999999996362</v>
      </c>
      <c r="M109" s="370">
        <f t="shared" si="12"/>
        <v>0</v>
      </c>
      <c r="N109" s="373"/>
    </row>
    <row r="110" spans="1:14" ht="32.25" customHeight="1">
      <c r="A110" s="364">
        <v>37</v>
      </c>
      <c r="B110" s="365" t="s">
        <v>971</v>
      </c>
      <c r="C110" s="362" t="s">
        <v>942</v>
      </c>
      <c r="D110" s="360">
        <v>0.3</v>
      </c>
      <c r="E110" s="361">
        <v>14085381</v>
      </c>
      <c r="F110" s="359">
        <f t="shared" si="7"/>
        <v>4225614.3</v>
      </c>
      <c r="G110" s="360">
        <v>0.3</v>
      </c>
      <c r="H110" s="361">
        <v>14085381</v>
      </c>
      <c r="I110" s="359">
        <f t="shared" si="8"/>
        <v>4225614.3</v>
      </c>
      <c r="J110" s="358">
        <f t="shared" si="9"/>
        <v>0</v>
      </c>
      <c r="K110" s="359">
        <f t="shared" si="10"/>
        <v>0</v>
      </c>
      <c r="L110" s="360">
        <f t="shared" si="11"/>
        <v>0</v>
      </c>
      <c r="M110" s="361">
        <f t="shared" si="12"/>
        <v>0</v>
      </c>
      <c r="N110" s="362"/>
    </row>
    <row r="111" spans="1:14" ht="32.25" customHeight="1">
      <c r="A111" s="364">
        <v>38</v>
      </c>
      <c r="B111" s="365" t="s">
        <v>972</v>
      </c>
      <c r="C111" s="362" t="s">
        <v>997</v>
      </c>
      <c r="D111" s="360">
        <v>5</v>
      </c>
      <c r="E111" s="361">
        <v>44813</v>
      </c>
      <c r="F111" s="359">
        <f t="shared" si="7"/>
        <v>224065</v>
      </c>
      <c r="G111" s="360">
        <v>5</v>
      </c>
      <c r="H111" s="361">
        <v>44813</v>
      </c>
      <c r="I111" s="359">
        <f t="shared" si="8"/>
        <v>224065</v>
      </c>
      <c r="J111" s="358">
        <f t="shared" si="9"/>
        <v>0</v>
      </c>
      <c r="K111" s="359">
        <f t="shared" si="10"/>
        <v>0</v>
      </c>
      <c r="L111" s="360">
        <f t="shared" si="11"/>
        <v>0</v>
      </c>
      <c r="M111" s="361">
        <f t="shared" si="12"/>
        <v>0</v>
      </c>
      <c r="N111" s="362"/>
    </row>
    <row r="112" spans="1:14" s="349" customFormat="1" ht="32.25" customHeight="1">
      <c r="A112" s="497" t="s">
        <v>94</v>
      </c>
      <c r="B112" s="497"/>
      <c r="C112" s="497"/>
      <c r="D112" s="350"/>
      <c r="E112" s="351"/>
      <c r="F112" s="351">
        <f>SUM(F73:F111)</f>
        <v>952197905.25789988</v>
      </c>
      <c r="G112" s="350"/>
      <c r="H112" s="351"/>
      <c r="I112" s="351">
        <f t="shared" ref="I112" si="14">SUM(I73:I111)</f>
        <v>790513094.49989998</v>
      </c>
      <c r="J112" s="350"/>
      <c r="K112" s="351">
        <f t="shared" ref="K112" si="15">SUM(K73:K111)</f>
        <v>167327446.53</v>
      </c>
      <c r="L112" s="350"/>
      <c r="M112" s="351">
        <f t="shared" ref="M112" si="16">SUM(M73:M111)</f>
        <v>5642635.7720000064</v>
      </c>
      <c r="N112" s="382"/>
    </row>
    <row r="113" spans="1:14" ht="32.25" customHeight="1">
      <c r="A113" s="497" t="s">
        <v>998</v>
      </c>
      <c r="B113" s="497"/>
      <c r="C113" s="497"/>
      <c r="D113" s="360"/>
      <c r="E113" s="361"/>
      <c r="F113" s="359"/>
      <c r="G113" s="360"/>
      <c r="H113" s="361"/>
      <c r="I113" s="359"/>
      <c r="J113" s="358"/>
      <c r="K113" s="359"/>
      <c r="L113" s="360"/>
      <c r="M113" s="361"/>
      <c r="N113" s="362"/>
    </row>
    <row r="114" spans="1:14" s="374" customFormat="1" ht="32.25" customHeight="1">
      <c r="A114" s="366">
        <v>1</v>
      </c>
      <c r="B114" s="373" t="s">
        <v>902</v>
      </c>
      <c r="C114" s="373" t="s">
        <v>903</v>
      </c>
      <c r="D114" s="369">
        <v>219.32040000000001</v>
      </c>
      <c r="E114" s="370">
        <v>157313</v>
      </c>
      <c r="F114" s="371">
        <f t="shared" si="7"/>
        <v>34501950.085200004</v>
      </c>
      <c r="G114" s="369">
        <v>211.85059999999999</v>
      </c>
      <c r="H114" s="370">
        <v>157313</v>
      </c>
      <c r="I114" s="371">
        <f t="shared" si="8"/>
        <v>33326853.437799998</v>
      </c>
      <c r="J114" s="372">
        <f t="shared" si="9"/>
        <v>7.4698000000000206</v>
      </c>
      <c r="K114" s="371">
        <f t="shared" si="10"/>
        <v>1175096.6474000067</v>
      </c>
      <c r="L114" s="369">
        <f t="shared" si="11"/>
        <v>0</v>
      </c>
      <c r="M114" s="370">
        <f t="shared" si="12"/>
        <v>0</v>
      </c>
      <c r="N114" s="373"/>
    </row>
    <row r="115" spans="1:14" s="374" customFormat="1" ht="32.25" customHeight="1">
      <c r="A115" s="366">
        <v>2</v>
      </c>
      <c r="B115" s="373" t="s">
        <v>999</v>
      </c>
      <c r="C115" s="373" t="s">
        <v>903</v>
      </c>
      <c r="D115" s="369">
        <v>146.21360000000001</v>
      </c>
      <c r="E115" s="370">
        <v>124076</v>
      </c>
      <c r="F115" s="371">
        <f t="shared" si="7"/>
        <v>18141598.6336</v>
      </c>
      <c r="G115" s="369">
        <v>141.2337</v>
      </c>
      <c r="H115" s="370">
        <v>124076</v>
      </c>
      <c r="I115" s="371">
        <f t="shared" si="8"/>
        <v>17523712.5612</v>
      </c>
      <c r="J115" s="372">
        <f t="shared" si="9"/>
        <v>4.9799000000000149</v>
      </c>
      <c r="K115" s="371">
        <f t="shared" si="10"/>
        <v>617886.07239999995</v>
      </c>
      <c r="L115" s="369">
        <f t="shared" si="11"/>
        <v>0</v>
      </c>
      <c r="M115" s="370">
        <f t="shared" si="12"/>
        <v>0</v>
      </c>
      <c r="N115" s="373"/>
    </row>
    <row r="116" spans="1:14" s="374" customFormat="1" ht="32.25" customHeight="1">
      <c r="A116" s="366">
        <v>3</v>
      </c>
      <c r="B116" s="373" t="s">
        <v>941</v>
      </c>
      <c r="C116" s="373" t="s">
        <v>942</v>
      </c>
      <c r="D116" s="369">
        <v>109.6</v>
      </c>
      <c r="E116" s="370">
        <v>1206690</v>
      </c>
      <c r="F116" s="371">
        <f t="shared" si="7"/>
        <v>132253224</v>
      </c>
      <c r="G116" s="369">
        <v>106</v>
      </c>
      <c r="H116" s="370">
        <v>1206690</v>
      </c>
      <c r="I116" s="371">
        <f t="shared" si="8"/>
        <v>127909140</v>
      </c>
      <c r="J116" s="372">
        <f t="shared" si="9"/>
        <v>3.5999999999999943</v>
      </c>
      <c r="K116" s="371">
        <f t="shared" si="10"/>
        <v>4344084</v>
      </c>
      <c r="L116" s="369">
        <f t="shared" si="11"/>
        <v>0</v>
      </c>
      <c r="M116" s="370">
        <f t="shared" si="12"/>
        <v>0</v>
      </c>
      <c r="N116" s="373"/>
    </row>
    <row r="117" spans="1:14" s="374" customFormat="1" ht="32.25" customHeight="1">
      <c r="A117" s="366">
        <v>4</v>
      </c>
      <c r="B117" s="373" t="s">
        <v>1000</v>
      </c>
      <c r="C117" s="373" t="s">
        <v>903</v>
      </c>
      <c r="D117" s="369">
        <v>9.9239999999999995</v>
      </c>
      <c r="E117" s="370">
        <v>1283592</v>
      </c>
      <c r="F117" s="371">
        <f t="shared" si="7"/>
        <v>12738367.007999999</v>
      </c>
      <c r="G117" s="369">
        <v>16.466000000000001</v>
      </c>
      <c r="H117" s="370">
        <v>1283592</v>
      </c>
      <c r="I117" s="371">
        <f t="shared" si="8"/>
        <v>21135625.872000001</v>
      </c>
      <c r="J117" s="372">
        <f t="shared" si="9"/>
        <v>0</v>
      </c>
      <c r="K117" s="371">
        <f t="shared" si="10"/>
        <v>0</v>
      </c>
      <c r="L117" s="369">
        <f t="shared" si="11"/>
        <v>6.5420000000000016</v>
      </c>
      <c r="M117" s="370">
        <f t="shared" si="12"/>
        <v>8397258.8640000019</v>
      </c>
      <c r="N117" s="373"/>
    </row>
    <row r="118" spans="1:14" s="374" customFormat="1" ht="32.25" customHeight="1">
      <c r="A118" s="366">
        <v>5</v>
      </c>
      <c r="B118" s="373" t="s">
        <v>1001</v>
      </c>
      <c r="C118" s="373" t="s">
        <v>903</v>
      </c>
      <c r="D118" s="369">
        <v>28.216000000000001</v>
      </c>
      <c r="E118" s="370">
        <v>1684611</v>
      </c>
      <c r="F118" s="371">
        <f t="shared" si="7"/>
        <v>47532983.976000004</v>
      </c>
      <c r="G118" s="369">
        <v>27.396000000000001</v>
      </c>
      <c r="H118" s="370">
        <v>1684611</v>
      </c>
      <c r="I118" s="371">
        <f t="shared" si="8"/>
        <v>46151602.956</v>
      </c>
      <c r="J118" s="372">
        <f t="shared" si="9"/>
        <v>0.82000000000000028</v>
      </c>
      <c r="K118" s="371">
        <f t="shared" si="10"/>
        <v>1381381.0200000033</v>
      </c>
      <c r="L118" s="369">
        <f t="shared" si="11"/>
        <v>0</v>
      </c>
      <c r="M118" s="370">
        <f t="shared" si="12"/>
        <v>0</v>
      </c>
      <c r="N118" s="373"/>
    </row>
    <row r="119" spans="1:14" s="374" customFormat="1" ht="32.25" customHeight="1">
      <c r="A119" s="366">
        <v>6</v>
      </c>
      <c r="B119" s="373" t="s">
        <v>1002</v>
      </c>
      <c r="C119" s="373" t="s">
        <v>903</v>
      </c>
      <c r="D119" s="369">
        <v>24.6174</v>
      </c>
      <c r="E119" s="370">
        <v>2216701</v>
      </c>
      <c r="F119" s="371">
        <f t="shared" si="7"/>
        <v>54569415.197399996</v>
      </c>
      <c r="G119" s="369">
        <v>23.7484</v>
      </c>
      <c r="H119" s="370">
        <v>2216701</v>
      </c>
      <c r="I119" s="371">
        <f t="shared" si="8"/>
        <v>52643102.028400004</v>
      </c>
      <c r="J119" s="372">
        <f t="shared" si="9"/>
        <v>0.86899999999999977</v>
      </c>
      <c r="K119" s="371">
        <f t="shared" si="10"/>
        <v>1926313.1689999923</v>
      </c>
      <c r="L119" s="369">
        <f t="shared" si="11"/>
        <v>0</v>
      </c>
      <c r="M119" s="370">
        <f t="shared" si="12"/>
        <v>0</v>
      </c>
      <c r="N119" s="373"/>
    </row>
    <row r="120" spans="1:14" s="374" customFormat="1" ht="32.25" customHeight="1">
      <c r="A120" s="366">
        <v>7</v>
      </c>
      <c r="B120" s="373" t="s">
        <v>977</v>
      </c>
      <c r="C120" s="373" t="s">
        <v>903</v>
      </c>
      <c r="D120" s="369">
        <v>3.2490999999999999</v>
      </c>
      <c r="E120" s="370">
        <v>2543579</v>
      </c>
      <c r="F120" s="371">
        <f t="shared" si="7"/>
        <v>8264342.5288999993</v>
      </c>
      <c r="G120" s="369">
        <v>3.0779999999999998</v>
      </c>
      <c r="H120" s="370">
        <v>2543579</v>
      </c>
      <c r="I120" s="371">
        <f t="shared" si="8"/>
        <v>7829136.1619999995</v>
      </c>
      <c r="J120" s="372">
        <f t="shared" si="9"/>
        <v>0.17110000000000003</v>
      </c>
      <c r="K120" s="371">
        <f t="shared" si="10"/>
        <v>435206.36689999979</v>
      </c>
      <c r="L120" s="369">
        <f t="shared" si="11"/>
        <v>0</v>
      </c>
      <c r="M120" s="370">
        <f t="shared" si="12"/>
        <v>0</v>
      </c>
      <c r="N120" s="373"/>
    </row>
    <row r="121" spans="1:14" s="374" customFormat="1" ht="32.25" customHeight="1">
      <c r="A121" s="366">
        <v>8</v>
      </c>
      <c r="B121" s="373" t="s">
        <v>946</v>
      </c>
      <c r="C121" s="373" t="s">
        <v>903</v>
      </c>
      <c r="D121" s="369">
        <v>12.9024</v>
      </c>
      <c r="E121" s="370">
        <v>2261508</v>
      </c>
      <c r="F121" s="371">
        <f t="shared" si="7"/>
        <v>29178880.819200002</v>
      </c>
      <c r="G121" s="369">
        <v>5.9454000000000002</v>
      </c>
      <c r="H121" s="370">
        <v>2261508</v>
      </c>
      <c r="I121" s="371">
        <f t="shared" si="8"/>
        <v>13445569.6632</v>
      </c>
      <c r="J121" s="372">
        <f t="shared" si="9"/>
        <v>6.9569999999999999</v>
      </c>
      <c r="K121" s="371">
        <f t="shared" si="10"/>
        <v>15733311.156000001</v>
      </c>
      <c r="L121" s="369">
        <f t="shared" si="11"/>
        <v>0</v>
      </c>
      <c r="M121" s="370">
        <f t="shared" si="12"/>
        <v>0</v>
      </c>
      <c r="N121" s="373"/>
    </row>
    <row r="122" spans="1:14" s="374" customFormat="1" ht="32.25" customHeight="1">
      <c r="A122" s="366">
        <v>9</v>
      </c>
      <c r="B122" s="373" t="s">
        <v>1003</v>
      </c>
      <c r="C122" s="373" t="s">
        <v>917</v>
      </c>
      <c r="D122" s="369">
        <v>1.1681999999999999</v>
      </c>
      <c r="E122" s="370">
        <v>16065408</v>
      </c>
      <c r="F122" s="371">
        <f t="shared" si="7"/>
        <v>18767609.625599999</v>
      </c>
      <c r="G122" s="369">
        <v>1.1216999999999999</v>
      </c>
      <c r="H122" s="370">
        <v>16065408</v>
      </c>
      <c r="I122" s="371">
        <f t="shared" si="8"/>
        <v>18020568.1536</v>
      </c>
      <c r="J122" s="372">
        <f t="shared" si="9"/>
        <v>4.6499999999999986E-2</v>
      </c>
      <c r="K122" s="371">
        <f t="shared" si="10"/>
        <v>747041.47199999914</v>
      </c>
      <c r="L122" s="369">
        <f t="shared" si="11"/>
        <v>0</v>
      </c>
      <c r="M122" s="370">
        <f t="shared" si="12"/>
        <v>0</v>
      </c>
      <c r="N122" s="373"/>
    </row>
    <row r="123" spans="1:14" s="374" customFormat="1" ht="32.25" customHeight="1">
      <c r="A123" s="366">
        <v>10</v>
      </c>
      <c r="B123" s="373" t="s">
        <v>1004</v>
      </c>
      <c r="C123" s="373" t="s">
        <v>917</v>
      </c>
      <c r="D123" s="369">
        <v>3.2162000000000002</v>
      </c>
      <c r="E123" s="370">
        <v>21613723</v>
      </c>
      <c r="F123" s="371">
        <f t="shared" si="7"/>
        <v>69514055.912600011</v>
      </c>
      <c r="G123" s="369">
        <v>3.1038000000000001</v>
      </c>
      <c r="H123" s="370">
        <v>21613723</v>
      </c>
      <c r="I123" s="371">
        <f t="shared" si="8"/>
        <v>67084673.447400004</v>
      </c>
      <c r="J123" s="372">
        <f t="shared" si="9"/>
        <v>0.11240000000000006</v>
      </c>
      <c r="K123" s="371">
        <f t="shared" si="10"/>
        <v>2429382.465200007</v>
      </c>
      <c r="L123" s="369">
        <f t="shared" si="11"/>
        <v>0</v>
      </c>
      <c r="M123" s="370">
        <f t="shared" si="12"/>
        <v>0</v>
      </c>
      <c r="N123" s="373"/>
    </row>
    <row r="124" spans="1:14" s="374" customFormat="1" ht="32.25" customHeight="1">
      <c r="A124" s="366">
        <v>11</v>
      </c>
      <c r="B124" s="373" t="s">
        <v>949</v>
      </c>
      <c r="C124" s="373" t="s">
        <v>917</v>
      </c>
      <c r="D124" s="369">
        <v>0.86639999999999995</v>
      </c>
      <c r="E124" s="370">
        <v>17821387</v>
      </c>
      <c r="F124" s="371">
        <f t="shared" si="7"/>
        <v>15440449.696799999</v>
      </c>
      <c r="G124" s="369">
        <v>0.82079999999999997</v>
      </c>
      <c r="H124" s="370">
        <v>17821387</v>
      </c>
      <c r="I124" s="371">
        <f t="shared" si="8"/>
        <v>14627794.4496</v>
      </c>
      <c r="J124" s="372">
        <f t="shared" si="9"/>
        <v>4.5599999999999974E-2</v>
      </c>
      <c r="K124" s="371">
        <f t="shared" si="10"/>
        <v>812655.24719999917</v>
      </c>
      <c r="L124" s="369">
        <f t="shared" si="11"/>
        <v>0</v>
      </c>
      <c r="M124" s="370">
        <f t="shared" si="12"/>
        <v>0</v>
      </c>
      <c r="N124" s="373"/>
    </row>
    <row r="125" spans="1:14" s="374" customFormat="1" ht="32.25" customHeight="1">
      <c r="A125" s="366">
        <v>12</v>
      </c>
      <c r="B125" s="373" t="s">
        <v>1005</v>
      </c>
      <c r="C125" s="373" t="s">
        <v>917</v>
      </c>
      <c r="D125" s="369">
        <v>2.4527999999999999</v>
      </c>
      <c r="E125" s="370">
        <v>17572894</v>
      </c>
      <c r="F125" s="371">
        <f t="shared" si="7"/>
        <v>43102794.403200001</v>
      </c>
      <c r="G125" s="369">
        <v>2.3652000000000002</v>
      </c>
      <c r="H125" s="370">
        <v>17572894</v>
      </c>
      <c r="I125" s="371">
        <f t="shared" si="8"/>
        <v>41563408.888800003</v>
      </c>
      <c r="J125" s="372">
        <f t="shared" si="9"/>
        <v>8.7599999999999678E-2</v>
      </c>
      <c r="K125" s="371">
        <f t="shared" si="10"/>
        <v>1539385.5143999979</v>
      </c>
      <c r="L125" s="369">
        <f t="shared" si="11"/>
        <v>0</v>
      </c>
      <c r="M125" s="370">
        <f t="shared" si="12"/>
        <v>0</v>
      </c>
      <c r="N125" s="373"/>
    </row>
    <row r="126" spans="1:14" s="374" customFormat="1" ht="32.25" customHeight="1">
      <c r="A126" s="366">
        <v>13</v>
      </c>
      <c r="B126" s="373" t="s">
        <v>980</v>
      </c>
      <c r="C126" s="373" t="s">
        <v>981</v>
      </c>
      <c r="D126" s="369">
        <v>1.4698</v>
      </c>
      <c r="E126" s="370">
        <v>21993359</v>
      </c>
      <c r="F126" s="371">
        <f t="shared" si="7"/>
        <v>32325839.058200002</v>
      </c>
      <c r="G126" s="369">
        <v>1.4165000000000001</v>
      </c>
      <c r="H126" s="370">
        <v>21993359</v>
      </c>
      <c r="I126" s="371">
        <f t="shared" si="8"/>
        <v>31153593.023500003</v>
      </c>
      <c r="J126" s="372">
        <f t="shared" si="9"/>
        <v>5.3299999999999903E-2</v>
      </c>
      <c r="K126" s="371">
        <f t="shared" si="10"/>
        <v>1172246.0346999988</v>
      </c>
      <c r="L126" s="369">
        <f t="shared" si="11"/>
        <v>0</v>
      </c>
      <c r="M126" s="370">
        <f t="shared" si="12"/>
        <v>0</v>
      </c>
      <c r="N126" s="373"/>
    </row>
    <row r="127" spans="1:14" s="374" customFormat="1" ht="32.25" customHeight="1">
      <c r="A127" s="366">
        <v>14</v>
      </c>
      <c r="B127" s="373" t="s">
        <v>1006</v>
      </c>
      <c r="C127" s="373" t="s">
        <v>981</v>
      </c>
      <c r="D127" s="369">
        <v>3.7120000000000002</v>
      </c>
      <c r="E127" s="370">
        <v>23112893</v>
      </c>
      <c r="F127" s="371">
        <f t="shared" si="7"/>
        <v>85795058.816</v>
      </c>
      <c r="G127" s="369">
        <v>3.5625</v>
      </c>
      <c r="H127" s="370">
        <v>23112893</v>
      </c>
      <c r="I127" s="371">
        <f t="shared" si="8"/>
        <v>82339681.3125</v>
      </c>
      <c r="J127" s="372">
        <f t="shared" si="9"/>
        <v>0.14950000000000019</v>
      </c>
      <c r="K127" s="371">
        <f t="shared" si="10"/>
        <v>3455377.5034999996</v>
      </c>
      <c r="L127" s="369">
        <f t="shared" si="11"/>
        <v>0</v>
      </c>
      <c r="M127" s="370">
        <f t="shared" si="12"/>
        <v>0</v>
      </c>
      <c r="N127" s="373"/>
    </row>
    <row r="128" spans="1:14" s="374" customFormat="1" ht="32.25" customHeight="1">
      <c r="A128" s="366">
        <v>15</v>
      </c>
      <c r="B128" s="373" t="s">
        <v>983</v>
      </c>
      <c r="C128" s="373" t="s">
        <v>981</v>
      </c>
      <c r="D128" s="369">
        <v>1.095</v>
      </c>
      <c r="E128" s="370">
        <v>22795827</v>
      </c>
      <c r="F128" s="371">
        <f t="shared" si="7"/>
        <v>24961430.564999998</v>
      </c>
      <c r="G128" s="369">
        <v>1.0523</v>
      </c>
      <c r="H128" s="370">
        <v>22795827</v>
      </c>
      <c r="I128" s="371">
        <f t="shared" si="8"/>
        <v>23988048.752100002</v>
      </c>
      <c r="J128" s="372">
        <f t="shared" si="9"/>
        <v>4.269999999999996E-2</v>
      </c>
      <c r="K128" s="371">
        <f t="shared" si="10"/>
        <v>973381.8128999956</v>
      </c>
      <c r="L128" s="369">
        <f t="shared" si="11"/>
        <v>0</v>
      </c>
      <c r="M128" s="370">
        <f t="shared" si="12"/>
        <v>0</v>
      </c>
      <c r="N128" s="373"/>
    </row>
    <row r="129" spans="1:14" s="374" customFormat="1" ht="32.25" customHeight="1">
      <c r="A129" s="366">
        <v>16</v>
      </c>
      <c r="B129" s="373" t="s">
        <v>984</v>
      </c>
      <c r="C129" s="373" t="s">
        <v>981</v>
      </c>
      <c r="D129" s="369">
        <v>1.0525</v>
      </c>
      <c r="E129" s="370">
        <v>24438803</v>
      </c>
      <c r="F129" s="371">
        <f t="shared" si="7"/>
        <v>25721840.157499999</v>
      </c>
      <c r="G129" s="369">
        <v>1.0148999999999999</v>
      </c>
      <c r="H129" s="370">
        <v>24438803</v>
      </c>
      <c r="I129" s="371">
        <f t="shared" si="8"/>
        <v>24802941.164699998</v>
      </c>
      <c r="J129" s="372">
        <f t="shared" si="9"/>
        <v>3.7600000000000078E-2</v>
      </c>
      <c r="K129" s="371">
        <f t="shared" si="10"/>
        <v>918898.99280000106</v>
      </c>
      <c r="L129" s="369">
        <f t="shared" si="11"/>
        <v>0</v>
      </c>
      <c r="M129" s="370">
        <f t="shared" si="12"/>
        <v>0</v>
      </c>
      <c r="N129" s="373"/>
    </row>
    <row r="130" spans="1:14" s="374" customFormat="1" ht="32.25" customHeight="1">
      <c r="A130" s="366">
        <v>17</v>
      </c>
      <c r="B130" s="373" t="s">
        <v>929</v>
      </c>
      <c r="C130" s="373" t="s">
        <v>903</v>
      </c>
      <c r="D130" s="369">
        <v>6.57</v>
      </c>
      <c r="E130" s="370">
        <v>2600494</v>
      </c>
      <c r="F130" s="371">
        <f t="shared" si="7"/>
        <v>17085245.580000002</v>
      </c>
      <c r="G130" s="369">
        <v>7.16</v>
      </c>
      <c r="H130" s="370">
        <v>2600494</v>
      </c>
      <c r="I130" s="371">
        <f t="shared" si="8"/>
        <v>18619537.039999999</v>
      </c>
      <c r="J130" s="372">
        <f t="shared" si="9"/>
        <v>0</v>
      </c>
      <c r="K130" s="371">
        <f t="shared" si="10"/>
        <v>0</v>
      </c>
      <c r="L130" s="369">
        <f t="shared" si="11"/>
        <v>0.58999999999999986</v>
      </c>
      <c r="M130" s="370">
        <f t="shared" si="12"/>
        <v>1534291.4599999972</v>
      </c>
      <c r="N130" s="373"/>
    </row>
    <row r="131" spans="1:14" s="374" customFormat="1" ht="32.25" customHeight="1">
      <c r="A131" s="366">
        <v>18</v>
      </c>
      <c r="B131" s="373" t="s">
        <v>961</v>
      </c>
      <c r="C131" s="373" t="s">
        <v>903</v>
      </c>
      <c r="D131" s="369">
        <v>46.268799999999999</v>
      </c>
      <c r="E131" s="370">
        <v>1537033</v>
      </c>
      <c r="F131" s="371">
        <f t="shared" si="7"/>
        <v>71116672.470400006</v>
      </c>
      <c r="G131" s="369">
        <v>45.828899999999997</v>
      </c>
      <c r="H131" s="370">
        <v>1537033</v>
      </c>
      <c r="I131" s="371">
        <f t="shared" si="8"/>
        <v>70440531.653699994</v>
      </c>
      <c r="J131" s="372">
        <f t="shared" si="9"/>
        <v>0.43990000000000151</v>
      </c>
      <c r="K131" s="371">
        <f t="shared" si="10"/>
        <v>676140.81670001149</v>
      </c>
      <c r="L131" s="369">
        <f t="shared" si="11"/>
        <v>0</v>
      </c>
      <c r="M131" s="370">
        <f t="shared" si="12"/>
        <v>0</v>
      </c>
      <c r="N131" s="373"/>
    </row>
    <row r="132" spans="1:14" s="374" customFormat="1" ht="32.25" customHeight="1">
      <c r="A132" s="366">
        <v>19</v>
      </c>
      <c r="B132" s="373" t="s">
        <v>985</v>
      </c>
      <c r="C132" s="373" t="s">
        <v>933</v>
      </c>
      <c r="D132" s="369">
        <v>528.76</v>
      </c>
      <c r="E132" s="370">
        <v>81113</v>
      </c>
      <c r="F132" s="371">
        <f t="shared" si="7"/>
        <v>42889309.880000003</v>
      </c>
      <c r="G132" s="369">
        <v>530.74</v>
      </c>
      <c r="H132" s="370">
        <v>81113</v>
      </c>
      <c r="I132" s="371">
        <f t="shared" si="8"/>
        <v>43049913.619999997</v>
      </c>
      <c r="J132" s="372">
        <f t="shared" si="9"/>
        <v>0</v>
      </c>
      <c r="K132" s="371">
        <f t="shared" si="10"/>
        <v>0</v>
      </c>
      <c r="L132" s="369">
        <f t="shared" si="11"/>
        <v>1.9800000000000182</v>
      </c>
      <c r="M132" s="370">
        <f t="shared" si="12"/>
        <v>160603.73999999464</v>
      </c>
      <c r="N132" s="373"/>
    </row>
    <row r="133" spans="1:14" s="374" customFormat="1" ht="32.25" customHeight="1">
      <c r="A133" s="366">
        <v>20</v>
      </c>
      <c r="B133" s="373" t="s">
        <v>1007</v>
      </c>
      <c r="C133" s="373" t="s">
        <v>933</v>
      </c>
      <c r="D133" s="369">
        <v>522.20000000000005</v>
      </c>
      <c r="E133" s="370">
        <v>105194</v>
      </c>
      <c r="F133" s="371">
        <f t="shared" si="7"/>
        <v>54932306.800000004</v>
      </c>
      <c r="G133" s="369">
        <v>513.52</v>
      </c>
      <c r="H133" s="370">
        <v>105194</v>
      </c>
      <c r="I133" s="371">
        <f t="shared" si="8"/>
        <v>54019222.879999995</v>
      </c>
      <c r="J133" s="372">
        <f t="shared" si="9"/>
        <v>8.6800000000000637</v>
      </c>
      <c r="K133" s="371">
        <f t="shared" si="10"/>
        <v>913083.92000000924</v>
      </c>
      <c r="L133" s="369">
        <f t="shared" si="11"/>
        <v>0</v>
      </c>
      <c r="M133" s="370">
        <f t="shared" si="12"/>
        <v>0</v>
      </c>
      <c r="N133" s="373"/>
    </row>
    <row r="134" spans="1:14" s="374" customFormat="1" ht="32.25" customHeight="1">
      <c r="A134" s="366">
        <v>21</v>
      </c>
      <c r="B134" s="373" t="s">
        <v>986</v>
      </c>
      <c r="C134" s="373" t="s">
        <v>933</v>
      </c>
      <c r="D134" s="369">
        <v>252</v>
      </c>
      <c r="E134" s="370">
        <v>76892</v>
      </c>
      <c r="F134" s="371">
        <f t="shared" ref="F134:F151" si="17">D134*E134</f>
        <v>19376784</v>
      </c>
      <c r="G134" s="369">
        <v>243</v>
      </c>
      <c r="H134" s="370">
        <v>76892</v>
      </c>
      <c r="I134" s="371">
        <f t="shared" ref="I134:I151" si="18">G134*H134</f>
        <v>18684756</v>
      </c>
      <c r="J134" s="372">
        <f t="shared" ref="J134:J151" si="19">MAX(D134-G134,0)</f>
        <v>9</v>
      </c>
      <c r="K134" s="371">
        <f t="shared" ref="K134:K151" si="20">MAX(F134-I134,0)</f>
        <v>692028</v>
      </c>
      <c r="L134" s="369">
        <f t="shared" ref="L134:L151" si="21">MAX(G134-D134,0)</f>
        <v>0</v>
      </c>
      <c r="M134" s="370">
        <f t="shared" ref="M134:M151" si="22">MAX(I134-F134,0)</f>
        <v>0</v>
      </c>
      <c r="N134" s="373"/>
    </row>
    <row r="135" spans="1:14" s="374" customFormat="1" ht="32.25" customHeight="1">
      <c r="A135" s="366">
        <v>22</v>
      </c>
      <c r="B135" s="373" t="s">
        <v>987</v>
      </c>
      <c r="C135" s="373" t="s">
        <v>933</v>
      </c>
      <c r="D135" s="369">
        <v>84</v>
      </c>
      <c r="E135" s="370">
        <v>60860</v>
      </c>
      <c r="F135" s="371">
        <f t="shared" si="17"/>
        <v>5112240</v>
      </c>
      <c r="G135" s="369">
        <v>81</v>
      </c>
      <c r="H135" s="370">
        <v>60860</v>
      </c>
      <c r="I135" s="371">
        <f t="shared" si="18"/>
        <v>4929660</v>
      </c>
      <c r="J135" s="372">
        <f t="shared" si="19"/>
        <v>3</v>
      </c>
      <c r="K135" s="371">
        <f t="shared" si="20"/>
        <v>182580</v>
      </c>
      <c r="L135" s="369">
        <f t="shared" si="21"/>
        <v>0</v>
      </c>
      <c r="M135" s="370">
        <f t="shared" si="22"/>
        <v>0</v>
      </c>
      <c r="N135" s="373"/>
    </row>
    <row r="136" spans="1:14" s="374" customFormat="1" ht="32.25" customHeight="1">
      <c r="A136" s="366">
        <v>23</v>
      </c>
      <c r="B136" s="373" t="s">
        <v>964</v>
      </c>
      <c r="C136" s="373" t="s">
        <v>988</v>
      </c>
      <c r="D136" s="369">
        <v>83</v>
      </c>
      <c r="E136" s="370">
        <v>81305</v>
      </c>
      <c r="F136" s="371">
        <f t="shared" si="17"/>
        <v>6748315</v>
      </c>
      <c r="G136" s="369">
        <v>80</v>
      </c>
      <c r="H136" s="370">
        <v>81305</v>
      </c>
      <c r="I136" s="371">
        <f t="shared" si="18"/>
        <v>6504400</v>
      </c>
      <c r="J136" s="372">
        <f t="shared" si="19"/>
        <v>3</v>
      </c>
      <c r="K136" s="371">
        <f t="shared" si="20"/>
        <v>243915</v>
      </c>
      <c r="L136" s="369">
        <f t="shared" si="21"/>
        <v>0</v>
      </c>
      <c r="M136" s="370">
        <f t="shared" si="22"/>
        <v>0</v>
      </c>
      <c r="N136" s="373"/>
    </row>
    <row r="137" spans="1:14" s="374" customFormat="1" ht="32.25" customHeight="1">
      <c r="A137" s="366">
        <v>24</v>
      </c>
      <c r="B137" s="373" t="s">
        <v>966</v>
      </c>
      <c r="C137" s="373" t="s">
        <v>988</v>
      </c>
      <c r="D137" s="369">
        <v>83</v>
      </c>
      <c r="E137" s="370">
        <v>64868</v>
      </c>
      <c r="F137" s="371">
        <f t="shared" si="17"/>
        <v>5384044</v>
      </c>
      <c r="G137" s="369">
        <v>80</v>
      </c>
      <c r="H137" s="370">
        <v>64868</v>
      </c>
      <c r="I137" s="371">
        <f t="shared" si="18"/>
        <v>5189440</v>
      </c>
      <c r="J137" s="372">
        <f t="shared" si="19"/>
        <v>3</v>
      </c>
      <c r="K137" s="371">
        <f t="shared" si="20"/>
        <v>194604</v>
      </c>
      <c r="L137" s="369">
        <f t="shared" si="21"/>
        <v>0</v>
      </c>
      <c r="M137" s="370">
        <f t="shared" si="22"/>
        <v>0</v>
      </c>
      <c r="N137" s="373"/>
    </row>
    <row r="138" spans="1:14" s="374" customFormat="1" ht="32.25" customHeight="1">
      <c r="A138" s="366">
        <v>25</v>
      </c>
      <c r="B138" s="373" t="s">
        <v>967</v>
      </c>
      <c r="C138" s="373" t="s">
        <v>933</v>
      </c>
      <c r="D138" s="369">
        <v>168</v>
      </c>
      <c r="E138" s="370">
        <v>47287</v>
      </c>
      <c r="F138" s="371">
        <f t="shared" si="17"/>
        <v>7944216</v>
      </c>
      <c r="G138" s="369">
        <v>162</v>
      </c>
      <c r="H138" s="370">
        <v>47287</v>
      </c>
      <c r="I138" s="371">
        <f t="shared" si="18"/>
        <v>7660494</v>
      </c>
      <c r="J138" s="372">
        <f t="shared" si="19"/>
        <v>6</v>
      </c>
      <c r="K138" s="371">
        <f t="shared" si="20"/>
        <v>283722</v>
      </c>
      <c r="L138" s="369">
        <f t="shared" si="21"/>
        <v>0</v>
      </c>
      <c r="M138" s="370">
        <f t="shared" si="22"/>
        <v>0</v>
      </c>
      <c r="N138" s="373"/>
    </row>
    <row r="139" spans="1:14" s="374" customFormat="1" ht="32.25" customHeight="1">
      <c r="A139" s="366">
        <v>26</v>
      </c>
      <c r="B139" s="373" t="s">
        <v>989</v>
      </c>
      <c r="C139" s="373" t="s">
        <v>981</v>
      </c>
      <c r="D139" s="369">
        <v>1.8243</v>
      </c>
      <c r="E139" s="370">
        <v>29584362</v>
      </c>
      <c r="F139" s="371">
        <f t="shared" si="17"/>
        <v>53970751.596600004</v>
      </c>
      <c r="G139" s="369">
        <v>1.7584</v>
      </c>
      <c r="H139" s="370">
        <v>29584362</v>
      </c>
      <c r="I139" s="371">
        <f t="shared" si="18"/>
        <v>52021142.140799999</v>
      </c>
      <c r="J139" s="372">
        <f t="shared" si="19"/>
        <v>6.590000000000007E-2</v>
      </c>
      <c r="K139" s="371">
        <f t="shared" si="20"/>
        <v>1949609.4558000043</v>
      </c>
      <c r="L139" s="369">
        <f t="shared" si="21"/>
        <v>0</v>
      </c>
      <c r="M139" s="370">
        <f t="shared" si="22"/>
        <v>0</v>
      </c>
      <c r="N139" s="373"/>
    </row>
    <row r="140" spans="1:14" s="374" customFormat="1" ht="32.25" customHeight="1">
      <c r="A140" s="366">
        <v>27</v>
      </c>
      <c r="B140" s="373" t="s">
        <v>959</v>
      </c>
      <c r="C140" s="373" t="s">
        <v>981</v>
      </c>
      <c r="D140" s="369">
        <v>1.8243</v>
      </c>
      <c r="E140" s="370">
        <v>2401505</v>
      </c>
      <c r="F140" s="371">
        <f t="shared" si="17"/>
        <v>4381065.5715000005</v>
      </c>
      <c r="G140" s="369">
        <v>1.7584</v>
      </c>
      <c r="H140" s="370">
        <v>2401505</v>
      </c>
      <c r="I140" s="371">
        <f>G140*H140</f>
        <v>4222806.392</v>
      </c>
      <c r="J140" s="372">
        <f t="shared" si="19"/>
        <v>6.590000000000007E-2</v>
      </c>
      <c r="K140" s="371">
        <f t="shared" si="20"/>
        <v>158259.17950000055</v>
      </c>
      <c r="L140" s="369">
        <f t="shared" si="21"/>
        <v>0</v>
      </c>
      <c r="M140" s="370">
        <f t="shared" si="22"/>
        <v>0</v>
      </c>
      <c r="N140" s="373"/>
    </row>
    <row r="141" spans="1:14" s="374" customFormat="1" ht="32.25" customHeight="1">
      <c r="A141" s="366">
        <v>28</v>
      </c>
      <c r="B141" s="373" t="s">
        <v>1008</v>
      </c>
      <c r="C141" s="373" t="s">
        <v>917</v>
      </c>
      <c r="D141" s="369">
        <v>4.6479999999999997</v>
      </c>
      <c r="E141" s="370">
        <v>16515504</v>
      </c>
      <c r="F141" s="371">
        <f t="shared" si="17"/>
        <v>76764062.591999993</v>
      </c>
      <c r="G141" s="369">
        <v>4.4800000000000004</v>
      </c>
      <c r="H141" s="370">
        <v>26515504</v>
      </c>
      <c r="I141" s="371">
        <f t="shared" si="18"/>
        <v>118789457.92000002</v>
      </c>
      <c r="J141" s="372">
        <f t="shared" si="19"/>
        <v>0.16799999999999926</v>
      </c>
      <c r="K141" s="371">
        <f t="shared" si="20"/>
        <v>0</v>
      </c>
      <c r="L141" s="369">
        <f t="shared" si="21"/>
        <v>0</v>
      </c>
      <c r="M141" s="370">
        <f t="shared" si="22"/>
        <v>42025395.328000024</v>
      </c>
      <c r="N141" s="373"/>
    </row>
    <row r="142" spans="1:14" s="374" customFormat="1" ht="32.25" customHeight="1">
      <c r="A142" s="366">
        <v>29</v>
      </c>
      <c r="B142" s="373" t="s">
        <v>962</v>
      </c>
      <c r="C142" s="373" t="s">
        <v>933</v>
      </c>
      <c r="D142" s="369">
        <v>415</v>
      </c>
      <c r="E142" s="370">
        <v>191935</v>
      </c>
      <c r="F142" s="371">
        <f t="shared" si="17"/>
        <v>79653025</v>
      </c>
      <c r="G142" s="369">
        <v>0</v>
      </c>
      <c r="H142" s="370">
        <v>191935</v>
      </c>
      <c r="I142" s="371">
        <f t="shared" si="18"/>
        <v>0</v>
      </c>
      <c r="J142" s="372">
        <f t="shared" si="19"/>
        <v>415</v>
      </c>
      <c r="K142" s="371">
        <f t="shared" si="20"/>
        <v>79653025</v>
      </c>
      <c r="L142" s="369">
        <f t="shared" si="21"/>
        <v>0</v>
      </c>
      <c r="M142" s="370">
        <f t="shared" si="22"/>
        <v>0</v>
      </c>
      <c r="N142" s="373"/>
    </row>
    <row r="143" spans="1:14" s="374" customFormat="1" ht="32.25" customHeight="1">
      <c r="A143" s="366">
        <v>30</v>
      </c>
      <c r="B143" s="373" t="s">
        <v>954</v>
      </c>
      <c r="C143" s="373" t="s">
        <v>903</v>
      </c>
      <c r="D143" s="369">
        <v>51.46</v>
      </c>
      <c r="E143" s="370">
        <v>1676247</v>
      </c>
      <c r="F143" s="371">
        <f t="shared" si="17"/>
        <v>86259670.620000005</v>
      </c>
      <c r="G143" s="369">
        <v>49.6</v>
      </c>
      <c r="H143" s="370">
        <v>1676247</v>
      </c>
      <c r="I143" s="371">
        <f t="shared" si="18"/>
        <v>83141851.200000003</v>
      </c>
      <c r="J143" s="372">
        <f t="shared" si="19"/>
        <v>1.8599999999999994</v>
      </c>
      <c r="K143" s="371">
        <f t="shared" si="20"/>
        <v>3117819.4200000018</v>
      </c>
      <c r="L143" s="369">
        <f t="shared" si="21"/>
        <v>0</v>
      </c>
      <c r="M143" s="370">
        <f t="shared" si="22"/>
        <v>0</v>
      </c>
      <c r="N143" s="373"/>
    </row>
    <row r="144" spans="1:14" s="374" customFormat="1" ht="32.25" customHeight="1">
      <c r="A144" s="366">
        <v>31</v>
      </c>
      <c r="B144" s="373" t="s">
        <v>927</v>
      </c>
      <c r="C144" s="373" t="s">
        <v>917</v>
      </c>
      <c r="D144" s="369">
        <v>4.9800000000000004</v>
      </c>
      <c r="E144" s="370">
        <v>682496</v>
      </c>
      <c r="F144" s="371">
        <f t="shared" si="17"/>
        <v>3398830.0800000001</v>
      </c>
      <c r="G144" s="369">
        <v>4.8</v>
      </c>
      <c r="H144" s="370">
        <v>682496</v>
      </c>
      <c r="I144" s="371">
        <f t="shared" si="18"/>
        <v>3275980.7999999998</v>
      </c>
      <c r="J144" s="372">
        <f t="shared" si="19"/>
        <v>0.1800000000000006</v>
      </c>
      <c r="K144" s="371">
        <f t="shared" si="20"/>
        <v>122849.28000000026</v>
      </c>
      <c r="L144" s="369">
        <f t="shared" si="21"/>
        <v>0</v>
      </c>
      <c r="M144" s="370">
        <f t="shared" si="22"/>
        <v>0</v>
      </c>
      <c r="N144" s="373"/>
    </row>
    <row r="145" spans="1:14" s="374" customFormat="1" ht="32.25" customHeight="1">
      <c r="A145" s="366">
        <v>32</v>
      </c>
      <c r="B145" s="373" t="s">
        <v>994</v>
      </c>
      <c r="C145" s="373" t="s">
        <v>933</v>
      </c>
      <c r="D145" s="369">
        <v>506.3</v>
      </c>
      <c r="E145" s="370">
        <v>187552</v>
      </c>
      <c r="F145" s="371">
        <f t="shared" si="17"/>
        <v>94957577.600000009</v>
      </c>
      <c r="G145" s="369">
        <v>488</v>
      </c>
      <c r="H145" s="370">
        <v>100000</v>
      </c>
      <c r="I145" s="371">
        <f t="shared" si="18"/>
        <v>48800000</v>
      </c>
      <c r="J145" s="372">
        <f t="shared" si="19"/>
        <v>18.300000000000011</v>
      </c>
      <c r="K145" s="371">
        <f t="shared" si="20"/>
        <v>46157577.600000009</v>
      </c>
      <c r="L145" s="369">
        <f t="shared" si="21"/>
        <v>0</v>
      </c>
      <c r="M145" s="370">
        <f t="shared" si="22"/>
        <v>0</v>
      </c>
      <c r="N145" s="373"/>
    </row>
    <row r="146" spans="1:14" s="374" customFormat="1" ht="32.25" customHeight="1">
      <c r="A146" s="366">
        <v>33</v>
      </c>
      <c r="B146" s="373" t="s">
        <v>995</v>
      </c>
      <c r="C146" s="373" t="s">
        <v>933</v>
      </c>
      <c r="D146" s="369">
        <v>515.17999999999995</v>
      </c>
      <c r="E146" s="370">
        <v>302602</v>
      </c>
      <c r="F146" s="371">
        <f t="shared" si="17"/>
        <v>155894498.35999998</v>
      </c>
      <c r="G146" s="369">
        <v>513.95000000000005</v>
      </c>
      <c r="H146" s="370">
        <v>120000</v>
      </c>
      <c r="I146" s="371">
        <f t="shared" si="18"/>
        <v>61674000.000000007</v>
      </c>
      <c r="J146" s="372">
        <f t="shared" si="19"/>
        <v>1.2299999999999045</v>
      </c>
      <c r="K146" s="371">
        <f t="shared" si="20"/>
        <v>94220498.359999985</v>
      </c>
      <c r="L146" s="369">
        <f t="shared" si="21"/>
        <v>0</v>
      </c>
      <c r="M146" s="370">
        <f t="shared" si="22"/>
        <v>0</v>
      </c>
      <c r="N146" s="373"/>
    </row>
    <row r="147" spans="1:14" s="374" customFormat="1" ht="32.25" customHeight="1">
      <c r="A147" s="366">
        <v>34</v>
      </c>
      <c r="B147" s="373" t="s">
        <v>936</v>
      </c>
      <c r="C147" s="373" t="s">
        <v>933</v>
      </c>
      <c r="D147" s="369">
        <v>780.76</v>
      </c>
      <c r="E147" s="370">
        <v>83662</v>
      </c>
      <c r="F147" s="371">
        <f t="shared" si="17"/>
        <v>65319943.119999997</v>
      </c>
      <c r="G147" s="369">
        <v>775.01</v>
      </c>
      <c r="H147" s="370">
        <v>83662</v>
      </c>
      <c r="I147" s="371">
        <f>G147*H147</f>
        <v>64838886.619999997</v>
      </c>
      <c r="J147" s="372">
        <f t="shared" si="19"/>
        <v>5.75</v>
      </c>
      <c r="K147" s="371">
        <f t="shared" si="20"/>
        <v>481056.5</v>
      </c>
      <c r="L147" s="369">
        <f t="shared" si="21"/>
        <v>0</v>
      </c>
      <c r="M147" s="370">
        <f t="shared" si="22"/>
        <v>0</v>
      </c>
      <c r="N147" s="373"/>
    </row>
    <row r="148" spans="1:14" s="374" customFormat="1" ht="32.25" customHeight="1">
      <c r="A148" s="366">
        <v>35</v>
      </c>
      <c r="B148" s="373" t="s">
        <v>1009</v>
      </c>
      <c r="C148" s="373" t="s">
        <v>933</v>
      </c>
      <c r="D148" s="369">
        <v>780.76</v>
      </c>
      <c r="E148" s="370">
        <v>59365</v>
      </c>
      <c r="F148" s="371">
        <f t="shared" si="17"/>
        <v>46349817.399999999</v>
      </c>
      <c r="G148" s="369">
        <v>775.01</v>
      </c>
      <c r="H148" s="370">
        <v>29710</v>
      </c>
      <c r="I148" s="371">
        <f>G148*H148</f>
        <v>23025547.100000001</v>
      </c>
      <c r="J148" s="372">
        <f t="shared" si="19"/>
        <v>5.75</v>
      </c>
      <c r="K148" s="371">
        <f t="shared" si="20"/>
        <v>23324270.299999997</v>
      </c>
      <c r="L148" s="369">
        <f t="shared" si="21"/>
        <v>0</v>
      </c>
      <c r="M148" s="370">
        <f t="shared" si="22"/>
        <v>0</v>
      </c>
      <c r="N148" s="373"/>
    </row>
    <row r="149" spans="1:14" ht="32.25" customHeight="1">
      <c r="A149" s="364">
        <v>36</v>
      </c>
      <c r="B149" s="362" t="s">
        <v>971</v>
      </c>
      <c r="C149" s="362" t="s">
        <v>942</v>
      </c>
      <c r="D149" s="360">
        <v>0.6</v>
      </c>
      <c r="E149" s="361">
        <v>14072168</v>
      </c>
      <c r="F149" s="359">
        <f t="shared" si="17"/>
        <v>8443300.7999999989</v>
      </c>
      <c r="G149" s="360">
        <v>0.6</v>
      </c>
      <c r="H149" s="361">
        <v>14072168</v>
      </c>
      <c r="I149" s="359">
        <f t="shared" si="18"/>
        <v>8443300.7999999989</v>
      </c>
      <c r="J149" s="358">
        <f t="shared" si="19"/>
        <v>0</v>
      </c>
      <c r="K149" s="359">
        <f t="shared" si="20"/>
        <v>0</v>
      </c>
      <c r="L149" s="360">
        <f t="shared" si="21"/>
        <v>0</v>
      </c>
      <c r="M149" s="361">
        <f t="shared" si="22"/>
        <v>0</v>
      </c>
      <c r="N149" s="362"/>
    </row>
    <row r="150" spans="1:14" ht="32.25" customHeight="1">
      <c r="A150" s="364">
        <v>37</v>
      </c>
      <c r="B150" s="362" t="s">
        <v>972</v>
      </c>
      <c r="C150" s="362" t="s">
        <v>997</v>
      </c>
      <c r="D150" s="360">
        <v>10</v>
      </c>
      <c r="E150" s="361">
        <v>44770</v>
      </c>
      <c r="F150" s="359">
        <f t="shared" si="17"/>
        <v>447700</v>
      </c>
      <c r="G150" s="360">
        <v>10</v>
      </c>
      <c r="H150" s="361">
        <v>44770</v>
      </c>
      <c r="I150" s="359">
        <f t="shared" si="18"/>
        <v>447700</v>
      </c>
      <c r="J150" s="358">
        <f t="shared" si="19"/>
        <v>0</v>
      </c>
      <c r="K150" s="359">
        <f t="shared" si="20"/>
        <v>0</v>
      </c>
      <c r="L150" s="360">
        <f t="shared" si="21"/>
        <v>0</v>
      </c>
      <c r="M150" s="361">
        <f t="shared" si="22"/>
        <v>0</v>
      </c>
      <c r="N150" s="362"/>
    </row>
    <row r="151" spans="1:14" ht="32.25" customHeight="1">
      <c r="A151" s="364">
        <v>38</v>
      </c>
      <c r="B151" s="362"/>
      <c r="C151" s="362"/>
      <c r="D151" s="360"/>
      <c r="E151" s="361"/>
      <c r="F151" s="359">
        <f t="shared" si="17"/>
        <v>0</v>
      </c>
      <c r="G151" s="360"/>
      <c r="H151" s="361"/>
      <c r="I151" s="359">
        <f t="shared" si="18"/>
        <v>0</v>
      </c>
      <c r="J151" s="358">
        <f t="shared" si="19"/>
        <v>0</v>
      </c>
      <c r="K151" s="359">
        <f t="shared" si="20"/>
        <v>0</v>
      </c>
      <c r="L151" s="360">
        <f t="shared" si="21"/>
        <v>0</v>
      </c>
      <c r="M151" s="361">
        <f t="shared" si="22"/>
        <v>0</v>
      </c>
      <c r="N151" s="362"/>
    </row>
    <row r="152" spans="1:14" s="349" customFormat="1" ht="32.25" customHeight="1">
      <c r="A152" s="497" t="s">
        <v>94</v>
      </c>
      <c r="B152" s="497"/>
      <c r="C152" s="497"/>
      <c r="D152" s="350"/>
      <c r="E152" s="351"/>
      <c r="F152" s="351">
        <f>SUM(F113:F151)</f>
        <v>1559239216.9536996</v>
      </c>
      <c r="G152" s="350"/>
      <c r="H152" s="351"/>
      <c r="I152" s="351">
        <f t="shared" ref="I152" si="23">SUM(I113:I151)</f>
        <v>1321324080.0392997</v>
      </c>
      <c r="J152" s="350"/>
      <c r="K152" s="351">
        <f t="shared" ref="K152" si="24">SUM(K113:K151)</f>
        <v>290032686.3064</v>
      </c>
      <c r="L152" s="350"/>
      <c r="M152" s="351">
        <f t="shared" ref="M152" si="25">SUM(M113:M151)</f>
        <v>52117549.39200002</v>
      </c>
      <c r="N152" s="382"/>
    </row>
    <row r="153" spans="1:14" ht="32.25" customHeight="1">
      <c r="A153" s="497" t="s">
        <v>1010</v>
      </c>
      <c r="B153" s="497"/>
      <c r="C153" s="497"/>
      <c r="D153" s="360"/>
      <c r="E153" s="361"/>
      <c r="F153" s="359"/>
      <c r="G153" s="360"/>
      <c r="H153" s="361"/>
      <c r="I153" s="359"/>
      <c r="J153" s="358"/>
      <c r="K153" s="359"/>
      <c r="L153" s="360"/>
      <c r="M153" s="361"/>
      <c r="N153" s="362"/>
    </row>
    <row r="154" spans="1:14" ht="32.25" customHeight="1">
      <c r="A154" s="364">
        <v>1</v>
      </c>
      <c r="B154" s="362" t="s">
        <v>902</v>
      </c>
      <c r="C154" s="362" t="s">
        <v>903</v>
      </c>
      <c r="D154" s="360">
        <v>123.30240000000001</v>
      </c>
      <c r="E154" s="361">
        <v>157313</v>
      </c>
      <c r="F154" s="359">
        <f t="shared" ref="F154:F179" si="26">D154*E154</f>
        <v>19397070.451200001</v>
      </c>
      <c r="G154" s="360">
        <v>123.30240000000001</v>
      </c>
      <c r="H154" s="361">
        <v>157313</v>
      </c>
      <c r="I154" s="359">
        <f t="shared" ref="I154:I179" si="27">G154*H154</f>
        <v>19397070.451200001</v>
      </c>
      <c r="J154" s="358">
        <f t="shared" ref="J154:J179" si="28">MAX(D154-G154,0)</f>
        <v>0</v>
      </c>
      <c r="K154" s="359">
        <f t="shared" ref="K154:K179" si="29">MAX(F154-I154,0)</f>
        <v>0</v>
      </c>
      <c r="L154" s="360">
        <f t="shared" ref="L154:L179" si="30">MAX(G154-D154,0)</f>
        <v>0</v>
      </c>
      <c r="M154" s="361">
        <f t="shared" ref="M154:M179" si="31">MAX(I154-F154,0)</f>
        <v>0</v>
      </c>
      <c r="N154" s="362" t="s">
        <v>1011</v>
      </c>
    </row>
    <row r="155" spans="1:14" ht="32.25" customHeight="1">
      <c r="A155" s="364">
        <v>2</v>
      </c>
      <c r="B155" s="362" t="s">
        <v>999</v>
      </c>
      <c r="C155" s="362" t="s">
        <v>903</v>
      </c>
      <c r="D155" s="360">
        <v>41.1008</v>
      </c>
      <c r="E155" s="361">
        <v>124076</v>
      </c>
      <c r="F155" s="359">
        <f t="shared" si="26"/>
        <v>5099622.8607999999</v>
      </c>
      <c r="G155" s="360">
        <v>41.1008</v>
      </c>
      <c r="H155" s="361">
        <v>124076</v>
      </c>
      <c r="I155" s="359">
        <f t="shared" si="27"/>
        <v>5099622.8607999999</v>
      </c>
      <c r="J155" s="358">
        <f t="shared" si="28"/>
        <v>0</v>
      </c>
      <c r="K155" s="359">
        <f t="shared" si="29"/>
        <v>0</v>
      </c>
      <c r="L155" s="360">
        <f t="shared" si="30"/>
        <v>0</v>
      </c>
      <c r="M155" s="361">
        <f t="shared" si="31"/>
        <v>0</v>
      </c>
      <c r="N155" s="362"/>
    </row>
    <row r="156" spans="1:14" ht="32.25" customHeight="1">
      <c r="A156" s="364">
        <v>3</v>
      </c>
      <c r="B156" s="362" t="s">
        <v>1012</v>
      </c>
      <c r="C156" s="362" t="s">
        <v>942</v>
      </c>
      <c r="D156" s="360">
        <v>42.625</v>
      </c>
      <c r="E156" s="361">
        <v>1206690</v>
      </c>
      <c r="F156" s="359">
        <f t="shared" si="26"/>
        <v>51435161.25</v>
      </c>
      <c r="G156" s="360">
        <v>42.625</v>
      </c>
      <c r="H156" s="361">
        <v>1206690</v>
      </c>
      <c r="I156" s="359">
        <f t="shared" si="27"/>
        <v>51435161.25</v>
      </c>
      <c r="J156" s="358">
        <f t="shared" si="28"/>
        <v>0</v>
      </c>
      <c r="K156" s="359">
        <f t="shared" si="29"/>
        <v>0</v>
      </c>
      <c r="L156" s="360">
        <f t="shared" si="30"/>
        <v>0</v>
      </c>
      <c r="M156" s="361">
        <f t="shared" si="31"/>
        <v>0</v>
      </c>
      <c r="N156" s="362"/>
    </row>
    <row r="157" spans="1:14" ht="32.25" customHeight="1">
      <c r="A157" s="364">
        <v>4</v>
      </c>
      <c r="B157" s="362" t="s">
        <v>1013</v>
      </c>
      <c r="C157" s="362" t="s">
        <v>903</v>
      </c>
      <c r="D157" s="360">
        <v>3.6480000000000001</v>
      </c>
      <c r="E157" s="361">
        <v>1283592</v>
      </c>
      <c r="F157" s="359">
        <f t="shared" si="26"/>
        <v>4682543.6160000004</v>
      </c>
      <c r="G157" s="360">
        <v>3.6480000000000001</v>
      </c>
      <c r="H157" s="361">
        <v>1283592</v>
      </c>
      <c r="I157" s="359">
        <f t="shared" si="27"/>
        <v>4682543.6160000004</v>
      </c>
      <c r="J157" s="358">
        <f t="shared" si="28"/>
        <v>0</v>
      </c>
      <c r="K157" s="359">
        <f t="shared" si="29"/>
        <v>0</v>
      </c>
      <c r="L157" s="360">
        <f t="shared" si="30"/>
        <v>0</v>
      </c>
      <c r="M157" s="361">
        <f t="shared" si="31"/>
        <v>0</v>
      </c>
      <c r="N157" s="362"/>
    </row>
    <row r="158" spans="1:14" ht="32.25" customHeight="1">
      <c r="A158" s="364">
        <v>5</v>
      </c>
      <c r="B158" s="362" t="s">
        <v>1002</v>
      </c>
      <c r="C158" s="362" t="s">
        <v>903</v>
      </c>
      <c r="D158" s="360">
        <v>4.6440000000000001</v>
      </c>
      <c r="E158" s="361">
        <v>2216701</v>
      </c>
      <c r="F158" s="359">
        <f t="shared" si="26"/>
        <v>10294359.444</v>
      </c>
      <c r="G158" s="360">
        <v>4.6440000000000001</v>
      </c>
      <c r="H158" s="361">
        <v>2216701</v>
      </c>
      <c r="I158" s="359">
        <f t="shared" si="27"/>
        <v>10294359.444</v>
      </c>
      <c r="J158" s="358">
        <f t="shared" si="28"/>
        <v>0</v>
      </c>
      <c r="K158" s="359">
        <f t="shared" si="29"/>
        <v>0</v>
      </c>
      <c r="L158" s="360">
        <f t="shared" si="30"/>
        <v>0</v>
      </c>
      <c r="M158" s="361">
        <f t="shared" si="31"/>
        <v>0</v>
      </c>
      <c r="N158" s="362"/>
    </row>
    <row r="159" spans="1:14" ht="32.25" customHeight="1">
      <c r="A159" s="364">
        <v>6</v>
      </c>
      <c r="B159" s="362" t="s">
        <v>977</v>
      </c>
      <c r="C159" s="362" t="s">
        <v>903</v>
      </c>
      <c r="D159" s="360">
        <v>2</v>
      </c>
      <c r="E159" s="361">
        <v>2543579</v>
      </c>
      <c r="F159" s="359">
        <f t="shared" si="26"/>
        <v>5087158</v>
      </c>
      <c r="G159" s="360">
        <v>2</v>
      </c>
      <c r="H159" s="361">
        <v>2543579</v>
      </c>
      <c r="I159" s="359">
        <f t="shared" si="27"/>
        <v>5087158</v>
      </c>
      <c r="J159" s="358">
        <f t="shared" si="28"/>
        <v>0</v>
      </c>
      <c r="K159" s="359">
        <f t="shared" si="29"/>
        <v>0</v>
      </c>
      <c r="L159" s="360">
        <f t="shared" si="30"/>
        <v>0</v>
      </c>
      <c r="M159" s="361">
        <f t="shared" si="31"/>
        <v>0</v>
      </c>
      <c r="N159" s="362"/>
    </row>
    <row r="160" spans="1:14" ht="32.25" customHeight="1">
      <c r="A160" s="364">
        <v>7</v>
      </c>
      <c r="B160" s="362" t="s">
        <v>1014</v>
      </c>
      <c r="C160" s="362" t="s">
        <v>903</v>
      </c>
      <c r="D160" s="360">
        <v>24.95</v>
      </c>
      <c r="E160" s="361">
        <v>2522566</v>
      </c>
      <c r="F160" s="359">
        <f t="shared" si="26"/>
        <v>62938021.699999996</v>
      </c>
      <c r="G160" s="360">
        <v>24.95</v>
      </c>
      <c r="H160" s="361">
        <v>2522566</v>
      </c>
      <c r="I160" s="359">
        <f t="shared" si="27"/>
        <v>62938021.699999996</v>
      </c>
      <c r="J160" s="358">
        <f t="shared" si="28"/>
        <v>0</v>
      </c>
      <c r="K160" s="359">
        <f t="shared" si="29"/>
        <v>0</v>
      </c>
      <c r="L160" s="360">
        <f t="shared" si="30"/>
        <v>0</v>
      </c>
      <c r="M160" s="361">
        <f t="shared" si="31"/>
        <v>0</v>
      </c>
      <c r="N160" s="362"/>
    </row>
    <row r="161" spans="1:14" ht="32.25" customHeight="1">
      <c r="A161" s="364">
        <v>8</v>
      </c>
      <c r="B161" s="362" t="s">
        <v>1015</v>
      </c>
      <c r="C161" s="362" t="s">
        <v>903</v>
      </c>
      <c r="D161" s="360">
        <v>2.9580000000000002</v>
      </c>
      <c r="E161" s="361">
        <v>1944442</v>
      </c>
      <c r="F161" s="359">
        <f t="shared" si="26"/>
        <v>5751659.4360000007</v>
      </c>
      <c r="G161" s="360">
        <v>2.9580000000000002</v>
      </c>
      <c r="H161" s="361">
        <v>1944442</v>
      </c>
      <c r="I161" s="359">
        <f t="shared" si="27"/>
        <v>5751659.4360000007</v>
      </c>
      <c r="J161" s="358">
        <f t="shared" si="28"/>
        <v>0</v>
      </c>
      <c r="K161" s="359">
        <f t="shared" si="29"/>
        <v>0</v>
      </c>
      <c r="L161" s="360">
        <f t="shared" si="30"/>
        <v>0</v>
      </c>
      <c r="M161" s="361">
        <f t="shared" si="31"/>
        <v>0</v>
      </c>
      <c r="N161" s="362"/>
    </row>
    <row r="162" spans="1:14" ht="32.25" customHeight="1">
      <c r="A162" s="364">
        <v>9</v>
      </c>
      <c r="B162" s="362" t="s">
        <v>1016</v>
      </c>
      <c r="C162" s="362" t="s">
        <v>917</v>
      </c>
      <c r="D162" s="360">
        <v>0.53779999999999994</v>
      </c>
      <c r="E162" s="361">
        <v>21613723</v>
      </c>
      <c r="F162" s="359">
        <f t="shared" si="26"/>
        <v>11623860.2294</v>
      </c>
      <c r="G162" s="360">
        <v>0.53779999999999994</v>
      </c>
      <c r="H162" s="361">
        <v>21613723</v>
      </c>
      <c r="I162" s="359">
        <f t="shared" si="27"/>
        <v>11623860.2294</v>
      </c>
      <c r="J162" s="358">
        <f t="shared" si="28"/>
        <v>0</v>
      </c>
      <c r="K162" s="359">
        <f t="shared" si="29"/>
        <v>0</v>
      </c>
      <c r="L162" s="360">
        <f t="shared" si="30"/>
        <v>0</v>
      </c>
      <c r="M162" s="361">
        <f t="shared" si="31"/>
        <v>0</v>
      </c>
      <c r="N162" s="362"/>
    </row>
    <row r="163" spans="1:14" ht="32.25" customHeight="1">
      <c r="A163" s="364">
        <v>10</v>
      </c>
      <c r="B163" s="362" t="s">
        <v>949</v>
      </c>
      <c r="C163" s="362" t="s">
        <v>917</v>
      </c>
      <c r="D163" s="360">
        <v>0.4</v>
      </c>
      <c r="E163" s="361">
        <v>17821387</v>
      </c>
      <c r="F163" s="359">
        <f t="shared" si="26"/>
        <v>7128554.8000000007</v>
      </c>
      <c r="G163" s="360">
        <v>0.4</v>
      </c>
      <c r="H163" s="361">
        <v>17821387</v>
      </c>
      <c r="I163" s="359">
        <f t="shared" si="27"/>
        <v>7128554.8000000007</v>
      </c>
      <c r="J163" s="358">
        <f t="shared" si="28"/>
        <v>0</v>
      </c>
      <c r="K163" s="359">
        <f t="shared" si="29"/>
        <v>0</v>
      </c>
      <c r="L163" s="360">
        <f t="shared" si="30"/>
        <v>0</v>
      </c>
      <c r="M163" s="361">
        <f t="shared" si="31"/>
        <v>0</v>
      </c>
      <c r="N163" s="362"/>
    </row>
    <row r="164" spans="1:14" ht="32.25" customHeight="1">
      <c r="A164" s="364">
        <v>11</v>
      </c>
      <c r="B164" s="362" t="s">
        <v>1017</v>
      </c>
      <c r="C164" s="362" t="s">
        <v>917</v>
      </c>
      <c r="D164" s="360">
        <v>1.7678</v>
      </c>
      <c r="E164" s="361">
        <v>16155898</v>
      </c>
      <c r="F164" s="359">
        <f t="shared" si="26"/>
        <v>28560396.4844</v>
      </c>
      <c r="G164" s="360">
        <v>1.7678</v>
      </c>
      <c r="H164" s="361">
        <v>16155898</v>
      </c>
      <c r="I164" s="359">
        <f t="shared" si="27"/>
        <v>28560396.4844</v>
      </c>
      <c r="J164" s="358">
        <f t="shared" si="28"/>
        <v>0</v>
      </c>
      <c r="K164" s="359">
        <f t="shared" si="29"/>
        <v>0</v>
      </c>
      <c r="L164" s="360">
        <f t="shared" si="30"/>
        <v>0</v>
      </c>
      <c r="M164" s="361">
        <f t="shared" si="31"/>
        <v>0</v>
      </c>
      <c r="N164" s="362"/>
    </row>
    <row r="165" spans="1:14" ht="32.25" customHeight="1">
      <c r="A165" s="364">
        <v>12</v>
      </c>
      <c r="B165" s="362" t="s">
        <v>1018</v>
      </c>
      <c r="C165" s="362" t="s">
        <v>917</v>
      </c>
      <c r="D165" s="360">
        <v>0.29580000000000001</v>
      </c>
      <c r="E165" s="361">
        <v>17179470</v>
      </c>
      <c r="F165" s="359">
        <f t="shared" si="26"/>
        <v>5081687.2259999998</v>
      </c>
      <c r="G165" s="360">
        <v>0.29580000000000001</v>
      </c>
      <c r="H165" s="361">
        <v>17179470</v>
      </c>
      <c r="I165" s="359">
        <f t="shared" si="27"/>
        <v>5081687.2259999998</v>
      </c>
      <c r="J165" s="358">
        <f t="shared" si="28"/>
        <v>0</v>
      </c>
      <c r="K165" s="359">
        <f t="shared" si="29"/>
        <v>0</v>
      </c>
      <c r="L165" s="360">
        <f t="shared" si="30"/>
        <v>0</v>
      </c>
      <c r="M165" s="361">
        <f t="shared" si="31"/>
        <v>0</v>
      </c>
      <c r="N165" s="362"/>
    </row>
    <row r="166" spans="1:14" ht="32.25" customHeight="1">
      <c r="A166" s="364">
        <v>13</v>
      </c>
      <c r="B166" s="362" t="s">
        <v>1019</v>
      </c>
      <c r="C166" s="362" t="s">
        <v>922</v>
      </c>
      <c r="D166" s="360">
        <v>1.0991</v>
      </c>
      <c r="E166" s="361">
        <v>23112893</v>
      </c>
      <c r="F166" s="359">
        <f t="shared" si="26"/>
        <v>25403380.6963</v>
      </c>
      <c r="G166" s="360">
        <v>1.0991</v>
      </c>
      <c r="H166" s="361">
        <v>23112893</v>
      </c>
      <c r="I166" s="359">
        <f t="shared" si="27"/>
        <v>25403380.6963</v>
      </c>
      <c r="J166" s="358">
        <f t="shared" si="28"/>
        <v>0</v>
      </c>
      <c r="K166" s="359">
        <f t="shared" si="29"/>
        <v>0</v>
      </c>
      <c r="L166" s="360">
        <f t="shared" si="30"/>
        <v>0</v>
      </c>
      <c r="M166" s="361">
        <f t="shared" si="31"/>
        <v>0</v>
      </c>
      <c r="N166" s="362"/>
    </row>
    <row r="167" spans="1:14" ht="32.25" customHeight="1">
      <c r="A167" s="364">
        <v>14</v>
      </c>
      <c r="B167" s="362" t="s">
        <v>1020</v>
      </c>
      <c r="C167" s="362" t="s">
        <v>922</v>
      </c>
      <c r="D167" s="360">
        <v>0.49980000000000002</v>
      </c>
      <c r="E167" s="361">
        <v>22795827</v>
      </c>
      <c r="F167" s="359">
        <f t="shared" si="26"/>
        <v>11393354.3346</v>
      </c>
      <c r="G167" s="360">
        <v>0.49980000000000002</v>
      </c>
      <c r="H167" s="361">
        <v>22795827</v>
      </c>
      <c r="I167" s="359">
        <f t="shared" si="27"/>
        <v>11393354.3346</v>
      </c>
      <c r="J167" s="358">
        <f t="shared" si="28"/>
        <v>0</v>
      </c>
      <c r="K167" s="359">
        <f t="shared" si="29"/>
        <v>0</v>
      </c>
      <c r="L167" s="360">
        <f t="shared" si="30"/>
        <v>0</v>
      </c>
      <c r="M167" s="361">
        <f t="shared" si="31"/>
        <v>0</v>
      </c>
      <c r="N167" s="362"/>
    </row>
    <row r="168" spans="1:14" ht="32.25" customHeight="1">
      <c r="A168" s="364">
        <v>15</v>
      </c>
      <c r="B168" s="362" t="s">
        <v>1021</v>
      </c>
      <c r="C168" s="362" t="s">
        <v>922</v>
      </c>
      <c r="D168" s="360">
        <v>4.4955999999999996</v>
      </c>
      <c r="E168" s="361">
        <v>24438803</v>
      </c>
      <c r="F168" s="359">
        <f t="shared" si="26"/>
        <v>109867082.76679999</v>
      </c>
      <c r="G168" s="360">
        <v>4.4955999999999996</v>
      </c>
      <c r="H168" s="361">
        <v>24438803</v>
      </c>
      <c r="I168" s="359">
        <f t="shared" si="27"/>
        <v>109867082.76679999</v>
      </c>
      <c r="J168" s="358">
        <f t="shared" si="28"/>
        <v>0</v>
      </c>
      <c r="K168" s="359">
        <f t="shared" si="29"/>
        <v>0</v>
      </c>
      <c r="L168" s="360">
        <f t="shared" si="30"/>
        <v>0</v>
      </c>
      <c r="M168" s="361">
        <f t="shared" si="31"/>
        <v>0</v>
      </c>
      <c r="N168" s="362"/>
    </row>
    <row r="169" spans="1:14" ht="32.25" customHeight="1">
      <c r="A169" s="364">
        <v>16</v>
      </c>
      <c r="B169" s="362" t="s">
        <v>1022</v>
      </c>
      <c r="C169" s="362" t="s">
        <v>922</v>
      </c>
      <c r="D169" s="360">
        <v>0.56810000000000005</v>
      </c>
      <c r="E169" s="361">
        <v>22736885</v>
      </c>
      <c r="F169" s="359">
        <f t="shared" si="26"/>
        <v>12916824.368500002</v>
      </c>
      <c r="G169" s="360">
        <v>0.56810000000000005</v>
      </c>
      <c r="H169" s="361">
        <v>22736885</v>
      </c>
      <c r="I169" s="359">
        <f t="shared" si="27"/>
        <v>12916824.368500002</v>
      </c>
      <c r="J169" s="358">
        <f t="shared" si="28"/>
        <v>0</v>
      </c>
      <c r="K169" s="359">
        <f t="shared" si="29"/>
        <v>0</v>
      </c>
      <c r="L169" s="360">
        <f t="shared" si="30"/>
        <v>0</v>
      </c>
      <c r="M169" s="361">
        <f t="shared" si="31"/>
        <v>0</v>
      </c>
      <c r="N169" s="362"/>
    </row>
    <row r="170" spans="1:14" ht="32.25" customHeight="1">
      <c r="A170" s="364">
        <v>17</v>
      </c>
      <c r="B170" s="362" t="s">
        <v>932</v>
      </c>
      <c r="C170" s="362" t="s">
        <v>933</v>
      </c>
      <c r="D170" s="360">
        <v>147.19999999999999</v>
      </c>
      <c r="E170" s="361">
        <v>81113</v>
      </c>
      <c r="F170" s="359">
        <f t="shared" si="26"/>
        <v>11939833.6</v>
      </c>
      <c r="G170" s="360">
        <v>147.19999999999999</v>
      </c>
      <c r="H170" s="361">
        <v>81113</v>
      </c>
      <c r="I170" s="359">
        <f t="shared" si="27"/>
        <v>11939833.6</v>
      </c>
      <c r="J170" s="358">
        <f t="shared" si="28"/>
        <v>0</v>
      </c>
      <c r="K170" s="359">
        <f t="shared" si="29"/>
        <v>0</v>
      </c>
      <c r="L170" s="360">
        <f t="shared" si="30"/>
        <v>0</v>
      </c>
      <c r="M170" s="361">
        <f t="shared" si="31"/>
        <v>0</v>
      </c>
      <c r="N170" s="362"/>
    </row>
    <row r="171" spans="1:14" ht="32.25" customHeight="1">
      <c r="A171" s="364">
        <v>18</v>
      </c>
      <c r="B171" s="362" t="s">
        <v>1023</v>
      </c>
      <c r="C171" s="362" t="s">
        <v>933</v>
      </c>
      <c r="D171" s="360">
        <v>28.8</v>
      </c>
      <c r="E171" s="361">
        <v>149196</v>
      </c>
      <c r="F171" s="359">
        <f t="shared" si="26"/>
        <v>4296844.8</v>
      </c>
      <c r="G171" s="360">
        <v>28.8</v>
      </c>
      <c r="H171" s="361">
        <v>149196</v>
      </c>
      <c r="I171" s="359">
        <f t="shared" si="27"/>
        <v>4296844.8</v>
      </c>
      <c r="J171" s="358">
        <f t="shared" si="28"/>
        <v>0</v>
      </c>
      <c r="K171" s="359">
        <f t="shared" si="29"/>
        <v>0</v>
      </c>
      <c r="L171" s="360">
        <f t="shared" si="30"/>
        <v>0</v>
      </c>
      <c r="M171" s="361">
        <f t="shared" si="31"/>
        <v>0</v>
      </c>
      <c r="N171" s="362"/>
    </row>
    <row r="172" spans="1:14" ht="32.25" customHeight="1">
      <c r="A172" s="364">
        <v>19</v>
      </c>
      <c r="B172" s="362" t="s">
        <v>1007</v>
      </c>
      <c r="C172" s="362" t="s">
        <v>933</v>
      </c>
      <c r="D172" s="360">
        <v>53.78</v>
      </c>
      <c r="E172" s="361">
        <v>105194</v>
      </c>
      <c r="F172" s="359">
        <f t="shared" si="26"/>
        <v>5657333.3200000003</v>
      </c>
      <c r="G172" s="360">
        <v>53.78</v>
      </c>
      <c r="H172" s="361">
        <v>105194</v>
      </c>
      <c r="I172" s="359">
        <f t="shared" si="27"/>
        <v>5657333.3200000003</v>
      </c>
      <c r="J172" s="358">
        <f t="shared" si="28"/>
        <v>0</v>
      </c>
      <c r="K172" s="359">
        <f t="shared" si="29"/>
        <v>0</v>
      </c>
      <c r="L172" s="360">
        <f t="shared" si="30"/>
        <v>0</v>
      </c>
      <c r="M172" s="361">
        <f t="shared" si="31"/>
        <v>0</v>
      </c>
      <c r="N172" s="362"/>
    </row>
    <row r="173" spans="1:14" ht="32.25" customHeight="1">
      <c r="A173" s="364">
        <v>20</v>
      </c>
      <c r="B173" s="362" t="s">
        <v>1024</v>
      </c>
      <c r="C173" s="362" t="s">
        <v>933</v>
      </c>
      <c r="D173" s="360">
        <v>59.16</v>
      </c>
      <c r="E173" s="361">
        <v>144019</v>
      </c>
      <c r="F173" s="359">
        <f t="shared" si="26"/>
        <v>8520164.0399999991</v>
      </c>
      <c r="G173" s="360">
        <v>59.16</v>
      </c>
      <c r="H173" s="361">
        <v>144019</v>
      </c>
      <c r="I173" s="359">
        <f t="shared" si="27"/>
        <v>8520164.0399999991</v>
      </c>
      <c r="J173" s="358">
        <f t="shared" si="28"/>
        <v>0</v>
      </c>
      <c r="K173" s="359">
        <f t="shared" si="29"/>
        <v>0</v>
      </c>
      <c r="L173" s="360">
        <f t="shared" si="30"/>
        <v>0</v>
      </c>
      <c r="M173" s="361">
        <f t="shared" si="31"/>
        <v>0</v>
      </c>
      <c r="N173" s="362"/>
    </row>
    <row r="174" spans="1:14" ht="32.25" customHeight="1">
      <c r="A174" s="364">
        <v>21</v>
      </c>
      <c r="B174" s="362" t="s">
        <v>1025</v>
      </c>
      <c r="C174" s="362" t="s">
        <v>933</v>
      </c>
      <c r="D174" s="360">
        <v>29.58</v>
      </c>
      <c r="E174" s="361">
        <v>57407</v>
      </c>
      <c r="F174" s="359">
        <f t="shared" si="26"/>
        <v>1698099.0599999998</v>
      </c>
      <c r="G174" s="360">
        <v>29.58</v>
      </c>
      <c r="H174" s="361">
        <v>57407</v>
      </c>
      <c r="I174" s="359">
        <f t="shared" si="27"/>
        <v>1698099.0599999998</v>
      </c>
      <c r="J174" s="358">
        <f t="shared" si="28"/>
        <v>0</v>
      </c>
      <c r="K174" s="359">
        <f t="shared" si="29"/>
        <v>0</v>
      </c>
      <c r="L174" s="360">
        <f t="shared" si="30"/>
        <v>0</v>
      </c>
      <c r="M174" s="361">
        <f t="shared" si="31"/>
        <v>0</v>
      </c>
      <c r="N174" s="362"/>
    </row>
    <row r="175" spans="1:14" ht="32.25" customHeight="1">
      <c r="A175" s="364">
        <v>22</v>
      </c>
      <c r="B175" s="362" t="s">
        <v>994</v>
      </c>
      <c r="C175" s="362" t="s">
        <v>933</v>
      </c>
      <c r="D175" s="360">
        <v>34.1</v>
      </c>
      <c r="E175" s="361">
        <v>187552</v>
      </c>
      <c r="F175" s="359">
        <f t="shared" si="26"/>
        <v>6395523.2000000002</v>
      </c>
      <c r="G175" s="360">
        <v>34.1</v>
      </c>
      <c r="H175" s="361">
        <v>187552</v>
      </c>
      <c r="I175" s="359">
        <f t="shared" si="27"/>
        <v>6395523.2000000002</v>
      </c>
      <c r="J175" s="358">
        <f t="shared" si="28"/>
        <v>0</v>
      </c>
      <c r="K175" s="359">
        <f t="shared" si="29"/>
        <v>0</v>
      </c>
      <c r="L175" s="360">
        <f t="shared" si="30"/>
        <v>0</v>
      </c>
      <c r="M175" s="361">
        <f t="shared" si="31"/>
        <v>0</v>
      </c>
      <c r="N175" s="362"/>
    </row>
    <row r="176" spans="1:14" ht="32.25" customHeight="1">
      <c r="A176" s="364">
        <v>23</v>
      </c>
      <c r="B176" s="362" t="s">
        <v>957</v>
      </c>
      <c r="C176" s="362" t="s">
        <v>933</v>
      </c>
      <c r="D176" s="360">
        <v>103.18</v>
      </c>
      <c r="E176" s="361">
        <v>274407</v>
      </c>
      <c r="F176" s="359">
        <f t="shared" si="26"/>
        <v>28313314.260000002</v>
      </c>
      <c r="G176" s="360">
        <v>103.18</v>
      </c>
      <c r="H176" s="361">
        <v>274407</v>
      </c>
      <c r="I176" s="359">
        <f t="shared" si="27"/>
        <v>28313314.260000002</v>
      </c>
      <c r="J176" s="358">
        <f t="shared" si="28"/>
        <v>0</v>
      </c>
      <c r="K176" s="359">
        <f t="shared" si="29"/>
        <v>0</v>
      </c>
      <c r="L176" s="360">
        <f t="shared" si="30"/>
        <v>0</v>
      </c>
      <c r="M176" s="361">
        <f t="shared" si="31"/>
        <v>0</v>
      </c>
      <c r="N176" s="362"/>
    </row>
    <row r="177" spans="1:14" ht="32.25" customHeight="1">
      <c r="A177" s="364">
        <v>24</v>
      </c>
      <c r="B177" s="362" t="s">
        <v>967</v>
      </c>
      <c r="C177" s="362" t="s">
        <v>933</v>
      </c>
      <c r="D177" s="360">
        <v>68.2</v>
      </c>
      <c r="E177" s="361">
        <v>47287</v>
      </c>
      <c r="F177" s="359">
        <f t="shared" si="26"/>
        <v>3224973.4</v>
      </c>
      <c r="G177" s="360">
        <v>68.2</v>
      </c>
      <c r="H177" s="361">
        <v>47287</v>
      </c>
      <c r="I177" s="359">
        <f t="shared" si="27"/>
        <v>3224973.4</v>
      </c>
      <c r="J177" s="358">
        <f t="shared" si="28"/>
        <v>0</v>
      </c>
      <c r="K177" s="359">
        <f t="shared" si="29"/>
        <v>0</v>
      </c>
      <c r="L177" s="360">
        <f t="shared" si="30"/>
        <v>0</v>
      </c>
      <c r="M177" s="361">
        <f t="shared" si="31"/>
        <v>0</v>
      </c>
      <c r="N177" s="362"/>
    </row>
    <row r="178" spans="1:14" ht="32.25" customHeight="1">
      <c r="A178" s="364">
        <v>25</v>
      </c>
      <c r="B178" s="362" t="s">
        <v>936</v>
      </c>
      <c r="C178" s="362" t="s">
        <v>933</v>
      </c>
      <c r="D178" s="360">
        <v>90.72</v>
      </c>
      <c r="E178" s="361">
        <v>83662</v>
      </c>
      <c r="F178" s="359">
        <f t="shared" si="26"/>
        <v>7589816.6399999997</v>
      </c>
      <c r="G178" s="360">
        <v>90.72</v>
      </c>
      <c r="H178" s="361">
        <v>83662</v>
      </c>
      <c r="I178" s="359">
        <f t="shared" si="27"/>
        <v>7589816.6399999997</v>
      </c>
      <c r="J178" s="358">
        <f t="shared" si="28"/>
        <v>0</v>
      </c>
      <c r="K178" s="359">
        <f t="shared" si="29"/>
        <v>0</v>
      </c>
      <c r="L178" s="360">
        <f t="shared" si="30"/>
        <v>0</v>
      </c>
      <c r="M178" s="361">
        <f t="shared" si="31"/>
        <v>0</v>
      </c>
      <c r="N178" s="362"/>
    </row>
    <row r="179" spans="1:14" s="374" customFormat="1" ht="32.25" customHeight="1">
      <c r="A179" s="366">
        <v>26</v>
      </c>
      <c r="B179" s="373" t="s">
        <v>937</v>
      </c>
      <c r="C179" s="373" t="s">
        <v>933</v>
      </c>
      <c r="D179" s="369">
        <v>90.72</v>
      </c>
      <c r="E179" s="370">
        <v>59365</v>
      </c>
      <c r="F179" s="371">
        <f t="shared" si="26"/>
        <v>5385592.7999999998</v>
      </c>
      <c r="G179" s="369">
        <v>90.72</v>
      </c>
      <c r="H179" s="370">
        <v>29710</v>
      </c>
      <c r="I179" s="371">
        <f t="shared" si="27"/>
        <v>2695291.2</v>
      </c>
      <c r="J179" s="372">
        <f t="shared" si="28"/>
        <v>0</v>
      </c>
      <c r="K179" s="371">
        <f t="shared" si="29"/>
        <v>2690301.5999999996</v>
      </c>
      <c r="L179" s="369">
        <f t="shared" si="30"/>
        <v>0</v>
      </c>
      <c r="M179" s="370">
        <f t="shared" si="31"/>
        <v>0</v>
      </c>
      <c r="N179" s="373"/>
    </row>
    <row r="180" spans="1:14" s="349" customFormat="1" ht="32.25" customHeight="1">
      <c r="A180" s="497" t="s">
        <v>94</v>
      </c>
      <c r="B180" s="497"/>
      <c r="C180" s="497"/>
      <c r="D180" s="350"/>
      <c r="E180" s="351"/>
      <c r="F180" s="351">
        <f>SUM(F153:F179)</f>
        <v>459682232.78400004</v>
      </c>
      <c r="G180" s="350"/>
      <c r="H180" s="351"/>
      <c r="I180" s="351">
        <f>SUM(I153:I179)</f>
        <v>456991931.18400002</v>
      </c>
      <c r="J180" s="350"/>
      <c r="K180" s="351">
        <f>SUM(K153:K179)</f>
        <v>2690301.5999999996</v>
      </c>
      <c r="L180" s="350"/>
      <c r="M180" s="351">
        <f>SUM(M153:M179)</f>
        <v>0</v>
      </c>
      <c r="N180" s="382"/>
    </row>
    <row r="181" spans="1:14" ht="32.25" customHeight="1">
      <c r="A181" s="497" t="s">
        <v>1026</v>
      </c>
      <c r="B181" s="497"/>
      <c r="C181" s="497"/>
      <c r="D181" s="360"/>
      <c r="E181" s="361"/>
      <c r="F181" s="359"/>
      <c r="G181" s="360"/>
      <c r="H181" s="361"/>
      <c r="I181" s="359"/>
      <c r="J181" s="358"/>
      <c r="K181" s="359"/>
      <c r="L181" s="360"/>
      <c r="M181" s="361"/>
      <c r="N181" s="362"/>
    </row>
    <row r="182" spans="1:14" ht="32.25" customHeight="1">
      <c r="A182" s="364">
        <v>1</v>
      </c>
      <c r="B182" s="362" t="s">
        <v>1027</v>
      </c>
      <c r="C182" s="362" t="s">
        <v>903</v>
      </c>
      <c r="D182" s="360">
        <v>18.4041</v>
      </c>
      <c r="E182" s="361">
        <v>230428</v>
      </c>
      <c r="F182" s="359">
        <f t="shared" ref="F182:F199" si="32">D182*E182</f>
        <v>4240819.9547999995</v>
      </c>
      <c r="G182" s="360">
        <v>18.4041</v>
      </c>
      <c r="H182" s="361">
        <v>230428</v>
      </c>
      <c r="I182" s="359">
        <f t="shared" ref="I182:I199" si="33">G182*H182</f>
        <v>4240819.9547999995</v>
      </c>
      <c r="J182" s="358">
        <f t="shared" ref="J182:J199" si="34">MAX(D182-G182,0)</f>
        <v>0</v>
      </c>
      <c r="K182" s="359">
        <f t="shared" ref="K182:K199" si="35">MAX(F182-I182,0)</f>
        <v>0</v>
      </c>
      <c r="L182" s="360">
        <f t="shared" ref="L182:L199" si="36">MAX(G182-D182,0)</f>
        <v>0</v>
      </c>
      <c r="M182" s="361">
        <f t="shared" ref="M182:M199" si="37">MAX(I182-F182,0)</f>
        <v>0</v>
      </c>
      <c r="N182" s="362"/>
    </row>
    <row r="183" spans="1:14" s="374" customFormat="1" ht="32.25" customHeight="1">
      <c r="A183" s="366">
        <v>2</v>
      </c>
      <c r="B183" s="373" t="s">
        <v>1028</v>
      </c>
      <c r="C183" s="373" t="s">
        <v>903</v>
      </c>
      <c r="D183" s="369">
        <v>1.3</v>
      </c>
      <c r="E183" s="370">
        <v>201625</v>
      </c>
      <c r="F183" s="371">
        <f t="shared" si="32"/>
        <v>262112.5</v>
      </c>
      <c r="G183" s="369">
        <v>19.448</v>
      </c>
      <c r="H183" s="370">
        <v>201625</v>
      </c>
      <c r="I183" s="371">
        <f t="shared" si="33"/>
        <v>3921203</v>
      </c>
      <c r="J183" s="372">
        <f t="shared" si="34"/>
        <v>0</v>
      </c>
      <c r="K183" s="371">
        <f t="shared" si="35"/>
        <v>0</v>
      </c>
      <c r="L183" s="369">
        <f t="shared" si="36"/>
        <v>18.148</v>
      </c>
      <c r="M183" s="370">
        <f t="shared" si="37"/>
        <v>3659090.5</v>
      </c>
      <c r="N183" s="373"/>
    </row>
    <row r="184" spans="1:14" s="374" customFormat="1" ht="32.25" customHeight="1">
      <c r="A184" s="366">
        <v>3</v>
      </c>
      <c r="B184" s="373" t="s">
        <v>1029</v>
      </c>
      <c r="C184" s="373" t="s">
        <v>903</v>
      </c>
      <c r="D184" s="369">
        <v>12.7026</v>
      </c>
      <c r="E184" s="370">
        <v>124076</v>
      </c>
      <c r="F184" s="371">
        <f t="shared" si="32"/>
        <v>1576087.7975999999</v>
      </c>
      <c r="G184" s="369">
        <v>18.751999999999999</v>
      </c>
      <c r="H184" s="370">
        <v>124076</v>
      </c>
      <c r="I184" s="371">
        <f t="shared" si="33"/>
        <v>2326673.1519999998</v>
      </c>
      <c r="J184" s="372">
        <f t="shared" si="34"/>
        <v>0</v>
      </c>
      <c r="K184" s="371">
        <f t="shared" si="35"/>
        <v>0</v>
      </c>
      <c r="L184" s="369">
        <f t="shared" si="36"/>
        <v>6.0493999999999986</v>
      </c>
      <c r="M184" s="370">
        <f t="shared" si="37"/>
        <v>750585.35439999984</v>
      </c>
      <c r="N184" s="373"/>
    </row>
    <row r="185" spans="1:14" ht="32.25" customHeight="1">
      <c r="A185" s="364">
        <v>4</v>
      </c>
      <c r="B185" s="362" t="s">
        <v>941</v>
      </c>
      <c r="C185" s="362"/>
      <c r="D185" s="360">
        <v>8.8000000000000007</v>
      </c>
      <c r="E185" s="361">
        <v>1206690</v>
      </c>
      <c r="F185" s="359">
        <f t="shared" si="32"/>
        <v>10618872</v>
      </c>
      <c r="G185" s="360">
        <v>8.8000000000000007</v>
      </c>
      <c r="H185" s="361">
        <v>1206690</v>
      </c>
      <c r="I185" s="359">
        <f t="shared" si="33"/>
        <v>10618872</v>
      </c>
      <c r="J185" s="358">
        <f t="shared" si="34"/>
        <v>0</v>
      </c>
      <c r="K185" s="359">
        <f t="shared" si="35"/>
        <v>0</v>
      </c>
      <c r="L185" s="360">
        <f t="shared" si="36"/>
        <v>0</v>
      </c>
      <c r="M185" s="361">
        <f t="shared" si="37"/>
        <v>0</v>
      </c>
      <c r="N185" s="362"/>
    </row>
    <row r="186" spans="1:14" s="374" customFormat="1" ht="32.25" customHeight="1">
      <c r="A186" s="366">
        <v>5</v>
      </c>
      <c r="B186" s="373" t="s">
        <v>1030</v>
      </c>
      <c r="C186" s="373" t="s">
        <v>903</v>
      </c>
      <c r="D186" s="369">
        <v>1.089</v>
      </c>
      <c r="E186" s="370">
        <v>1283592</v>
      </c>
      <c r="F186" s="371">
        <f t="shared" si="32"/>
        <v>1397831.6879999998</v>
      </c>
      <c r="G186" s="369">
        <v>8.5690000000000008</v>
      </c>
      <c r="H186" s="370">
        <v>1283592</v>
      </c>
      <c r="I186" s="371">
        <f t="shared" si="33"/>
        <v>10999099.848000001</v>
      </c>
      <c r="J186" s="372">
        <f t="shared" si="34"/>
        <v>0</v>
      </c>
      <c r="K186" s="371">
        <f t="shared" si="35"/>
        <v>0</v>
      </c>
      <c r="L186" s="369">
        <f t="shared" si="36"/>
        <v>7.48</v>
      </c>
      <c r="M186" s="370">
        <f t="shared" si="37"/>
        <v>9601268.160000002</v>
      </c>
      <c r="N186" s="373"/>
    </row>
    <row r="187" spans="1:14" ht="32.25" customHeight="1">
      <c r="A187" s="364">
        <v>6</v>
      </c>
      <c r="B187" s="362" t="s">
        <v>1031</v>
      </c>
      <c r="C187" s="362" t="s">
        <v>903</v>
      </c>
      <c r="D187" s="360">
        <v>5.6870000000000003</v>
      </c>
      <c r="E187" s="361">
        <v>1684611</v>
      </c>
      <c r="F187" s="359">
        <f t="shared" si="32"/>
        <v>9580382.7570000011</v>
      </c>
      <c r="G187" s="360">
        <v>5.6870000000000003</v>
      </c>
      <c r="H187" s="361">
        <v>1684611</v>
      </c>
      <c r="I187" s="359">
        <f t="shared" si="33"/>
        <v>9580382.7570000011</v>
      </c>
      <c r="J187" s="358">
        <f t="shared" si="34"/>
        <v>0</v>
      </c>
      <c r="K187" s="359">
        <f t="shared" si="35"/>
        <v>0</v>
      </c>
      <c r="L187" s="360">
        <f t="shared" si="36"/>
        <v>0</v>
      </c>
      <c r="M187" s="361">
        <f t="shared" si="37"/>
        <v>0</v>
      </c>
      <c r="N187" s="362"/>
    </row>
    <row r="188" spans="1:14" s="374" customFormat="1" ht="32.25" customHeight="1">
      <c r="A188" s="366">
        <v>7</v>
      </c>
      <c r="B188" s="373" t="s">
        <v>1002</v>
      </c>
      <c r="C188" s="373" t="s">
        <v>903</v>
      </c>
      <c r="D188" s="369">
        <v>3</v>
      </c>
      <c r="E188" s="370">
        <v>2216701</v>
      </c>
      <c r="F188" s="371">
        <f t="shared" si="32"/>
        <v>6650103</v>
      </c>
      <c r="G188" s="369">
        <v>9.7200000000000006</v>
      </c>
      <c r="H188" s="370">
        <v>2216701</v>
      </c>
      <c r="I188" s="371">
        <f t="shared" si="33"/>
        <v>21546333.720000003</v>
      </c>
      <c r="J188" s="372">
        <f t="shared" si="34"/>
        <v>0</v>
      </c>
      <c r="K188" s="371">
        <f t="shared" si="35"/>
        <v>0</v>
      </c>
      <c r="L188" s="369">
        <f t="shared" si="36"/>
        <v>6.7200000000000006</v>
      </c>
      <c r="M188" s="370">
        <f t="shared" si="37"/>
        <v>14896230.720000003</v>
      </c>
      <c r="N188" s="373"/>
    </row>
    <row r="189" spans="1:14" s="374" customFormat="1" ht="32.25" customHeight="1">
      <c r="A189" s="366">
        <v>8</v>
      </c>
      <c r="B189" s="373" t="s">
        <v>954</v>
      </c>
      <c r="C189" s="373" t="s">
        <v>903</v>
      </c>
      <c r="D189" s="369">
        <v>39.159999999999997</v>
      </c>
      <c r="E189" s="370">
        <v>1676247</v>
      </c>
      <c r="F189" s="371">
        <f t="shared" si="32"/>
        <v>65641832.519999996</v>
      </c>
      <c r="G189" s="369">
        <v>30</v>
      </c>
      <c r="H189" s="370">
        <v>1676247</v>
      </c>
      <c r="I189" s="371">
        <f t="shared" si="33"/>
        <v>50287410</v>
      </c>
      <c r="J189" s="372">
        <f t="shared" si="34"/>
        <v>9.1599999999999966</v>
      </c>
      <c r="K189" s="371">
        <f t="shared" si="35"/>
        <v>15354422.519999996</v>
      </c>
      <c r="L189" s="369">
        <f t="shared" si="36"/>
        <v>0</v>
      </c>
      <c r="M189" s="370">
        <f t="shared" si="37"/>
        <v>0</v>
      </c>
      <c r="N189" s="373"/>
    </row>
    <row r="190" spans="1:14" s="374" customFormat="1" ht="32.25" customHeight="1">
      <c r="A190" s="366">
        <v>9</v>
      </c>
      <c r="B190" s="373" t="s">
        <v>992</v>
      </c>
      <c r="C190" s="373" t="s">
        <v>903</v>
      </c>
      <c r="D190" s="369">
        <v>90</v>
      </c>
      <c r="E190" s="370">
        <v>195237</v>
      </c>
      <c r="F190" s="371">
        <f t="shared" si="32"/>
        <v>17571330</v>
      </c>
      <c r="G190" s="369">
        <v>183</v>
      </c>
      <c r="H190" s="370">
        <v>118811</v>
      </c>
      <c r="I190" s="371">
        <f t="shared" si="33"/>
        <v>21742413</v>
      </c>
      <c r="J190" s="372">
        <f t="shared" si="34"/>
        <v>0</v>
      </c>
      <c r="K190" s="371">
        <f t="shared" si="35"/>
        <v>0</v>
      </c>
      <c r="L190" s="369">
        <f t="shared" si="36"/>
        <v>93</v>
      </c>
      <c r="M190" s="370">
        <f t="shared" si="37"/>
        <v>4171083</v>
      </c>
      <c r="N190" s="373"/>
    </row>
    <row r="191" spans="1:14" s="374" customFormat="1" ht="32.25" customHeight="1">
      <c r="A191" s="366">
        <v>10</v>
      </c>
      <c r="B191" s="373" t="s">
        <v>1032</v>
      </c>
      <c r="C191" s="373" t="s">
        <v>903</v>
      </c>
      <c r="D191" s="369">
        <v>2.88</v>
      </c>
      <c r="E191" s="370">
        <v>2142036</v>
      </c>
      <c r="F191" s="371">
        <f t="shared" si="32"/>
        <v>6169063.6799999997</v>
      </c>
      <c r="G191" s="369">
        <v>0</v>
      </c>
      <c r="H191" s="370">
        <v>2142036</v>
      </c>
      <c r="I191" s="371">
        <f t="shared" si="33"/>
        <v>0</v>
      </c>
      <c r="J191" s="372">
        <f t="shared" si="34"/>
        <v>2.88</v>
      </c>
      <c r="K191" s="371">
        <f t="shared" si="35"/>
        <v>6169063.6799999997</v>
      </c>
      <c r="L191" s="369">
        <f t="shared" si="36"/>
        <v>0</v>
      </c>
      <c r="M191" s="370">
        <f t="shared" si="37"/>
        <v>0</v>
      </c>
      <c r="N191" s="373"/>
    </row>
    <row r="192" spans="1:14" s="374" customFormat="1" ht="32.25" customHeight="1">
      <c r="A192" s="366">
        <v>11</v>
      </c>
      <c r="B192" s="373" t="s">
        <v>932</v>
      </c>
      <c r="C192" s="373" t="s">
        <v>933</v>
      </c>
      <c r="D192" s="369">
        <v>28.8</v>
      </c>
      <c r="E192" s="370">
        <v>81113</v>
      </c>
      <c r="F192" s="371">
        <f t="shared" si="32"/>
        <v>2336054.4</v>
      </c>
      <c r="G192" s="369">
        <v>4.4880000000000004</v>
      </c>
      <c r="H192" s="370">
        <v>81113</v>
      </c>
      <c r="I192" s="371">
        <f t="shared" si="33"/>
        <v>364035.14400000003</v>
      </c>
      <c r="J192" s="372">
        <f t="shared" si="34"/>
        <v>24.312000000000001</v>
      </c>
      <c r="K192" s="371">
        <f t="shared" si="35"/>
        <v>1972019.2559999998</v>
      </c>
      <c r="L192" s="369">
        <f t="shared" si="36"/>
        <v>0</v>
      </c>
      <c r="M192" s="370">
        <f t="shared" si="37"/>
        <v>0</v>
      </c>
      <c r="N192" s="373"/>
    </row>
    <row r="193" spans="1:14" ht="32.25" customHeight="1">
      <c r="A193" s="364">
        <v>12</v>
      </c>
      <c r="B193" s="362" t="s">
        <v>947</v>
      </c>
      <c r="C193" s="362" t="s">
        <v>917</v>
      </c>
      <c r="D193" s="360">
        <v>0.35970000000000002</v>
      </c>
      <c r="E193" s="361">
        <v>16065408</v>
      </c>
      <c r="F193" s="359">
        <f t="shared" si="32"/>
        <v>5778727.2576000001</v>
      </c>
      <c r="G193" s="360">
        <v>0.35970000000000002</v>
      </c>
      <c r="H193" s="361">
        <v>16065408</v>
      </c>
      <c r="I193" s="359">
        <f t="shared" si="33"/>
        <v>5778727.2576000001</v>
      </c>
      <c r="J193" s="358">
        <f t="shared" si="34"/>
        <v>0</v>
      </c>
      <c r="K193" s="359">
        <f t="shared" si="35"/>
        <v>0</v>
      </c>
      <c r="L193" s="360">
        <f t="shared" si="36"/>
        <v>0</v>
      </c>
      <c r="M193" s="361">
        <f t="shared" si="37"/>
        <v>0</v>
      </c>
      <c r="N193" s="362"/>
    </row>
    <row r="194" spans="1:14" ht="32.25" customHeight="1">
      <c r="A194" s="364">
        <v>13</v>
      </c>
      <c r="B194" s="362" t="s">
        <v>1004</v>
      </c>
      <c r="C194" s="362" t="s">
        <v>917</v>
      </c>
      <c r="D194" s="360">
        <v>0.3</v>
      </c>
      <c r="E194" s="361">
        <v>21613723</v>
      </c>
      <c r="F194" s="359">
        <f t="shared" si="32"/>
        <v>6484116.8999999994</v>
      </c>
      <c r="G194" s="360">
        <v>0.3</v>
      </c>
      <c r="H194" s="361">
        <v>21613723</v>
      </c>
      <c r="I194" s="359">
        <f t="shared" si="33"/>
        <v>6484116.8999999994</v>
      </c>
      <c r="J194" s="358">
        <f t="shared" si="34"/>
        <v>0</v>
      </c>
      <c r="K194" s="359">
        <f t="shared" si="35"/>
        <v>0</v>
      </c>
      <c r="L194" s="360">
        <f t="shared" si="36"/>
        <v>0</v>
      </c>
      <c r="M194" s="361">
        <f t="shared" si="37"/>
        <v>0</v>
      </c>
      <c r="N194" s="362"/>
    </row>
    <row r="195" spans="1:14" s="374" customFormat="1" ht="32.25" customHeight="1">
      <c r="A195" s="366">
        <v>14</v>
      </c>
      <c r="B195" s="373" t="s">
        <v>1033</v>
      </c>
      <c r="C195" s="373" t="s">
        <v>922</v>
      </c>
      <c r="D195" s="369">
        <v>0.25159999999999999</v>
      </c>
      <c r="E195" s="370">
        <v>21940712</v>
      </c>
      <c r="F195" s="371">
        <f t="shared" si="32"/>
        <v>5520283.1392000001</v>
      </c>
      <c r="G195" s="369">
        <v>0.50319999999999998</v>
      </c>
      <c r="H195" s="370">
        <v>21940712</v>
      </c>
      <c r="I195" s="371">
        <f t="shared" si="33"/>
        <v>11040566.2784</v>
      </c>
      <c r="J195" s="372">
        <f t="shared" si="34"/>
        <v>0</v>
      </c>
      <c r="K195" s="371">
        <f t="shared" si="35"/>
        <v>0</v>
      </c>
      <c r="L195" s="369">
        <f t="shared" si="36"/>
        <v>0.25159999999999999</v>
      </c>
      <c r="M195" s="370">
        <f t="shared" si="37"/>
        <v>5520283.1392000001</v>
      </c>
      <c r="N195" s="373"/>
    </row>
    <row r="196" spans="1:14" ht="32.25" customHeight="1">
      <c r="A196" s="364">
        <v>15</v>
      </c>
      <c r="B196" s="362" t="s">
        <v>1034</v>
      </c>
      <c r="C196" s="362" t="s">
        <v>922</v>
      </c>
      <c r="D196" s="360">
        <v>0.70209999999999995</v>
      </c>
      <c r="E196" s="361">
        <v>23112893</v>
      </c>
      <c r="F196" s="359">
        <f t="shared" si="32"/>
        <v>16227562.175299998</v>
      </c>
      <c r="G196" s="360">
        <v>0.70209999999999995</v>
      </c>
      <c r="H196" s="361">
        <v>23112893</v>
      </c>
      <c r="I196" s="359">
        <f t="shared" si="33"/>
        <v>16227562.175299998</v>
      </c>
      <c r="J196" s="358">
        <f t="shared" si="34"/>
        <v>0</v>
      </c>
      <c r="K196" s="359">
        <f t="shared" si="35"/>
        <v>0</v>
      </c>
      <c r="L196" s="360">
        <f t="shared" si="36"/>
        <v>0</v>
      </c>
      <c r="M196" s="361">
        <f t="shared" si="37"/>
        <v>0</v>
      </c>
      <c r="N196" s="362"/>
    </row>
    <row r="197" spans="1:14" s="374" customFormat="1" ht="32.25" customHeight="1">
      <c r="A197" s="366">
        <v>16</v>
      </c>
      <c r="B197" s="373" t="s">
        <v>927</v>
      </c>
      <c r="C197" s="373" t="s">
        <v>917</v>
      </c>
      <c r="D197" s="369">
        <v>3.5</v>
      </c>
      <c r="E197" s="370">
        <v>682496</v>
      </c>
      <c r="F197" s="371">
        <f t="shared" si="32"/>
        <v>2388736</v>
      </c>
      <c r="G197" s="369">
        <v>3</v>
      </c>
      <c r="H197" s="370">
        <v>682496</v>
      </c>
      <c r="I197" s="371">
        <f t="shared" si="33"/>
        <v>2047488</v>
      </c>
      <c r="J197" s="372">
        <f t="shared" si="34"/>
        <v>0.5</v>
      </c>
      <c r="K197" s="371">
        <f t="shared" si="35"/>
        <v>341248</v>
      </c>
      <c r="L197" s="369">
        <f t="shared" si="36"/>
        <v>0</v>
      </c>
      <c r="M197" s="370">
        <f t="shared" si="37"/>
        <v>0</v>
      </c>
      <c r="N197" s="373"/>
    </row>
    <row r="198" spans="1:14" s="374" customFormat="1" ht="32.25" customHeight="1">
      <c r="A198" s="366">
        <v>17</v>
      </c>
      <c r="B198" s="373" t="s">
        <v>1035</v>
      </c>
      <c r="C198" s="373" t="s">
        <v>922</v>
      </c>
      <c r="D198" s="369"/>
      <c r="E198" s="370"/>
      <c r="F198" s="371">
        <f t="shared" si="32"/>
        <v>0</v>
      </c>
      <c r="G198" s="369">
        <v>0.74119999999999997</v>
      </c>
      <c r="H198" s="370">
        <v>22329835</v>
      </c>
      <c r="I198" s="371">
        <f t="shared" si="33"/>
        <v>16550873.702</v>
      </c>
      <c r="J198" s="372">
        <f t="shared" si="34"/>
        <v>0</v>
      </c>
      <c r="K198" s="371">
        <f t="shared" si="35"/>
        <v>0</v>
      </c>
      <c r="L198" s="369">
        <f t="shared" si="36"/>
        <v>0.74119999999999997</v>
      </c>
      <c r="M198" s="370">
        <f t="shared" si="37"/>
        <v>16550873.702</v>
      </c>
      <c r="N198" s="373"/>
    </row>
    <row r="199" spans="1:14" s="374" customFormat="1" ht="32.25" customHeight="1">
      <c r="A199" s="366">
        <v>18</v>
      </c>
      <c r="B199" s="373" t="s">
        <v>961</v>
      </c>
      <c r="C199" s="373"/>
      <c r="D199" s="369"/>
      <c r="E199" s="370"/>
      <c r="F199" s="371">
        <f t="shared" si="32"/>
        <v>0</v>
      </c>
      <c r="G199" s="369">
        <v>4.24</v>
      </c>
      <c r="H199" s="370">
        <v>1537033</v>
      </c>
      <c r="I199" s="371">
        <f t="shared" si="33"/>
        <v>6517019.9199999999</v>
      </c>
      <c r="J199" s="372">
        <f t="shared" si="34"/>
        <v>0</v>
      </c>
      <c r="K199" s="371">
        <f t="shared" si="35"/>
        <v>0</v>
      </c>
      <c r="L199" s="369">
        <f t="shared" si="36"/>
        <v>4.24</v>
      </c>
      <c r="M199" s="370">
        <f t="shared" si="37"/>
        <v>6517019.9199999999</v>
      </c>
      <c r="N199" s="373"/>
    </row>
    <row r="200" spans="1:14" s="349" customFormat="1" ht="32.25" customHeight="1">
      <c r="A200" s="497" t="s">
        <v>94</v>
      </c>
      <c r="B200" s="497"/>
      <c r="C200" s="497"/>
      <c r="D200" s="350"/>
      <c r="E200" s="351"/>
      <c r="F200" s="351">
        <f>SUM(F181:F199)</f>
        <v>162443915.76949999</v>
      </c>
      <c r="G200" s="350"/>
      <c r="H200" s="351"/>
      <c r="I200" s="351">
        <f>SUM(I181:I199)</f>
        <v>200273596.8091</v>
      </c>
      <c r="J200" s="350"/>
      <c r="K200" s="351">
        <f>SUM(K181:K199)</f>
        <v>23836753.455999997</v>
      </c>
      <c r="L200" s="350"/>
      <c r="M200" s="351">
        <f>SUM(M181:M199)</f>
        <v>61666434.495600007</v>
      </c>
      <c r="N200" s="382"/>
    </row>
    <row r="201" spans="1:14" ht="32.25" customHeight="1">
      <c r="A201" s="497" t="s">
        <v>1036</v>
      </c>
      <c r="B201" s="497"/>
      <c r="C201" s="497"/>
      <c r="D201" s="360"/>
      <c r="E201" s="361"/>
      <c r="F201" s="359"/>
      <c r="G201" s="360"/>
      <c r="H201" s="361"/>
      <c r="I201" s="359"/>
      <c r="J201" s="358"/>
      <c r="K201" s="359"/>
      <c r="L201" s="360"/>
      <c r="M201" s="361"/>
      <c r="N201" s="362"/>
    </row>
    <row r="202" spans="1:14" s="374" customFormat="1" ht="32.25" customHeight="1">
      <c r="A202" s="366">
        <v>1</v>
      </c>
      <c r="B202" s="373" t="s">
        <v>902</v>
      </c>
      <c r="C202" s="373" t="s">
        <v>903</v>
      </c>
      <c r="D202" s="369">
        <v>9.8552999999999997</v>
      </c>
      <c r="E202" s="370">
        <v>158277</v>
      </c>
      <c r="F202" s="371">
        <f t="shared" ref="F202:F213" si="38">D202*E202</f>
        <v>1559867.3181</v>
      </c>
      <c r="G202" s="369">
        <v>15.069599999999999</v>
      </c>
      <c r="H202" s="370">
        <v>158277</v>
      </c>
      <c r="I202" s="371">
        <f t="shared" ref="I202:I212" si="39">G202*H202</f>
        <v>2385171.0792</v>
      </c>
      <c r="J202" s="372">
        <f t="shared" ref="J202:J213" si="40">MAX(D202-G202,0)</f>
        <v>0</v>
      </c>
      <c r="K202" s="371">
        <f t="shared" ref="K202:K213" si="41">MAX(F202-I202,0)</f>
        <v>0</v>
      </c>
      <c r="L202" s="369">
        <f t="shared" ref="L202:L213" si="42">MAX(G202-D202,0)</f>
        <v>5.2142999999999997</v>
      </c>
      <c r="M202" s="370">
        <f t="shared" ref="M202:M213" si="43">MAX(I202-F202,0)</f>
        <v>825303.7611</v>
      </c>
      <c r="N202" s="373"/>
    </row>
    <row r="203" spans="1:14" s="374" customFormat="1" ht="32.25" customHeight="1">
      <c r="A203" s="366">
        <v>2</v>
      </c>
      <c r="B203" s="373" t="s">
        <v>1037</v>
      </c>
      <c r="C203" s="373" t="s">
        <v>942</v>
      </c>
      <c r="D203" s="369"/>
      <c r="E203" s="370"/>
      <c r="F203" s="371">
        <f t="shared" si="38"/>
        <v>0</v>
      </c>
      <c r="G203" s="369">
        <v>5.7750000000000004</v>
      </c>
      <c r="H203" s="370">
        <v>1206690</v>
      </c>
      <c r="I203" s="371">
        <f t="shared" si="39"/>
        <v>6968634.75</v>
      </c>
      <c r="J203" s="372">
        <f t="shared" si="40"/>
        <v>0</v>
      </c>
      <c r="K203" s="371">
        <f t="shared" si="41"/>
        <v>0</v>
      </c>
      <c r="L203" s="369">
        <f t="shared" si="42"/>
        <v>5.7750000000000004</v>
      </c>
      <c r="M203" s="370">
        <f t="shared" si="43"/>
        <v>6968634.75</v>
      </c>
      <c r="N203" s="373"/>
    </row>
    <row r="204" spans="1:14" s="374" customFormat="1" ht="32.25" customHeight="1">
      <c r="A204" s="366">
        <v>3</v>
      </c>
      <c r="B204" s="373" t="s">
        <v>1038</v>
      </c>
      <c r="C204" s="373" t="s">
        <v>903</v>
      </c>
      <c r="D204" s="369">
        <v>6.5707000000000004</v>
      </c>
      <c r="E204" s="370">
        <v>124836</v>
      </c>
      <c r="F204" s="371">
        <f t="shared" si="38"/>
        <v>820259.90520000004</v>
      </c>
      <c r="G204" s="369">
        <v>10.0464</v>
      </c>
      <c r="H204" s="370">
        <v>124836</v>
      </c>
      <c r="I204" s="371">
        <f t="shared" si="39"/>
        <v>1254152.3903999999</v>
      </c>
      <c r="J204" s="372">
        <f t="shared" si="40"/>
        <v>0</v>
      </c>
      <c r="K204" s="371">
        <f t="shared" si="41"/>
        <v>0</v>
      </c>
      <c r="L204" s="369">
        <f t="shared" si="42"/>
        <v>3.4756999999999998</v>
      </c>
      <c r="M204" s="370">
        <f t="shared" si="43"/>
        <v>433892.48519999988</v>
      </c>
      <c r="N204" s="373"/>
    </row>
    <row r="205" spans="1:14" s="374" customFormat="1" ht="32.25" customHeight="1">
      <c r="A205" s="366">
        <v>4</v>
      </c>
      <c r="B205" s="373" t="s">
        <v>974</v>
      </c>
      <c r="C205" s="373" t="s">
        <v>903</v>
      </c>
      <c r="D205" s="369">
        <v>0.47</v>
      </c>
      <c r="E205" s="370">
        <v>1285523</v>
      </c>
      <c r="F205" s="371">
        <f t="shared" si="38"/>
        <v>604195.80999999994</v>
      </c>
      <c r="G205" s="369">
        <v>0.55200000000000005</v>
      </c>
      <c r="H205" s="370">
        <v>1285523</v>
      </c>
      <c r="I205" s="371">
        <f t="shared" si="39"/>
        <v>709608.69600000011</v>
      </c>
      <c r="J205" s="372">
        <f t="shared" si="40"/>
        <v>0</v>
      </c>
      <c r="K205" s="371">
        <f t="shared" si="41"/>
        <v>0</v>
      </c>
      <c r="L205" s="369">
        <f t="shared" si="42"/>
        <v>8.2000000000000073E-2</v>
      </c>
      <c r="M205" s="370">
        <f t="shared" si="43"/>
        <v>105412.88600000017</v>
      </c>
      <c r="N205" s="373"/>
    </row>
    <row r="206" spans="1:14" s="374" customFormat="1" ht="32.25" customHeight="1">
      <c r="A206" s="366">
        <v>5</v>
      </c>
      <c r="B206" s="373" t="s">
        <v>1039</v>
      </c>
      <c r="C206" s="373" t="s">
        <v>903</v>
      </c>
      <c r="D206" s="369">
        <v>0.621</v>
      </c>
      <c r="E206" s="370">
        <v>1798035</v>
      </c>
      <c r="F206" s="371">
        <f t="shared" si="38"/>
        <v>1116579.7350000001</v>
      </c>
      <c r="G206" s="369">
        <v>0.55200000000000005</v>
      </c>
      <c r="H206" s="370">
        <v>1798035</v>
      </c>
      <c r="I206" s="371">
        <f t="shared" si="39"/>
        <v>992515.32000000007</v>
      </c>
      <c r="J206" s="372">
        <f t="shared" si="40"/>
        <v>6.899999999999995E-2</v>
      </c>
      <c r="K206" s="371">
        <f t="shared" si="41"/>
        <v>124064.41500000004</v>
      </c>
      <c r="L206" s="369">
        <f t="shared" si="42"/>
        <v>0</v>
      </c>
      <c r="M206" s="370">
        <f t="shared" si="43"/>
        <v>0</v>
      </c>
      <c r="N206" s="373"/>
    </row>
    <row r="207" spans="1:14" s="374" customFormat="1" ht="32.25" customHeight="1">
      <c r="A207" s="366">
        <v>6</v>
      </c>
      <c r="B207" s="373" t="s">
        <v>1040</v>
      </c>
      <c r="C207" s="373" t="s">
        <v>903</v>
      </c>
      <c r="D207" s="369">
        <v>0.29970000000000002</v>
      </c>
      <c r="E207" s="370">
        <v>2267107</v>
      </c>
      <c r="F207" s="371">
        <f t="shared" si="38"/>
        <v>679451.96790000005</v>
      </c>
      <c r="G207" s="369">
        <v>0.36959999999999998</v>
      </c>
      <c r="H207" s="370">
        <v>2267107</v>
      </c>
      <c r="I207" s="371">
        <f t="shared" si="39"/>
        <v>837922.74719999998</v>
      </c>
      <c r="J207" s="372">
        <f t="shared" si="40"/>
        <v>0</v>
      </c>
      <c r="K207" s="371">
        <f t="shared" si="41"/>
        <v>0</v>
      </c>
      <c r="L207" s="369">
        <f t="shared" si="42"/>
        <v>6.9899999999999962E-2</v>
      </c>
      <c r="M207" s="370">
        <f t="shared" si="43"/>
        <v>158470.77929999994</v>
      </c>
      <c r="N207" s="373"/>
    </row>
    <row r="208" spans="1:14" s="374" customFormat="1" ht="32.25" customHeight="1">
      <c r="A208" s="366">
        <v>7</v>
      </c>
      <c r="B208" s="373" t="s">
        <v>1041</v>
      </c>
      <c r="C208" s="373" t="s">
        <v>922</v>
      </c>
      <c r="D208" s="369">
        <v>2.4500000000000001E-2</v>
      </c>
      <c r="E208" s="370">
        <v>24470797</v>
      </c>
      <c r="F208" s="371">
        <f t="shared" si="38"/>
        <v>599534.52650000004</v>
      </c>
      <c r="G208" s="369">
        <v>5.4899999999999997E-2</v>
      </c>
      <c r="H208" s="370">
        <v>24470797</v>
      </c>
      <c r="I208" s="371">
        <f t="shared" si="39"/>
        <v>1343446.7552999998</v>
      </c>
      <c r="J208" s="372">
        <f t="shared" si="40"/>
        <v>0</v>
      </c>
      <c r="K208" s="371">
        <f t="shared" si="41"/>
        <v>0</v>
      </c>
      <c r="L208" s="369">
        <f t="shared" si="42"/>
        <v>3.0399999999999996E-2</v>
      </c>
      <c r="M208" s="370">
        <f t="shared" si="43"/>
        <v>743912.22879999981</v>
      </c>
      <c r="N208" s="373"/>
    </row>
    <row r="209" spans="1:14" s="374" customFormat="1" ht="32.25" customHeight="1">
      <c r="A209" s="366">
        <v>8</v>
      </c>
      <c r="B209" s="373" t="s">
        <v>1042</v>
      </c>
      <c r="C209" s="373" t="s">
        <v>997</v>
      </c>
      <c r="D209" s="369">
        <v>4</v>
      </c>
      <c r="E209" s="370">
        <v>69401</v>
      </c>
      <c r="F209" s="371">
        <f t="shared" si="38"/>
        <v>277604</v>
      </c>
      <c r="G209" s="369">
        <v>3</v>
      </c>
      <c r="H209" s="370">
        <v>69401</v>
      </c>
      <c r="I209" s="371">
        <f t="shared" si="39"/>
        <v>208203</v>
      </c>
      <c r="J209" s="372">
        <f t="shared" si="40"/>
        <v>1</v>
      </c>
      <c r="K209" s="371">
        <f t="shared" si="41"/>
        <v>69401</v>
      </c>
      <c r="L209" s="369">
        <f t="shared" si="42"/>
        <v>0</v>
      </c>
      <c r="M209" s="370">
        <f t="shared" si="43"/>
        <v>0</v>
      </c>
      <c r="N209" s="373"/>
    </row>
    <row r="210" spans="1:14" s="374" customFormat="1" ht="32.25" customHeight="1">
      <c r="A210" s="366">
        <v>9</v>
      </c>
      <c r="B210" s="373" t="s">
        <v>929</v>
      </c>
      <c r="C210" s="373" t="s">
        <v>903</v>
      </c>
      <c r="D210" s="369">
        <v>2.38</v>
      </c>
      <c r="E210" s="370">
        <v>2604470</v>
      </c>
      <c r="F210" s="371">
        <f t="shared" si="38"/>
        <v>6198638.5999999996</v>
      </c>
      <c r="G210" s="369">
        <v>3.2759999999999998</v>
      </c>
      <c r="H210" s="370">
        <v>2604470</v>
      </c>
      <c r="I210" s="371">
        <f t="shared" si="39"/>
        <v>8532243.7199999988</v>
      </c>
      <c r="J210" s="372">
        <f t="shared" si="40"/>
        <v>0</v>
      </c>
      <c r="K210" s="371">
        <f t="shared" si="41"/>
        <v>0</v>
      </c>
      <c r="L210" s="369">
        <f t="shared" si="42"/>
        <v>0.89599999999999991</v>
      </c>
      <c r="M210" s="370">
        <f t="shared" si="43"/>
        <v>2333605.1199999992</v>
      </c>
      <c r="N210" s="373"/>
    </row>
    <row r="211" spans="1:14" s="374" customFormat="1" ht="32.25" customHeight="1">
      <c r="A211" s="366">
        <v>10</v>
      </c>
      <c r="B211" s="373" t="s">
        <v>932</v>
      </c>
      <c r="C211" s="373" t="s">
        <v>933</v>
      </c>
      <c r="D211" s="369">
        <v>18.100000000000001</v>
      </c>
      <c r="E211" s="370">
        <v>81524</v>
      </c>
      <c r="F211" s="371">
        <f t="shared" si="38"/>
        <v>1475584.4000000001</v>
      </c>
      <c r="G211" s="369">
        <v>17.472000000000001</v>
      </c>
      <c r="H211" s="370">
        <v>81524</v>
      </c>
      <c r="I211" s="371">
        <f t="shared" si="39"/>
        <v>1424387.3280000002</v>
      </c>
      <c r="J211" s="372">
        <f t="shared" si="40"/>
        <v>0.62800000000000011</v>
      </c>
      <c r="K211" s="371">
        <f t="shared" si="41"/>
        <v>51197.071999999927</v>
      </c>
      <c r="L211" s="369">
        <f t="shared" si="42"/>
        <v>0</v>
      </c>
      <c r="M211" s="370">
        <f t="shared" si="43"/>
        <v>0</v>
      </c>
      <c r="N211" s="373"/>
    </row>
    <row r="212" spans="1:14" s="374" customFormat="1" ht="32.25" customHeight="1">
      <c r="A212" s="366">
        <v>11</v>
      </c>
      <c r="B212" s="373" t="s">
        <v>1043</v>
      </c>
      <c r="C212" s="373" t="s">
        <v>933</v>
      </c>
      <c r="D212" s="369">
        <v>14.09</v>
      </c>
      <c r="E212" s="370">
        <v>61795</v>
      </c>
      <c r="F212" s="371">
        <f t="shared" si="38"/>
        <v>870691.55</v>
      </c>
      <c r="G212" s="369">
        <v>2.82</v>
      </c>
      <c r="H212" s="370">
        <v>61793</v>
      </c>
      <c r="I212" s="371">
        <f t="shared" si="39"/>
        <v>174256.25999999998</v>
      </c>
      <c r="J212" s="372">
        <f t="shared" si="40"/>
        <v>11.27</v>
      </c>
      <c r="K212" s="371">
        <f t="shared" si="41"/>
        <v>696435.29</v>
      </c>
      <c r="L212" s="369">
        <f t="shared" si="42"/>
        <v>0</v>
      </c>
      <c r="M212" s="370">
        <f t="shared" si="43"/>
        <v>0</v>
      </c>
      <c r="N212" s="373"/>
    </row>
    <row r="213" spans="1:14" s="374" customFormat="1" ht="32.25" customHeight="1">
      <c r="A213" s="366">
        <v>12</v>
      </c>
      <c r="B213" s="388" t="s">
        <v>1044</v>
      </c>
      <c r="C213" s="388" t="s">
        <v>903</v>
      </c>
      <c r="D213" s="381">
        <v>8.0799999999999997E-2</v>
      </c>
      <c r="E213" s="380">
        <v>1535399</v>
      </c>
      <c r="F213" s="380">
        <f t="shared" si="38"/>
        <v>124060.2392</v>
      </c>
      <c r="G213" s="381"/>
      <c r="H213" s="380"/>
      <c r="I213" s="380"/>
      <c r="J213" s="372">
        <f t="shared" si="40"/>
        <v>8.0799999999999997E-2</v>
      </c>
      <c r="K213" s="371">
        <f t="shared" si="41"/>
        <v>124060.2392</v>
      </c>
      <c r="L213" s="369">
        <f t="shared" si="42"/>
        <v>0</v>
      </c>
      <c r="M213" s="370">
        <f t="shared" si="43"/>
        <v>0</v>
      </c>
      <c r="N213" s="373"/>
    </row>
    <row r="214" spans="1:14" s="349" customFormat="1" ht="32.25" customHeight="1">
      <c r="A214" s="497" t="s">
        <v>94</v>
      </c>
      <c r="B214" s="497"/>
      <c r="C214" s="497"/>
      <c r="D214" s="350"/>
      <c r="E214" s="351"/>
      <c r="F214" s="351">
        <f>SUM(F201:F213)</f>
        <v>14326468.051900001</v>
      </c>
      <c r="G214" s="350"/>
      <c r="H214" s="351"/>
      <c r="I214" s="351">
        <f>SUM(I201:I213)</f>
        <v>24830542.046100002</v>
      </c>
      <c r="J214" s="350"/>
      <c r="K214" s="351">
        <f>SUM(K201:K213)</f>
        <v>1065158.0162</v>
      </c>
      <c r="L214" s="350"/>
      <c r="M214" s="351">
        <f>SUM(M201:M213)</f>
        <v>11569232.010399999</v>
      </c>
      <c r="N214" s="382"/>
    </row>
    <row r="215" spans="1:14" s="349" customFormat="1" ht="32.25" customHeight="1">
      <c r="A215" s="501" t="s">
        <v>1045</v>
      </c>
      <c r="B215" s="501"/>
      <c r="C215" s="501"/>
      <c r="D215" s="352"/>
      <c r="E215" s="353"/>
      <c r="F215" s="353"/>
      <c r="G215" s="352"/>
      <c r="H215" s="353"/>
      <c r="I215" s="353">
        <v>32901264</v>
      </c>
      <c r="J215" s="352">
        <f t="shared" ref="J215:J218" si="44">MAX(D215-G215,0)</f>
        <v>0</v>
      </c>
      <c r="K215" s="353">
        <f t="shared" ref="K215:K220" si="45">MAX(F215-I215,0)</f>
        <v>0</v>
      </c>
      <c r="L215" s="352">
        <f t="shared" ref="L215:L218" si="46">MAX(G215-D215,0)</f>
        <v>0</v>
      </c>
      <c r="M215" s="353">
        <f t="shared" ref="M215:M220" si="47">MAX(I215-F215,0)</f>
        <v>32901264</v>
      </c>
      <c r="N215" s="354"/>
    </row>
    <row r="216" spans="1:14" s="349" customFormat="1" ht="32.25" customHeight="1">
      <c r="A216" s="502" t="s">
        <v>1046</v>
      </c>
      <c r="B216" s="502"/>
      <c r="C216" s="502"/>
      <c r="D216" s="389"/>
      <c r="E216" s="390"/>
      <c r="F216" s="390"/>
      <c r="G216" s="389"/>
      <c r="H216" s="390"/>
      <c r="I216" s="390">
        <v>119905555</v>
      </c>
      <c r="J216" s="389">
        <f t="shared" si="44"/>
        <v>0</v>
      </c>
      <c r="K216" s="390">
        <f t="shared" si="45"/>
        <v>0</v>
      </c>
      <c r="L216" s="389">
        <f t="shared" si="46"/>
        <v>0</v>
      </c>
      <c r="M216" s="390">
        <f t="shared" si="47"/>
        <v>119905555</v>
      </c>
      <c r="N216" s="391"/>
    </row>
    <row r="217" spans="1:14" s="349" customFormat="1" ht="32.25" customHeight="1">
      <c r="A217" s="502" t="s">
        <v>1047</v>
      </c>
      <c r="B217" s="502"/>
      <c r="C217" s="502"/>
      <c r="D217" s="389"/>
      <c r="E217" s="390"/>
      <c r="F217" s="390"/>
      <c r="G217" s="389"/>
      <c r="H217" s="390"/>
      <c r="I217" s="390">
        <v>886969404</v>
      </c>
      <c r="J217" s="389">
        <f t="shared" si="44"/>
        <v>0</v>
      </c>
      <c r="K217" s="390">
        <f t="shared" si="45"/>
        <v>0</v>
      </c>
      <c r="L217" s="389">
        <f t="shared" si="46"/>
        <v>0</v>
      </c>
      <c r="M217" s="390">
        <f t="shared" si="47"/>
        <v>886969404</v>
      </c>
      <c r="N217" s="391"/>
    </row>
    <row r="218" spans="1:14" s="349" customFormat="1" ht="32.25" customHeight="1">
      <c r="A218" s="502" t="s">
        <v>1048</v>
      </c>
      <c r="B218" s="502"/>
      <c r="C218" s="502"/>
      <c r="D218" s="389"/>
      <c r="E218" s="390"/>
      <c r="F218" s="390"/>
      <c r="G218" s="389"/>
      <c r="H218" s="390"/>
      <c r="I218" s="390">
        <v>286230000</v>
      </c>
      <c r="J218" s="389">
        <f t="shared" si="44"/>
        <v>0</v>
      </c>
      <c r="K218" s="390">
        <f t="shared" si="45"/>
        <v>0</v>
      </c>
      <c r="L218" s="389">
        <f t="shared" si="46"/>
        <v>0</v>
      </c>
      <c r="M218" s="390">
        <f t="shared" si="47"/>
        <v>286230000</v>
      </c>
      <c r="N218" s="391"/>
    </row>
    <row r="219" spans="1:14" s="349" customFormat="1" ht="32.25" customHeight="1">
      <c r="A219" s="502" t="s">
        <v>1049</v>
      </c>
      <c r="B219" s="502"/>
      <c r="C219" s="502"/>
      <c r="D219" s="389"/>
      <c r="E219" s="390"/>
      <c r="F219" s="390"/>
      <c r="G219" s="389"/>
      <c r="H219" s="390"/>
      <c r="I219" s="390">
        <v>300003882</v>
      </c>
      <c r="J219" s="389"/>
      <c r="K219" s="390">
        <f t="shared" si="45"/>
        <v>0</v>
      </c>
      <c r="L219" s="389"/>
      <c r="M219" s="390">
        <f t="shared" si="47"/>
        <v>300003882</v>
      </c>
      <c r="N219" s="391"/>
    </row>
    <row r="220" spans="1:14" s="349" customFormat="1" ht="32.25" customHeight="1">
      <c r="A220" s="503" t="s">
        <v>1050</v>
      </c>
      <c r="B220" s="503"/>
      <c r="C220" s="503"/>
      <c r="D220" s="392"/>
      <c r="E220" s="393"/>
      <c r="F220" s="393"/>
      <c r="G220" s="392"/>
      <c r="H220" s="393"/>
      <c r="I220" s="393">
        <v>53183258</v>
      </c>
      <c r="J220" s="392"/>
      <c r="K220" s="393">
        <f t="shared" si="45"/>
        <v>0</v>
      </c>
      <c r="L220" s="392"/>
      <c r="M220" s="393">
        <f t="shared" si="47"/>
        <v>53183258</v>
      </c>
      <c r="N220" s="394"/>
    </row>
    <row r="221" spans="1:14" s="349" customFormat="1" ht="32.25" customHeight="1">
      <c r="A221" s="497" t="s">
        <v>94</v>
      </c>
      <c r="B221" s="497"/>
      <c r="C221" s="497"/>
      <c r="D221" s="350"/>
      <c r="E221" s="351"/>
      <c r="F221" s="351">
        <f>SUM(F215:F220)</f>
        <v>0</v>
      </c>
      <c r="G221" s="350"/>
      <c r="H221" s="351"/>
      <c r="I221" s="351">
        <f>SUM(I215:I220)</f>
        <v>1679193363</v>
      </c>
      <c r="J221" s="350"/>
      <c r="K221" s="351">
        <f>SUM(K215:K220)</f>
        <v>0</v>
      </c>
      <c r="L221" s="350"/>
      <c r="M221" s="351">
        <f>SUM(M215:M220)</f>
        <v>1679193363</v>
      </c>
      <c r="N221" s="382"/>
    </row>
    <row r="222" spans="1:14" s="349" customFormat="1" ht="32.25" customHeight="1">
      <c r="A222" s="498" t="s">
        <v>1051</v>
      </c>
      <c r="B222" s="499"/>
      <c r="C222" s="500"/>
      <c r="D222" s="350"/>
      <c r="E222" s="351"/>
      <c r="F222" s="351">
        <f>F31+F72+F112+F152+F180+F200+F214+F221</f>
        <v>8748426395.2454014</v>
      </c>
      <c r="G222" s="351"/>
      <c r="H222" s="351"/>
      <c r="I222" s="351">
        <f>I31+I72+I112+I152+I180+I200+I214+I221</f>
        <v>10172568447.6012</v>
      </c>
      <c r="J222" s="351"/>
      <c r="K222" s="351">
        <f>K31+K72+K112+K152+K180+K200+K214+K221</f>
        <v>1267596478.4047</v>
      </c>
      <c r="L222" s="351"/>
      <c r="M222" s="351">
        <f>M31+M72+M112+M152+M180+M200+M214+M221</f>
        <v>2691738530.7605</v>
      </c>
      <c r="N222" s="382"/>
    </row>
    <row r="224" spans="1:14" ht="32.25" customHeight="1">
      <c r="G224" s="398"/>
    </row>
  </sheetData>
  <mergeCells count="30">
    <mergeCell ref="A73:C73"/>
    <mergeCell ref="A112:C112"/>
    <mergeCell ref="A113:C113"/>
    <mergeCell ref="A72:C72"/>
    <mergeCell ref="A2:A3"/>
    <mergeCell ref="B2:B3"/>
    <mergeCell ref="C2:C3"/>
    <mergeCell ref="A32:C32"/>
    <mergeCell ref="D2:F2"/>
    <mergeCell ref="L2:M2"/>
    <mergeCell ref="N2:N3"/>
    <mergeCell ref="A4:C4"/>
    <mergeCell ref="A31:C31"/>
    <mergeCell ref="G2:I2"/>
    <mergeCell ref="J2:K2"/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</mergeCells>
  <pageMargins left="0.16" right="0.15" top="0.16" bottom="0.16" header="0.13" footer="0.16"/>
  <pageSetup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2015-12-21T09:22:18Z</cp:lastPrinted>
  <dcterms:created xsi:type="dcterms:W3CDTF">1996-10-14T23:33:28Z</dcterms:created>
  <dcterms:modified xsi:type="dcterms:W3CDTF">2015-12-21T09:22:55Z</dcterms:modified>
</cp:coreProperties>
</file>