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20" windowWidth="15135" windowHeight="9300" tabRatio="858" activeTab="1"/>
  </bookViews>
  <sheets>
    <sheet name="311-341" sheetId="20" r:id="rId1"/>
    <sheet name="TH-VAY" sheetId="23" r:id="rId2"/>
    <sheet name="CT-VAY" sheetId="25" r:id="rId3"/>
    <sheet name="141-BH" sheetId="4" r:id="rId4"/>
    <sheet name="141-VV" sheetId="6" r:id="rId5"/>
    <sheet name="141-TT-BH" sheetId="7" r:id="rId6"/>
    <sheet name="141-TT-VV" sheetId="19" r:id="rId7"/>
  </sheets>
  <definedNames>
    <definedName name="_Dau1">IF(Loai1='141-TT-VV'!$D$3-1,ROW(Loai1)-1,"")</definedName>
    <definedName name="_Fill" hidden="1">#REF!</definedName>
    <definedName name="_xlnm._FilterDatabase" localSheetId="3" hidden="1">'141-BH'!$A$14:$N$172</definedName>
    <definedName name="_xlnm._FilterDatabase" localSheetId="4" hidden="1">'141-VV'!$A$14:$Q$151</definedName>
    <definedName name="_xlnm._FilterDatabase" localSheetId="1" hidden="1">'TH-VAY'!$A$4:$L$4</definedName>
    <definedName name="_TH1">'TH-VAY'!$H$5:$H$34</definedName>
    <definedName name="_TH2">'TH-VAY'!$I$5:$I$34</definedName>
    <definedName name="_TH3">'TH-VAY'!$J$5:$J$34</definedName>
    <definedName name="_TH4">'TH-VAY'!$K$5:$K$34</definedName>
    <definedName name="Dau">IF(Loai='141-TT-BH'!$D$3-1,ROW(Loai)-1,"")</definedName>
    <definedName name="Dong">IF(Loai='141-TT-BH'!$D$3,ROW(Loai)-1,"")</definedName>
    <definedName name="Dong01">IF(Loai01="111",ROW(Loai01)-1,"")</definedName>
    <definedName name="Dong02">IF(Loai01="331",ROW(Loai01)-1,"")</definedName>
    <definedName name="Dong03">IF(Loai02="111",ROW(Loai02)-1,"")</definedName>
    <definedName name="Dong04">IF(Loai02="331",ROW(Loai02)-1,"")</definedName>
    <definedName name="Dong1">IF(Loai1='141-TT-VV'!$D$3,ROW(Loai1)-1,"")</definedName>
    <definedName name="Dong4">IF(Loai4='CT-VAY'!$H$9,ROW(Loai4)-1,"")</definedName>
    <definedName name="Dong5">IF(Loai4='CT-VAY'!$H$42,ROW(Loai4)-1,"")</definedName>
    <definedName name="DSKU">'311-341'!$B$5:$B$9</definedName>
    <definedName name="DSKU1">'311-341'!$B$20:$G$31</definedName>
    <definedName name="DSKU2">'311-341'!$B$20:$B$31</definedName>
    <definedName name="KUTH">'TH-VAY'!$E$5:$E$34</definedName>
    <definedName name="Loai">OFFSET('141-BH'!$J$15,,,COUNTA('141-BH'!$J$15:$J$40025))</definedName>
    <definedName name="Loai01">OFFSET('141-BH'!$R$16,,,COUNTA('141-BH'!$R$16:$R$40025))</definedName>
    <definedName name="Loai02">OFFSET('141-VV'!$Q$16,,,COUNTA('141-VV'!$Q$16:$R$40112))</definedName>
    <definedName name="Loai1">OFFSET('141-VV'!$J$15,,,COUNTA('141-VV'!$J$15:$J$40111))</definedName>
    <definedName name="Loai4">OFFSET('TH-VAY'!$E$5,,,COUNTA('TH-VAY'!$E$5:$E$40049))</definedName>
    <definedName name="_xlnm.Print_Area" localSheetId="0">'311-341'!$A$1:$O$8</definedName>
  </definedNames>
  <calcPr calcId="124519"/>
</workbook>
</file>

<file path=xl/calcChain.xml><?xml version="1.0" encoding="utf-8"?>
<calcChain xmlns="http://schemas.openxmlformats.org/spreadsheetml/2006/main">
  <c r="I29" i="23"/>
  <c r="K29"/>
  <c r="I30"/>
  <c r="K30"/>
  <c r="I31"/>
  <c r="K31"/>
  <c r="I32"/>
  <c r="K32"/>
  <c r="B18" i="25"/>
  <c r="C18"/>
  <c r="D18"/>
  <c r="E18"/>
  <c r="F18"/>
  <c r="G18"/>
  <c r="H18"/>
  <c r="I18"/>
  <c r="J18"/>
  <c r="B19"/>
  <c r="C19"/>
  <c r="D19"/>
  <c r="E19"/>
  <c r="F19"/>
  <c r="G19"/>
  <c r="H19"/>
  <c r="I19"/>
  <c r="J19"/>
  <c r="A30" i="23"/>
  <c r="L30"/>
  <c r="A31"/>
  <c r="L31"/>
  <c r="A32"/>
  <c r="L32"/>
  <c r="A33"/>
  <c r="I33"/>
  <c r="K33"/>
  <c r="L33"/>
  <c r="A34"/>
  <c r="I34"/>
  <c r="K34"/>
  <c r="L34"/>
  <c r="A18" i="25" l="1"/>
  <c r="A19"/>
  <c r="L5" i="23"/>
  <c r="L6"/>
  <c r="B14" i="19"/>
  <c r="B14" i="7"/>
  <c r="O17" i="4"/>
  <c r="P17"/>
  <c r="Q17"/>
  <c r="R17"/>
  <c r="S17"/>
  <c r="T17"/>
  <c r="U17"/>
  <c r="O18"/>
  <c r="P18"/>
  <c r="Q18"/>
  <c r="R18"/>
  <c r="S18"/>
  <c r="T18"/>
  <c r="U18"/>
  <c r="O19"/>
  <c r="P19"/>
  <c r="Q19"/>
  <c r="R19"/>
  <c r="S19"/>
  <c r="T19"/>
  <c r="U19"/>
  <c r="O20"/>
  <c r="P20"/>
  <c r="Q20"/>
  <c r="R20"/>
  <c r="S20"/>
  <c r="T20"/>
  <c r="U20"/>
  <c r="O21"/>
  <c r="P21"/>
  <c r="Q21"/>
  <c r="R21"/>
  <c r="S21"/>
  <c r="T21"/>
  <c r="U21"/>
  <c r="O22"/>
  <c r="P22"/>
  <c r="Q22"/>
  <c r="R22"/>
  <c r="S22"/>
  <c r="T22"/>
  <c r="U22"/>
  <c r="O23"/>
  <c r="P23"/>
  <c r="Q23"/>
  <c r="R23"/>
  <c r="S23"/>
  <c r="T23"/>
  <c r="U23"/>
  <c r="O24"/>
  <c r="P24"/>
  <c r="Q24"/>
  <c r="R24"/>
  <c r="S24"/>
  <c r="T24"/>
  <c r="U24"/>
  <c r="O25"/>
  <c r="P25"/>
  <c r="Q25"/>
  <c r="R25"/>
  <c r="S25"/>
  <c r="T25"/>
  <c r="U25"/>
  <c r="O26"/>
  <c r="P26"/>
  <c r="Q26"/>
  <c r="R26"/>
  <c r="S26"/>
  <c r="T26"/>
  <c r="U26"/>
  <c r="O27"/>
  <c r="P27"/>
  <c r="Q27"/>
  <c r="R27"/>
  <c r="S27"/>
  <c r="T27"/>
  <c r="U27"/>
  <c r="O28"/>
  <c r="P28"/>
  <c r="Q28"/>
  <c r="R28"/>
  <c r="S28"/>
  <c r="T28"/>
  <c r="U28"/>
  <c r="O29"/>
  <c r="P29"/>
  <c r="Q29"/>
  <c r="R29"/>
  <c r="S29"/>
  <c r="T29"/>
  <c r="U29"/>
  <c r="O30"/>
  <c r="P30"/>
  <c r="Q30"/>
  <c r="R30"/>
  <c r="S30"/>
  <c r="T30"/>
  <c r="U30"/>
  <c r="O31"/>
  <c r="P31"/>
  <c r="Q31"/>
  <c r="R31"/>
  <c r="S31"/>
  <c r="T31"/>
  <c r="U31"/>
  <c r="O32"/>
  <c r="P32"/>
  <c r="Q32"/>
  <c r="R32"/>
  <c r="S32"/>
  <c r="T32"/>
  <c r="U32"/>
  <c r="O33"/>
  <c r="P33"/>
  <c r="Q33"/>
  <c r="R33"/>
  <c r="S33"/>
  <c r="T33"/>
  <c r="U33"/>
  <c r="O34"/>
  <c r="P34"/>
  <c r="Q34"/>
  <c r="R34"/>
  <c r="S34"/>
  <c r="T34"/>
  <c r="U34"/>
  <c r="O35"/>
  <c r="P35"/>
  <c r="Q35"/>
  <c r="R35"/>
  <c r="S35"/>
  <c r="T35"/>
  <c r="U35"/>
  <c r="O36"/>
  <c r="P36"/>
  <c r="Q36"/>
  <c r="R36"/>
  <c r="S36"/>
  <c r="T36"/>
  <c r="U36"/>
  <c r="O37"/>
  <c r="P37"/>
  <c r="Q37"/>
  <c r="R37"/>
  <c r="S37"/>
  <c r="T37"/>
  <c r="U37"/>
  <c r="O38"/>
  <c r="P38"/>
  <c r="Q38"/>
  <c r="R38"/>
  <c r="S38"/>
  <c r="T38"/>
  <c r="U38"/>
  <c r="O39"/>
  <c r="P39"/>
  <c r="Q39"/>
  <c r="R39"/>
  <c r="S39"/>
  <c r="T39"/>
  <c r="U39"/>
  <c r="O40"/>
  <c r="P40"/>
  <c r="Q40"/>
  <c r="R40"/>
  <c r="S40"/>
  <c r="T40"/>
  <c r="U40"/>
  <c r="O41"/>
  <c r="P41"/>
  <c r="Q41"/>
  <c r="R41"/>
  <c r="S41"/>
  <c r="T41"/>
  <c r="U41"/>
  <c r="O42"/>
  <c r="P42"/>
  <c r="Q42"/>
  <c r="R42"/>
  <c r="S42"/>
  <c r="T42"/>
  <c r="U42"/>
  <c r="O43"/>
  <c r="P43"/>
  <c r="Q43"/>
  <c r="R43"/>
  <c r="S43"/>
  <c r="T43"/>
  <c r="U43"/>
  <c r="O44"/>
  <c r="P44"/>
  <c r="Q44"/>
  <c r="R44"/>
  <c r="S44"/>
  <c r="T44"/>
  <c r="U44"/>
  <c r="O45"/>
  <c r="P45"/>
  <c r="Q45"/>
  <c r="R45"/>
  <c r="S45"/>
  <c r="T45"/>
  <c r="U45"/>
  <c r="O46"/>
  <c r="P46"/>
  <c r="Q46"/>
  <c r="R46"/>
  <c r="S46"/>
  <c r="T46"/>
  <c r="U46"/>
  <c r="O47"/>
  <c r="P47"/>
  <c r="Q47"/>
  <c r="R47"/>
  <c r="S47"/>
  <c r="T47"/>
  <c r="U47"/>
  <c r="O48"/>
  <c r="P48"/>
  <c r="Q48"/>
  <c r="R48"/>
  <c r="S48"/>
  <c r="T48"/>
  <c r="U48"/>
  <c r="O49"/>
  <c r="P49"/>
  <c r="Q49"/>
  <c r="R49"/>
  <c r="S49"/>
  <c r="T49"/>
  <c r="U49"/>
  <c r="O50"/>
  <c r="P50"/>
  <c r="Q50"/>
  <c r="R50"/>
  <c r="S50"/>
  <c r="T50"/>
  <c r="U50"/>
  <c r="J150" i="6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B51" i="25"/>
  <c r="C51"/>
  <c r="D51"/>
  <c r="E51"/>
  <c r="F51"/>
  <c r="G51"/>
  <c r="H51"/>
  <c r="I51"/>
  <c r="J51"/>
  <c r="B52"/>
  <c r="C52"/>
  <c r="N52" s="1"/>
  <c r="D52"/>
  <c r="A52" s="1"/>
  <c r="E52"/>
  <c r="F52"/>
  <c r="G52"/>
  <c r="H52"/>
  <c r="I52"/>
  <c r="J52"/>
  <c r="J50"/>
  <c r="I50"/>
  <c r="H50"/>
  <c r="G50"/>
  <c r="F50"/>
  <c r="E50"/>
  <c r="D50"/>
  <c r="C50"/>
  <c r="B50"/>
  <c r="L7" i="23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J42" i="25"/>
  <c r="N49"/>
  <c r="M49"/>
  <c r="L49"/>
  <c r="K49"/>
  <c r="C58"/>
  <c r="A41"/>
  <c r="H24" i="20"/>
  <c r="I24"/>
  <c r="J24"/>
  <c r="K24"/>
  <c r="H25"/>
  <c r="I25"/>
  <c r="J25"/>
  <c r="N25" s="1"/>
  <c r="K25"/>
  <c r="M25" s="1"/>
  <c r="H26"/>
  <c r="I26"/>
  <c r="J26"/>
  <c r="L26" s="1"/>
  <c r="K26"/>
  <c r="H27"/>
  <c r="I27"/>
  <c r="J27"/>
  <c r="K27"/>
  <c r="H28"/>
  <c r="I28"/>
  <c r="J28"/>
  <c r="L28" s="1"/>
  <c r="K28"/>
  <c r="O28" s="1"/>
  <c r="H29"/>
  <c r="I29"/>
  <c r="J29"/>
  <c r="K29"/>
  <c r="O29" s="1"/>
  <c r="H30"/>
  <c r="I30"/>
  <c r="J30"/>
  <c r="N30" s="1"/>
  <c r="K30"/>
  <c r="M30" s="1"/>
  <c r="G32"/>
  <c r="F32"/>
  <c r="E32"/>
  <c r="D32"/>
  <c r="K23"/>
  <c r="J23"/>
  <c r="I23"/>
  <c r="H23"/>
  <c r="L23" s="1"/>
  <c r="K22"/>
  <c r="J22"/>
  <c r="I22"/>
  <c r="H22"/>
  <c r="K21"/>
  <c r="J21"/>
  <c r="I21"/>
  <c r="M21" s="1"/>
  <c r="H21"/>
  <c r="K20"/>
  <c r="J20"/>
  <c r="I20"/>
  <c r="H20"/>
  <c r="J102" i="6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36" i="4"/>
  <c r="J37"/>
  <c r="J38"/>
  <c r="J39"/>
  <c r="J40"/>
  <c r="J41"/>
  <c r="J42"/>
  <c r="J43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85" i="6"/>
  <c r="M23" i="20" l="1"/>
  <c r="M22"/>
  <c r="L27"/>
  <c r="O24"/>
  <c r="O27"/>
  <c r="L29"/>
  <c r="L24"/>
  <c r="L30"/>
  <c r="L25"/>
  <c r="N27"/>
  <c r="O26"/>
  <c r="O30"/>
  <c r="O25"/>
  <c r="L22"/>
  <c r="M28"/>
  <c r="M26"/>
  <c r="M24"/>
  <c r="M27"/>
  <c r="M29"/>
  <c r="N28"/>
  <c r="N26"/>
  <c r="N29"/>
  <c r="N24"/>
  <c r="L21"/>
  <c r="N50" i="25"/>
  <c r="I32" i="20"/>
  <c r="K32"/>
  <c r="A50" i="25"/>
  <c r="H32" i="20"/>
  <c r="A51" i="25"/>
  <c r="G54"/>
  <c r="I54"/>
  <c r="O21" i="20"/>
  <c r="O22"/>
  <c r="O23"/>
  <c r="N21"/>
  <c r="N22"/>
  <c r="N23"/>
  <c r="H54" i="25"/>
  <c r="J54"/>
  <c r="K50"/>
  <c r="M50"/>
  <c r="K52"/>
  <c r="M52"/>
  <c r="L50"/>
  <c r="L52"/>
  <c r="J32" i="20"/>
  <c r="M20"/>
  <c r="O20"/>
  <c r="L20"/>
  <c r="N20"/>
  <c r="L51" i="25" l="1"/>
  <c r="M32" i="20"/>
  <c r="L32"/>
  <c r="K51" i="25"/>
  <c r="M51"/>
  <c r="N51"/>
  <c r="N32" i="20"/>
  <c r="O32"/>
  <c r="M55" i="25"/>
  <c r="K55"/>
  <c r="L55"/>
  <c r="N55"/>
  <c r="A29" i="23" l="1"/>
  <c r="A18"/>
  <c r="A19"/>
  <c r="A20"/>
  <c r="A21"/>
  <c r="A22"/>
  <c r="A23"/>
  <c r="A24"/>
  <c r="A25"/>
  <c r="A26"/>
  <c r="A27"/>
  <c r="A6"/>
  <c r="A7"/>
  <c r="A8"/>
  <c r="A9"/>
  <c r="A10"/>
  <c r="A11"/>
  <c r="A12"/>
  <c r="A13"/>
  <c r="A14"/>
  <c r="A15"/>
  <c r="A16"/>
  <c r="A17"/>
  <c r="A5"/>
  <c r="F17" i="25"/>
  <c r="G17"/>
  <c r="I17"/>
  <c r="E17"/>
  <c r="D17"/>
  <c r="C17"/>
  <c r="B17"/>
  <c r="A17" l="1"/>
  <c r="C25"/>
  <c r="J9"/>
  <c r="N16"/>
  <c r="M16"/>
  <c r="L16"/>
  <c r="K16"/>
  <c r="K17" s="1"/>
  <c r="M17" l="1"/>
  <c r="M18" s="1"/>
  <c r="K18" l="1"/>
  <c r="K19" s="1"/>
  <c r="A8"/>
  <c r="I21"/>
  <c r="G21"/>
  <c r="H6" i="20"/>
  <c r="I6"/>
  <c r="J6"/>
  <c r="K6"/>
  <c r="H7"/>
  <c r="I7"/>
  <c r="J7"/>
  <c r="K7"/>
  <c r="H8"/>
  <c r="I8"/>
  <c r="J8"/>
  <c r="K8"/>
  <c r="K5"/>
  <c r="J5"/>
  <c r="I5"/>
  <c r="H5"/>
  <c r="M19" i="25" l="1"/>
  <c r="K22"/>
  <c r="M22"/>
  <c r="H17" l="1"/>
  <c r="J17"/>
  <c r="H16" i="4"/>
  <c r="I16"/>
  <c r="H16" i="6"/>
  <c r="I16"/>
  <c r="G171" i="4"/>
  <c r="F171"/>
  <c r="N6" i="20"/>
  <c r="O6"/>
  <c r="N7"/>
  <c r="O7"/>
  <c r="N8"/>
  <c r="O8"/>
  <c r="J41" i="6"/>
  <c r="J42"/>
  <c r="J43"/>
  <c r="J44"/>
  <c r="J45"/>
  <c r="J46"/>
  <c r="J47"/>
  <c r="J48"/>
  <c r="J49"/>
  <c r="J50"/>
  <c r="J52"/>
  <c r="J53"/>
  <c r="J54"/>
  <c r="J55"/>
  <c r="J56"/>
  <c r="J57"/>
  <c r="J58"/>
  <c r="J59"/>
  <c r="J60"/>
  <c r="J61"/>
  <c r="J62"/>
  <c r="J63"/>
  <c r="J64"/>
  <c r="J65"/>
  <c r="J66"/>
  <c r="J67"/>
  <c r="J69"/>
  <c r="J70"/>
  <c r="J71"/>
  <c r="J72"/>
  <c r="J73"/>
  <c r="J74"/>
  <c r="J75"/>
  <c r="J76"/>
  <c r="J77"/>
  <c r="J78"/>
  <c r="J79"/>
  <c r="J80"/>
  <c r="J81"/>
  <c r="J82"/>
  <c r="J83"/>
  <c r="J84"/>
  <c r="J86"/>
  <c r="J87"/>
  <c r="J88"/>
  <c r="J89"/>
  <c r="J90"/>
  <c r="J91"/>
  <c r="J92"/>
  <c r="J93"/>
  <c r="J94"/>
  <c r="J95"/>
  <c r="J96"/>
  <c r="J97"/>
  <c r="J98"/>
  <c r="J99"/>
  <c r="J100"/>
  <c r="J101"/>
  <c r="J190"/>
  <c r="J191"/>
  <c r="J192"/>
  <c r="J170" i="4"/>
  <c r="S37" i="6"/>
  <c r="S45"/>
  <c r="Q16" i="4"/>
  <c r="D78" i="7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G191" i="6"/>
  <c r="F191"/>
  <c r="H172" i="4"/>
  <c r="D115" i="7" l="1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T16" i="4"/>
  <c r="H17"/>
  <c r="P17" i="6"/>
  <c r="S47"/>
  <c r="S41"/>
  <c r="O32"/>
  <c r="S48"/>
  <c r="S46"/>
  <c r="S43"/>
  <c r="S39"/>
  <c r="S35"/>
  <c r="H17"/>
  <c r="I17" i="4"/>
  <c r="P19" i="6"/>
  <c r="O48"/>
  <c r="O47"/>
  <c r="O46"/>
  <c r="S44"/>
  <c r="S42"/>
  <c r="S40"/>
  <c r="S38"/>
  <c r="S36"/>
  <c r="O34"/>
  <c r="O30"/>
  <c r="P18"/>
  <c r="P16"/>
  <c r="P48"/>
  <c r="N48"/>
  <c r="P47"/>
  <c r="N47"/>
  <c r="P46"/>
  <c r="N46"/>
  <c r="O45"/>
  <c r="O44"/>
  <c r="O43"/>
  <c r="O42"/>
  <c r="O41"/>
  <c r="O40"/>
  <c r="O39"/>
  <c r="O38"/>
  <c r="O37"/>
  <c r="O36"/>
  <c r="O35"/>
  <c r="O33"/>
  <c r="O31"/>
  <c r="O29"/>
  <c r="N29"/>
  <c r="O27"/>
  <c r="N27"/>
  <c r="O25"/>
  <c r="N25"/>
  <c r="O23"/>
  <c r="N23"/>
  <c r="O21"/>
  <c r="N21"/>
  <c r="N17"/>
  <c r="P45"/>
  <c r="N45"/>
  <c r="P44"/>
  <c r="N44"/>
  <c r="P43"/>
  <c r="N43"/>
  <c r="P42"/>
  <c r="N42"/>
  <c r="P41"/>
  <c r="N41"/>
  <c r="P40"/>
  <c r="N40"/>
  <c r="P39"/>
  <c r="N39"/>
  <c r="P38"/>
  <c r="N38"/>
  <c r="P37"/>
  <c r="N37"/>
  <c r="P36"/>
  <c r="N36"/>
  <c r="P35"/>
  <c r="N35"/>
  <c r="N34"/>
  <c r="N33"/>
  <c r="N32"/>
  <c r="N31"/>
  <c r="N30"/>
  <c r="O28"/>
  <c r="N28"/>
  <c r="O26"/>
  <c r="N26"/>
  <c r="O24"/>
  <c r="N24"/>
  <c r="O22"/>
  <c r="N22"/>
  <c r="S19"/>
  <c r="S18"/>
  <c r="S17"/>
  <c r="O16"/>
  <c r="N16"/>
  <c r="O19"/>
  <c r="N19"/>
  <c r="O17"/>
  <c r="Q20"/>
  <c r="T46"/>
  <c r="G173" i="4"/>
  <c r="F173"/>
  <c r="P16"/>
  <c r="J21" i="25"/>
  <c r="T26" i="6"/>
  <c r="O20"/>
  <c r="N20"/>
  <c r="O18"/>
  <c r="N18"/>
  <c r="S16"/>
  <c r="S23"/>
  <c r="S16" i="4"/>
  <c r="U16"/>
  <c r="T17" i="6"/>
  <c r="P20"/>
  <c r="P28"/>
  <c r="P27"/>
  <c r="P26"/>
  <c r="P25"/>
  <c r="P24"/>
  <c r="T22"/>
  <c r="T34"/>
  <c r="T33"/>
  <c r="T32"/>
  <c r="T31"/>
  <c r="T29"/>
  <c r="T30"/>
  <c r="Q34"/>
  <c r="T38"/>
  <c r="P32"/>
  <c r="Q26"/>
  <c r="O16" i="4"/>
  <c r="T42" i="6"/>
  <c r="T18"/>
  <c r="P21"/>
  <c r="Q42"/>
  <c r="R19"/>
  <c r="T48"/>
  <c r="T44"/>
  <c r="T40"/>
  <c r="T36"/>
  <c r="T28"/>
  <c r="T24"/>
  <c r="P34"/>
  <c r="P29"/>
  <c r="S31"/>
  <c r="Q46"/>
  <c r="Q38"/>
  <c r="Q30"/>
  <c r="Q22"/>
  <c r="T16"/>
  <c r="T47"/>
  <c r="T45"/>
  <c r="T43"/>
  <c r="T41"/>
  <c r="T39"/>
  <c r="T37"/>
  <c r="T35"/>
  <c r="T20"/>
  <c r="T27"/>
  <c r="T25"/>
  <c r="T23"/>
  <c r="P22"/>
  <c r="P33"/>
  <c r="P31"/>
  <c r="P30"/>
  <c r="S20"/>
  <c r="S27"/>
  <c r="Q48"/>
  <c r="Q44"/>
  <c r="Q40"/>
  <c r="Q36"/>
  <c r="Q32"/>
  <c r="Q28"/>
  <c r="Q24"/>
  <c r="S33"/>
  <c r="S29"/>
  <c r="S25"/>
  <c r="S22"/>
  <c r="Q47"/>
  <c r="Q45"/>
  <c r="Q43"/>
  <c r="Q41"/>
  <c r="Q39"/>
  <c r="Q37"/>
  <c r="Q35"/>
  <c r="Q33"/>
  <c r="R17"/>
  <c r="T19"/>
  <c r="P23"/>
  <c r="Q31"/>
  <c r="Q29"/>
  <c r="Q27"/>
  <c r="Q25"/>
  <c r="Q23"/>
  <c r="Q21"/>
  <c r="Q19"/>
  <c r="Q18"/>
  <c r="Q17"/>
  <c r="Q16"/>
  <c r="T21"/>
  <c r="S34"/>
  <c r="S32"/>
  <c r="S30"/>
  <c r="S28"/>
  <c r="S26"/>
  <c r="S24"/>
  <c r="S21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8"/>
  <c r="R16"/>
  <c r="H18" i="4"/>
  <c r="I18"/>
  <c r="I172"/>
  <c r="N17" i="25"/>
  <c r="L17"/>
  <c r="H21"/>
  <c r="H192" i="6"/>
  <c r="K174" i="4" s="1"/>
  <c r="I192" i="6"/>
  <c r="R16" i="4"/>
  <c r="I17" i="6"/>
  <c r="I18" s="1"/>
  <c r="S171" i="4"/>
  <c r="N5" i="20"/>
  <c r="L5"/>
  <c r="F10"/>
  <c r="D10"/>
  <c r="M8"/>
  <c r="M7"/>
  <c r="M6"/>
  <c r="O5"/>
  <c r="M5"/>
  <c r="G10"/>
  <c r="E10"/>
  <c r="L8"/>
  <c r="L7"/>
  <c r="L6"/>
  <c r="L18" i="25" l="1"/>
  <c r="L19"/>
  <c r="N18"/>
  <c r="N19" s="1"/>
  <c r="A36" i="7"/>
  <c r="A34"/>
  <c r="A32"/>
  <c r="A30"/>
  <c r="A28"/>
  <c r="A26"/>
  <c r="A24"/>
  <c r="A37"/>
  <c r="A35"/>
  <c r="A33"/>
  <c r="A31"/>
  <c r="A29"/>
  <c r="A27"/>
  <c r="A25"/>
  <c r="A40" i="19"/>
  <c r="A38"/>
  <c r="A36"/>
  <c r="A34"/>
  <c r="A32"/>
  <c r="A30"/>
  <c r="A28"/>
  <c r="A26"/>
  <c r="A24"/>
  <c r="A41"/>
  <c r="A39"/>
  <c r="A37"/>
  <c r="A35"/>
  <c r="A33"/>
  <c r="A31"/>
  <c r="A29"/>
  <c r="A27"/>
  <c r="A25"/>
  <c r="A18" i="7"/>
  <c r="A20"/>
  <c r="A22"/>
  <c r="A17"/>
  <c r="A19"/>
  <c r="A21"/>
  <c r="L22" i="25"/>
  <c r="H18" i="6"/>
  <c r="H19" s="1"/>
  <c r="H19" i="4"/>
  <c r="B28" i="19"/>
  <c r="B26"/>
  <c r="B40"/>
  <c r="B39"/>
  <c r="A18"/>
  <c r="B24"/>
  <c r="B33"/>
  <c r="B22"/>
  <c r="A17"/>
  <c r="B32"/>
  <c r="B27"/>
  <c r="B5"/>
  <c r="B21"/>
  <c r="A21"/>
  <c r="B18"/>
  <c r="A20"/>
  <c r="B17"/>
  <c r="B36"/>
  <c r="B38"/>
  <c r="A16"/>
  <c r="A19"/>
  <c r="B29"/>
  <c r="B25"/>
  <c r="B30"/>
  <c r="B34"/>
  <c r="B31"/>
  <c r="A22"/>
  <c r="B19"/>
  <c r="B41"/>
  <c r="B37"/>
  <c r="B35"/>
  <c r="B20"/>
  <c r="B16"/>
  <c r="A4"/>
  <c r="I19" i="4"/>
  <c r="I20" s="1"/>
  <c r="N22" i="25"/>
  <c r="T171" i="4"/>
  <c r="B24" i="7"/>
  <c r="H10" i="20"/>
  <c r="J10"/>
  <c r="B26" i="7"/>
  <c r="B16"/>
  <c r="A4"/>
  <c r="A16"/>
  <c r="B27"/>
  <c r="B29"/>
  <c r="B31"/>
  <c r="B33"/>
  <c r="B35"/>
  <c r="B37"/>
  <c r="B22"/>
  <c r="B25"/>
  <c r="B28"/>
  <c r="B30"/>
  <c r="B32"/>
  <c r="B34"/>
  <c r="B36"/>
  <c r="B17"/>
  <c r="B18"/>
  <c r="B19"/>
  <c r="B20"/>
  <c r="B21"/>
  <c r="N10" i="20"/>
  <c r="B5" i="7"/>
  <c r="I19" i="6" l="1"/>
  <c r="I20" s="1"/>
  <c r="B23" i="7"/>
  <c r="H20" i="6"/>
  <c r="H21" s="1"/>
  <c r="B23" i="19"/>
  <c r="B15"/>
  <c r="H20" i="4"/>
  <c r="H21" s="1"/>
  <c r="L10" i="20"/>
  <c r="K10"/>
  <c r="B15" i="7"/>
  <c r="I10" i="20"/>
  <c r="I21" i="6" l="1"/>
  <c r="I22" s="1"/>
  <c r="I21" i="4"/>
  <c r="I22" s="1"/>
  <c r="O10" i="20"/>
  <c r="M10"/>
  <c r="H22" i="6" l="1"/>
  <c r="H23" s="1"/>
  <c r="H22" i="4"/>
  <c r="H23" s="1"/>
  <c r="I23" i="6" l="1"/>
  <c r="I24" s="1"/>
  <c r="I23" i="4"/>
  <c r="I24" s="1"/>
  <c r="H24" i="6" l="1"/>
  <c r="H25" s="1"/>
  <c r="H24" i="4"/>
  <c r="H25" s="1"/>
  <c r="I25" i="6" l="1"/>
  <c r="I25" i="4"/>
  <c r="I26" s="1"/>
  <c r="I26" i="6" l="1"/>
  <c r="I27" s="1"/>
  <c r="H26"/>
  <c r="H26" i="4"/>
  <c r="H27" s="1"/>
  <c r="I28" i="6" l="1"/>
  <c r="H27"/>
  <c r="H28" s="1"/>
  <c r="I29"/>
  <c r="I27" i="4"/>
  <c r="I28" s="1"/>
  <c r="I30" i="6" l="1"/>
  <c r="H29"/>
  <c r="H30"/>
  <c r="H31" s="1"/>
  <c r="H28" i="4"/>
  <c r="H29" s="1"/>
  <c r="A28" i="23"/>
  <c r="I29" i="4" l="1"/>
  <c r="I30" s="1"/>
  <c r="I31" i="6"/>
  <c r="I32" s="1"/>
  <c r="H30" i="4"/>
  <c r="H31" s="1"/>
  <c r="H32" i="6" l="1"/>
  <c r="H33" s="1"/>
  <c r="I31" i="4"/>
  <c r="I32" s="1"/>
  <c r="I33" i="6" l="1"/>
  <c r="I34" s="1"/>
  <c r="H32" i="4"/>
  <c r="H33" s="1"/>
  <c r="H34" i="6" l="1"/>
  <c r="I33" i="4"/>
  <c r="I34" s="1"/>
  <c r="H35" i="6" l="1"/>
  <c r="H36" s="1"/>
  <c r="I35"/>
  <c r="H34" i="4"/>
  <c r="H35" s="1"/>
  <c r="I35" l="1"/>
  <c r="I36" s="1"/>
  <c r="I36" i="6"/>
  <c r="I37" s="1"/>
  <c r="H36" i="4"/>
  <c r="H37" s="1"/>
  <c r="H37" i="6" l="1"/>
  <c r="H38" s="1"/>
  <c r="I37" i="4"/>
  <c r="I38" s="1"/>
  <c r="H38" l="1"/>
  <c r="H39" i="6"/>
  <c r="H40" s="1"/>
  <c r="I38"/>
  <c r="I39" s="1"/>
  <c r="H39" i="4" l="1"/>
  <c r="I39"/>
  <c r="I40" i="6"/>
  <c r="I41" s="1"/>
  <c r="I40" i="4" l="1"/>
  <c r="H40"/>
  <c r="H41" i="6"/>
  <c r="H42" s="1"/>
  <c r="H41" i="4" l="1"/>
  <c r="I41"/>
  <c r="I42" s="1"/>
  <c r="I42" i="6"/>
  <c r="H43" s="1"/>
  <c r="H42" i="4" l="1"/>
  <c r="H44" i="6"/>
  <c r="H45" s="1"/>
  <c r="I43"/>
  <c r="I44" s="1"/>
  <c r="I43" i="4" l="1"/>
  <c r="H43"/>
  <c r="H44" s="1"/>
  <c r="I45" i="6"/>
  <c r="I44" i="4" l="1"/>
  <c r="I45" s="1"/>
  <c r="I46" i="6"/>
  <c r="I47" s="1"/>
  <c r="H46"/>
  <c r="H45" i="4" l="1"/>
  <c r="H46" s="1"/>
  <c r="H47" i="6"/>
  <c r="H48" s="1"/>
  <c r="I46" i="4" l="1"/>
  <c r="I48" i="6"/>
  <c r="I49" s="1"/>
  <c r="H47" i="4" l="1"/>
  <c r="I47"/>
  <c r="I50" i="6"/>
  <c r="I51" s="1"/>
  <c r="H49"/>
  <c r="H50" s="1"/>
  <c r="I52"/>
  <c r="I53" s="1"/>
  <c r="H51"/>
  <c r="H52" s="1"/>
  <c r="I48" i="4" l="1"/>
  <c r="H48"/>
  <c r="I54" i="6"/>
  <c r="I55" s="1"/>
  <c r="H53"/>
  <c r="H54" s="1"/>
  <c r="H49" i="4" l="1"/>
  <c r="I49"/>
  <c r="I50" s="1"/>
  <c r="I56" i="6"/>
  <c r="I57" s="1"/>
  <c r="H55"/>
  <c r="H56" s="1"/>
  <c r="H50" i="4" l="1"/>
  <c r="H51" s="1"/>
  <c r="I58" i="6"/>
  <c r="I59" s="1"/>
  <c r="H57"/>
  <c r="H58" s="1"/>
  <c r="I51" i="4" l="1"/>
  <c r="I52" s="1"/>
  <c r="H59" i="6"/>
  <c r="H60" s="1"/>
  <c r="H52" i="4" l="1"/>
  <c r="H53" s="1"/>
  <c r="I60" i="6"/>
  <c r="I61" s="1"/>
  <c r="I53" i="4" l="1"/>
  <c r="I54" s="1"/>
  <c r="H61" i="6"/>
  <c r="H62" s="1"/>
  <c r="H54" i="4" l="1"/>
  <c r="H55" s="1"/>
  <c r="I55"/>
  <c r="I56" s="1"/>
  <c r="I62" i="6"/>
  <c r="I63" s="1"/>
  <c r="H56" i="4" l="1"/>
  <c r="H57" s="1"/>
  <c r="I57"/>
  <c r="I58" s="1"/>
  <c r="I64" i="6"/>
  <c r="I65" s="1"/>
  <c r="H63"/>
  <c r="H64" s="1"/>
  <c r="H58" i="4" l="1"/>
  <c r="H59" s="1"/>
  <c r="I59"/>
  <c r="I60" s="1"/>
  <c r="I66" i="6"/>
  <c r="I67" s="1"/>
  <c r="H65"/>
  <c r="H66" s="1"/>
  <c r="I61" i="4" l="1"/>
  <c r="I62" s="1"/>
  <c r="I63" s="1"/>
  <c r="I64" s="1"/>
  <c r="H60"/>
  <c r="H61" s="1"/>
  <c r="H62"/>
  <c r="H63" s="1"/>
  <c r="I68" i="6"/>
  <c r="I69" s="1"/>
  <c r="H67"/>
  <c r="H68" s="1"/>
  <c r="H64" i="4" l="1"/>
  <c r="H65" s="1"/>
  <c r="I70" i="6"/>
  <c r="I71" s="1"/>
  <c r="H69"/>
  <c r="H70" s="1"/>
  <c r="I65" i="4" l="1"/>
  <c r="I66" s="1"/>
  <c r="H71" i="6"/>
  <c r="H72" s="1"/>
  <c r="H66" i="4" l="1"/>
  <c r="H67" s="1"/>
  <c r="I72" i="6"/>
  <c r="I73" s="1"/>
  <c r="I67" i="4" l="1"/>
  <c r="I68" s="1"/>
  <c r="I74" i="6"/>
  <c r="I75" s="1"/>
  <c r="H73"/>
  <c r="H74" s="1"/>
  <c r="H68" i="4" l="1"/>
  <c r="H69" s="1"/>
  <c r="I76" i="6"/>
  <c r="I77" s="1"/>
  <c r="H75"/>
  <c r="H76" s="1"/>
  <c r="B13" i="19"/>
  <c r="B42" s="1"/>
  <c r="B43" s="1"/>
  <c r="I69" i="4" l="1"/>
  <c r="I70" s="1"/>
  <c r="H77" i="6"/>
  <c r="H78" s="1"/>
  <c r="H70" i="4" l="1"/>
  <c r="H71" s="1"/>
  <c r="I78" i="6"/>
  <c r="I79" s="1"/>
  <c r="I71" i="4" l="1"/>
  <c r="I72" s="1"/>
  <c r="I80" i="6"/>
  <c r="I81" s="1"/>
  <c r="H79"/>
  <c r="H80" s="1"/>
  <c r="H72" i="4" l="1"/>
  <c r="H73" s="1"/>
  <c r="I82" i="6"/>
  <c r="I83" s="1"/>
  <c r="H81"/>
  <c r="H82" s="1"/>
  <c r="I73" i="4" l="1"/>
  <c r="I74" s="1"/>
  <c r="H83" i="6"/>
  <c r="B13" i="7" l="1"/>
  <c r="B38" s="1"/>
  <c r="B39" s="1"/>
  <c r="H74" i="4"/>
  <c r="H75" s="1"/>
  <c r="I75"/>
  <c r="I76" s="1"/>
  <c r="H84" i="6"/>
  <c r="H85" s="1"/>
  <c r="I84"/>
  <c r="H76" i="4" l="1"/>
  <c r="H77" s="1"/>
  <c r="H86" i="6"/>
  <c r="H87" s="1"/>
  <c r="I85"/>
  <c r="I86" s="1"/>
  <c r="I77" i="4" l="1"/>
  <c r="I78" s="1"/>
  <c r="H78"/>
  <c r="H79" s="1"/>
  <c r="I87" i="6"/>
  <c r="I88" s="1"/>
  <c r="I79" i="4" l="1"/>
  <c r="I80" s="1"/>
  <c r="H88" i="6"/>
  <c r="H89" s="1"/>
  <c r="H80" i="4" l="1"/>
  <c r="H81" s="1"/>
  <c r="H90" i="6"/>
  <c r="H91" s="1"/>
  <c r="H92" s="1"/>
  <c r="H93" s="1"/>
  <c r="H94" s="1"/>
  <c r="I89"/>
  <c r="I90" s="1"/>
  <c r="I91" s="1"/>
  <c r="I92" s="1"/>
  <c r="I93" s="1"/>
  <c r="I94" s="1"/>
  <c r="I95" s="1"/>
  <c r="I96" s="1"/>
  <c r="I97" s="1"/>
  <c r="H95"/>
  <c r="H96" s="1"/>
  <c r="I81" i="4" l="1"/>
  <c r="I82" s="1"/>
  <c r="H97" i="6"/>
  <c r="H98" s="1"/>
  <c r="H82" i="4" l="1"/>
  <c r="H83" s="1"/>
  <c r="I98" i="6"/>
  <c r="I99" s="1"/>
  <c r="H84" i="4" l="1"/>
  <c r="H85" s="1"/>
  <c r="I83"/>
  <c r="I84" s="1"/>
  <c r="I85"/>
  <c r="I86" s="1"/>
  <c r="I100" i="6"/>
  <c r="I101" s="1"/>
  <c r="I102" s="1"/>
  <c r="H99"/>
  <c r="H100" s="1"/>
  <c r="H101" s="1"/>
  <c r="H86" i="4" l="1"/>
  <c r="H87" s="1"/>
  <c r="I103" i="6"/>
  <c r="I104" s="1"/>
  <c r="H102"/>
  <c r="H103" s="1"/>
  <c r="I87" i="4" l="1"/>
  <c r="I88" s="1"/>
  <c r="I105" i="6"/>
  <c r="I106" s="1"/>
  <c r="H104"/>
  <c r="H105" s="1"/>
  <c r="H88" i="4" l="1"/>
  <c r="H89" s="1"/>
  <c r="I107" i="6"/>
  <c r="I108" s="1"/>
  <c r="H106"/>
  <c r="H107" s="1"/>
  <c r="I89" i="4" l="1"/>
  <c r="I90" s="1"/>
  <c r="I109" i="6"/>
  <c r="I110" s="1"/>
  <c r="H108"/>
  <c r="H109" s="1"/>
  <c r="H90" i="4" l="1"/>
  <c r="H91" s="1"/>
  <c r="I111" i="6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H110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I91" i="4" l="1"/>
  <c r="I140" i="6"/>
  <c r="I141" s="1"/>
  <c r="I92" i="4" l="1"/>
  <c r="H92"/>
  <c r="H93" s="1"/>
  <c r="I142" i="6"/>
  <c r="I143" s="1"/>
  <c r="H141"/>
  <c r="H142" s="1"/>
  <c r="H94" i="4" l="1"/>
  <c r="H95" s="1"/>
  <c r="I93"/>
  <c r="I94" s="1"/>
  <c r="I95"/>
  <c r="I96" s="1"/>
  <c r="I144" i="6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H143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I164"/>
  <c r="I165" s="1"/>
  <c r="I166" s="1"/>
  <c r="I167" s="1"/>
  <c r="I168" s="1"/>
  <c r="I169" s="1"/>
  <c r="I170" s="1"/>
  <c r="I171" s="1"/>
  <c r="I172" s="1"/>
  <c r="I173" s="1"/>
  <c r="I174" s="1"/>
  <c r="I175" s="1"/>
  <c r="H163"/>
  <c r="H164" s="1"/>
  <c r="H165" s="1"/>
  <c r="H166" s="1"/>
  <c r="H167" s="1"/>
  <c r="H168" s="1"/>
  <c r="H169" s="1"/>
  <c r="H170" s="1"/>
  <c r="H171" s="1"/>
  <c r="H172" s="1"/>
  <c r="H173" s="1"/>
  <c r="H174" s="1"/>
  <c r="H96" i="4" l="1"/>
  <c r="H97" s="1"/>
  <c r="I176" i="6"/>
  <c r="I177" s="1"/>
  <c r="H175"/>
  <c r="H176" s="1"/>
  <c r="I97" i="4" l="1"/>
  <c r="I98" s="1"/>
  <c r="I178" i="6"/>
  <c r="I179" s="1"/>
  <c r="H177"/>
  <c r="H178"/>
  <c r="H98" i="4" l="1"/>
  <c r="H99" s="1"/>
  <c r="I180" i="6"/>
  <c r="I181" s="1"/>
  <c r="H179"/>
  <c r="H180" s="1"/>
  <c r="I99" i="4" l="1"/>
  <c r="I100" s="1"/>
  <c r="H181" i="6"/>
  <c r="H182" s="1"/>
  <c r="H100" i="4" l="1"/>
  <c r="H101" s="1"/>
  <c r="I182" i="6"/>
  <c r="I183" s="1"/>
  <c r="I101" i="4" l="1"/>
  <c r="I184" i="6"/>
  <c r="I185" s="1"/>
  <c r="H183"/>
  <c r="H184" s="1"/>
  <c r="I102" i="4" l="1"/>
  <c r="H102"/>
  <c r="H103" s="1"/>
  <c r="I186" i="6"/>
  <c r="I187" s="1"/>
  <c r="H185"/>
  <c r="H186" s="1"/>
  <c r="H104" i="4" l="1"/>
  <c r="H105" s="1"/>
  <c r="H106" s="1"/>
  <c r="H107" s="1"/>
  <c r="I103"/>
  <c r="I104" s="1"/>
  <c r="I105"/>
  <c r="I106" s="1"/>
  <c r="I188" i="6"/>
  <c r="I189" s="1"/>
  <c r="H187"/>
  <c r="H188" s="1"/>
  <c r="H108" i="4" l="1"/>
  <c r="I109" s="1"/>
  <c r="I107"/>
  <c r="I108" s="1"/>
  <c r="H189" i="6"/>
  <c r="H109" i="4" l="1"/>
  <c r="H110" s="1"/>
  <c r="I110"/>
  <c r="I111" l="1"/>
  <c r="H111"/>
  <c r="H112" l="1"/>
  <c r="I112"/>
  <c r="H113" l="1"/>
  <c r="I113"/>
  <c r="I114" l="1"/>
  <c r="H114"/>
  <c r="H115" l="1"/>
  <c r="I115"/>
  <c r="H116" l="1"/>
  <c r="I116"/>
  <c r="H117" l="1"/>
  <c r="I117"/>
  <c r="I118" s="1"/>
  <c r="H118" l="1"/>
  <c r="H119" s="1"/>
  <c r="I119"/>
  <c r="I120" l="1"/>
  <c r="H120"/>
  <c r="H121" l="1"/>
  <c r="I121"/>
  <c r="I122" l="1"/>
  <c r="H122"/>
  <c r="H123" l="1"/>
  <c r="I123"/>
  <c r="I124" l="1"/>
  <c r="H124"/>
  <c r="H125" l="1"/>
  <c r="I125"/>
  <c r="H126" l="1"/>
  <c r="I126"/>
  <c r="H127" l="1"/>
  <c r="I127"/>
  <c r="H128" l="1"/>
  <c r="I128"/>
  <c r="I129" l="1"/>
  <c r="H129"/>
  <c r="H130" l="1"/>
  <c r="I130"/>
  <c r="I131" l="1"/>
  <c r="H131"/>
  <c r="I132" l="1"/>
  <c r="H132"/>
  <c r="H133" s="1"/>
  <c r="I133" l="1"/>
  <c r="H134"/>
  <c r="I134"/>
  <c r="I135" l="1"/>
  <c r="H135"/>
  <c r="I136" l="1"/>
  <c r="H136"/>
  <c r="I137" s="1"/>
  <c r="H137" l="1"/>
  <c r="H138" s="1"/>
  <c r="I138" l="1"/>
  <c r="I139" s="1"/>
  <c r="H139" l="1"/>
  <c r="H140" s="1"/>
  <c r="I140" l="1"/>
  <c r="I141" s="1"/>
  <c r="H141" l="1"/>
  <c r="H142" s="1"/>
  <c r="I142" l="1"/>
  <c r="I143" s="1"/>
  <c r="H143" l="1"/>
  <c r="H144" s="1"/>
  <c r="I144" l="1"/>
  <c r="I145" s="1"/>
  <c r="H145" l="1"/>
  <c r="H146" s="1"/>
  <c r="I146" l="1"/>
  <c r="I147" s="1"/>
  <c r="H147" l="1"/>
  <c r="H148" s="1"/>
  <c r="I148" l="1"/>
  <c r="I149" s="1"/>
  <c r="H149" l="1"/>
  <c r="H150" s="1"/>
  <c r="I150" l="1"/>
  <c r="I151" s="1"/>
  <c r="H151" l="1"/>
  <c r="H152" s="1"/>
  <c r="I152" l="1"/>
  <c r="I153" s="1"/>
  <c r="H153"/>
  <c r="H154" s="1"/>
  <c r="I154" l="1"/>
  <c r="I155" s="1"/>
  <c r="H155" l="1"/>
  <c r="H156" s="1"/>
  <c r="I156" l="1"/>
  <c r="I157" s="1"/>
  <c r="H157"/>
  <c r="H158" s="1"/>
  <c r="I158" l="1"/>
  <c r="I159" s="1"/>
  <c r="I160" l="1"/>
  <c r="I161" s="1"/>
  <c r="H159"/>
  <c r="H160" s="1"/>
  <c r="H161" l="1"/>
  <c r="H162" s="1"/>
  <c r="I162" l="1"/>
  <c r="I163" s="1"/>
  <c r="I164" l="1"/>
  <c r="I165" s="1"/>
  <c r="H163"/>
  <c r="H164" s="1"/>
  <c r="H165" l="1"/>
  <c r="H166" s="1"/>
  <c r="I166" l="1"/>
  <c r="I167" s="1"/>
  <c r="I168" l="1"/>
  <c r="I169" s="1"/>
  <c r="H167"/>
  <c r="H168" s="1"/>
  <c r="H169" l="1"/>
</calcChain>
</file>

<file path=xl/sharedStrings.xml><?xml version="1.0" encoding="utf-8"?>
<sst xmlns="http://schemas.openxmlformats.org/spreadsheetml/2006/main" count="1699" uniqueCount="401">
  <si>
    <t>Đơn vị: CÔNG TY TNHH HẢI SẢN AN LẠC</t>
  </si>
  <si>
    <t>Địa chỉ: Lô A14, Đường 4A, KCN Hải Sơn, Đức Hòa, Long An</t>
  </si>
  <si>
    <t>SỔ CHI TIẾT CÁC TÀI KHOẢN</t>
  </si>
  <si>
    <t>(Dùng cho các TK 136.138.141.142.144.221.222.223.242.333.334.335.336.338.344.411.421.431.441…)</t>
  </si>
  <si>
    <t>Tên, quy cách nhãn hiệu, vật liệu, công cụ, dụng cụ (sản phẩm, hàng hóa):………………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</si>
  <si>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</si>
  <si>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</si>
  <si>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</si>
  <si>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</si>
  <si>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</si>
  <si>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</si>
  <si>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</si>
  <si>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</si>
  <si>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</si>
  <si>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</si>
  <si>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</si>
  <si>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</si>
  <si>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</si>
  <si>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</si>
  <si>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</si>
  <si>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</si>
  <si>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</si>
  <si>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 trong kỳ</t>
  </si>
  <si>
    <t>x</t>
  </si>
  <si>
    <t>- Số dư cuối kỳ</t>
  </si>
  <si>
    <t>Người ghi sổ</t>
  </si>
  <si>
    <t>Kế toán trưởng</t>
  </si>
  <si>
    <t>(Ký, họ tên)</t>
  </si>
  <si>
    <t>- Tài khoản: 141</t>
  </si>
  <si>
    <t>Lê Thị Thiện Em</t>
  </si>
  <si>
    <t>Trần Văn An</t>
  </si>
  <si>
    <t>Nguyễn Thanh Bình</t>
  </si>
  <si>
    <t>Nguyễn Văn Hạnh</t>
  </si>
  <si>
    <t>Trương Quốc Tuấn</t>
  </si>
  <si>
    <t>Lê Thị Kim Liên</t>
  </si>
  <si>
    <t>Lê Văn Thành</t>
  </si>
  <si>
    <t>Nguyễn Văn Lắm</t>
  </si>
  <si>
    <t>Phạm Thị Chính</t>
  </si>
  <si>
    <t>Trần Thị Lang</t>
  </si>
  <si>
    <t>Lê Thị Kim Thanh</t>
  </si>
  <si>
    <t>Nguyễn Thị Mộng Tuyền</t>
  </si>
  <si>
    <t>Đỗ Thị Hoàng Mai</t>
  </si>
  <si>
    <t>331</t>
  </si>
  <si>
    <t>Đối tượng: Nguyễn Văn Bé Hai</t>
  </si>
  <si>
    <t>Tạm ứng mua NL</t>
  </si>
  <si>
    <t>111</t>
  </si>
  <si>
    <t>Nguyễn Thị Tuyết Đang</t>
  </si>
  <si>
    <t>Nguyễn Văn Tha</t>
  </si>
  <si>
    <t>- Sổ này có …04…..trang, đánh số từ trang 01 đến trang 04.</t>
  </si>
  <si>
    <t>C13</t>
  </si>
  <si>
    <t>C25</t>
  </si>
  <si>
    <t>C35</t>
  </si>
  <si>
    <t>C09</t>
  </si>
  <si>
    <t>C29</t>
  </si>
  <si>
    <t>C14</t>
  </si>
  <si>
    <t>C28</t>
  </si>
  <si>
    <t>C16</t>
  </si>
  <si>
    <t>C20</t>
  </si>
  <si>
    <t>C24</t>
  </si>
  <si>
    <t>C26</t>
  </si>
  <si>
    <t>C07</t>
  </si>
  <si>
    <t>C19</t>
  </si>
  <si>
    <t>C31</t>
  </si>
  <si>
    <t>C34</t>
  </si>
  <si>
    <t>C41</t>
  </si>
  <si>
    <t>TU01</t>
  </si>
  <si>
    <t>TU02</t>
  </si>
  <si>
    <t>TU03</t>
  </si>
  <si>
    <t>TU04</t>
  </si>
  <si>
    <t>GIẤY THANH TOÁN TIỀN TẠM ỨNG</t>
  </si>
  <si>
    <t>Nợ: 331</t>
  </si>
  <si>
    <t>Có:  141</t>
  </si>
  <si>
    <t>- Họ và tên người thanh toán: Nguyễn Văn Bé Hai</t>
  </si>
  <si>
    <t>- Bộ phận (hoặc địa chỉ): Tiếp nhận - thu mua NL</t>
  </si>
  <si>
    <t>- Số tiền tạm ứng được thanh toán theo bảng dưới đây:</t>
  </si>
  <si>
    <t>Số tiền</t>
  </si>
  <si>
    <t>1</t>
  </si>
  <si>
    <t>I- Số tiền tạm ứng</t>
  </si>
  <si>
    <t>1         Số tạm ứng các kỳ trước chưa chi hết</t>
  </si>
  <si>
    <t>2         Số tạm ứng kỳ này:</t>
  </si>
  <si>
    <t>II- Số tiền đã chi</t>
  </si>
  <si>
    <t>III- Chênh lệch</t>
  </si>
  <si>
    <t>5         Số tạm ứng chi không hết (I – II)</t>
  </si>
  <si>
    <t>6         Chi quá số tạm ứng (II – I)</t>
  </si>
  <si>
    <t>Giám đốc                         Kế toán trưởng                   Kế toán thanh toán</t>
  </si>
  <si>
    <t>Người đề nghị thanh toán</t>
  </si>
  <si>
    <t xml:space="preserve">          (Ký, họ tên)                           (Ký, họ tên)                              (Ký, họ tên)            </t>
  </si>
  <si>
    <t xml:space="preserve">              (Ký, họ tên)                           (Ký, họ tên)                              (Ký, họ tên)            </t>
  </si>
  <si>
    <t>Tháng</t>
  </si>
  <si>
    <t>STT</t>
  </si>
  <si>
    <t>KHẾ ƯỚC VAY</t>
  </si>
  <si>
    <t>ĐẦU KỲ</t>
  </si>
  <si>
    <t>PHÁT SINH</t>
  </si>
  <si>
    <t>SỐ DƯ CUỐI KỲ</t>
  </si>
  <si>
    <t>NỢ</t>
  </si>
  <si>
    <t>CÓ</t>
  </si>
  <si>
    <t>Ngoại tệ</t>
  </si>
  <si>
    <t>Quy ra VNĐ</t>
  </si>
  <si>
    <t xml:space="preserve">KU 1015LDS201000102 </t>
  </si>
  <si>
    <t>KU 1015LDS201100376</t>
  </si>
  <si>
    <t>KU 1015LDS201100377</t>
  </si>
  <si>
    <t xml:space="preserve">KU 1015LDS201100378 </t>
  </si>
  <si>
    <t>TỔNG CỘNG</t>
  </si>
  <si>
    <t>SỔ THEO DÕI THANH TOÁN BẰNG NGOẠI TỆ</t>
  </si>
  <si>
    <t>(Dùng cho TK: 138, 141, 244, 334, 338, 341)</t>
  </si>
  <si>
    <t>Loại ngoại tệ: USD</t>
  </si>
  <si>
    <t>Tỷ giá hối đoái</t>
  </si>
  <si>
    <t>Quy ra VND</t>
  </si>
  <si>
    <t>- Cộng số phát sinh</t>
  </si>
  <si>
    <t>- Sổ này có …1..trang, đánh số từ trang 01 đến trang ..01</t>
  </si>
  <si>
    <t>Tài khoản: 3411</t>
  </si>
  <si>
    <t>GBN</t>
  </si>
  <si>
    <t>1122</t>
  </si>
  <si>
    <t>CTGS</t>
  </si>
  <si>
    <t>Chênh lệch tỷ giá vay NH</t>
  </si>
  <si>
    <t>635</t>
  </si>
  <si>
    <t>GBC</t>
  </si>
  <si>
    <t>Mẫu số S38-DN</t>
  </si>
  <si>
    <t>(Ban hành theo Thông tư số 200/2014/TT-BTC 
 Ngày 22/12/2014 của Bộ Tài chính)</t>
  </si>
  <si>
    <t>Ngày    31      tháng     12      năm      2015</t>
  </si>
  <si>
    <t>Nguyễn Thanh Vân</t>
  </si>
  <si>
    <t>Võ Thị Bảy</t>
  </si>
  <si>
    <t>C12</t>
  </si>
  <si>
    <t>C10</t>
  </si>
  <si>
    <t>Ngày vay</t>
  </si>
  <si>
    <t>Số KU</t>
  </si>
  <si>
    <t xml:space="preserve">Khế ước vay: Số </t>
  </si>
  <si>
    <t>Mẫu số S33-DN</t>
  </si>
  <si>
    <t xml:space="preserve">(Ban hành theo Thông tư số 200/2014/TT-BTC
 Ngày 22/12/2014 của Bộ Tài chính)
</t>
  </si>
  <si>
    <t>TU05</t>
  </si>
  <si>
    <t>TU06</t>
  </si>
  <si>
    <t>Nguyễn Thị Kim Vân</t>
  </si>
  <si>
    <t>C22</t>
  </si>
  <si>
    <t>TU08</t>
  </si>
  <si>
    <t>TU07</t>
  </si>
  <si>
    <t>C05</t>
  </si>
  <si>
    <t>C06</t>
  </si>
  <si>
    <t>TU09</t>
  </si>
  <si>
    <t>TU10</t>
  </si>
  <si>
    <t>Hồ Thị Mỹ</t>
  </si>
  <si>
    <t>Đỗ Văn Tâm</t>
  </si>
  <si>
    <t>Đặng Thanh Phong</t>
  </si>
  <si>
    <t>Đỗ Ngọc Trương</t>
  </si>
  <si>
    <t>Lê Thị Diễm</t>
  </si>
  <si>
    <t>Nguyễn Văn Hiền</t>
  </si>
  <si>
    <t>Phạm Thị Bảy</t>
  </si>
  <si>
    <t>Phan Quốc Việt</t>
  </si>
  <si>
    <t>Tiêu Vĩnh Phát</t>
  </si>
  <si>
    <t>Trần Ngọc Quyên</t>
  </si>
  <si>
    <t>Vương Hải Thạnh</t>
  </si>
  <si>
    <t>C11</t>
  </si>
  <si>
    <t>C18</t>
  </si>
  <si>
    <t>C23</t>
  </si>
  <si>
    <t>C30</t>
  </si>
  <si>
    <t>C27</t>
  </si>
  <si>
    <t>C21</t>
  </si>
  <si>
    <t>C37</t>
  </si>
  <si>
    <t>Trương Thị Nhớ</t>
  </si>
  <si>
    <t>C15</t>
  </si>
  <si>
    <t>TU11</t>
  </si>
  <si>
    <t>TU13</t>
  </si>
  <si>
    <t>C17</t>
  </si>
  <si>
    <t>TU15</t>
  </si>
  <si>
    <t>TU17</t>
  </si>
  <si>
    <t>TU19</t>
  </si>
  <si>
    <t>C36</t>
  </si>
  <si>
    <t>- Ngày mở sổ: 02/01/2014</t>
  </si>
  <si>
    <t>Ngày    31      tháng     12      năm      2014</t>
  </si>
  <si>
    <t>Nguyễn Văn Đức</t>
  </si>
  <si>
    <t>Nguyễn Văn Tư</t>
  </si>
  <si>
    <t>TU12</t>
  </si>
  <si>
    <t>TU14</t>
  </si>
  <si>
    <t>TU16</t>
  </si>
  <si>
    <t>TU18</t>
  </si>
  <si>
    <t>TU20</t>
  </si>
  <si>
    <t>Ngày   31   tháng    12    năm   2014</t>
  </si>
  <si>
    <t>Tài khoản: 311</t>
  </si>
  <si>
    <t>KU 1015LDS201301328</t>
  </si>
  <si>
    <t>KU 1015LDS201301388</t>
  </si>
  <si>
    <t xml:space="preserve">KU 1015LDS201301628 </t>
  </si>
  <si>
    <t>KU 1015LDS201301795</t>
  </si>
  <si>
    <t xml:space="preserve">KU 1015LDS201301994 </t>
  </si>
  <si>
    <t>515</t>
  </si>
  <si>
    <t>NH</t>
  </si>
  <si>
    <t>Lê Hoàng Long</t>
  </si>
  <si>
    <t>Lương Âm</t>
  </si>
  <si>
    <t>Ngô Văn Vàng</t>
  </si>
  <si>
    <t>Nguyễn Văn Nhân</t>
  </si>
  <si>
    <t>Lâm Thị Loan</t>
  </si>
  <si>
    <t>Phạm Thị Ngọc</t>
  </si>
  <si>
    <t>Nguyễn Thị Hội</t>
  </si>
  <si>
    <t>Nguyễn Thị Hồng Tơ</t>
  </si>
  <si>
    <t>Võ Văn Thắng</t>
  </si>
  <si>
    <t>C32</t>
  </si>
  <si>
    <t>C42</t>
  </si>
  <si>
    <t>T06</t>
  </si>
  <si>
    <t>Thu lại tiền tạm ứng</t>
  </si>
  <si>
    <t>NL02 &amp; NL09</t>
  </si>
  <si>
    <t>NL46</t>
  </si>
  <si>
    <t>NL01 &amp; NL14 &amp; NL23</t>
  </si>
  <si>
    <t>NL05</t>
  </si>
  <si>
    <t>NL55</t>
  </si>
  <si>
    <t>NL31 &amp; NL53 &amp; NL62</t>
  </si>
  <si>
    <t>NL56</t>
  </si>
  <si>
    <t>NL06 &amp; NL11 &amp; NL20</t>
  </si>
  <si>
    <t>NL33 &amp; NL48</t>
  </si>
  <si>
    <t>NL44 &amp; NL63</t>
  </si>
  <si>
    <t>NL43</t>
  </si>
  <si>
    <t>NL54</t>
  </si>
  <si>
    <t>NL32 &amp; NL34 &amp; NL61</t>
  </si>
  <si>
    <t>NL30 &amp; NL45 &amp; NL60</t>
  </si>
  <si>
    <t>NL04 &amp; NL15</t>
  </si>
  <si>
    <t>NL07 &amp; NL21</t>
  </si>
  <si>
    <t>NL06 &amp; NL20</t>
  </si>
  <si>
    <t>NL02 &amp; NL13</t>
  </si>
  <si>
    <t>NL01 &amp; NL12</t>
  </si>
  <si>
    <t>NL03 &amp; NL14</t>
  </si>
  <si>
    <t>NL09</t>
  </si>
  <si>
    <t>NL07</t>
  </si>
  <si>
    <t>NL02 &amp; NL 10</t>
  </si>
  <si>
    <t>NL21</t>
  </si>
  <si>
    <t>NL01 &amp; NL09</t>
  </si>
  <si>
    <t>NL13</t>
  </si>
  <si>
    <t>NL18</t>
  </si>
  <si>
    <t>NL26</t>
  </si>
  <si>
    <t>NL24</t>
  </si>
  <si>
    <t>NL25</t>
  </si>
  <si>
    <t>NL06 &amp; N14</t>
  </si>
  <si>
    <t>NL04 &amp; NL11</t>
  </si>
  <si>
    <t>NL23 &amp; NL27</t>
  </si>
  <si>
    <t>NL03 &amp; NL12</t>
  </si>
  <si>
    <t>NL01 &amp; NL09 &amp; NL19 &amp; NL28</t>
  </si>
  <si>
    <t>NL06 &amp; NL25</t>
  </si>
  <si>
    <t>NL17 &amp; NL37</t>
  </si>
  <si>
    <t>NL18 &amp; NL38</t>
  </si>
  <si>
    <t>NL04 &amp; NL23</t>
  </si>
  <si>
    <t>NL08 &amp; N27</t>
  </si>
  <si>
    <t>NL02 &amp; NL20</t>
  </si>
  <si>
    <t>NL05 &amp; NL24</t>
  </si>
  <si>
    <t>NL15 &amp; NL35</t>
  </si>
  <si>
    <t>NL07 &amp; NL26 &amp; NL29</t>
  </si>
  <si>
    <t>NL03 &amp; NL21</t>
  </si>
  <si>
    <t>NL01 &amp; NL24</t>
  </si>
  <si>
    <t>NL10 &amp; NL18</t>
  </si>
  <si>
    <t>NL06</t>
  </si>
  <si>
    <t>NL02 &amp; NL25</t>
  </si>
  <si>
    <t>NL09 &amp; NL16</t>
  </si>
  <si>
    <t>NL11 &amp; NL17</t>
  </si>
  <si>
    <t>NL03 &amp; NL23</t>
  </si>
  <si>
    <t>NL20 &amp; NL31 &amp; NL43 &amp; NL44</t>
  </si>
  <si>
    <t>NL40</t>
  </si>
  <si>
    <t>NL02</t>
  </si>
  <si>
    <t>NL09 &amp; NL15</t>
  </si>
  <si>
    <t>NL08</t>
  </si>
  <si>
    <t>NL37</t>
  </si>
  <si>
    <t>NL10 &amp; N16</t>
  </si>
  <si>
    <t>NL21 &amp; NL24</t>
  </si>
  <si>
    <t>NL03 &amp; NL11 &amp; NL17</t>
  </si>
  <si>
    <t>NL22 &amp; NL32 &amp; NL48</t>
  </si>
  <si>
    <t>NL29 &amp; NL47</t>
  </si>
  <si>
    <t>NL35</t>
  </si>
  <si>
    <t>NL29</t>
  </si>
  <si>
    <t>NL27</t>
  </si>
  <si>
    <t>NL23 &amp; NL34</t>
  </si>
  <si>
    <t>NL17</t>
  </si>
  <si>
    <t>NL16</t>
  </si>
  <si>
    <t>NL07 &amp; NL30 &amp; NL37</t>
  </si>
  <si>
    <t>NL11</t>
  </si>
  <si>
    <t>NL10</t>
  </si>
  <si>
    <t>NL12</t>
  </si>
  <si>
    <t>NL03 &amp; NL20</t>
  </si>
  <si>
    <t>NL10 &amp; NL25</t>
  </si>
  <si>
    <t>NL09 &amp; NL24</t>
  </si>
  <si>
    <t>NL02 &amp; NL05</t>
  </si>
  <si>
    <t>NL22</t>
  </si>
  <si>
    <t>NL04</t>
  </si>
  <si>
    <t>NL07 &amp; N14</t>
  </si>
  <si>
    <t>NL06 &amp; NL16</t>
  </si>
  <si>
    <t>NL15</t>
  </si>
  <si>
    <t>NL03 &amp; NL30 &amp; NL44</t>
  </si>
  <si>
    <t>NL10 &amp; NL57</t>
  </si>
  <si>
    <t>NL14</t>
  </si>
  <si>
    <t>NL01</t>
  </si>
  <si>
    <t>NL19 &amp; NL41</t>
  </si>
  <si>
    <t>NL13 &amp; NL35</t>
  </si>
  <si>
    <t>NL36</t>
  </si>
  <si>
    <t>NL22 &amp; NL55</t>
  </si>
  <si>
    <t>NL11 &amp; NL50</t>
  </si>
  <si>
    <t>NL25 &amp; NL26</t>
  </si>
  <si>
    <t>NL21 &amp; NL54</t>
  </si>
  <si>
    <t>NL51 &amp; NL58</t>
  </si>
  <si>
    <t>NL34 &amp; NL56</t>
  </si>
  <si>
    <t>Đối tượng: Nguyễn Viết Văn</t>
  </si>
  <si>
    <t>Đỗ Tư</t>
  </si>
  <si>
    <t>Nguyễn Đức Tiến</t>
  </si>
  <si>
    <t>Nguyễn Hành</t>
  </si>
  <si>
    <t>Nguyễn Thanh Vinh</t>
  </si>
  <si>
    <t>Nguyễn Thị Loan</t>
  </si>
  <si>
    <t>Quang Minh</t>
  </si>
  <si>
    <t>Trần Thị Nê</t>
  </si>
  <si>
    <t>Trương Thị Mỉm</t>
  </si>
  <si>
    <t>C04</t>
  </si>
  <si>
    <t>Nguyễn Thanh Hoàng</t>
  </si>
  <si>
    <t>Lê Thị Diệu</t>
  </si>
  <si>
    <t>Nguyễn Thành Phong</t>
  </si>
  <si>
    <t>Nguyễn Thị Hồng Hoa</t>
  </si>
  <si>
    <t>Nguyễn Thị Kiều Oanh</t>
  </si>
  <si>
    <t>Võ Văn Bá</t>
  </si>
  <si>
    <t>Nguyễn Thanh Hải</t>
  </si>
  <si>
    <t>T05</t>
  </si>
  <si>
    <t>NL52</t>
  </si>
  <si>
    <t>NL17 &amp; NL26</t>
  </si>
  <si>
    <t>NL27 &amp; NL57</t>
  </si>
  <si>
    <t>NL28 &amp; NL38 &amp; NL58</t>
  </si>
  <si>
    <t>NL50</t>
  </si>
  <si>
    <t>NL03 &amp; NL10 &amp; NL15 &amp; NL19 &amp; NL24</t>
  </si>
  <si>
    <t>NL04 &amp; NL16 &amp; NL25</t>
  </si>
  <si>
    <t>NL07 &amp; NL12 &amp; NL21</t>
  </si>
  <si>
    <t>NL42</t>
  </si>
  <si>
    <t>NL08 &amp; NL13 &amp; NL22</t>
  </si>
  <si>
    <t>NL51</t>
  </si>
  <si>
    <t>NL29 &amp; NL37 &amp; NL47 &amp; &amp; NL59</t>
  </si>
  <si>
    <t>NL36 &amp; NL49</t>
  </si>
  <si>
    <t>NL41</t>
  </si>
  <si>
    <t>NL39</t>
  </si>
  <si>
    <t>NL05 &amp; NL19</t>
  </si>
  <si>
    <t>NL06 &amp; NL10</t>
  </si>
  <si>
    <t>NL04 &amp; NL08</t>
  </si>
  <si>
    <t>NL03</t>
  </si>
  <si>
    <t>NL19</t>
  </si>
  <si>
    <t>NL20</t>
  </si>
  <si>
    <t>NL16 &amp; NL36</t>
  </si>
  <si>
    <t>NL10 &amp; NL30</t>
  </si>
  <si>
    <t>NL11 &amp; NL31</t>
  </si>
  <si>
    <t>NL11 &amp; NL32</t>
  </si>
  <si>
    <t>NL13 &amp; NL33</t>
  </si>
  <si>
    <t>NL14 &amp; NL22 &amp; NL34</t>
  </si>
  <si>
    <t>NL12 &amp; NL21</t>
  </si>
  <si>
    <t>NL13 &amp; NL22</t>
  </si>
  <si>
    <t>NL07 &amp; NL15</t>
  </si>
  <si>
    <t>NL02 &amp; NL08</t>
  </si>
  <si>
    <t>NL03 &amp; NL05</t>
  </si>
  <si>
    <t>NL01 &amp; NL06 &amp; NL07</t>
  </si>
  <si>
    <t>NL04 &amp; NL08 &amp; N11</t>
  </si>
  <si>
    <t>NL03 &amp; NL05 &amp; NL09 &amp; NL12</t>
  </si>
  <si>
    <t>NL01 &amp; NL06 &amp; NL07 &amp; NL10</t>
  </si>
  <si>
    <t>NL12 &amp; NL19</t>
  </si>
  <si>
    <t>NL33</t>
  </si>
  <si>
    <t>NL30</t>
  </si>
  <si>
    <t xml:space="preserve">NL36 </t>
  </si>
  <si>
    <t>NL38</t>
  </si>
  <si>
    <t>NL45</t>
  </si>
  <si>
    <t>NL34</t>
  </si>
  <si>
    <t>NL23</t>
  </si>
  <si>
    <t>NL28</t>
  </si>
  <si>
    <t>NL04 &amp; NL46</t>
  </si>
  <si>
    <t>NL01 &amp; NL36 &amp; N38</t>
  </si>
  <si>
    <t>NL21 &amp; NL25</t>
  </si>
  <si>
    <t>NL15 &amp; NL31 &amp; NL39</t>
  </si>
  <si>
    <t>NL19 &amp; NL32</t>
  </si>
  <si>
    <t>NL24 &amp; NL33</t>
  </si>
  <si>
    <t>NL20 &amp; NL28</t>
  </si>
  <si>
    <t>NL19 &amp; NL27</t>
  </si>
  <si>
    <t>NL11 &amp; NL26</t>
  </si>
  <si>
    <t>NL01 &amp; NL03</t>
  </si>
  <si>
    <t>NL07 &amp; NL14</t>
  </si>
  <si>
    <t>NL08 &amp; NL23</t>
  </si>
  <si>
    <t>NL31</t>
  </si>
  <si>
    <t>NL48</t>
  </si>
  <si>
    <t>NL16 &amp; NL46</t>
  </si>
  <si>
    <t>NL05 &amp; NL28</t>
  </si>
  <si>
    <t>NL06 &amp; NL45</t>
  </si>
  <si>
    <t>NL52 &amp; NL53</t>
  </si>
  <si>
    <t>NL49</t>
  </si>
  <si>
    <t>NL08 &amp; NL18</t>
  </si>
  <si>
    <t>NL32</t>
  </si>
  <si>
    <t>NL09 &amp; NL20 &amp; NL38 &amp; NL47</t>
  </si>
  <si>
    <t>NL02 &amp; NL29 &amp; NL39</t>
  </si>
  <si>
    <t>NL04 &amp; NL40</t>
  </si>
  <si>
    <t>- Họ và tên người thanh toán: Nguyễn Viết Văn</t>
  </si>
  <si>
    <t>Trả nợ vay định kỳ</t>
  </si>
  <si>
    <t>KU  1015LDS201200485</t>
  </si>
  <si>
    <t>KU 1015LDS201201746</t>
  </si>
  <si>
    <t>KU 1015LDS201201751</t>
  </si>
  <si>
    <t xml:space="preserve">KU 1015LDS201300014 </t>
  </si>
  <si>
    <t>KU 1015LDS201300523</t>
  </si>
  <si>
    <t xml:space="preserve">KU 1015LDS201300575 </t>
  </si>
  <si>
    <t>Trả tất toan khế ước</t>
  </si>
  <si>
    <t>Tất toán vay</t>
  </si>
  <si>
    <t>Tiền vay</t>
  </si>
  <si>
    <t>Trả nợ vay</t>
  </si>
  <si>
    <t>Vay NH</t>
  </si>
  <si>
    <t>Trả tất toán KU 101LDS201300523</t>
  </si>
  <si>
    <t>Trả gốc tất toán vay</t>
  </si>
  <si>
    <t>Vay NT ngân hàng</t>
  </si>
  <si>
    <t>vay KU 1015LDS201301388</t>
  </si>
  <si>
    <t>Vay KU 1015LDS201301628</t>
  </si>
  <si>
    <t>Vay KU 1015LDS201301795</t>
  </si>
  <si>
    <t>Vay KU 1015LDS201301994</t>
  </si>
  <si>
    <t>TỔNG HỢP TÀI KHOẢN 341 - 2013</t>
  </si>
  <si>
    <t>TỔNG HỢP TÀI KHOẢN 311 - 2013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</si>
</sst>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8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sz val="11"/>
      <color indexed="10"/>
      <name val="Times New Roman"/>
      <family val="1"/>
    </font>
    <font>
      <sz val="11"/>
      <color indexed="12"/>
      <name val="Times New Roman"/>
      <family val="1"/>
    </font>
    <font>
      <sz val="9"/>
      <name val="Arial"/>
      <family val="2"/>
    </font>
    <font>
      <sz val="10"/>
      <name val="VNI-Times"/>
    </font>
    <font>
      <sz val="8"/>
      <name val="VNI-Times"/>
    </font>
    <font>
      <b/>
      <sz val="10"/>
      <name val="Times New Roman"/>
      <family val="1"/>
    </font>
    <font>
      <sz val="10"/>
      <name val="Times New Roman"/>
      <family val="1"/>
    </font>
    <font>
      <b/>
      <sz val="18"/>
      <color indexed="63"/>
      <name val="Times New Roman"/>
      <family val="1"/>
    </font>
    <font>
      <sz val="11"/>
      <name val="VNI-Times"/>
    </font>
    <font>
      <sz val="11"/>
      <color indexed="63"/>
      <name val="Helvetica"/>
    </font>
    <font>
      <sz val="11"/>
      <color indexed="63"/>
      <name val="Times New Roman"/>
      <family val="1"/>
    </font>
    <font>
      <b/>
      <sz val="11"/>
      <color indexed="63"/>
      <name val="Times New Roman"/>
      <family val="1"/>
    </font>
    <font>
      <b/>
      <sz val="11"/>
      <name val="VNI-Times"/>
    </font>
    <font>
      <i/>
      <sz val="11"/>
      <color indexed="63"/>
      <name val="Times New Roman"/>
      <family val="1"/>
    </font>
    <font>
      <i/>
      <sz val="11"/>
      <name val="VNI-Times"/>
    </font>
    <font>
      <sz val="9"/>
      <name val="Times New Roman"/>
      <family val="1"/>
    </font>
    <font>
      <b/>
      <sz val="10"/>
      <color indexed="63"/>
      <name val="Verdana"/>
      <family val="2"/>
    </font>
    <font>
      <sz val="10"/>
      <color indexed="63"/>
      <name val="Verdana"/>
      <family val="2"/>
    </font>
    <font>
      <b/>
      <sz val="18"/>
      <name val="Arial"/>
      <family val="2"/>
    </font>
    <font>
      <b/>
      <sz val="14"/>
      <name val="Times New Roman"/>
      <family val="1"/>
    </font>
    <font>
      <sz val="10"/>
      <color indexed="12"/>
      <name val="Times New Roman"/>
      <family val="1"/>
    </font>
    <font>
      <b/>
      <sz val="14"/>
      <name val="Times New Roman"/>
      <family val="1"/>
    </font>
    <font>
      <sz val="12"/>
      <name val="VNI-Times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38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38" fillId="0" borderId="0"/>
    <xf numFmtId="0" fontId="1" fillId="24" borderId="13" applyNumberFormat="0" applyFont="0" applyAlignment="0" applyProtection="0"/>
    <xf numFmtId="0" fontId="20" fillId="20" borderId="14" applyNumberFormat="0" applyAlignment="0" applyProtection="0"/>
    <xf numFmtId="0" fontId="21" fillId="0" borderId="0">
      <alignment horizontal="centerContinuous"/>
    </xf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53" fillId="0" borderId="0">
      <alignment horizontal="center"/>
    </xf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6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8" fillId="0" borderId="0"/>
    <xf numFmtId="0" fontId="1" fillId="0" borderId="0"/>
    <xf numFmtId="0" fontId="57" fillId="0" borderId="0"/>
  </cellStyleXfs>
  <cellXfs count="305">
    <xf numFmtId="0" fontId="0" fillId="0" borderId="0" xfId="0"/>
    <xf numFmtId="0" fontId="30" fillId="0" borderId="0" xfId="53" applyFont="1"/>
    <xf numFmtId="0" fontId="30" fillId="0" borderId="0" xfId="53" applyFont="1" applyAlignment="1">
      <alignment horizontal="center"/>
    </xf>
    <xf numFmtId="164" fontId="30" fillId="0" borderId="0" xfId="57" applyNumberFormat="1" applyFont="1" applyAlignment="1">
      <alignment horizontal="center" vertical="center" wrapText="1"/>
    </xf>
    <xf numFmtId="164" fontId="30" fillId="0" borderId="16" xfId="57" applyNumberFormat="1" applyFont="1" applyBorder="1" applyAlignment="1">
      <alignment horizontal="center" vertical="center"/>
    </xf>
    <xf numFmtId="164" fontId="30" fillId="0" borderId="16" xfId="29" applyNumberFormat="1" applyFont="1" applyBorder="1" applyAlignment="1">
      <alignment horizontal="center" vertical="center"/>
    </xf>
    <xf numFmtId="164" fontId="30" fillId="0" borderId="17" xfId="57" applyNumberFormat="1" applyFont="1" applyBorder="1" applyAlignment="1">
      <alignment horizontal="center" vertical="center"/>
    </xf>
    <xf numFmtId="164" fontId="30" fillId="0" borderId="18" xfId="57" applyNumberFormat="1" applyFont="1" applyBorder="1" applyAlignment="1">
      <alignment horizontal="center" vertical="center"/>
    </xf>
    <xf numFmtId="164" fontId="30" fillId="0" borderId="17" xfId="29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left" vertical="center" wrapText="1"/>
    </xf>
    <xf numFmtId="0" fontId="30" fillId="0" borderId="16" xfId="0" applyFont="1" applyBorder="1"/>
    <xf numFmtId="14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horizontal="center"/>
    </xf>
    <xf numFmtId="164" fontId="30" fillId="0" borderId="0" xfId="29" applyNumberFormat="1" applyFont="1" applyAlignment="1">
      <alignment horizontal="center"/>
    </xf>
    <xf numFmtId="14" fontId="30" fillId="0" borderId="16" xfId="0" applyNumberFormat="1" applyFont="1" applyBorder="1" applyAlignment="1">
      <alignment horizontal="center" vertical="center" wrapText="1"/>
    </xf>
    <xf numFmtId="0" fontId="30" fillId="0" borderId="0" xfId="57" applyFont="1" applyAlignment="1">
      <alignment horizontal="left" vertical="center"/>
    </xf>
    <xf numFmtId="0" fontId="30" fillId="0" borderId="16" xfId="53" applyFont="1" applyBorder="1" applyAlignment="1">
      <alignment vertical="center"/>
    </xf>
    <xf numFmtId="49" fontId="30" fillId="0" borderId="16" xfId="0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 vertical="center"/>
    </xf>
    <xf numFmtId="164" fontId="30" fillId="0" borderId="16" xfId="29" applyNumberFormat="1" applyFont="1" applyBorder="1" applyAlignment="1">
      <alignment vertical="center"/>
    </xf>
    <xf numFmtId="164" fontId="30" fillId="0" borderId="12" xfId="29" applyNumberFormat="1" applyFont="1" applyBorder="1" applyAlignment="1">
      <alignment horizontal="center" vertical="center"/>
    </xf>
    <xf numFmtId="164" fontId="30" fillId="0" borderId="12" xfId="57" applyNumberFormat="1" applyFont="1" applyBorder="1" applyAlignment="1">
      <alignment horizontal="center" vertical="center"/>
    </xf>
    <xf numFmtId="49" fontId="34" fillId="0" borderId="0" xfId="0" applyNumberFormat="1" applyFont="1" applyBorder="1"/>
    <xf numFmtId="164" fontId="30" fillId="0" borderId="16" xfId="0" applyNumberFormat="1" applyFont="1" applyBorder="1" applyAlignment="1">
      <alignment horizontal="center" vertical="center"/>
    </xf>
    <xf numFmtId="164" fontId="30" fillId="0" borderId="18" xfId="29" applyNumberFormat="1" applyFont="1" applyBorder="1" applyAlignment="1">
      <alignment vertical="center"/>
    </xf>
    <xf numFmtId="0" fontId="30" fillId="0" borderId="16" xfId="53" applyFont="1" applyBorder="1" applyAlignment="1">
      <alignment horizontal="center" vertical="center"/>
    </xf>
    <xf numFmtId="49" fontId="30" fillId="0" borderId="0" xfId="53" applyNumberFormat="1" applyFont="1" applyAlignment="1">
      <alignment horizontal="center" vertical="center"/>
    </xf>
    <xf numFmtId="0" fontId="30" fillId="0" borderId="0" xfId="53" applyFont="1" applyAlignment="1">
      <alignment horizontal="center" vertical="center"/>
    </xf>
    <xf numFmtId="0" fontId="30" fillId="0" borderId="0" xfId="53" applyFont="1" applyAlignment="1">
      <alignment vertical="center"/>
    </xf>
    <xf numFmtId="0" fontId="30" fillId="0" borderId="2" xfId="53" applyFont="1" applyBorder="1" applyAlignment="1">
      <alignment horizontal="center" vertical="center"/>
    </xf>
    <xf numFmtId="49" fontId="30" fillId="0" borderId="19" xfId="53" applyNumberFormat="1" applyFont="1" applyBorder="1" applyAlignment="1">
      <alignment horizontal="center" vertical="center"/>
    </xf>
    <xf numFmtId="164" fontId="30" fillId="0" borderId="2" xfId="29" applyNumberFormat="1" applyFont="1" applyBorder="1" applyAlignment="1">
      <alignment horizontal="center" vertical="center"/>
    </xf>
    <xf numFmtId="14" fontId="30" fillId="0" borderId="12" xfId="53" applyNumberFormat="1" applyFont="1" applyBorder="1" applyAlignment="1">
      <alignment horizontal="center" vertical="center"/>
    </xf>
    <xf numFmtId="49" fontId="30" fillId="0" borderId="12" xfId="53" applyNumberFormat="1" applyFont="1" applyBorder="1" applyAlignment="1">
      <alignment horizontal="center" vertical="center"/>
    </xf>
    <xf numFmtId="0" fontId="30" fillId="0" borderId="12" xfId="53" quotePrefix="1" applyFont="1" applyBorder="1" applyAlignment="1">
      <alignment vertical="center"/>
    </xf>
    <xf numFmtId="0" fontId="30" fillId="0" borderId="12" xfId="53" applyFont="1" applyBorder="1" applyAlignment="1">
      <alignment horizontal="center" vertical="center"/>
    </xf>
    <xf numFmtId="164" fontId="30" fillId="0" borderId="0" xfId="53" applyNumberFormat="1" applyFont="1" applyAlignment="1">
      <alignment vertical="center"/>
    </xf>
    <xf numFmtId="0" fontId="30" fillId="0" borderId="16" xfId="53" quotePrefix="1" applyFont="1" applyBorder="1" applyAlignment="1">
      <alignment horizontal="center" vertical="center"/>
    </xf>
    <xf numFmtId="49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vertical="center"/>
    </xf>
    <xf numFmtId="14" fontId="30" fillId="0" borderId="17" xfId="53" applyNumberFormat="1" applyFont="1" applyBorder="1" applyAlignment="1">
      <alignment horizontal="center" vertical="center"/>
    </xf>
    <xf numFmtId="49" fontId="30" fillId="0" borderId="17" xfId="53" applyNumberFormat="1" applyFont="1" applyBorder="1" applyAlignment="1">
      <alignment horizontal="center" vertical="center"/>
    </xf>
    <xf numFmtId="0" fontId="30" fillId="0" borderId="17" xfId="53" quotePrefix="1" applyFont="1" applyBorder="1" applyAlignment="1">
      <alignment vertical="center"/>
    </xf>
    <xf numFmtId="0" fontId="30" fillId="0" borderId="17" xfId="53" applyFont="1" applyBorder="1" applyAlignment="1">
      <alignment horizontal="center" vertical="center"/>
    </xf>
    <xf numFmtId="164" fontId="30" fillId="0" borderId="0" xfId="29" applyNumberFormat="1" applyFont="1" applyAlignment="1">
      <alignment horizontal="center" vertical="center"/>
    </xf>
    <xf numFmtId="164" fontId="30" fillId="0" borderId="0" xfId="53" applyNumberFormat="1" applyFont="1" applyAlignment="1">
      <alignment horizontal="center" vertical="center"/>
    </xf>
    <xf numFmtId="0" fontId="30" fillId="0" borderId="0" xfId="53" quotePrefix="1" applyFont="1" applyAlignment="1">
      <alignment horizontal="left" vertical="center"/>
    </xf>
    <xf numFmtId="0" fontId="30" fillId="0" borderId="19" xfId="53" applyFont="1" applyBorder="1" applyAlignment="1">
      <alignment horizontal="center" vertical="center"/>
    </xf>
    <xf numFmtId="0" fontId="30" fillId="0" borderId="18" xfId="53" quotePrefix="1" applyFont="1" applyBorder="1" applyAlignment="1">
      <alignment vertical="center"/>
    </xf>
    <xf numFmtId="0" fontId="30" fillId="0" borderId="18" xfId="53" applyFont="1" applyBorder="1" applyAlignment="1">
      <alignment horizontal="center" vertical="center"/>
    </xf>
    <xf numFmtId="14" fontId="30" fillId="0" borderId="0" xfId="53" applyNumberFormat="1" applyFont="1" applyBorder="1" applyAlignment="1">
      <alignment horizontal="center" vertical="center"/>
    </xf>
    <xf numFmtId="14" fontId="30" fillId="0" borderId="0" xfId="53" applyNumberFormat="1" applyFont="1" applyAlignment="1">
      <alignment horizontal="center"/>
    </xf>
    <xf numFmtId="0" fontId="35" fillId="0" borderId="0" xfId="53" applyFont="1" applyAlignment="1">
      <alignment vertical="center"/>
    </xf>
    <xf numFmtId="0" fontId="30" fillId="0" borderId="0" xfId="53" applyFont="1" applyBorder="1" applyAlignment="1">
      <alignment vertical="center"/>
    </xf>
    <xf numFmtId="164" fontId="36" fillId="0" borderId="16" xfId="0" applyNumberFormat="1" applyFont="1" applyBorder="1" applyAlignment="1">
      <alignment horizontal="left" vertical="center" wrapText="1"/>
    </xf>
    <xf numFmtId="164" fontId="37" fillId="0" borderId="0" xfId="29" applyNumberFormat="1" applyFont="1" applyBorder="1"/>
    <xf numFmtId="164" fontId="30" fillId="0" borderId="0" xfId="53" applyNumberFormat="1" applyFont="1"/>
    <xf numFmtId="164" fontId="30" fillId="0" borderId="18" xfId="0" applyNumberFormat="1" applyFont="1" applyBorder="1" applyAlignment="1">
      <alignment horizontal="left" vertical="center" wrapText="1"/>
    </xf>
    <xf numFmtId="0" fontId="30" fillId="0" borderId="0" xfId="53" applyFont="1" applyBorder="1"/>
    <xf numFmtId="164" fontId="30" fillId="0" borderId="0" xfId="29" applyNumberFormat="1" applyFont="1" applyBorder="1" applyAlignment="1">
      <alignment vertical="center"/>
    </xf>
    <xf numFmtId="164" fontId="30" fillId="0" borderId="0" xfId="29" applyNumberFormat="1" applyFont="1" applyBorder="1" applyAlignment="1">
      <alignment horizontal="center" vertical="center"/>
    </xf>
    <xf numFmtId="14" fontId="30" fillId="0" borderId="20" xfId="53" applyNumberFormat="1" applyFont="1" applyBorder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0" fontId="38" fillId="0" borderId="0" xfId="58" applyFont="1" applyAlignment="1">
      <alignment vertical="center"/>
    </xf>
    <xf numFmtId="164" fontId="41" fillId="0" borderId="0" xfId="57" applyNumberFormat="1" applyFont="1" applyAlignment="1">
      <alignment horizontal="center" vertical="center" wrapText="1"/>
    </xf>
    <xf numFmtId="0" fontId="43" fillId="0" borderId="0" xfId="58" applyFont="1" applyAlignment="1">
      <alignment vertical="center"/>
    </xf>
    <xf numFmtId="0" fontId="45" fillId="25" borderId="0" xfId="58" applyFont="1" applyFill="1" applyAlignment="1">
      <alignment horizontal="left" vertical="center" wrapText="1"/>
    </xf>
    <xf numFmtId="0" fontId="45" fillId="25" borderId="0" xfId="58" quotePrefix="1" applyFont="1" applyFill="1" applyAlignment="1">
      <alignment vertical="center"/>
    </xf>
    <xf numFmtId="0" fontId="45" fillId="25" borderId="0" xfId="58" applyFont="1" applyFill="1" applyAlignment="1">
      <alignment vertical="center"/>
    </xf>
    <xf numFmtId="0" fontId="46" fillId="25" borderId="2" xfId="58" applyFont="1" applyFill="1" applyBorder="1" applyAlignment="1">
      <alignment horizontal="center" vertical="center" wrapText="1"/>
    </xf>
    <xf numFmtId="0" fontId="47" fillId="0" borderId="0" xfId="58" applyFont="1" applyAlignment="1">
      <alignment vertical="center"/>
    </xf>
    <xf numFmtId="0" fontId="45" fillId="25" borderId="21" xfId="58" applyFont="1" applyFill="1" applyBorder="1" applyAlignment="1">
      <alignment horizontal="center" vertical="center" wrapText="1"/>
    </xf>
    <xf numFmtId="0" fontId="46" fillId="25" borderId="16" xfId="58" applyFont="1" applyFill="1" applyBorder="1" applyAlignment="1">
      <alignment vertical="center" wrapText="1"/>
    </xf>
    <xf numFmtId="164" fontId="46" fillId="25" borderId="16" xfId="29" applyNumberFormat="1" applyFont="1" applyFill="1" applyBorder="1" applyAlignment="1">
      <alignment horizontal="center" vertical="center" wrapText="1"/>
    </xf>
    <xf numFmtId="0" fontId="45" fillId="25" borderId="16" xfId="58" applyFont="1" applyFill="1" applyBorder="1" applyAlignment="1">
      <alignment horizontal="left" vertical="center" wrapText="1"/>
    </xf>
    <xf numFmtId="164" fontId="45" fillId="25" borderId="16" xfId="29" applyNumberFormat="1" applyFont="1" applyFill="1" applyBorder="1" applyAlignment="1">
      <alignment horizontal="center" vertical="center" wrapText="1"/>
    </xf>
    <xf numFmtId="0" fontId="48" fillId="25" borderId="16" xfId="58" quotePrefix="1" applyFont="1" applyFill="1" applyBorder="1" applyAlignment="1">
      <alignment horizontal="left" vertical="center" wrapText="1"/>
    </xf>
    <xf numFmtId="164" fontId="48" fillId="25" borderId="16" xfId="29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/>
    </xf>
    <xf numFmtId="0" fontId="49" fillId="0" borderId="0" xfId="58" applyFont="1" applyAlignment="1">
      <alignment vertical="center"/>
    </xf>
    <xf numFmtId="0" fontId="47" fillId="0" borderId="0" xfId="58" applyFont="1" applyBorder="1" applyAlignment="1">
      <alignment vertical="center"/>
    </xf>
    <xf numFmtId="0" fontId="48" fillId="25" borderId="16" xfId="58" quotePrefix="1" applyFont="1" applyFill="1" applyBorder="1" applyAlignment="1">
      <alignment vertical="center" wrapText="1"/>
    </xf>
    <xf numFmtId="164" fontId="48" fillId="25" borderId="16" xfId="29" applyNumberFormat="1" applyFont="1" applyFill="1" applyBorder="1" applyAlignment="1">
      <alignment vertical="center" wrapText="1"/>
    </xf>
    <xf numFmtId="0" fontId="46" fillId="25" borderId="0" xfId="58" applyFont="1" applyFill="1" applyAlignment="1">
      <alignment horizontal="center" vertical="center" wrapText="1"/>
    </xf>
    <xf numFmtId="0" fontId="45" fillId="25" borderId="0" xfId="58" applyFont="1" applyFill="1" applyAlignment="1">
      <alignment horizontal="center" vertical="center" wrapText="1"/>
    </xf>
    <xf numFmtId="0" fontId="30" fillId="0" borderId="0" xfId="58" applyFont="1" applyAlignment="1">
      <alignment vertical="center"/>
    </xf>
    <xf numFmtId="0" fontId="51" fillId="25" borderId="0" xfId="58" applyFont="1" applyFill="1" applyAlignment="1">
      <alignment horizontal="center" wrapText="1"/>
    </xf>
    <xf numFmtId="0" fontId="52" fillId="25" borderId="0" xfId="58" applyFont="1" applyFill="1" applyAlignment="1">
      <alignment horizontal="center" wrapText="1"/>
    </xf>
    <xf numFmtId="0" fontId="44" fillId="25" borderId="0" xfId="58" applyFont="1" applyFill="1" applyAlignment="1">
      <alignment vertical="center"/>
    </xf>
    <xf numFmtId="164" fontId="30" fillId="0" borderId="16" xfId="0" applyNumberFormat="1" applyFont="1" applyBorder="1" applyAlignment="1">
      <alignment vertical="center" wrapText="1"/>
    </xf>
    <xf numFmtId="0" fontId="30" fillId="0" borderId="0" xfId="56" applyFont="1" applyBorder="1"/>
    <xf numFmtId="164" fontId="30" fillId="0" borderId="0" xfId="0" applyNumberFormat="1" applyFont="1" applyBorder="1" applyAlignment="1">
      <alignment horizontal="center" vertical="center"/>
    </xf>
    <xf numFmtId="0" fontId="43" fillId="26" borderId="2" xfId="58" applyFont="1" applyFill="1" applyBorder="1" applyAlignment="1">
      <alignment vertical="center"/>
    </xf>
    <xf numFmtId="164" fontId="30" fillId="0" borderId="20" xfId="29" applyNumberFormat="1" applyFont="1" applyBorder="1" applyAlignment="1">
      <alignment horizontal="center" vertical="center"/>
    </xf>
    <xf numFmtId="49" fontId="30" fillId="0" borderId="20" xfId="0" applyNumberFormat="1" applyFont="1" applyFill="1" applyBorder="1" applyAlignment="1">
      <alignment horizontal="center" vertical="center" wrapText="1"/>
    </xf>
    <xf numFmtId="14" fontId="30" fillId="0" borderId="20" xfId="0" applyNumberFormat="1" applyFont="1" applyBorder="1" applyAlignment="1">
      <alignment horizontal="center" vertical="center" wrapText="1"/>
    </xf>
    <xf numFmtId="0" fontId="30" fillId="0" borderId="20" xfId="53" applyFont="1" applyBorder="1" applyAlignment="1">
      <alignment vertical="center"/>
    </xf>
    <xf numFmtId="0" fontId="30" fillId="0" borderId="20" xfId="53" quotePrefix="1" applyFont="1" applyBorder="1" applyAlignment="1">
      <alignment horizontal="center" vertical="center"/>
    </xf>
    <xf numFmtId="164" fontId="30" fillId="0" borderId="20" xfId="0" applyNumberFormat="1" applyFont="1" applyBorder="1" applyAlignment="1">
      <alignment horizontal="left" vertical="center" wrapText="1"/>
    </xf>
    <xf numFmtId="164" fontId="30" fillId="0" borderId="20" xfId="29" applyNumberFormat="1" applyFont="1" applyBorder="1" applyAlignment="1">
      <alignment vertical="center"/>
    </xf>
    <xf numFmtId="14" fontId="30" fillId="0" borderId="20" xfId="53" applyNumberFormat="1" applyFont="1" applyBorder="1" applyAlignment="1">
      <alignment horizontal="left" vertical="center"/>
    </xf>
    <xf numFmtId="49" fontId="30" fillId="0" borderId="0" xfId="53" applyNumberFormat="1" applyFont="1" applyBorder="1" applyAlignment="1">
      <alignment horizontal="center" vertical="center"/>
    </xf>
    <xf numFmtId="0" fontId="30" fillId="0" borderId="0" xfId="53" quotePrefix="1" applyFont="1" applyBorder="1" applyAlignment="1">
      <alignment vertical="center"/>
    </xf>
    <xf numFmtId="164" fontId="30" fillId="0" borderId="0" xfId="57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 wrapText="1"/>
    </xf>
    <xf numFmtId="0" fontId="30" fillId="0" borderId="0" xfId="53" quotePrefix="1" applyFont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 wrapText="1"/>
    </xf>
    <xf numFmtId="164" fontId="30" fillId="0" borderId="0" xfId="0" applyNumberFormat="1" applyFont="1" applyBorder="1" applyAlignment="1">
      <alignment vertical="center" wrapText="1"/>
    </xf>
    <xf numFmtId="0" fontId="30" fillId="0" borderId="0" xfId="0" applyFont="1" applyBorder="1"/>
    <xf numFmtId="14" fontId="36" fillId="0" borderId="0" xfId="0" applyNumberFormat="1" applyFont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left" vertical="center" wrapText="1"/>
    </xf>
    <xf numFmtId="164" fontId="30" fillId="0" borderId="0" xfId="29" applyNumberFormat="1" applyFont="1" applyBorder="1"/>
    <xf numFmtId="0" fontId="30" fillId="0" borderId="0" xfId="53" quotePrefix="1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center" vertical="center"/>
    </xf>
    <xf numFmtId="0" fontId="30" fillId="0" borderId="23" xfId="53" applyFont="1" applyBorder="1" applyAlignment="1">
      <alignment horizontal="center" vertical="center" wrapText="1"/>
    </xf>
    <xf numFmtId="0" fontId="41" fillId="0" borderId="0" xfId="53" applyFont="1" applyBorder="1" applyAlignment="1">
      <alignment horizontal="center" vertical="center"/>
    </xf>
    <xf numFmtId="0" fontId="41" fillId="0" borderId="0" xfId="53" applyFont="1" applyBorder="1" applyAlignment="1">
      <alignment vertical="center"/>
    </xf>
    <xf numFmtId="0" fontId="38" fillId="0" borderId="0" xfId="58" applyFont="1" applyBorder="1" applyAlignment="1">
      <alignment vertical="center"/>
    </xf>
    <xf numFmtId="0" fontId="40" fillId="0" borderId="0" xfId="53" applyFont="1" applyBorder="1" applyAlignment="1">
      <alignment horizontal="center" vertical="center"/>
    </xf>
    <xf numFmtId="0" fontId="43" fillId="0" borderId="0" xfId="58" applyFont="1" applyBorder="1" applyAlignment="1">
      <alignment vertical="center"/>
    </xf>
    <xf numFmtId="164" fontId="30" fillId="0" borderId="0" xfId="58" applyNumberFormat="1" applyFont="1" applyBorder="1" applyAlignment="1">
      <alignment horizontal="center" vertical="center"/>
    </xf>
    <xf numFmtId="14" fontId="30" fillId="0" borderId="0" xfId="29" applyNumberFormat="1" applyFont="1" applyBorder="1" applyAlignment="1">
      <alignment horizontal="center" vertical="center"/>
    </xf>
    <xf numFmtId="1" fontId="30" fillId="0" borderId="0" xfId="53" applyNumberFormat="1" applyFont="1" applyBorder="1" applyAlignment="1">
      <alignment horizontal="center"/>
    </xf>
    <xf numFmtId="0" fontId="49" fillId="0" borderId="0" xfId="58" applyFont="1" applyBorder="1" applyAlignment="1">
      <alignment vertical="center"/>
    </xf>
    <xf numFmtId="14" fontId="30" fillId="0" borderId="0" xfId="53" applyNumberFormat="1" applyFont="1" applyBorder="1" applyAlignment="1">
      <alignment horizontal="center"/>
    </xf>
    <xf numFmtId="14" fontId="30" fillId="0" borderId="0" xfId="53" applyNumberFormat="1" applyFont="1" applyBorder="1" applyAlignment="1">
      <alignment vertical="center"/>
    </xf>
    <xf numFmtId="3" fontId="16" fillId="0" borderId="0" xfId="46" applyFont="1" applyBorder="1"/>
    <xf numFmtId="0" fontId="30" fillId="0" borderId="0" xfId="58" applyFont="1" applyBorder="1"/>
    <xf numFmtId="14" fontId="30" fillId="0" borderId="0" xfId="53" applyNumberFormat="1" applyFont="1" applyBorder="1" applyAlignment="1">
      <alignment horizontal="left" vertical="center"/>
    </xf>
    <xf numFmtId="3" fontId="16" fillId="0" borderId="0" xfId="46" applyBorder="1"/>
    <xf numFmtId="164" fontId="30" fillId="0" borderId="0" xfId="58" applyNumberFormat="1" applyFont="1" applyFill="1" applyBorder="1" applyAlignment="1">
      <alignment horizontal="center" vertical="center" wrapText="1"/>
    </xf>
    <xf numFmtId="3" fontId="50" fillId="0" borderId="0" xfId="58" applyNumberFormat="1" applyFont="1" applyBorder="1" applyAlignment="1">
      <alignment horizontal="center"/>
    </xf>
    <xf numFmtId="49" fontId="30" fillId="0" borderId="0" xfId="53" applyNumberFormat="1" applyFont="1" applyAlignment="1">
      <alignment vertical="center"/>
    </xf>
    <xf numFmtId="49" fontId="30" fillId="0" borderId="0" xfId="53" applyNumberFormat="1" applyFont="1" applyBorder="1"/>
    <xf numFmtId="49" fontId="30" fillId="0" borderId="0" xfId="56" applyNumberFormat="1" applyFont="1" applyBorder="1"/>
    <xf numFmtId="49" fontId="30" fillId="0" borderId="0" xfId="53" applyNumberFormat="1" applyFont="1" applyBorder="1" applyAlignment="1">
      <alignment vertical="center"/>
    </xf>
    <xf numFmtId="0" fontId="30" fillId="0" borderId="0" xfId="53" applyNumberFormat="1" applyFont="1" applyAlignment="1">
      <alignment vertical="center"/>
    </xf>
    <xf numFmtId="0" fontId="30" fillId="0" borderId="0" xfId="53" applyNumberFormat="1" applyFont="1" applyAlignment="1">
      <alignment horizontal="center" vertical="center"/>
    </xf>
    <xf numFmtId="0" fontId="30" fillId="0" borderId="20" xfId="29" applyNumberFormat="1" applyFont="1" applyBorder="1" applyAlignment="1">
      <alignment horizontal="center" vertical="center"/>
    </xf>
    <xf numFmtId="0" fontId="35" fillId="0" borderId="0" xfId="53" applyNumberFormat="1" applyFont="1" applyAlignment="1">
      <alignment vertical="center"/>
    </xf>
    <xf numFmtId="0" fontId="30" fillId="0" borderId="0" xfId="53" applyNumberFormat="1" applyFont="1"/>
    <xf numFmtId="0" fontId="30" fillId="0" borderId="0" xfId="53" quotePrefix="1" applyFont="1" applyBorder="1" applyAlignment="1">
      <alignment horizontal="center"/>
    </xf>
    <xf numFmtId="14" fontId="30" fillId="0" borderId="16" xfId="0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/>
    </xf>
    <xf numFmtId="14" fontId="30" fillId="0" borderId="0" xfId="58" applyNumberFormat="1" applyFont="1" applyBorder="1" applyAlignment="1">
      <alignment horizontal="center" vertical="center" wrapText="1"/>
    </xf>
    <xf numFmtId="0" fontId="16" fillId="0" borderId="0" xfId="55" applyFont="1" applyAlignment="1">
      <alignment vertical="center"/>
    </xf>
    <xf numFmtId="0" fontId="40" fillId="21" borderId="2" xfId="34" applyFont="1" applyBorder="1" applyAlignment="1">
      <alignment horizontal="centerContinuous" vertical="center" wrapText="1"/>
    </xf>
    <xf numFmtId="164" fontId="40" fillId="21" borderId="2" xfId="29" applyNumberFormat="1" applyFont="1" applyFill="1" applyBorder="1" applyAlignment="1">
      <alignment horizontal="centerContinuous" vertical="center" wrapText="1"/>
    </xf>
    <xf numFmtId="0" fontId="41" fillId="0" borderId="0" xfId="55" applyFont="1" applyAlignment="1">
      <alignment vertical="center"/>
    </xf>
    <xf numFmtId="0" fontId="40" fillId="21" borderId="2" xfId="34" applyFont="1" applyBorder="1" applyAlignment="1">
      <alignment horizontal="center" vertical="center" wrapText="1"/>
    </xf>
    <xf numFmtId="164" fontId="40" fillId="21" borderId="2" xfId="29" applyNumberFormat="1" applyFont="1" applyFill="1" applyBorder="1" applyAlignment="1">
      <alignment horizontal="center" vertical="center" wrapText="1"/>
    </xf>
    <xf numFmtId="3" fontId="41" fillId="0" borderId="16" xfId="46" applyFont="1" applyBorder="1" applyAlignment="1">
      <alignment horizontal="center" vertical="center"/>
    </xf>
    <xf numFmtId="3" fontId="41" fillId="0" borderId="16" xfId="46" applyFont="1" applyBorder="1" applyAlignment="1">
      <alignment vertical="center"/>
    </xf>
    <xf numFmtId="43" fontId="41" fillId="0" borderId="16" xfId="29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43" fontId="41" fillId="0" borderId="20" xfId="29" applyFont="1" applyBorder="1" applyAlignment="1">
      <alignment horizontal="center"/>
    </xf>
    <xf numFmtId="164" fontId="41" fillId="0" borderId="20" xfId="29" applyNumberFormat="1" applyFont="1" applyBorder="1" applyAlignment="1">
      <alignment horizontal="center"/>
    </xf>
    <xf numFmtId="0" fontId="41" fillId="25" borderId="24" xfId="54" applyFont="1" applyFill="1" applyBorder="1" applyAlignment="1">
      <alignment vertical="center" wrapText="1"/>
    </xf>
    <xf numFmtId="3" fontId="41" fillId="0" borderId="16" xfId="46" applyFont="1" applyBorder="1" applyAlignment="1">
      <alignment vertical="center" wrapText="1"/>
    </xf>
    <xf numFmtId="0" fontId="41" fillId="21" borderId="2" xfId="55" applyFont="1" applyFill="1" applyBorder="1" applyAlignment="1">
      <alignment vertical="center"/>
    </xf>
    <xf numFmtId="3" fontId="41" fillId="21" borderId="2" xfId="27" applyFont="1" applyFill="1" applyBorder="1" applyAlignment="1">
      <alignment vertical="center"/>
    </xf>
    <xf numFmtId="43" fontId="41" fillId="21" borderId="2" xfId="29" applyNumberFormat="1" applyFont="1" applyFill="1" applyBorder="1" applyAlignment="1">
      <alignment vertical="center"/>
    </xf>
    <xf numFmtId="164" fontId="41" fillId="21" borderId="2" xfId="29" applyNumberFormat="1" applyFont="1" applyFill="1" applyBorder="1" applyAlignment="1">
      <alignment vertical="center"/>
    </xf>
    <xf numFmtId="0" fontId="41" fillId="21" borderId="0" xfId="55" applyFont="1" applyFill="1" applyAlignment="1">
      <alignment vertical="center"/>
    </xf>
    <xf numFmtId="164" fontId="16" fillId="0" borderId="0" xfId="29" applyNumberFormat="1" applyFont="1" applyAlignment="1">
      <alignment vertical="center"/>
    </xf>
    <xf numFmtId="43" fontId="41" fillId="0" borderId="16" xfId="29" applyFont="1" applyFill="1" applyBorder="1" applyAlignment="1">
      <alignment horizontal="center" vertical="center" wrapText="1"/>
    </xf>
    <xf numFmtId="43" fontId="55" fillId="0" borderId="16" xfId="29" applyFont="1" applyFill="1" applyBorder="1" applyAlignment="1">
      <alignment horizontal="center" vertical="center" wrapText="1"/>
    </xf>
    <xf numFmtId="0" fontId="41" fillId="0" borderId="0" xfId="57" applyFont="1" applyAlignment="1">
      <alignment horizontal="left" vertical="center"/>
    </xf>
    <xf numFmtId="164" fontId="40" fillId="0" borderId="0" xfId="57" applyNumberFormat="1" applyFont="1" applyAlignment="1">
      <alignment vertical="center" wrapText="1"/>
    </xf>
    <xf numFmtId="164" fontId="41" fillId="0" borderId="0" xfId="57" applyNumberFormat="1" applyFont="1" applyAlignment="1">
      <alignment horizontal="center" vertical="center"/>
    </xf>
    <xf numFmtId="164" fontId="41" fillId="0" borderId="0" xfId="57" applyNumberFormat="1" applyFont="1" applyAlignment="1">
      <alignment vertical="center" wrapText="1"/>
    </xf>
    <xf numFmtId="0" fontId="41" fillId="0" borderId="0" xfId="53" applyFont="1" applyAlignment="1">
      <alignment vertical="center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/>
    </xf>
    <xf numFmtId="0" fontId="41" fillId="0" borderId="12" xfId="53" applyFont="1" applyBorder="1" applyAlignment="1">
      <alignment vertical="center"/>
    </xf>
    <xf numFmtId="0" fontId="41" fillId="0" borderId="12" xfId="53" quotePrefix="1" applyFont="1" applyBorder="1" applyAlignment="1">
      <alignment vertical="center"/>
    </xf>
    <xf numFmtId="0" fontId="41" fillId="0" borderId="12" xfId="53" applyFont="1" applyBorder="1" applyAlignment="1">
      <alignment horizontal="center" vertical="center"/>
    </xf>
    <xf numFmtId="43" fontId="41" fillId="0" borderId="12" xfId="29" applyFont="1" applyBorder="1" applyAlignment="1">
      <alignment vertical="center"/>
    </xf>
    <xf numFmtId="164" fontId="41" fillId="0" borderId="12" xfId="29" applyNumberFormat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14" fontId="41" fillId="0" borderId="16" xfId="57" applyNumberFormat="1" applyFont="1" applyFill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25" borderId="16" xfId="29" applyNumberFormat="1" applyFont="1" applyFill="1" applyBorder="1" applyAlignment="1">
      <alignment horizontal="center" vertical="center" wrapText="1"/>
    </xf>
    <xf numFmtId="14" fontId="55" fillId="0" borderId="16" xfId="57" applyNumberFormat="1" applyFont="1" applyFill="1" applyBorder="1" applyAlignment="1">
      <alignment horizontal="center" vertical="center"/>
    </xf>
    <xf numFmtId="0" fontId="55" fillId="0" borderId="16" xfId="53" applyFont="1" applyBorder="1" applyAlignment="1">
      <alignment vertical="center"/>
    </xf>
    <xf numFmtId="0" fontId="55" fillId="0" borderId="16" xfId="53" quotePrefix="1" applyFont="1" applyBorder="1" applyAlignment="1">
      <alignment horizontal="center" vertical="center"/>
    </xf>
    <xf numFmtId="0" fontId="55" fillId="0" borderId="16" xfId="53" applyFont="1" applyBorder="1" applyAlignment="1">
      <alignment horizontal="center" vertical="center"/>
    </xf>
    <xf numFmtId="164" fontId="55" fillId="0" borderId="16" xfId="29" applyNumberFormat="1" applyFont="1" applyBorder="1" applyAlignment="1">
      <alignment vertical="center"/>
    </xf>
    <xf numFmtId="0" fontId="55" fillId="0" borderId="0" xfId="53" applyFont="1" applyAlignment="1">
      <alignment vertical="center"/>
    </xf>
    <xf numFmtId="0" fontId="41" fillId="0" borderId="16" xfId="53" quotePrefix="1" applyFont="1" applyBorder="1" applyAlignment="1">
      <alignment vertical="center"/>
    </xf>
    <xf numFmtId="0" fontId="41" fillId="0" borderId="16" xfId="53" applyFont="1" applyBorder="1" applyAlignment="1">
      <alignment horizontal="center" vertical="center"/>
    </xf>
    <xf numFmtId="43" fontId="41" fillId="0" borderId="16" xfId="53" applyNumberFormat="1" applyFont="1" applyBorder="1" applyAlignment="1">
      <alignment horizontal="center" vertical="center"/>
    </xf>
    <xf numFmtId="164" fontId="41" fillId="0" borderId="16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vertical="center"/>
    </xf>
    <xf numFmtId="0" fontId="41" fillId="0" borderId="17" xfId="53" applyFont="1" applyBorder="1" applyAlignment="1">
      <alignment horizontal="center" vertical="center"/>
    </xf>
    <xf numFmtId="43" fontId="41" fillId="0" borderId="17" xfId="29" applyFont="1" applyBorder="1" applyAlignment="1">
      <alignment horizontal="center" vertical="center"/>
    </xf>
    <xf numFmtId="164" fontId="41" fillId="0" borderId="17" xfId="53" applyNumberFormat="1" applyFont="1" applyBorder="1" applyAlignment="1">
      <alignment horizontal="center" vertical="center"/>
    </xf>
    <xf numFmtId="0" fontId="41" fillId="0" borderId="0" xfId="53" quotePrefix="1" applyFont="1" applyAlignment="1">
      <alignment vertical="center"/>
    </xf>
    <xf numFmtId="0" fontId="30" fillId="0" borderId="0" xfId="53" applyFont="1" applyBorder="1" applyAlignment="1">
      <alignment horizontal="left"/>
    </xf>
    <xf numFmtId="0" fontId="30" fillId="0" borderId="0" xfId="56" applyFont="1" applyBorder="1" applyAlignment="1">
      <alignment horizontal="left"/>
    </xf>
    <xf numFmtId="164" fontId="30" fillId="0" borderId="0" xfId="0" applyNumberFormat="1" applyFont="1" applyBorder="1" applyAlignment="1">
      <alignment horizontal="left" vertical="center"/>
    </xf>
    <xf numFmtId="0" fontId="30" fillId="0" borderId="0" xfId="53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left"/>
    </xf>
    <xf numFmtId="49" fontId="41" fillId="0" borderId="0" xfId="0" applyNumberFormat="1" applyFont="1" applyBorder="1" applyAlignment="1">
      <alignment horizontal="left"/>
    </xf>
    <xf numFmtId="41" fontId="41" fillId="0" borderId="0" xfId="0" applyNumberFormat="1" applyFont="1" applyBorder="1" applyAlignment="1">
      <alignment horizontal="left"/>
    </xf>
    <xf numFmtId="164" fontId="30" fillId="0" borderId="0" xfId="53" applyNumberFormat="1" applyFont="1" applyBorder="1" applyAlignment="1">
      <alignment horizontal="left" vertical="center"/>
    </xf>
    <xf numFmtId="164" fontId="30" fillId="0" borderId="0" xfId="56" applyNumberFormat="1" applyFont="1" applyBorder="1" applyAlignment="1">
      <alignment horizontal="left"/>
    </xf>
    <xf numFmtId="164" fontId="30" fillId="0" borderId="0" xfId="29" applyNumberFormat="1" applyFont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41" fillId="25" borderId="25" xfId="54" applyFont="1" applyFill="1" applyBorder="1" applyAlignment="1">
      <alignment vertical="center" wrapText="1"/>
    </xf>
    <xf numFmtId="14" fontId="41" fillId="0" borderId="16" xfId="46" applyNumberFormat="1" applyFont="1" applyBorder="1" applyAlignment="1">
      <alignment horizontal="center" vertical="center"/>
    </xf>
    <xf numFmtId="14" fontId="41" fillId="0" borderId="16" xfId="46" applyNumberFormat="1" applyFont="1" applyBorder="1" applyAlignment="1">
      <alignment horizontal="center" vertical="center" wrapText="1"/>
    </xf>
    <xf numFmtId="14" fontId="55" fillId="0" borderId="16" xfId="53" applyNumberFormat="1" applyFont="1" applyBorder="1" applyAlignment="1">
      <alignment horizontal="center" vertical="center"/>
    </xf>
    <xf numFmtId="0" fontId="55" fillId="0" borderId="16" xfId="52" applyFont="1" applyFill="1" applyBorder="1" applyAlignment="1">
      <alignment horizontal="center" vertical="center" wrapText="1"/>
    </xf>
    <xf numFmtId="0" fontId="55" fillId="0" borderId="18" xfId="52" applyFont="1" applyFill="1" applyBorder="1" applyAlignment="1">
      <alignment vertical="center" wrapText="1"/>
    </xf>
    <xf numFmtId="164" fontId="55" fillId="25" borderId="16" xfId="29" applyNumberFormat="1" applyFont="1" applyFill="1" applyBorder="1" applyAlignment="1">
      <alignment horizontal="center" vertical="center" wrapText="1"/>
    </xf>
    <xf numFmtId="0" fontId="55" fillId="25" borderId="25" xfId="54" applyFont="1" applyFill="1" applyBorder="1" applyAlignment="1">
      <alignment vertical="center" wrapText="1"/>
    </xf>
    <xf numFmtId="0" fontId="41" fillId="25" borderId="16" xfId="54" applyFont="1" applyFill="1" applyBorder="1" applyAlignment="1">
      <alignment vertical="center" wrapText="1"/>
    </xf>
    <xf numFmtId="0" fontId="55" fillId="0" borderId="16" xfId="52" applyFont="1" applyFill="1" applyBorder="1" applyAlignment="1">
      <alignment vertical="center" wrapText="1"/>
    </xf>
    <xf numFmtId="0" fontId="41" fillId="0" borderId="0" xfId="0" applyFont="1"/>
    <xf numFmtId="0" fontId="41" fillId="0" borderId="0" xfId="53" applyFont="1" applyAlignment="1">
      <alignment horizontal="right" vertical="center"/>
    </xf>
    <xf numFmtId="0" fontId="41" fillId="0" borderId="0" xfId="53" applyFont="1" applyAlignment="1">
      <alignment horizontal="left" vertical="center"/>
    </xf>
    <xf numFmtId="0" fontId="0" fillId="0" borderId="0" xfId="0" applyAlignment="1">
      <alignment vertical="center"/>
    </xf>
    <xf numFmtId="164" fontId="41" fillId="0" borderId="16" xfId="29" applyNumberFormat="1" applyFont="1" applyFill="1" applyBorder="1" applyAlignment="1">
      <alignment horizontal="center" vertical="center"/>
    </xf>
    <xf numFmtId="43" fontId="41" fillId="0" borderId="16" xfId="29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41" fillId="0" borderId="16" xfId="57" applyNumberFormat="1" applyFont="1" applyFill="1" applyBorder="1" applyAlignment="1">
      <alignment horizontal="left" vertical="center"/>
    </xf>
    <xf numFmtId="0" fontId="55" fillId="0" borderId="16" xfId="53" applyFont="1" applyBorder="1" applyAlignment="1">
      <alignment horizontal="left" vertical="center"/>
    </xf>
    <xf numFmtId="0" fontId="41" fillId="0" borderId="16" xfId="53" applyNumberFormat="1" applyFont="1" applyBorder="1" applyAlignment="1">
      <alignment horizontal="center" vertical="center"/>
    </xf>
    <xf numFmtId="14" fontId="41" fillId="0" borderId="16" xfId="77" applyNumberFormat="1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vertical="center" wrapText="1"/>
    </xf>
    <xf numFmtId="0" fontId="41" fillId="0" borderId="16" xfId="77" quotePrefix="1" applyFont="1" applyFill="1" applyBorder="1" applyAlignment="1">
      <alignment horizontal="center" vertical="center" wrapText="1"/>
    </xf>
    <xf numFmtId="14" fontId="30" fillId="0" borderId="16" xfId="53" applyNumberFormat="1" applyFont="1" applyBorder="1" applyAlignment="1">
      <alignment horizontal="left" vertical="center"/>
    </xf>
    <xf numFmtId="0" fontId="30" fillId="0" borderId="0" xfId="78" applyFont="1" applyBorder="1" applyAlignment="1">
      <alignment vertical="center"/>
    </xf>
    <xf numFmtId="164" fontId="16" fillId="0" borderId="0" xfId="55" applyNumberFormat="1" applyFont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54" fillId="0" borderId="29" xfId="61" applyFont="1" applyBorder="1" applyAlignment="1">
      <alignment horizontal="center" vertical="center"/>
    </xf>
    <xf numFmtId="0" fontId="54" fillId="0" borderId="29" xfId="61" applyFont="1" applyBorder="1" applyAlignment="1">
      <alignment vertical="center"/>
    </xf>
    <xf numFmtId="0" fontId="41" fillId="0" borderId="20" xfId="53" applyFont="1" applyBorder="1" applyAlignment="1">
      <alignment horizontal="center" vertical="center"/>
    </xf>
    <xf numFmtId="43" fontId="16" fillId="0" borderId="0" xfId="55" applyNumberFormat="1" applyFont="1" applyAlignment="1">
      <alignment vertical="center"/>
    </xf>
    <xf numFmtId="43" fontId="41" fillId="0" borderId="0" xfId="29" applyFont="1" applyAlignment="1">
      <alignment vertical="center"/>
    </xf>
    <xf numFmtId="164" fontId="41" fillId="0" borderId="0" xfId="29" applyNumberFormat="1" applyFont="1" applyAlignment="1">
      <alignment vertical="center"/>
    </xf>
    <xf numFmtId="164" fontId="41" fillId="21" borderId="0" xfId="29" applyNumberFormat="1" applyFont="1" applyFill="1" applyAlignment="1">
      <alignment vertical="center"/>
    </xf>
    <xf numFmtId="0" fontId="40" fillId="21" borderId="21" xfId="34" applyFont="1" applyBorder="1" applyAlignment="1">
      <alignment horizontal="center" vertical="center" wrapText="1"/>
    </xf>
    <xf numFmtId="0" fontId="40" fillId="21" borderId="22" xfId="34" applyFont="1" applyBorder="1" applyAlignment="1">
      <alignment horizontal="center" vertical="center" wrapText="1"/>
    </xf>
    <xf numFmtId="0" fontId="40" fillId="21" borderId="26" xfId="34" applyFont="1" applyBorder="1" applyAlignment="1">
      <alignment horizontal="center" vertical="center" wrapText="1"/>
    </xf>
    <xf numFmtId="0" fontId="40" fillId="21" borderId="30" xfId="34" applyFont="1" applyBorder="1" applyAlignment="1">
      <alignment horizontal="center" vertical="center" wrapText="1"/>
    </xf>
    <xf numFmtId="0" fontId="40" fillId="21" borderId="19" xfId="34" applyFont="1" applyBorder="1" applyAlignment="1">
      <alignment horizontal="center" vertical="center" wrapText="1"/>
    </xf>
    <xf numFmtId="0" fontId="54" fillId="0" borderId="29" xfId="61" applyFont="1" applyBorder="1" applyAlignment="1">
      <alignment horizontal="center" vertical="center"/>
    </xf>
    <xf numFmtId="0" fontId="40" fillId="21" borderId="21" xfId="55" applyFont="1" applyFill="1" applyBorder="1" applyAlignment="1">
      <alignment horizontal="center" vertical="center"/>
    </xf>
    <xf numFmtId="0" fontId="40" fillId="21" borderId="22" xfId="55" applyFont="1" applyFill="1" applyBorder="1" applyAlignment="1">
      <alignment horizontal="center" vertical="center"/>
    </xf>
    <xf numFmtId="0" fontId="40" fillId="21" borderId="26" xfId="55" applyFont="1" applyFill="1" applyBorder="1" applyAlignment="1">
      <alignment horizontal="center" vertical="center"/>
    </xf>
    <xf numFmtId="0" fontId="41" fillId="0" borderId="21" xfId="53" applyFont="1" applyBorder="1" applyAlignment="1">
      <alignment horizontal="center" vertical="center"/>
    </xf>
    <xf numFmtId="0" fontId="41" fillId="0" borderId="22" xfId="53" applyFont="1" applyBorder="1" applyAlignment="1">
      <alignment horizontal="center" vertical="center"/>
    </xf>
    <xf numFmtId="0" fontId="41" fillId="0" borderId="26" xfId="53" applyFont="1" applyBorder="1" applyAlignment="1">
      <alignment horizontal="center" vertical="center"/>
    </xf>
    <xf numFmtId="0" fontId="41" fillId="0" borderId="21" xfId="53" applyFont="1" applyBorder="1" applyAlignment="1">
      <alignment horizontal="center" vertical="center" wrapText="1"/>
    </xf>
    <xf numFmtId="0" fontId="41" fillId="0" borderId="22" xfId="53" applyFont="1" applyBorder="1" applyAlignment="1">
      <alignment horizontal="center" vertical="center" wrapText="1"/>
    </xf>
    <xf numFmtId="0" fontId="41" fillId="0" borderId="26" xfId="53" applyFont="1" applyBorder="1" applyAlignment="1">
      <alignment horizontal="center" vertical="center" wrapText="1"/>
    </xf>
    <xf numFmtId="0" fontId="41" fillId="0" borderId="30" xfId="53" applyFont="1" applyBorder="1" applyAlignment="1">
      <alignment horizontal="center" vertical="center"/>
    </xf>
    <xf numFmtId="0" fontId="41" fillId="0" borderId="19" xfId="53" applyFont="1" applyBorder="1" applyAlignment="1">
      <alignment horizontal="center" vertical="center"/>
    </xf>
    <xf numFmtId="0" fontId="41" fillId="0" borderId="5" xfId="53" applyFont="1" applyBorder="1" applyAlignment="1">
      <alignment horizontal="center" vertical="center"/>
    </xf>
    <xf numFmtId="0" fontId="41" fillId="0" borderId="21" xfId="53" applyFont="1" applyBorder="1" applyAlignment="1">
      <alignment horizontal="center" vertical="center" wrapText="1" shrinkToFit="1"/>
    </xf>
    <xf numFmtId="0" fontId="41" fillId="0" borderId="26" xfId="53" applyFont="1" applyBorder="1" applyAlignment="1">
      <alignment horizontal="center" vertical="center" wrapText="1" shrinkToFit="1"/>
    </xf>
    <xf numFmtId="0" fontId="41" fillId="0" borderId="30" xfId="53" applyFont="1" applyBorder="1" applyAlignment="1">
      <alignment horizontal="center" vertical="center" wrapText="1" shrinkToFit="1"/>
    </xf>
    <xf numFmtId="0" fontId="41" fillId="0" borderId="19" xfId="53" applyFont="1" applyBorder="1" applyAlignment="1">
      <alignment horizontal="center" vertical="center" wrapText="1" shrinkToFit="1"/>
    </xf>
    <xf numFmtId="0" fontId="38" fillId="0" borderId="5" xfId="52" applyFont="1" applyBorder="1" applyAlignment="1">
      <alignment vertical="center"/>
    </xf>
    <xf numFmtId="0" fontId="38" fillId="0" borderId="19" xfId="52" applyFont="1" applyBorder="1" applyAlignment="1">
      <alignment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54" fillId="0" borderId="0" xfId="53" applyFont="1" applyAlignment="1">
      <alignment horizontal="center" vertical="center"/>
    </xf>
    <xf numFmtId="0" fontId="56" fillId="0" borderId="0" xfId="53" applyFont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1" fillId="25" borderId="0" xfId="54" applyFont="1" applyFill="1" applyAlignment="1">
      <alignment horizontal="center" vertical="center"/>
    </xf>
    <xf numFmtId="0" fontId="41" fillId="0" borderId="29" xfId="53" applyFont="1" applyBorder="1" applyAlignment="1">
      <alignment horizontal="right" vertical="center"/>
    </xf>
    <xf numFmtId="0" fontId="38" fillId="0" borderId="22" xfId="52" applyFont="1" applyBorder="1" applyAlignment="1">
      <alignment vertical="center"/>
    </xf>
    <xf numFmtId="0" fontId="38" fillId="0" borderId="26" xfId="52" applyFont="1" applyBorder="1" applyAlignment="1">
      <alignment vertical="center"/>
    </xf>
    <xf numFmtId="0" fontId="30" fillId="0" borderId="0" xfId="53" applyFont="1" applyAlignment="1">
      <alignment horizontal="center" vertical="center"/>
    </xf>
    <xf numFmtId="0" fontId="30" fillId="0" borderId="2" xfId="53" applyFont="1" applyBorder="1" applyAlignment="1">
      <alignment horizontal="center" vertical="center" wrapText="1"/>
    </xf>
    <xf numFmtId="0" fontId="30" fillId="0" borderId="23" xfId="53" applyFont="1" applyBorder="1" applyAlignment="1">
      <alignment horizontal="center" vertical="center" wrapText="1"/>
    </xf>
    <xf numFmtId="0" fontId="33" fillId="0" borderId="27" xfId="53" applyFont="1" applyBorder="1" applyAlignment="1">
      <alignment horizontal="center" vertical="center" wrapText="1"/>
    </xf>
    <xf numFmtId="49" fontId="30" fillId="0" borderId="21" xfId="53" applyNumberFormat="1" applyFont="1" applyBorder="1" applyAlignment="1">
      <alignment horizontal="center" vertical="center" wrapText="1" shrinkToFit="1"/>
    </xf>
    <xf numFmtId="49" fontId="30" fillId="0" borderId="26" xfId="53" applyNumberFormat="1" applyFont="1" applyBorder="1" applyAlignment="1">
      <alignment horizontal="center" vertical="center" wrapText="1" shrinkToFit="1"/>
    </xf>
    <xf numFmtId="0" fontId="30" fillId="0" borderId="21" xfId="53" applyFont="1" applyBorder="1" applyAlignment="1">
      <alignment horizontal="center" vertical="center" wrapText="1" shrinkToFit="1"/>
    </xf>
    <xf numFmtId="0" fontId="30" fillId="0" borderId="26" xfId="53" applyFont="1" applyBorder="1" applyAlignment="1">
      <alignment horizontal="center" vertical="center" wrapText="1" shrinkToFit="1"/>
    </xf>
    <xf numFmtId="164" fontId="30" fillId="0" borderId="21" xfId="29" applyNumberFormat="1" applyFont="1" applyBorder="1" applyAlignment="1">
      <alignment horizontal="center" vertical="center" wrapText="1" shrinkToFit="1"/>
    </xf>
    <xf numFmtId="164" fontId="30" fillId="0" borderId="26" xfId="29" applyNumberFormat="1" applyFont="1" applyBorder="1" applyAlignment="1">
      <alignment horizontal="center" vertical="center" wrapText="1" shrinkToFit="1"/>
    </xf>
    <xf numFmtId="164" fontId="31" fillId="0" borderId="0" xfId="29" applyNumberFormat="1" applyFont="1" applyAlignment="1">
      <alignment horizontal="center" vertical="center" wrapText="1"/>
    </xf>
    <xf numFmtId="164" fontId="30" fillId="0" borderId="0" xfId="29" applyNumberFormat="1" applyFont="1" applyAlignment="1">
      <alignment horizontal="center" vertical="center" wrapText="1"/>
    </xf>
    <xf numFmtId="0" fontId="33" fillId="0" borderId="28" xfId="53" applyFont="1" applyBorder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30" fillId="0" borderId="0" xfId="53" quotePrefix="1" applyFont="1" applyAlignment="1">
      <alignment horizontal="center" vertical="center"/>
    </xf>
    <xf numFmtId="0" fontId="30" fillId="0" borderId="29" xfId="53" applyFont="1" applyBorder="1" applyAlignment="1">
      <alignment horizontal="center" vertical="center"/>
    </xf>
    <xf numFmtId="0" fontId="30" fillId="0" borderId="0" xfId="53" applyFont="1" applyBorder="1" applyAlignment="1">
      <alignment horizontal="center" vertical="center"/>
    </xf>
    <xf numFmtId="0" fontId="30" fillId="0" borderId="29" xfId="53" applyFont="1" applyBorder="1" applyAlignment="1">
      <alignment horizontal="right" vertical="center"/>
    </xf>
    <xf numFmtId="0" fontId="42" fillId="25" borderId="0" xfId="58" applyFont="1" applyFill="1" applyAlignment="1">
      <alignment horizontal="center" vertical="center"/>
    </xf>
    <xf numFmtId="0" fontId="44" fillId="25" borderId="0" xfId="58" applyFont="1" applyFill="1" applyAlignment="1">
      <alignment horizontal="center" vertical="center" wrapText="1"/>
    </xf>
  </cellXfs>
  <cellStyles count="7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7"/>
    <cellStyle name="Normal_3411 - 15" xfId="52"/>
    <cellStyle name="Normal_Ban ke 2014" xfId="78"/>
    <cellStyle name="Normal_Copy of Ke-toan-mo-phong-mauso_ke_toan_NKC_excel-2" xfId="53"/>
    <cellStyle name="Normal_CT vay" xfId="54"/>
    <cellStyle name="Normal_Ctkt08" xfId="55"/>
    <cellStyle name="Normal_Ke-toan-mo-phong-mauso_ke_toan_NKC_excel-1" xfId="56"/>
    <cellStyle name="Normal_ketoanthucte_NhatKySoCai" xfId="57"/>
    <cellStyle name="Normal_QTTU-14" xfId="58"/>
    <cellStyle name="Note" xfId="59" builtinId="10" customBuiltin="1"/>
    <cellStyle name="Output" xfId="60" builtinId="21" customBuiltin="1"/>
    <cellStyle name="TD1" xfId="61"/>
    <cellStyle name="Title" xfId="62" builtinId="15" customBuiltin="1"/>
    <cellStyle name="Total" xfId="63" builtinId="25" customBuiltin="1"/>
    <cellStyle name="Tua de so" xfId="64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9"/>
  </sheetPr>
  <dimension ref="A1:Q34"/>
  <sheetViews>
    <sheetView showZeros="0" workbookViewId="0">
      <pane ySplit="4" topLeftCell="A5" activePane="bottomLeft" state="frozen"/>
      <selection pane="bottomLeft" activeCell="P17" sqref="P17"/>
    </sheetView>
  </sheetViews>
  <sheetFormatPr defaultColWidth="9.140625" defaultRowHeight="13.5"/>
  <cols>
    <col min="1" max="1" width="4.28515625" style="146" customWidth="1"/>
    <col min="2" max="2" width="23.5703125" style="146" customWidth="1"/>
    <col min="3" max="3" width="8.7109375" style="146" customWidth="1"/>
    <col min="4" max="4" width="8.28515625" style="146" customWidth="1"/>
    <col min="5" max="5" width="9" style="146" customWidth="1"/>
    <col min="6" max="6" width="10.42578125" style="146" customWidth="1"/>
    <col min="7" max="7" width="12.28515625" style="146" customWidth="1"/>
    <col min="8" max="8" width="11.140625" style="146" customWidth="1"/>
    <col min="9" max="9" width="14.140625" style="165" customWidth="1"/>
    <col min="10" max="10" width="11" style="146" customWidth="1"/>
    <col min="11" max="11" width="13.85546875" style="146" customWidth="1"/>
    <col min="12" max="12" width="9.7109375" style="146" customWidth="1"/>
    <col min="13" max="13" width="10.85546875" style="146" customWidth="1"/>
    <col min="14" max="14" width="11.42578125" style="146" customWidth="1"/>
    <col min="15" max="15" width="13" style="165" customWidth="1"/>
    <col min="16" max="16" width="12.42578125" style="165" customWidth="1"/>
    <col min="17" max="17" width="12.85546875" style="146" bestFit="1" customWidth="1"/>
    <col min="18" max="16384" width="9.140625" style="146"/>
  </cols>
  <sheetData>
    <row r="1" spans="1:17" ht="21.75" customHeight="1">
      <c r="A1" s="257" t="s">
        <v>399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</row>
    <row r="2" spans="1:17" s="149" customFormat="1" ht="13.5" customHeight="1">
      <c r="A2" s="258" t="s">
        <v>89</v>
      </c>
      <c r="B2" s="252" t="s">
        <v>90</v>
      </c>
      <c r="C2" s="252" t="s">
        <v>124</v>
      </c>
      <c r="D2" s="147" t="s">
        <v>91</v>
      </c>
      <c r="E2" s="147"/>
      <c r="F2" s="147"/>
      <c r="G2" s="147"/>
      <c r="H2" s="147" t="s">
        <v>92</v>
      </c>
      <c r="I2" s="148"/>
      <c r="J2" s="147"/>
      <c r="K2" s="147"/>
      <c r="L2" s="147" t="s">
        <v>93</v>
      </c>
      <c r="M2" s="147"/>
      <c r="N2" s="147"/>
      <c r="O2" s="148"/>
      <c r="P2" s="250"/>
    </row>
    <row r="3" spans="1:17" s="149" customFormat="1" ht="14.25" customHeight="1">
      <c r="A3" s="259"/>
      <c r="B3" s="253"/>
      <c r="C3" s="253"/>
      <c r="D3" s="255" t="s">
        <v>94</v>
      </c>
      <c r="E3" s="256"/>
      <c r="F3" s="255" t="s">
        <v>95</v>
      </c>
      <c r="G3" s="256"/>
      <c r="H3" s="255" t="s">
        <v>94</v>
      </c>
      <c r="I3" s="256"/>
      <c r="J3" s="255" t="s">
        <v>95</v>
      </c>
      <c r="K3" s="256"/>
      <c r="L3" s="255" t="s">
        <v>94</v>
      </c>
      <c r="M3" s="256"/>
      <c r="N3" s="255" t="s">
        <v>95</v>
      </c>
      <c r="O3" s="256"/>
      <c r="P3" s="250"/>
    </row>
    <row r="4" spans="1:17" s="149" customFormat="1" ht="30" customHeight="1">
      <c r="A4" s="260"/>
      <c r="B4" s="254"/>
      <c r="C4" s="254"/>
      <c r="D4" s="150" t="s">
        <v>96</v>
      </c>
      <c r="E4" s="150" t="s">
        <v>97</v>
      </c>
      <c r="F4" s="150" t="s">
        <v>96</v>
      </c>
      <c r="G4" s="150" t="s">
        <v>97</v>
      </c>
      <c r="H4" s="150" t="s">
        <v>96</v>
      </c>
      <c r="I4" s="151" t="s">
        <v>97</v>
      </c>
      <c r="J4" s="150" t="s">
        <v>96</v>
      </c>
      <c r="K4" s="150" t="s">
        <v>97</v>
      </c>
      <c r="L4" s="150" t="s">
        <v>96</v>
      </c>
      <c r="M4" s="150" t="s">
        <v>97</v>
      </c>
      <c r="N4" s="150" t="s">
        <v>96</v>
      </c>
      <c r="O4" s="151" t="s">
        <v>97</v>
      </c>
      <c r="P4" s="250"/>
    </row>
    <row r="5" spans="1:17" s="149" customFormat="1" ht="18" customHeight="1">
      <c r="A5" s="152">
        <v>1</v>
      </c>
      <c r="B5" s="153" t="s">
        <v>98</v>
      </c>
      <c r="C5" s="215">
        <v>40200</v>
      </c>
      <c r="D5" s="154">
        <v>0</v>
      </c>
      <c r="E5" s="155">
        <v>0</v>
      </c>
      <c r="F5" s="154">
        <v>37981</v>
      </c>
      <c r="G5" s="155">
        <v>615404499</v>
      </c>
      <c r="H5" s="154">
        <f t="shared" ref="H5:H8" si="0">SUMIF(KUTH,$B5,_TH1)</f>
        <v>0</v>
      </c>
      <c r="I5" s="155">
        <f t="shared" ref="I5:I8" si="1">SUMIF(KUTH,$B5,_TH2)</f>
        <v>0</v>
      </c>
      <c r="J5" s="154">
        <f t="shared" ref="J5:J8" si="2">SUMIF(KUTH,$B5,_TH3)</f>
        <v>0</v>
      </c>
      <c r="K5" s="155">
        <f t="shared" ref="K5:K8" si="3">SUMIF(KUTH,$B5,_TH4)</f>
        <v>0</v>
      </c>
      <c r="L5" s="156">
        <f t="shared" ref="L5:L8" si="4">ROUND(MAX(D5+H5-F5-J5,0),2)</f>
        <v>0</v>
      </c>
      <c r="M5" s="157">
        <f t="shared" ref="M5:M8" si="5">ROUND(MAX(E5+I5-G5-K5,0),2)</f>
        <v>0</v>
      </c>
      <c r="N5" s="156">
        <f t="shared" ref="N5:N8" si="6">ROUND(MAX(F5+J5-D5-H5,0),2)</f>
        <v>37981</v>
      </c>
      <c r="O5" s="157">
        <f t="shared" ref="O5:O8" si="7">ROUND(MAX(G5+K5-E5-I5,0),2)</f>
        <v>615404499</v>
      </c>
      <c r="P5" s="250"/>
      <c r="Q5" s="249"/>
    </row>
    <row r="6" spans="1:17" s="149" customFormat="1" ht="18" customHeight="1">
      <c r="A6" s="152">
        <v>2</v>
      </c>
      <c r="B6" s="153" t="s">
        <v>99</v>
      </c>
      <c r="C6" s="215">
        <v>40964</v>
      </c>
      <c r="D6" s="154">
        <v>0</v>
      </c>
      <c r="E6" s="155">
        <v>0</v>
      </c>
      <c r="F6" s="154">
        <v>123185.39</v>
      </c>
      <c r="G6" s="155">
        <v>2575324167</v>
      </c>
      <c r="H6" s="154">
        <f t="shared" si="0"/>
        <v>24044</v>
      </c>
      <c r="I6" s="155">
        <f t="shared" si="1"/>
        <v>507416960</v>
      </c>
      <c r="J6" s="154">
        <f t="shared" si="2"/>
        <v>0</v>
      </c>
      <c r="K6" s="155">
        <f t="shared" si="3"/>
        <v>0</v>
      </c>
      <c r="L6" s="156">
        <f t="shared" si="4"/>
        <v>0</v>
      </c>
      <c r="M6" s="157">
        <f t="shared" si="5"/>
        <v>0</v>
      </c>
      <c r="N6" s="156">
        <f t="shared" si="6"/>
        <v>99141.39</v>
      </c>
      <c r="O6" s="157">
        <f t="shared" si="7"/>
        <v>2067907207</v>
      </c>
      <c r="P6" s="250"/>
      <c r="Q6" s="249"/>
    </row>
    <row r="7" spans="1:17" s="149" customFormat="1" ht="18" customHeight="1">
      <c r="A7" s="152">
        <v>3</v>
      </c>
      <c r="B7" s="153" t="s">
        <v>100</v>
      </c>
      <c r="C7" s="215">
        <v>40964</v>
      </c>
      <c r="D7" s="154">
        <v>0</v>
      </c>
      <c r="E7" s="155">
        <v>0</v>
      </c>
      <c r="F7" s="154">
        <v>76923.960000000006</v>
      </c>
      <c r="G7" s="155">
        <v>1608060764</v>
      </c>
      <c r="H7" s="154">
        <f t="shared" si="0"/>
        <v>15092</v>
      </c>
      <c r="I7" s="155">
        <f t="shared" si="1"/>
        <v>318818500</v>
      </c>
      <c r="J7" s="154">
        <f t="shared" si="2"/>
        <v>0</v>
      </c>
      <c r="K7" s="155">
        <f t="shared" si="3"/>
        <v>0</v>
      </c>
      <c r="L7" s="156">
        <f t="shared" si="4"/>
        <v>0</v>
      </c>
      <c r="M7" s="157">
        <f t="shared" si="5"/>
        <v>0</v>
      </c>
      <c r="N7" s="156">
        <f t="shared" si="6"/>
        <v>61831.96</v>
      </c>
      <c r="O7" s="157">
        <f t="shared" si="7"/>
        <v>1289242264</v>
      </c>
      <c r="P7" s="250"/>
      <c r="Q7" s="249"/>
    </row>
    <row r="8" spans="1:17" s="149" customFormat="1" ht="18" customHeight="1">
      <c r="A8" s="152">
        <v>4</v>
      </c>
      <c r="B8" s="153" t="s">
        <v>101</v>
      </c>
      <c r="C8" s="215">
        <v>40964</v>
      </c>
      <c r="D8" s="154">
        <v>0</v>
      </c>
      <c r="E8" s="155">
        <v>0</v>
      </c>
      <c r="F8" s="154">
        <v>107687.38</v>
      </c>
      <c r="G8" s="155">
        <v>2250666638</v>
      </c>
      <c r="H8" s="154">
        <f t="shared" si="0"/>
        <v>21128</v>
      </c>
      <c r="I8" s="155">
        <f t="shared" si="1"/>
        <v>446329000</v>
      </c>
      <c r="J8" s="154">
        <f t="shared" si="2"/>
        <v>0</v>
      </c>
      <c r="K8" s="155">
        <f t="shared" si="3"/>
        <v>0</v>
      </c>
      <c r="L8" s="156">
        <f t="shared" si="4"/>
        <v>0</v>
      </c>
      <c r="M8" s="157">
        <f t="shared" si="5"/>
        <v>0</v>
      </c>
      <c r="N8" s="156">
        <f t="shared" si="6"/>
        <v>86559.38</v>
      </c>
      <c r="O8" s="157">
        <f t="shared" si="7"/>
        <v>1804337638</v>
      </c>
      <c r="P8" s="250"/>
      <c r="Q8" s="249"/>
    </row>
    <row r="9" spans="1:17" s="149" customFormat="1" ht="18" customHeight="1">
      <c r="A9" s="152"/>
      <c r="B9" s="159"/>
      <c r="C9" s="216"/>
      <c r="D9" s="154"/>
      <c r="E9" s="155"/>
      <c r="F9" s="154"/>
      <c r="G9" s="155"/>
      <c r="H9" s="154"/>
      <c r="I9" s="155"/>
      <c r="J9" s="154"/>
      <c r="K9" s="155"/>
      <c r="L9" s="156"/>
      <c r="M9" s="157"/>
      <c r="N9" s="156"/>
      <c r="O9" s="157"/>
      <c r="P9" s="250"/>
    </row>
    <row r="10" spans="1:17" s="164" customFormat="1" ht="18" customHeight="1">
      <c r="A10" s="160"/>
      <c r="B10" s="161" t="s">
        <v>102</v>
      </c>
      <c r="C10" s="161"/>
      <c r="D10" s="162">
        <f t="shared" ref="D10:O10" si="8">SUM(D5:D9)</f>
        <v>0</v>
      </c>
      <c r="E10" s="163">
        <f t="shared" si="8"/>
        <v>0</v>
      </c>
      <c r="F10" s="162">
        <f t="shared" si="8"/>
        <v>345777.73000000004</v>
      </c>
      <c r="G10" s="163">
        <f t="shared" si="8"/>
        <v>7049456068</v>
      </c>
      <c r="H10" s="162">
        <f t="shared" si="8"/>
        <v>60264</v>
      </c>
      <c r="I10" s="163">
        <f t="shared" si="8"/>
        <v>1272564460</v>
      </c>
      <c r="J10" s="162">
        <f t="shared" si="8"/>
        <v>0</v>
      </c>
      <c r="K10" s="163">
        <f t="shared" si="8"/>
        <v>0</v>
      </c>
      <c r="L10" s="162">
        <f t="shared" si="8"/>
        <v>0</v>
      </c>
      <c r="M10" s="163">
        <f t="shared" si="8"/>
        <v>0</v>
      </c>
      <c r="N10" s="162">
        <f t="shared" si="8"/>
        <v>285513.73</v>
      </c>
      <c r="O10" s="163">
        <f t="shared" si="8"/>
        <v>5776891608</v>
      </c>
      <c r="P10" s="251"/>
    </row>
    <row r="12" spans="1:17"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</row>
    <row r="14" spans="1:17">
      <c r="G14" s="240"/>
      <c r="H14" s="240"/>
      <c r="I14" s="240"/>
      <c r="J14" s="240"/>
      <c r="K14" s="240"/>
    </row>
    <row r="16" spans="1:17" ht="21.75" customHeight="1">
      <c r="B16" s="246"/>
      <c r="C16" s="246"/>
      <c r="D16" s="246"/>
      <c r="E16" s="246"/>
      <c r="F16" s="246"/>
      <c r="G16" s="246"/>
      <c r="H16" s="245" t="s">
        <v>400</v>
      </c>
      <c r="I16" s="246"/>
      <c r="J16" s="246"/>
      <c r="K16" s="246"/>
      <c r="L16" s="246"/>
      <c r="M16" s="246"/>
      <c r="N16" s="246"/>
      <c r="O16" s="246"/>
    </row>
    <row r="17" spans="1:16" s="149" customFormat="1" ht="13.5" customHeight="1">
      <c r="A17" s="258" t="s">
        <v>89</v>
      </c>
      <c r="B17" s="252" t="s">
        <v>90</v>
      </c>
      <c r="C17" s="252" t="s">
        <v>124</v>
      </c>
      <c r="D17" s="147" t="s">
        <v>91</v>
      </c>
      <c r="E17" s="147"/>
      <c r="F17" s="147"/>
      <c r="G17" s="147"/>
      <c r="H17" s="147" t="s">
        <v>92</v>
      </c>
      <c r="I17" s="148"/>
      <c r="J17" s="147"/>
      <c r="K17" s="147"/>
      <c r="L17" s="147" t="s">
        <v>93</v>
      </c>
      <c r="M17" s="147"/>
      <c r="N17" s="147"/>
      <c r="O17" s="148"/>
      <c r="P17" s="250"/>
    </row>
    <row r="18" spans="1:16" s="149" customFormat="1" ht="14.25" customHeight="1">
      <c r="A18" s="259"/>
      <c r="B18" s="253"/>
      <c r="C18" s="253"/>
      <c r="D18" s="255" t="s">
        <v>94</v>
      </c>
      <c r="E18" s="256"/>
      <c r="F18" s="255" t="s">
        <v>95</v>
      </c>
      <c r="G18" s="256"/>
      <c r="H18" s="255" t="s">
        <v>94</v>
      </c>
      <c r="I18" s="256"/>
      <c r="J18" s="255" t="s">
        <v>95</v>
      </c>
      <c r="K18" s="256"/>
      <c r="L18" s="255" t="s">
        <v>94</v>
      </c>
      <c r="M18" s="256"/>
      <c r="N18" s="255" t="s">
        <v>95</v>
      </c>
      <c r="O18" s="256"/>
      <c r="P18" s="250"/>
    </row>
    <row r="19" spans="1:16" s="149" customFormat="1" ht="30" customHeight="1">
      <c r="A19" s="260"/>
      <c r="B19" s="254"/>
      <c r="C19" s="254"/>
      <c r="D19" s="150" t="s">
        <v>96</v>
      </c>
      <c r="E19" s="150" t="s">
        <v>97</v>
      </c>
      <c r="F19" s="150" t="s">
        <v>96</v>
      </c>
      <c r="G19" s="150" t="s">
        <v>97</v>
      </c>
      <c r="H19" s="150" t="s">
        <v>96</v>
      </c>
      <c r="I19" s="151" t="s">
        <v>97</v>
      </c>
      <c r="J19" s="150" t="s">
        <v>96</v>
      </c>
      <c r="K19" s="150" t="s">
        <v>97</v>
      </c>
      <c r="L19" s="150" t="s">
        <v>96</v>
      </c>
      <c r="M19" s="150" t="s">
        <v>97</v>
      </c>
      <c r="N19" s="150" t="s">
        <v>96</v>
      </c>
      <c r="O19" s="151" t="s">
        <v>97</v>
      </c>
      <c r="P19" s="250"/>
    </row>
    <row r="20" spans="1:16" s="149" customFormat="1" ht="18" customHeight="1">
      <c r="A20" s="152">
        <v>1</v>
      </c>
      <c r="B20" s="153" t="s">
        <v>381</v>
      </c>
      <c r="C20" s="215">
        <v>40991</v>
      </c>
      <c r="D20" s="154">
        <v>0</v>
      </c>
      <c r="E20" s="155">
        <v>0</v>
      </c>
      <c r="F20" s="154">
        <v>95820</v>
      </c>
      <c r="G20" s="155">
        <v>1998996840</v>
      </c>
      <c r="H20" s="154">
        <f t="shared" ref="H20:H30" si="9">SUMIF(KUTH,$B20,_TH1)</f>
        <v>95820</v>
      </c>
      <c r="I20" s="155">
        <f t="shared" ref="I20:I30" si="10">SUMIF(KUTH,$B20,_TH2)</f>
        <v>2009345400</v>
      </c>
      <c r="J20" s="154">
        <f t="shared" ref="J20:J30" si="11">SUMIF(KUTH,$B20,_TH3)</f>
        <v>0</v>
      </c>
      <c r="K20" s="155">
        <f t="shared" ref="K20:K30" si="12">SUMIF(KUTH,$B20,_TH4)</f>
        <v>10348560</v>
      </c>
      <c r="L20" s="156">
        <f t="shared" ref="L20:L23" si="13">ROUND(MAX(D20+H20-F20-J20,0),2)</f>
        <v>0</v>
      </c>
      <c r="M20" s="157">
        <f t="shared" ref="M20:M23" si="14">ROUND(MAX(E20+I20-G20-K20,0),2)</f>
        <v>0</v>
      </c>
      <c r="N20" s="156">
        <f t="shared" ref="N20:N23" si="15">ROUND(MAX(F20+J20-D20-H20,0),2)</f>
        <v>0</v>
      </c>
      <c r="O20" s="157">
        <f t="shared" ref="O20:O23" si="16">ROUND(MAX(G20+K20-E20-I20,0),2)</f>
        <v>0</v>
      </c>
      <c r="P20" s="250"/>
    </row>
    <row r="21" spans="1:16" s="149" customFormat="1" ht="18" customHeight="1">
      <c r="A21" s="152">
        <v>2</v>
      </c>
      <c r="B21" s="153" t="s">
        <v>382</v>
      </c>
      <c r="C21" s="215">
        <v>41184</v>
      </c>
      <c r="D21" s="154">
        <v>0</v>
      </c>
      <c r="E21" s="155">
        <v>0</v>
      </c>
      <c r="F21" s="154">
        <v>100000</v>
      </c>
      <c r="G21" s="155">
        <v>2088000000</v>
      </c>
      <c r="H21" s="154">
        <f t="shared" si="9"/>
        <v>100000</v>
      </c>
      <c r="I21" s="155">
        <f t="shared" si="10"/>
        <v>2088000000</v>
      </c>
      <c r="J21" s="154">
        <f t="shared" si="11"/>
        <v>0</v>
      </c>
      <c r="K21" s="155">
        <f t="shared" si="12"/>
        <v>0</v>
      </c>
      <c r="L21" s="156">
        <f t="shared" si="13"/>
        <v>0</v>
      </c>
      <c r="M21" s="157">
        <f t="shared" si="14"/>
        <v>0</v>
      </c>
      <c r="N21" s="156">
        <f t="shared" si="15"/>
        <v>0</v>
      </c>
      <c r="O21" s="157">
        <f t="shared" si="16"/>
        <v>0</v>
      </c>
      <c r="P21" s="250"/>
    </row>
    <row r="22" spans="1:16" s="149" customFormat="1" ht="18" customHeight="1">
      <c r="A22" s="152">
        <v>3</v>
      </c>
      <c r="B22" s="153" t="s">
        <v>383</v>
      </c>
      <c r="C22" s="215">
        <v>41185</v>
      </c>
      <c r="D22" s="154">
        <v>0</v>
      </c>
      <c r="E22" s="155">
        <v>0</v>
      </c>
      <c r="F22" s="154">
        <v>91300</v>
      </c>
      <c r="G22" s="155">
        <v>1905431000</v>
      </c>
      <c r="H22" s="154">
        <f t="shared" si="9"/>
        <v>91300</v>
      </c>
      <c r="I22" s="155">
        <f t="shared" si="10"/>
        <v>1911365500</v>
      </c>
      <c r="J22" s="154">
        <f t="shared" si="11"/>
        <v>0</v>
      </c>
      <c r="K22" s="155">
        <f t="shared" si="12"/>
        <v>5934500</v>
      </c>
      <c r="L22" s="156">
        <f t="shared" si="13"/>
        <v>0</v>
      </c>
      <c r="M22" s="157">
        <f t="shared" si="14"/>
        <v>0</v>
      </c>
      <c r="N22" s="156">
        <f t="shared" si="15"/>
        <v>0</v>
      </c>
      <c r="O22" s="157">
        <f t="shared" si="16"/>
        <v>0</v>
      </c>
      <c r="P22" s="250"/>
    </row>
    <row r="23" spans="1:16" s="149" customFormat="1" ht="18" customHeight="1">
      <c r="A23" s="152">
        <v>4</v>
      </c>
      <c r="B23" s="153" t="s">
        <v>384</v>
      </c>
      <c r="C23" s="215">
        <v>41278</v>
      </c>
      <c r="D23" s="154">
        <v>0</v>
      </c>
      <c r="E23" s="155">
        <v>0</v>
      </c>
      <c r="F23" s="154">
        <v>0</v>
      </c>
      <c r="G23" s="155">
        <v>0</v>
      </c>
      <c r="H23" s="154">
        <f t="shared" si="9"/>
        <v>100455</v>
      </c>
      <c r="I23" s="155">
        <f t="shared" si="10"/>
        <v>2134266930</v>
      </c>
      <c r="J23" s="154">
        <f t="shared" si="11"/>
        <v>100455</v>
      </c>
      <c r="K23" s="155">
        <f t="shared" si="12"/>
        <v>2134266930</v>
      </c>
      <c r="L23" s="156">
        <f t="shared" si="13"/>
        <v>0</v>
      </c>
      <c r="M23" s="157">
        <f t="shared" si="14"/>
        <v>0</v>
      </c>
      <c r="N23" s="156">
        <f t="shared" si="15"/>
        <v>0</v>
      </c>
      <c r="O23" s="157">
        <f t="shared" si="16"/>
        <v>0</v>
      </c>
      <c r="P23" s="250"/>
    </row>
    <row r="24" spans="1:16" s="149" customFormat="1" ht="18" customHeight="1">
      <c r="A24" s="152">
        <v>5</v>
      </c>
      <c r="B24" s="153" t="s">
        <v>385</v>
      </c>
      <c r="C24" s="215">
        <v>41360</v>
      </c>
      <c r="D24" s="154">
        <v>0</v>
      </c>
      <c r="E24" s="154">
        <v>0</v>
      </c>
      <c r="F24" s="154">
        <v>0</v>
      </c>
      <c r="G24" s="155">
        <v>0</v>
      </c>
      <c r="H24" s="154">
        <f t="shared" si="9"/>
        <v>95370</v>
      </c>
      <c r="I24" s="155">
        <f t="shared" si="10"/>
        <v>2017552350</v>
      </c>
      <c r="J24" s="154">
        <f t="shared" si="11"/>
        <v>95370</v>
      </c>
      <c r="K24" s="155">
        <f t="shared" si="12"/>
        <v>2017552350</v>
      </c>
      <c r="L24" s="156">
        <f t="shared" ref="L24:L30" si="17">ROUND(MAX(D24+H24-F24-J24,0),2)</f>
        <v>0</v>
      </c>
      <c r="M24" s="157">
        <f t="shared" ref="M24:M30" si="18">ROUND(MAX(E24+I24-G24-K24,0),2)</f>
        <v>0</v>
      </c>
      <c r="N24" s="156">
        <f t="shared" ref="N24:N30" si="19">ROUND(MAX(F24+J24-D24-H24,0),2)</f>
        <v>0</v>
      </c>
      <c r="O24" s="157">
        <f t="shared" ref="O24:O30" si="20">ROUND(MAX(G24+K24-E24-I24,0),2)</f>
        <v>0</v>
      </c>
      <c r="P24" s="250"/>
    </row>
    <row r="25" spans="1:16" s="149" customFormat="1" ht="18" customHeight="1">
      <c r="A25" s="152">
        <v>6</v>
      </c>
      <c r="B25" s="153" t="s">
        <v>386</v>
      </c>
      <c r="C25" s="215">
        <v>41367</v>
      </c>
      <c r="D25" s="154">
        <v>0</v>
      </c>
      <c r="E25" s="154">
        <v>0</v>
      </c>
      <c r="F25" s="154">
        <v>0</v>
      </c>
      <c r="G25" s="155">
        <v>0</v>
      </c>
      <c r="H25" s="154">
        <f t="shared" si="9"/>
        <v>90500</v>
      </c>
      <c r="I25" s="155">
        <f t="shared" si="10"/>
        <v>1909550000</v>
      </c>
      <c r="J25" s="154">
        <f t="shared" si="11"/>
        <v>90500</v>
      </c>
      <c r="K25" s="155">
        <f t="shared" si="12"/>
        <v>1909550000</v>
      </c>
      <c r="L25" s="156">
        <f t="shared" si="17"/>
        <v>0</v>
      </c>
      <c r="M25" s="157">
        <f t="shared" si="18"/>
        <v>0</v>
      </c>
      <c r="N25" s="156">
        <f t="shared" si="19"/>
        <v>0</v>
      </c>
      <c r="O25" s="157">
        <f t="shared" si="20"/>
        <v>0</v>
      </c>
      <c r="P25" s="250"/>
    </row>
    <row r="26" spans="1:16" s="149" customFormat="1" ht="18" customHeight="1">
      <c r="A26" s="152">
        <v>7</v>
      </c>
      <c r="B26" s="153" t="s">
        <v>177</v>
      </c>
      <c r="C26" s="215">
        <v>41464</v>
      </c>
      <c r="D26" s="154">
        <v>0</v>
      </c>
      <c r="E26" s="154">
        <v>0</v>
      </c>
      <c r="F26" s="154">
        <v>0</v>
      </c>
      <c r="G26" s="155">
        <v>0</v>
      </c>
      <c r="H26" s="154">
        <f t="shared" si="9"/>
        <v>0</v>
      </c>
      <c r="I26" s="155">
        <f t="shared" si="10"/>
        <v>0</v>
      </c>
      <c r="J26" s="154">
        <f t="shared" si="11"/>
        <v>92500</v>
      </c>
      <c r="K26" s="155">
        <f t="shared" si="12"/>
        <v>1965255000</v>
      </c>
      <c r="L26" s="156">
        <f t="shared" si="17"/>
        <v>0</v>
      </c>
      <c r="M26" s="157">
        <f t="shared" si="18"/>
        <v>0</v>
      </c>
      <c r="N26" s="156">
        <f t="shared" si="19"/>
        <v>92500</v>
      </c>
      <c r="O26" s="157">
        <f t="shared" si="20"/>
        <v>1965255000</v>
      </c>
      <c r="P26" s="250"/>
    </row>
    <row r="27" spans="1:16" s="149" customFormat="1" ht="18" customHeight="1">
      <c r="A27" s="152">
        <v>8</v>
      </c>
      <c r="B27" s="153" t="s">
        <v>178</v>
      </c>
      <c r="C27" s="215">
        <v>41471</v>
      </c>
      <c r="D27" s="154">
        <v>0</v>
      </c>
      <c r="E27" s="154">
        <v>0</v>
      </c>
      <c r="F27" s="154">
        <v>0</v>
      </c>
      <c r="G27" s="155">
        <v>0</v>
      </c>
      <c r="H27" s="154">
        <f t="shared" si="9"/>
        <v>0</v>
      </c>
      <c r="I27" s="155">
        <f t="shared" si="10"/>
        <v>0</v>
      </c>
      <c r="J27" s="154">
        <f t="shared" si="11"/>
        <v>95000</v>
      </c>
      <c r="K27" s="155">
        <f t="shared" si="12"/>
        <v>2015900000</v>
      </c>
      <c r="L27" s="156">
        <f t="shared" si="17"/>
        <v>0</v>
      </c>
      <c r="M27" s="157">
        <f t="shared" si="18"/>
        <v>0</v>
      </c>
      <c r="N27" s="156">
        <f t="shared" si="19"/>
        <v>95000</v>
      </c>
      <c r="O27" s="157">
        <f t="shared" si="20"/>
        <v>2015900000</v>
      </c>
      <c r="P27" s="250"/>
    </row>
    <row r="28" spans="1:16" s="149" customFormat="1" ht="18" customHeight="1">
      <c r="A28" s="152">
        <v>9</v>
      </c>
      <c r="B28" s="153" t="s">
        <v>179</v>
      </c>
      <c r="C28" s="215">
        <v>41499</v>
      </c>
      <c r="D28" s="154">
        <v>0</v>
      </c>
      <c r="E28" s="154">
        <v>0</v>
      </c>
      <c r="F28" s="154">
        <v>0</v>
      </c>
      <c r="G28" s="155">
        <v>0</v>
      </c>
      <c r="H28" s="154">
        <f t="shared" si="9"/>
        <v>0</v>
      </c>
      <c r="I28" s="155">
        <f t="shared" si="10"/>
        <v>0</v>
      </c>
      <c r="J28" s="154">
        <f t="shared" si="11"/>
        <v>98000</v>
      </c>
      <c r="K28" s="155">
        <f t="shared" si="12"/>
        <v>2066330000</v>
      </c>
      <c r="L28" s="156">
        <f t="shared" si="17"/>
        <v>0</v>
      </c>
      <c r="M28" s="157">
        <f t="shared" si="18"/>
        <v>0</v>
      </c>
      <c r="N28" s="156">
        <f t="shared" si="19"/>
        <v>98000</v>
      </c>
      <c r="O28" s="157">
        <f t="shared" si="20"/>
        <v>2066330000</v>
      </c>
      <c r="P28" s="250"/>
    </row>
    <row r="29" spans="1:16" s="149" customFormat="1" ht="18" customHeight="1">
      <c r="A29" s="152">
        <v>10</v>
      </c>
      <c r="B29" s="153" t="s">
        <v>180</v>
      </c>
      <c r="C29" s="215">
        <v>41522</v>
      </c>
      <c r="D29" s="154">
        <v>0</v>
      </c>
      <c r="E29" s="154">
        <v>0</v>
      </c>
      <c r="F29" s="154">
        <v>0</v>
      </c>
      <c r="G29" s="155">
        <v>0</v>
      </c>
      <c r="H29" s="154">
        <f t="shared" si="9"/>
        <v>0</v>
      </c>
      <c r="I29" s="155">
        <f t="shared" si="10"/>
        <v>0</v>
      </c>
      <c r="J29" s="154">
        <f t="shared" si="11"/>
        <v>95370</v>
      </c>
      <c r="K29" s="155">
        <f t="shared" si="12"/>
        <v>2017075500</v>
      </c>
      <c r="L29" s="156">
        <f t="shared" si="17"/>
        <v>0</v>
      </c>
      <c r="M29" s="157">
        <f t="shared" si="18"/>
        <v>0</v>
      </c>
      <c r="N29" s="156">
        <f t="shared" si="19"/>
        <v>95370</v>
      </c>
      <c r="O29" s="157">
        <f t="shared" si="20"/>
        <v>2017075500</v>
      </c>
      <c r="P29" s="250"/>
    </row>
    <row r="30" spans="1:16" s="149" customFormat="1" ht="18" customHeight="1">
      <c r="A30" s="152">
        <v>11</v>
      </c>
      <c r="B30" s="153" t="s">
        <v>181</v>
      </c>
      <c r="C30" s="215">
        <v>41548</v>
      </c>
      <c r="D30" s="154"/>
      <c r="E30" s="154"/>
      <c r="F30" s="154"/>
      <c r="G30" s="155"/>
      <c r="H30" s="154">
        <f t="shared" si="9"/>
        <v>0</v>
      </c>
      <c r="I30" s="155">
        <f t="shared" si="10"/>
        <v>0</v>
      </c>
      <c r="J30" s="154">
        <f t="shared" si="11"/>
        <v>90500</v>
      </c>
      <c r="K30" s="155">
        <f t="shared" si="12"/>
        <v>1909550000</v>
      </c>
      <c r="L30" s="156">
        <f t="shared" si="17"/>
        <v>0</v>
      </c>
      <c r="M30" s="157">
        <f t="shared" si="18"/>
        <v>0</v>
      </c>
      <c r="N30" s="156">
        <f t="shared" si="19"/>
        <v>90500</v>
      </c>
      <c r="O30" s="157">
        <f t="shared" si="20"/>
        <v>1909550000</v>
      </c>
      <c r="P30" s="250"/>
    </row>
    <row r="31" spans="1:16" s="149" customFormat="1" ht="18" customHeight="1">
      <c r="A31" s="152"/>
      <c r="B31" s="159"/>
      <c r="C31" s="216"/>
      <c r="D31" s="154"/>
      <c r="E31" s="155"/>
      <c r="F31" s="154"/>
      <c r="G31" s="155"/>
      <c r="H31" s="154"/>
      <c r="I31" s="155"/>
      <c r="J31" s="154"/>
      <c r="K31" s="155"/>
      <c r="L31" s="156"/>
      <c r="M31" s="157"/>
      <c r="N31" s="156"/>
      <c r="O31" s="157"/>
      <c r="P31" s="250"/>
    </row>
    <row r="32" spans="1:16" s="164" customFormat="1" ht="18" customHeight="1">
      <c r="A32" s="160"/>
      <c r="B32" s="161" t="s">
        <v>102</v>
      </c>
      <c r="C32" s="161"/>
      <c r="D32" s="162">
        <f t="shared" ref="D32:O32" si="21">SUM(D20:D31)</f>
        <v>0</v>
      </c>
      <c r="E32" s="163">
        <f t="shared" si="21"/>
        <v>0</v>
      </c>
      <c r="F32" s="162">
        <f t="shared" si="21"/>
        <v>287120</v>
      </c>
      <c r="G32" s="163">
        <f t="shared" si="21"/>
        <v>5992427840</v>
      </c>
      <c r="H32" s="162">
        <f t="shared" si="21"/>
        <v>573445</v>
      </c>
      <c r="I32" s="163">
        <f t="shared" si="21"/>
        <v>12070080180</v>
      </c>
      <c r="J32" s="162">
        <f t="shared" si="21"/>
        <v>757695</v>
      </c>
      <c r="K32" s="163">
        <f t="shared" si="21"/>
        <v>16051762840</v>
      </c>
      <c r="L32" s="162">
        <f t="shared" si="21"/>
        <v>0</v>
      </c>
      <c r="M32" s="163">
        <f t="shared" si="21"/>
        <v>0</v>
      </c>
      <c r="N32" s="162">
        <f t="shared" si="21"/>
        <v>471370</v>
      </c>
      <c r="O32" s="163">
        <f t="shared" si="21"/>
        <v>9974110500</v>
      </c>
      <c r="P32" s="251"/>
    </row>
    <row r="34" spans="4:15">
      <c r="D34" s="248"/>
      <c r="E34" s="248"/>
      <c r="F34" s="248"/>
      <c r="G34" s="248"/>
      <c r="H34" s="248"/>
      <c r="I34" s="248"/>
      <c r="J34" s="248"/>
      <c r="K34" s="248"/>
      <c r="L34" s="248"/>
      <c r="M34" s="248"/>
      <c r="N34" s="248"/>
      <c r="O34" s="248"/>
    </row>
  </sheetData>
  <mergeCells count="19">
    <mergeCell ref="L18:M18"/>
    <mergeCell ref="N18:O18"/>
    <mergeCell ref="A1:O1"/>
    <mergeCell ref="J3:K3"/>
    <mergeCell ref="L3:M3"/>
    <mergeCell ref="N3:O3"/>
    <mergeCell ref="A2:A4"/>
    <mergeCell ref="B2:B4"/>
    <mergeCell ref="D3:E3"/>
    <mergeCell ref="F3:G3"/>
    <mergeCell ref="H3:I3"/>
    <mergeCell ref="C2:C4"/>
    <mergeCell ref="A17:A19"/>
    <mergeCell ref="B17:B19"/>
    <mergeCell ref="C17:C19"/>
    <mergeCell ref="D18:E18"/>
    <mergeCell ref="F18:G18"/>
    <mergeCell ref="H18:I18"/>
    <mergeCell ref="J18:K18"/>
  </mergeCells>
  <phoneticPr fontId="39" type="noConversion"/>
  <pageMargins left="0.65" right="0.15" top="0.36" bottom="0.21" header="0.2" footer="0"/>
  <pageSetup paperSize="9" scale="8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L34"/>
  <sheetViews>
    <sheetView tabSelected="1" workbookViewId="0">
      <pane ySplit="4" topLeftCell="A11" activePane="bottomLeft" state="frozen"/>
      <selection pane="bottomLeft" activeCell="G31" sqref="G31"/>
    </sheetView>
  </sheetViews>
  <sheetFormatPr defaultRowHeight="12.75"/>
  <cols>
    <col min="1" max="1" width="5.42578125" style="224" customWidth="1"/>
    <col min="2" max="2" width="9.140625" style="224"/>
    <col min="3" max="3" width="11.5703125" style="224" customWidth="1"/>
    <col min="4" max="4" width="32.140625" style="224" customWidth="1"/>
    <col min="5" max="5" width="23.7109375" style="224" customWidth="1"/>
    <col min="6" max="7" width="9.140625" style="224"/>
    <col min="8" max="8" width="10.5703125" style="224" customWidth="1"/>
    <col min="9" max="9" width="14.85546875" style="224" customWidth="1"/>
    <col min="10" max="10" width="10.5703125" style="224" customWidth="1"/>
    <col min="11" max="11" width="14.85546875" style="224" customWidth="1"/>
    <col min="12" max="12" width="7" style="224" customWidth="1"/>
    <col min="13" max="16384" width="9.140625" style="224"/>
  </cols>
  <sheetData>
    <row r="1" spans="1:12" s="172" customFormat="1" ht="15.75" customHeight="1">
      <c r="A1" s="264" t="s">
        <v>88</v>
      </c>
      <c r="B1" s="267" t="s">
        <v>7</v>
      </c>
      <c r="C1" s="268"/>
      <c r="D1" s="264" t="s">
        <v>8</v>
      </c>
      <c r="E1" s="264" t="s">
        <v>125</v>
      </c>
      <c r="F1" s="264" t="s">
        <v>9</v>
      </c>
      <c r="G1" s="264" t="s">
        <v>106</v>
      </c>
      <c r="H1" s="267" t="s">
        <v>10</v>
      </c>
      <c r="I1" s="269"/>
      <c r="J1" s="269"/>
      <c r="K1" s="268"/>
      <c r="L1" s="261" t="s">
        <v>183</v>
      </c>
    </row>
    <row r="2" spans="1:12" s="172" customFormat="1" ht="15.75" customHeight="1">
      <c r="A2" s="265"/>
      <c r="B2" s="270" t="s">
        <v>12</v>
      </c>
      <c r="C2" s="270" t="s">
        <v>13</v>
      </c>
      <c r="D2" s="265"/>
      <c r="E2" s="265"/>
      <c r="F2" s="265"/>
      <c r="G2" s="265"/>
      <c r="H2" s="272" t="s">
        <v>14</v>
      </c>
      <c r="I2" s="273"/>
      <c r="J2" s="272" t="s">
        <v>15</v>
      </c>
      <c r="K2" s="273"/>
      <c r="L2" s="262"/>
    </row>
    <row r="3" spans="1:12" s="172" customFormat="1" ht="27" customHeight="1">
      <c r="A3" s="266"/>
      <c r="B3" s="271"/>
      <c r="C3" s="271"/>
      <c r="D3" s="266"/>
      <c r="E3" s="266"/>
      <c r="F3" s="266"/>
      <c r="G3" s="266"/>
      <c r="H3" s="173" t="s">
        <v>96</v>
      </c>
      <c r="I3" s="173" t="s">
        <v>107</v>
      </c>
      <c r="J3" s="173" t="s">
        <v>96</v>
      </c>
      <c r="K3" s="173" t="s">
        <v>107</v>
      </c>
      <c r="L3" s="263"/>
    </row>
    <row r="4" spans="1:12" s="172" customFormat="1">
      <c r="A4" s="174" t="s">
        <v>16</v>
      </c>
      <c r="B4" s="174" t="s">
        <v>17</v>
      </c>
      <c r="C4" s="174" t="s">
        <v>18</v>
      </c>
      <c r="D4" s="174" t="s">
        <v>19</v>
      </c>
      <c r="E4" s="174"/>
      <c r="F4" s="174" t="s">
        <v>20</v>
      </c>
      <c r="G4" s="174">
        <v>1</v>
      </c>
      <c r="H4" s="174">
        <v>2</v>
      </c>
      <c r="I4" s="174">
        <v>3</v>
      </c>
      <c r="J4" s="174">
        <v>4</v>
      </c>
      <c r="K4" s="174">
        <v>5</v>
      </c>
      <c r="L4" s="174">
        <v>6</v>
      </c>
    </row>
    <row r="5" spans="1:12" s="172" customFormat="1" ht="18.75" customHeight="1">
      <c r="A5" s="233">
        <f>IF(C5&lt;&gt;"",MONTH(C5),"")</f>
        <v>10</v>
      </c>
      <c r="B5" s="181" t="s">
        <v>111</v>
      </c>
      <c r="C5" s="181">
        <v>41554</v>
      </c>
      <c r="D5" s="158" t="s">
        <v>380</v>
      </c>
      <c r="E5" s="214" t="s">
        <v>99</v>
      </c>
      <c r="F5" s="182" t="s">
        <v>112</v>
      </c>
      <c r="G5" s="183">
        <v>21090</v>
      </c>
      <c r="H5" s="166">
        <v>14644</v>
      </c>
      <c r="I5" s="155">
        <v>308841960</v>
      </c>
      <c r="J5" s="166"/>
      <c r="K5" s="155">
        <v>0</v>
      </c>
      <c r="L5" s="247" t="str">
        <f>IF(E5&lt;&gt;"",IF(MID(E5,4,4)="1015","Q11","Q4"),"")</f>
        <v>Q11</v>
      </c>
    </row>
    <row r="6" spans="1:12" s="189" customFormat="1" ht="18.75" customHeight="1">
      <c r="A6" s="233">
        <f t="shared" ref="A6:A28" si="0">IF(C6&lt;&gt;"",MONTH(C6),"")</f>
        <v>10</v>
      </c>
      <c r="B6" s="218" t="s">
        <v>111</v>
      </c>
      <c r="C6" s="184">
        <v>41558</v>
      </c>
      <c r="D6" s="219" t="s">
        <v>380</v>
      </c>
      <c r="E6" s="214" t="s">
        <v>99</v>
      </c>
      <c r="F6" s="186" t="s">
        <v>112</v>
      </c>
      <c r="G6" s="220">
        <v>21125</v>
      </c>
      <c r="H6" s="167">
        <v>9400</v>
      </c>
      <c r="I6" s="155">
        <v>198575000</v>
      </c>
      <c r="J6" s="166"/>
      <c r="K6" s="155">
        <v>0</v>
      </c>
      <c r="L6" s="191" t="str">
        <f t="shared" ref="L6:L29" si="1">IF(E6&lt;&gt;"",IF(MID(E6,4,4)="1015","Q11","Q4"),"")</f>
        <v>Q11</v>
      </c>
    </row>
    <row r="7" spans="1:12" s="172" customFormat="1" ht="18.75" customHeight="1">
      <c r="A7" s="233">
        <f t="shared" si="0"/>
        <v>10</v>
      </c>
      <c r="B7" s="181" t="s">
        <v>111</v>
      </c>
      <c r="C7" s="181">
        <v>41558</v>
      </c>
      <c r="D7" s="158" t="s">
        <v>380</v>
      </c>
      <c r="E7" s="214" t="s">
        <v>100</v>
      </c>
      <c r="F7" s="182" t="s">
        <v>112</v>
      </c>
      <c r="G7" s="183">
        <v>21125</v>
      </c>
      <c r="H7" s="166">
        <v>15092</v>
      </c>
      <c r="I7" s="155">
        <v>318818500</v>
      </c>
      <c r="J7" s="166"/>
      <c r="K7" s="155">
        <v>0</v>
      </c>
      <c r="L7" s="191" t="str">
        <f t="shared" si="1"/>
        <v>Q11</v>
      </c>
    </row>
    <row r="8" spans="1:12" s="172" customFormat="1" ht="18.75" customHeight="1">
      <c r="A8" s="233">
        <f t="shared" si="0"/>
        <v>10</v>
      </c>
      <c r="B8" s="218" t="s">
        <v>111</v>
      </c>
      <c r="C8" s="184">
        <v>41558</v>
      </c>
      <c r="D8" s="219" t="s">
        <v>380</v>
      </c>
      <c r="E8" s="214" t="s">
        <v>101</v>
      </c>
      <c r="F8" s="186" t="s">
        <v>112</v>
      </c>
      <c r="G8" s="220">
        <v>21125</v>
      </c>
      <c r="H8" s="167">
        <v>21128</v>
      </c>
      <c r="I8" s="155">
        <v>446329000</v>
      </c>
      <c r="J8" s="166"/>
      <c r="K8" s="155">
        <v>0</v>
      </c>
      <c r="L8" s="191" t="str">
        <f t="shared" si="1"/>
        <v>Q11</v>
      </c>
    </row>
    <row r="9" spans="1:12" s="172" customFormat="1" ht="18.75" customHeight="1">
      <c r="A9" s="233">
        <f t="shared" si="0"/>
        <v>3</v>
      </c>
      <c r="B9" s="181" t="s">
        <v>111</v>
      </c>
      <c r="C9" s="181">
        <v>41359</v>
      </c>
      <c r="D9" s="158" t="s">
        <v>387</v>
      </c>
      <c r="E9" s="214" t="s">
        <v>381</v>
      </c>
      <c r="F9" s="182" t="s">
        <v>112</v>
      </c>
      <c r="G9" s="183">
        <v>20970</v>
      </c>
      <c r="H9" s="166">
        <v>95820</v>
      </c>
      <c r="I9" s="155">
        <v>2009345400</v>
      </c>
      <c r="J9" s="166"/>
      <c r="K9" s="155"/>
      <c r="L9" s="191" t="str">
        <f t="shared" si="1"/>
        <v>Q4</v>
      </c>
    </row>
    <row r="10" spans="1:12" s="172" customFormat="1" ht="18.75" customHeight="1">
      <c r="A10" s="233">
        <f t="shared" si="0"/>
        <v>3</v>
      </c>
      <c r="B10" s="218" t="s">
        <v>113</v>
      </c>
      <c r="C10" s="184">
        <v>41359</v>
      </c>
      <c r="D10" s="219" t="s">
        <v>114</v>
      </c>
      <c r="E10" s="214" t="s">
        <v>381</v>
      </c>
      <c r="F10" s="186" t="s">
        <v>115</v>
      </c>
      <c r="G10" s="220"/>
      <c r="H10" s="167"/>
      <c r="I10" s="155">
        <v>0</v>
      </c>
      <c r="J10" s="166"/>
      <c r="K10" s="155">
        <v>10348560</v>
      </c>
      <c r="L10" s="191" t="str">
        <f t="shared" si="1"/>
        <v>Q4</v>
      </c>
    </row>
    <row r="11" spans="1:12" s="172" customFormat="1" ht="18.75" customHeight="1">
      <c r="A11" s="233">
        <f t="shared" si="0"/>
        <v>1</v>
      </c>
      <c r="B11" s="181" t="s">
        <v>111</v>
      </c>
      <c r="C11" s="181">
        <v>41277</v>
      </c>
      <c r="D11" s="158" t="s">
        <v>388</v>
      </c>
      <c r="E11" s="214" t="s">
        <v>382</v>
      </c>
      <c r="F11" s="182" t="s">
        <v>112</v>
      </c>
      <c r="G11" s="183">
        <v>20830</v>
      </c>
      <c r="H11" s="166">
        <v>100000</v>
      </c>
      <c r="I11" s="155">
        <v>2083000000</v>
      </c>
      <c r="J11" s="166"/>
      <c r="K11" s="155">
        <v>0</v>
      </c>
      <c r="L11" s="191" t="str">
        <f t="shared" si="1"/>
        <v>Q11</v>
      </c>
    </row>
    <row r="12" spans="1:12" s="172" customFormat="1" ht="18.75" customHeight="1">
      <c r="A12" s="233">
        <f t="shared" si="0"/>
        <v>1</v>
      </c>
      <c r="B12" s="218" t="s">
        <v>113</v>
      </c>
      <c r="C12" s="184">
        <v>41277</v>
      </c>
      <c r="D12" s="219" t="s">
        <v>114</v>
      </c>
      <c r="E12" s="214" t="s">
        <v>382</v>
      </c>
      <c r="F12" s="186" t="s">
        <v>182</v>
      </c>
      <c r="G12" s="220"/>
      <c r="H12" s="167"/>
      <c r="I12" s="155">
        <v>5000000</v>
      </c>
      <c r="J12" s="166"/>
      <c r="K12" s="155"/>
      <c r="L12" s="191" t="str">
        <f t="shared" si="1"/>
        <v>Q11</v>
      </c>
    </row>
    <row r="13" spans="1:12" s="172" customFormat="1" ht="18.75" customHeight="1">
      <c r="A13" s="233">
        <f t="shared" si="0"/>
        <v>4</v>
      </c>
      <c r="B13" s="181" t="s">
        <v>111</v>
      </c>
      <c r="C13" s="181">
        <v>41367</v>
      </c>
      <c r="D13" s="158" t="s">
        <v>388</v>
      </c>
      <c r="E13" s="219" t="s">
        <v>383</v>
      </c>
      <c r="F13" s="182" t="s">
        <v>112</v>
      </c>
      <c r="G13" s="183">
        <v>20935</v>
      </c>
      <c r="H13" s="166">
        <v>91300</v>
      </c>
      <c r="I13" s="155">
        <v>1911365500</v>
      </c>
      <c r="J13" s="166"/>
      <c r="K13" s="155">
        <v>0</v>
      </c>
      <c r="L13" s="191" t="str">
        <f t="shared" si="1"/>
        <v>Q11</v>
      </c>
    </row>
    <row r="14" spans="1:12" s="172" customFormat="1" ht="18.75" customHeight="1">
      <c r="A14" s="233">
        <f t="shared" si="0"/>
        <v>4</v>
      </c>
      <c r="B14" s="218" t="s">
        <v>113</v>
      </c>
      <c r="C14" s="184">
        <v>41367</v>
      </c>
      <c r="D14" s="219" t="s">
        <v>114</v>
      </c>
      <c r="E14" s="219" t="s">
        <v>383</v>
      </c>
      <c r="F14" s="186" t="s">
        <v>115</v>
      </c>
      <c r="G14" s="220"/>
      <c r="H14" s="167"/>
      <c r="I14" s="155"/>
      <c r="J14" s="166"/>
      <c r="K14" s="155">
        <v>5934500</v>
      </c>
      <c r="L14" s="191" t="str">
        <f t="shared" si="1"/>
        <v>Q11</v>
      </c>
    </row>
    <row r="15" spans="1:12" s="172" customFormat="1" ht="18.75" customHeight="1">
      <c r="A15" s="233">
        <f t="shared" si="0"/>
        <v>1</v>
      </c>
      <c r="B15" s="181" t="s">
        <v>116</v>
      </c>
      <c r="C15" s="180">
        <v>41278</v>
      </c>
      <c r="D15" s="158" t="s">
        <v>389</v>
      </c>
      <c r="E15" s="219" t="s">
        <v>384</v>
      </c>
      <c r="F15" s="182" t="s">
        <v>112</v>
      </c>
      <c r="G15" s="183">
        <v>20830</v>
      </c>
      <c r="H15" s="166"/>
      <c r="I15" s="155">
        <v>0</v>
      </c>
      <c r="J15" s="166">
        <v>100455</v>
      </c>
      <c r="K15" s="155">
        <v>2092477650</v>
      </c>
      <c r="L15" s="191" t="str">
        <f t="shared" si="1"/>
        <v>Q11</v>
      </c>
    </row>
    <row r="16" spans="1:12" s="189" customFormat="1" ht="18.75" customHeight="1">
      <c r="A16" s="233">
        <f t="shared" si="0"/>
        <v>7</v>
      </c>
      <c r="B16" s="184" t="s">
        <v>116</v>
      </c>
      <c r="C16" s="217">
        <v>41463</v>
      </c>
      <c r="D16" s="221" t="s">
        <v>390</v>
      </c>
      <c r="E16" s="219" t="s">
        <v>384</v>
      </c>
      <c r="F16" s="186" t="s">
        <v>112</v>
      </c>
      <c r="G16" s="220">
        <v>21246</v>
      </c>
      <c r="H16" s="167">
        <v>100455</v>
      </c>
      <c r="I16" s="155">
        <v>2134266930</v>
      </c>
      <c r="J16" s="166"/>
      <c r="K16" s="155"/>
      <c r="L16" s="191" t="str">
        <f t="shared" si="1"/>
        <v>Q11</v>
      </c>
    </row>
    <row r="17" spans="1:12" s="172" customFormat="1" ht="18.75" customHeight="1">
      <c r="A17" s="233">
        <f t="shared" si="0"/>
        <v>7</v>
      </c>
      <c r="B17" s="181" t="s">
        <v>113</v>
      </c>
      <c r="C17" s="181">
        <v>41463</v>
      </c>
      <c r="D17" s="158" t="s">
        <v>114</v>
      </c>
      <c r="E17" s="219" t="s">
        <v>384</v>
      </c>
      <c r="F17" s="182" t="s">
        <v>115</v>
      </c>
      <c r="G17" s="183"/>
      <c r="H17" s="166"/>
      <c r="I17" s="155"/>
      <c r="J17" s="166"/>
      <c r="K17" s="155">
        <v>41789280</v>
      </c>
      <c r="L17" s="191" t="str">
        <f t="shared" si="1"/>
        <v>Q11</v>
      </c>
    </row>
    <row r="18" spans="1:12" s="172" customFormat="1" ht="18.75" customHeight="1">
      <c r="A18" s="233">
        <f t="shared" si="0"/>
        <v>3</v>
      </c>
      <c r="B18" s="181" t="s">
        <v>116</v>
      </c>
      <c r="C18" s="181">
        <v>41360</v>
      </c>
      <c r="D18" s="214" t="s">
        <v>391</v>
      </c>
      <c r="E18" s="219" t="s">
        <v>385</v>
      </c>
      <c r="F18" s="182" t="s">
        <v>112</v>
      </c>
      <c r="G18" s="183">
        <v>20942</v>
      </c>
      <c r="H18" s="166"/>
      <c r="I18" s="155">
        <v>0</v>
      </c>
      <c r="J18" s="166">
        <v>95370</v>
      </c>
      <c r="K18" s="155">
        <v>1997238540</v>
      </c>
      <c r="L18" s="191" t="str">
        <f t="shared" si="1"/>
        <v>Q11</v>
      </c>
    </row>
    <row r="19" spans="1:12" s="189" customFormat="1" ht="18.75" customHeight="1">
      <c r="A19" s="233">
        <f t="shared" si="0"/>
        <v>9</v>
      </c>
      <c r="B19" s="184" t="s">
        <v>111</v>
      </c>
      <c r="C19" s="217">
        <v>41521</v>
      </c>
      <c r="D19" s="221" t="s">
        <v>392</v>
      </c>
      <c r="E19" s="219" t="s">
        <v>385</v>
      </c>
      <c r="F19" s="186" t="s">
        <v>112</v>
      </c>
      <c r="G19" s="220">
        <v>21155</v>
      </c>
      <c r="H19" s="167">
        <v>95370</v>
      </c>
      <c r="I19" s="155">
        <v>2017552350</v>
      </c>
      <c r="J19" s="166"/>
      <c r="K19" s="155">
        <v>0</v>
      </c>
      <c r="L19" s="191" t="str">
        <f t="shared" si="1"/>
        <v>Q11</v>
      </c>
    </row>
    <row r="20" spans="1:12" s="172" customFormat="1" ht="18.75" customHeight="1">
      <c r="A20" s="233">
        <f t="shared" si="0"/>
        <v>9</v>
      </c>
      <c r="B20" s="181" t="s">
        <v>113</v>
      </c>
      <c r="C20" s="181">
        <v>41521</v>
      </c>
      <c r="D20" s="158" t="s">
        <v>114</v>
      </c>
      <c r="E20" s="219" t="s">
        <v>385</v>
      </c>
      <c r="F20" s="182" t="s">
        <v>115</v>
      </c>
      <c r="G20" s="183"/>
      <c r="H20" s="166"/>
      <c r="I20" s="155"/>
      <c r="J20" s="166"/>
      <c r="K20" s="155">
        <v>20313810</v>
      </c>
      <c r="L20" s="191" t="str">
        <f t="shared" si="1"/>
        <v>Q11</v>
      </c>
    </row>
    <row r="21" spans="1:12" s="172" customFormat="1" ht="18.75" customHeight="1">
      <c r="A21" s="233">
        <f t="shared" si="0"/>
        <v>4</v>
      </c>
      <c r="B21" s="181" t="s">
        <v>116</v>
      </c>
      <c r="C21" s="181">
        <v>41367</v>
      </c>
      <c r="D21" s="158" t="s">
        <v>389</v>
      </c>
      <c r="E21" s="153" t="s">
        <v>386</v>
      </c>
      <c r="F21" s="182" t="s">
        <v>112</v>
      </c>
      <c r="G21" s="183">
        <v>20930</v>
      </c>
      <c r="H21" s="166"/>
      <c r="I21" s="155">
        <v>0</v>
      </c>
      <c r="J21" s="166">
        <v>90500</v>
      </c>
      <c r="K21" s="155">
        <v>1894165000</v>
      </c>
      <c r="L21" s="191" t="str">
        <f t="shared" si="1"/>
        <v>Q11</v>
      </c>
    </row>
    <row r="22" spans="1:12" s="172" customFormat="1" ht="18.75" customHeight="1">
      <c r="A22" s="233">
        <f t="shared" si="0"/>
        <v>10</v>
      </c>
      <c r="B22" s="181" t="s">
        <v>111</v>
      </c>
      <c r="C22" s="181">
        <v>41548</v>
      </c>
      <c r="D22" s="158" t="s">
        <v>393</v>
      </c>
      <c r="E22" s="153" t="s">
        <v>386</v>
      </c>
      <c r="F22" s="182" t="s">
        <v>112</v>
      </c>
      <c r="G22" s="183">
        <v>21100</v>
      </c>
      <c r="H22" s="166">
        <v>90500</v>
      </c>
      <c r="I22" s="155">
        <v>1909550000</v>
      </c>
      <c r="J22" s="166"/>
      <c r="K22" s="155"/>
      <c r="L22" s="191" t="str">
        <f t="shared" si="1"/>
        <v>Q11</v>
      </c>
    </row>
    <row r="23" spans="1:12" s="172" customFormat="1" ht="18.75" customHeight="1">
      <c r="A23" s="233">
        <f t="shared" si="0"/>
        <v>10</v>
      </c>
      <c r="B23" s="181" t="s">
        <v>113</v>
      </c>
      <c r="C23" s="181">
        <v>41548</v>
      </c>
      <c r="D23" s="158" t="s">
        <v>114</v>
      </c>
      <c r="E23" s="153" t="s">
        <v>386</v>
      </c>
      <c r="F23" s="182" t="s">
        <v>115</v>
      </c>
      <c r="G23" s="183"/>
      <c r="H23" s="166"/>
      <c r="I23" s="155"/>
      <c r="J23" s="166"/>
      <c r="K23" s="155">
        <v>15385000</v>
      </c>
      <c r="L23" s="191" t="str">
        <f t="shared" si="1"/>
        <v>Q11</v>
      </c>
    </row>
    <row r="24" spans="1:12" s="172" customFormat="1" ht="18.75" customHeight="1">
      <c r="A24" s="233">
        <f t="shared" si="0"/>
        <v>7</v>
      </c>
      <c r="B24" s="181" t="s">
        <v>116</v>
      </c>
      <c r="C24" s="181">
        <v>41464</v>
      </c>
      <c r="D24" s="222" t="s">
        <v>394</v>
      </c>
      <c r="E24" s="153" t="s">
        <v>177</v>
      </c>
      <c r="F24" s="182" t="s">
        <v>112</v>
      </c>
      <c r="G24" s="183">
        <v>21246</v>
      </c>
      <c r="H24" s="166"/>
      <c r="I24" s="155"/>
      <c r="J24" s="166">
        <v>92500</v>
      </c>
      <c r="K24" s="155">
        <v>1965255000</v>
      </c>
      <c r="L24" s="191" t="str">
        <f t="shared" si="1"/>
        <v>Q11</v>
      </c>
    </row>
    <row r="25" spans="1:12" ht="18.75" customHeight="1">
      <c r="A25" s="233">
        <f t="shared" si="0"/>
        <v>7</v>
      </c>
      <c r="B25" s="181" t="s">
        <v>116</v>
      </c>
      <c r="C25" s="181">
        <v>41471</v>
      </c>
      <c r="D25" s="222" t="s">
        <v>395</v>
      </c>
      <c r="E25" s="153" t="s">
        <v>178</v>
      </c>
      <c r="F25" s="182" t="s">
        <v>112</v>
      </c>
      <c r="G25" s="183">
        <v>21220</v>
      </c>
      <c r="H25" s="166"/>
      <c r="I25" s="155">
        <v>0</v>
      </c>
      <c r="J25" s="166">
        <v>95000</v>
      </c>
      <c r="K25" s="155">
        <v>2015900000</v>
      </c>
      <c r="L25" s="191" t="str">
        <f t="shared" si="1"/>
        <v>Q11</v>
      </c>
    </row>
    <row r="26" spans="1:12" ht="18.75" customHeight="1">
      <c r="A26" s="233">
        <f t="shared" si="0"/>
        <v>8</v>
      </c>
      <c r="B26" s="181" t="s">
        <v>116</v>
      </c>
      <c r="C26" s="181">
        <v>41499</v>
      </c>
      <c r="D26" s="222" t="s">
        <v>396</v>
      </c>
      <c r="E26" s="153" t="s">
        <v>179</v>
      </c>
      <c r="F26" s="182" t="s">
        <v>112</v>
      </c>
      <c r="G26" s="183">
        <v>21085</v>
      </c>
      <c r="H26" s="166"/>
      <c r="I26" s="155"/>
      <c r="J26" s="166">
        <v>98000</v>
      </c>
      <c r="K26" s="155">
        <v>2066330000</v>
      </c>
      <c r="L26" s="191" t="str">
        <f t="shared" si="1"/>
        <v>Q11</v>
      </c>
    </row>
    <row r="27" spans="1:12" ht="18.75" customHeight="1">
      <c r="A27" s="233">
        <f t="shared" si="0"/>
        <v>9</v>
      </c>
      <c r="B27" s="181" t="s">
        <v>116</v>
      </c>
      <c r="C27" s="181">
        <v>41522</v>
      </c>
      <c r="D27" s="222" t="s">
        <v>397</v>
      </c>
      <c r="E27" s="153" t="s">
        <v>180</v>
      </c>
      <c r="F27" s="182" t="s">
        <v>112</v>
      </c>
      <c r="G27" s="183">
        <v>21150</v>
      </c>
      <c r="H27" s="166"/>
      <c r="I27" s="155"/>
      <c r="J27" s="166">
        <v>95370</v>
      </c>
      <c r="K27" s="155">
        <v>2017075500</v>
      </c>
      <c r="L27" s="191" t="str">
        <f t="shared" si="1"/>
        <v>Q11</v>
      </c>
    </row>
    <row r="28" spans="1:12" ht="18.75" customHeight="1">
      <c r="A28" s="233">
        <f t="shared" si="0"/>
        <v>10</v>
      </c>
      <c r="B28" s="235" t="s">
        <v>116</v>
      </c>
      <c r="C28" s="234">
        <v>41548</v>
      </c>
      <c r="D28" s="236" t="s">
        <v>398</v>
      </c>
      <c r="E28" s="153" t="s">
        <v>181</v>
      </c>
      <c r="F28" s="237" t="s">
        <v>112</v>
      </c>
      <c r="G28" s="183">
        <v>21100</v>
      </c>
      <c r="H28" s="166"/>
      <c r="I28" s="155"/>
      <c r="J28" s="166">
        <v>90500</v>
      </c>
      <c r="K28" s="155">
        <v>1909550000</v>
      </c>
      <c r="L28" s="191" t="str">
        <f t="shared" si="1"/>
        <v>Q11</v>
      </c>
    </row>
    <row r="29" spans="1:12" ht="18.75" customHeight="1">
      <c r="A29" s="233" t="str">
        <f t="shared" ref="A29" si="2">IF(C29&lt;&gt;"",MONTH(C29),"")</f>
        <v/>
      </c>
      <c r="B29" s="181"/>
      <c r="C29" s="181"/>
      <c r="D29" s="222"/>
      <c r="E29" s="223"/>
      <c r="F29" s="182"/>
      <c r="G29" s="183"/>
      <c r="H29" s="166"/>
      <c r="I29" s="155">
        <f t="shared" ref="I29:I32" si="3">G29*H29</f>
        <v>0</v>
      </c>
      <c r="J29" s="166"/>
      <c r="K29" s="155">
        <f t="shared" ref="K29:K32" si="4">G29*J29</f>
        <v>0</v>
      </c>
      <c r="L29" s="191" t="str">
        <f t="shared" si="1"/>
        <v/>
      </c>
    </row>
    <row r="30" spans="1:12" ht="18.75" customHeight="1">
      <c r="A30" s="233" t="str">
        <f t="shared" ref="A30:A34" si="5">IF(C30&lt;&gt;"",MONTH(C30),"")</f>
        <v/>
      </c>
      <c r="B30" s="181"/>
      <c r="C30" s="181"/>
      <c r="D30" s="222"/>
      <c r="E30" s="223"/>
      <c r="F30" s="182"/>
      <c r="G30" s="183"/>
      <c r="H30" s="166"/>
      <c r="I30" s="155">
        <f t="shared" si="3"/>
        <v>0</v>
      </c>
      <c r="J30" s="166"/>
      <c r="K30" s="155">
        <f t="shared" si="4"/>
        <v>0</v>
      </c>
      <c r="L30" s="191" t="str">
        <f t="shared" ref="L30:L34" si="6">IF(E30&lt;&gt;"",IF(MID(E30,4,4)="1015","Q11","Q4"),"")</f>
        <v/>
      </c>
    </row>
    <row r="31" spans="1:12" ht="18.75" customHeight="1">
      <c r="A31" s="233" t="str">
        <f t="shared" si="5"/>
        <v/>
      </c>
      <c r="B31" s="181"/>
      <c r="C31" s="181"/>
      <c r="D31" s="222"/>
      <c r="E31" s="223"/>
      <c r="F31" s="182"/>
      <c r="G31" s="183"/>
      <c r="H31" s="166"/>
      <c r="I31" s="155">
        <f t="shared" si="3"/>
        <v>0</v>
      </c>
      <c r="J31" s="166"/>
      <c r="K31" s="155">
        <f t="shared" si="4"/>
        <v>0</v>
      </c>
      <c r="L31" s="191" t="str">
        <f t="shared" si="6"/>
        <v/>
      </c>
    </row>
    <row r="32" spans="1:12" ht="18.75" customHeight="1">
      <c r="A32" s="233" t="str">
        <f t="shared" si="5"/>
        <v/>
      </c>
      <c r="B32" s="181"/>
      <c r="C32" s="181"/>
      <c r="D32" s="222"/>
      <c r="E32" s="223"/>
      <c r="F32" s="182"/>
      <c r="G32" s="183"/>
      <c r="H32" s="166"/>
      <c r="I32" s="155">
        <f t="shared" si="3"/>
        <v>0</v>
      </c>
      <c r="J32" s="166"/>
      <c r="K32" s="155">
        <f t="shared" si="4"/>
        <v>0</v>
      </c>
      <c r="L32" s="191" t="str">
        <f t="shared" si="6"/>
        <v/>
      </c>
    </row>
    <row r="33" spans="1:12" ht="18.75" customHeight="1">
      <c r="A33" s="233" t="str">
        <f t="shared" si="5"/>
        <v/>
      </c>
      <c r="B33" s="181"/>
      <c r="C33" s="181"/>
      <c r="D33" s="222"/>
      <c r="E33" s="223"/>
      <c r="F33" s="182"/>
      <c r="G33" s="183"/>
      <c r="H33" s="166"/>
      <c r="I33" s="155">
        <f t="shared" ref="I30:I34" si="7">G33*H33</f>
        <v>0</v>
      </c>
      <c r="J33" s="166"/>
      <c r="K33" s="155">
        <f t="shared" ref="K33:K34" si="8">G33*J33</f>
        <v>0</v>
      </c>
      <c r="L33" s="191" t="str">
        <f t="shared" si="6"/>
        <v/>
      </c>
    </row>
    <row r="34" spans="1:12" ht="18.75" customHeight="1">
      <c r="A34" s="233" t="str">
        <f t="shared" si="5"/>
        <v/>
      </c>
      <c r="B34" s="181"/>
      <c r="C34" s="181"/>
      <c r="D34" s="222"/>
      <c r="E34" s="223"/>
      <c r="F34" s="182"/>
      <c r="G34" s="183"/>
      <c r="H34" s="166"/>
      <c r="I34" s="155">
        <f t="shared" si="7"/>
        <v>0</v>
      </c>
      <c r="J34" s="166"/>
      <c r="K34" s="155">
        <f t="shared" si="8"/>
        <v>0</v>
      </c>
      <c r="L34" s="191" t="str">
        <f t="shared" si="6"/>
        <v/>
      </c>
    </row>
  </sheetData>
  <autoFilter ref="A4:L4"/>
  <mergeCells count="12">
    <mergeCell ref="L1:L3"/>
    <mergeCell ref="A1:A3"/>
    <mergeCell ref="B1:C1"/>
    <mergeCell ref="D1:D3"/>
    <mergeCell ref="E1:E3"/>
    <mergeCell ref="F1:F3"/>
    <mergeCell ref="H1:K1"/>
    <mergeCell ref="B2:B3"/>
    <mergeCell ref="C2:C3"/>
    <mergeCell ref="H2:I2"/>
    <mergeCell ref="J2:K2"/>
    <mergeCell ref="G1:G3"/>
  </mergeCells>
  <dataValidations count="1">
    <dataValidation type="list" allowBlank="1" showInputMessage="1" showErrorMessage="1" sqref="E5:E20 E29:E34">
      <formula1>DSKU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N62"/>
  <sheetViews>
    <sheetView topLeftCell="A4" workbookViewId="0">
      <selection activeCell="H9" sqref="H9:I9"/>
    </sheetView>
  </sheetViews>
  <sheetFormatPr defaultRowHeight="12.75"/>
  <cols>
    <col min="1" max="1" width="9.140625" style="227"/>
    <col min="2" max="2" width="7.42578125" style="227" customWidth="1"/>
    <col min="3" max="3" width="9.140625" style="227"/>
    <col min="4" max="4" width="33" style="227" customWidth="1"/>
    <col min="5" max="5" width="7.28515625" style="227" customWidth="1"/>
    <col min="6" max="6" width="9.140625" style="227"/>
    <col min="7" max="7" width="9.7109375" style="227" customWidth="1"/>
    <col min="8" max="8" width="12.140625" style="227" customWidth="1"/>
    <col min="9" max="9" width="9.7109375" style="227" customWidth="1"/>
    <col min="10" max="10" width="12.140625" style="227" customWidth="1"/>
    <col min="11" max="11" width="10.85546875" style="227" customWidth="1"/>
    <col min="12" max="12" width="13.42578125" style="227" customWidth="1"/>
    <col min="13" max="13" width="10.85546875" style="227" customWidth="1"/>
    <col min="14" max="14" width="13.42578125" style="227" customWidth="1"/>
    <col min="15" max="16384" width="9.140625" style="227"/>
  </cols>
  <sheetData>
    <row r="1" spans="1:14" s="170" customFormat="1" ht="16.5" customHeight="1">
      <c r="A1" s="168" t="s">
        <v>0</v>
      </c>
      <c r="B1" s="169"/>
      <c r="C1" s="169"/>
      <c r="H1" s="169"/>
      <c r="I1" s="169"/>
      <c r="J1" s="276" t="s">
        <v>127</v>
      </c>
      <c r="K1" s="276"/>
      <c r="L1" s="276"/>
      <c r="M1" s="276"/>
      <c r="N1" s="276"/>
    </row>
    <row r="2" spans="1:14" s="170" customFormat="1" ht="16.5" customHeight="1">
      <c r="A2" s="168" t="s">
        <v>1</v>
      </c>
      <c r="B2" s="212"/>
      <c r="C2" s="212"/>
      <c r="H2" s="171"/>
      <c r="I2" s="171"/>
      <c r="J2" s="277" t="s">
        <v>128</v>
      </c>
      <c r="K2" s="277"/>
      <c r="L2" s="277"/>
      <c r="M2" s="277"/>
      <c r="N2" s="277"/>
    </row>
    <row r="3" spans="1:14" s="170" customFormat="1" ht="16.5" customHeight="1">
      <c r="A3" s="212"/>
      <c r="B3" s="212"/>
      <c r="C3" s="212"/>
      <c r="H3" s="171"/>
      <c r="I3" s="171"/>
      <c r="J3" s="277"/>
      <c r="K3" s="277"/>
      <c r="L3" s="277"/>
      <c r="M3" s="277"/>
      <c r="N3" s="277"/>
    </row>
    <row r="4" spans="1:14" s="170" customFormat="1" ht="16.5" customHeight="1">
      <c r="A4" s="212"/>
      <c r="B4" s="212"/>
      <c r="C4" s="212"/>
      <c r="H4" s="171"/>
      <c r="I4" s="171"/>
      <c r="J4" s="213"/>
      <c r="K4" s="213"/>
      <c r="L4" s="213"/>
      <c r="M4" s="213"/>
      <c r="N4" s="213"/>
    </row>
    <row r="5" spans="1:14" s="172" customFormat="1" ht="23.25" customHeight="1">
      <c r="A5" s="278" t="s">
        <v>103</v>
      </c>
      <c r="B5" s="27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</row>
    <row r="6" spans="1:14" s="172" customFormat="1">
      <c r="A6" s="280" t="s">
        <v>104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</row>
    <row r="7" spans="1:14" s="172" customFormat="1">
      <c r="A7" s="280" t="s">
        <v>110</v>
      </c>
      <c r="B7" s="28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</row>
    <row r="8" spans="1:14" s="172" customFormat="1" ht="15" customHeight="1">
      <c r="A8" s="280" t="str">
        <f>IF(MID($H$9,4,4)="1015","Đối tượng cho vay: NH Eximbank CN Q11","Đối tượng cho vay: NH Eximbank CN Q4")</f>
        <v>Đối tượng cho vay: NH Eximbank CN Q11</v>
      </c>
      <c r="B8" s="28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0"/>
      <c r="N8" s="280"/>
    </row>
    <row r="9" spans="1:14" s="172" customFormat="1">
      <c r="A9" s="211"/>
      <c r="B9" s="211"/>
      <c r="C9" s="211"/>
      <c r="D9" s="211"/>
      <c r="E9" s="211"/>
      <c r="F9" s="211"/>
      <c r="G9" s="225" t="s">
        <v>126</v>
      </c>
      <c r="H9" s="281" t="s">
        <v>101</v>
      </c>
      <c r="I9" s="281"/>
      <c r="J9" s="226" t="str">
        <f>"ngày "&amp; TEXT(VLOOKUP($H$9,'311-341'!$B$5:$C$9,2,0),"dd/MM/yy")</f>
        <v>ngày 25/02/12</v>
      </c>
      <c r="K9" s="211"/>
      <c r="L9" s="211"/>
      <c r="M9" s="211"/>
      <c r="N9" s="211"/>
    </row>
    <row r="10" spans="1:14" s="172" customFormat="1">
      <c r="A10" s="280" t="s">
        <v>105</v>
      </c>
      <c r="B10" s="28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0"/>
      <c r="N10" s="280"/>
    </row>
    <row r="11" spans="1:14" s="172" customFormat="1"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2"/>
      <c r="N11" s="282"/>
    </row>
    <row r="12" spans="1:14" s="172" customFormat="1" ht="15.75" customHeight="1">
      <c r="A12" s="264" t="s">
        <v>6</v>
      </c>
      <c r="B12" s="267" t="s">
        <v>7</v>
      </c>
      <c r="C12" s="268"/>
      <c r="D12" s="264" t="s">
        <v>8</v>
      </c>
      <c r="E12" s="264" t="s">
        <v>9</v>
      </c>
      <c r="F12" s="264" t="s">
        <v>106</v>
      </c>
      <c r="G12" s="267" t="s">
        <v>10</v>
      </c>
      <c r="H12" s="274"/>
      <c r="I12" s="274"/>
      <c r="J12" s="275"/>
      <c r="K12" s="267" t="s">
        <v>11</v>
      </c>
      <c r="L12" s="274"/>
      <c r="M12" s="274"/>
      <c r="N12" s="275"/>
    </row>
    <row r="13" spans="1:14" s="172" customFormat="1" ht="15.75" customHeight="1">
      <c r="A13" s="265"/>
      <c r="B13" s="270" t="s">
        <v>12</v>
      </c>
      <c r="C13" s="270" t="s">
        <v>13</v>
      </c>
      <c r="D13" s="265"/>
      <c r="E13" s="265"/>
      <c r="F13" s="283"/>
      <c r="G13" s="272" t="s">
        <v>14</v>
      </c>
      <c r="H13" s="275"/>
      <c r="I13" s="272" t="s">
        <v>15</v>
      </c>
      <c r="J13" s="275"/>
      <c r="K13" s="272" t="s">
        <v>14</v>
      </c>
      <c r="L13" s="275"/>
      <c r="M13" s="272" t="s">
        <v>15</v>
      </c>
      <c r="N13" s="275"/>
    </row>
    <row r="14" spans="1:14" s="172" customFormat="1" ht="32.25" customHeight="1">
      <c r="A14" s="266"/>
      <c r="B14" s="271"/>
      <c r="C14" s="271"/>
      <c r="D14" s="266"/>
      <c r="E14" s="266"/>
      <c r="F14" s="284"/>
      <c r="G14" s="173" t="s">
        <v>96</v>
      </c>
      <c r="H14" s="173" t="s">
        <v>107</v>
      </c>
      <c r="I14" s="173" t="s">
        <v>96</v>
      </c>
      <c r="J14" s="173" t="s">
        <v>107</v>
      </c>
      <c r="K14" s="173" t="s">
        <v>96</v>
      </c>
      <c r="L14" s="173" t="s">
        <v>107</v>
      </c>
      <c r="M14" s="173" t="s">
        <v>96</v>
      </c>
      <c r="N14" s="173" t="s">
        <v>107</v>
      </c>
    </row>
    <row r="15" spans="1:14" s="211" customFormat="1">
      <c r="A15" s="174" t="s">
        <v>16</v>
      </c>
      <c r="B15" s="210" t="s">
        <v>17</v>
      </c>
      <c r="C15" s="174" t="s">
        <v>18</v>
      </c>
      <c r="D15" s="174" t="s">
        <v>19</v>
      </c>
      <c r="E15" s="174" t="s">
        <v>20</v>
      </c>
      <c r="F15" s="174">
        <v>1</v>
      </c>
      <c r="G15" s="174">
        <v>2</v>
      </c>
      <c r="H15" s="174">
        <v>3</v>
      </c>
      <c r="I15" s="174">
        <v>4</v>
      </c>
      <c r="J15" s="174">
        <v>5</v>
      </c>
      <c r="K15" s="174">
        <v>6</v>
      </c>
      <c r="L15" s="174">
        <v>7</v>
      </c>
      <c r="M15" s="174">
        <v>8</v>
      </c>
      <c r="N15" s="174">
        <v>9</v>
      </c>
    </row>
    <row r="16" spans="1:14" s="172" customFormat="1" ht="19.5" customHeight="1">
      <c r="A16" s="175"/>
      <c r="B16" s="175"/>
      <c r="C16" s="175"/>
      <c r="D16" s="176" t="s">
        <v>21</v>
      </c>
      <c r="E16" s="177"/>
      <c r="F16" s="177"/>
      <c r="G16" s="175"/>
      <c r="H16" s="175"/>
      <c r="I16" s="175"/>
      <c r="J16" s="175"/>
      <c r="K16" s="178">
        <f>VLOOKUP($H$9,'311-341'!$B$5:$G$9,3,0)</f>
        <v>0</v>
      </c>
      <c r="L16" s="179">
        <f>VLOOKUP($H$9,'311-341'!$B$5:$G$9,4,0)</f>
        <v>0</v>
      </c>
      <c r="M16" s="178">
        <f>VLOOKUP($H$9,'311-341'!$B$5:$G$9,5,0)</f>
        <v>107687.38</v>
      </c>
      <c r="N16" s="179">
        <f>VLOOKUP($H$9,'311-341'!$B$5:$G$9,6,0)</f>
        <v>2250666638</v>
      </c>
    </row>
    <row r="17" spans="1:14" s="172" customFormat="1" ht="19.5" customHeight="1">
      <c r="A17" s="180">
        <f ca="1">IF(D17&lt;&gt;"",C17,"")</f>
        <v>41558</v>
      </c>
      <c r="B17" s="181" t="str">
        <f ca="1">IF(ROWS($1:1)&gt;COUNT(Dong4),"",OFFSET('TH-VAY'!B$1,SMALL(Dong4,ROWS($1:1)),))</f>
        <v>GBN</v>
      </c>
      <c r="C17" s="181">
        <f ca="1">IF(ROWS($1:1)&gt;COUNT(Dong4),"",OFFSET('TH-VAY'!C$1,SMALL(Dong4,ROWS($1:1)),))</f>
        <v>41558</v>
      </c>
      <c r="D17" s="231" t="str">
        <f ca="1">IF(ROWS($1:1)&gt;COUNT(Dong4),"",OFFSET('TH-VAY'!D$1,SMALL(Dong4,ROWS($1:1)),))</f>
        <v>Trả nợ vay định kỳ</v>
      </c>
      <c r="E17" s="181" t="str">
        <f ca="1">IF(ROWS($1:1)&gt;COUNT(Dong4),"",OFFSET('TH-VAY'!F$1,SMALL(Dong4,ROWS($1:1)),))</f>
        <v>1122</v>
      </c>
      <c r="F17" s="228">
        <f ca="1">IF(ROWS($1:1)&gt;COUNT(Dong4),"",OFFSET('TH-VAY'!G$1,SMALL(Dong4,ROWS($1:1)),))</f>
        <v>21125</v>
      </c>
      <c r="G17" s="229">
        <f ca="1">IF(ROWS($1:1)&gt;COUNT(Dong4),"",OFFSET('TH-VAY'!H$1,SMALL(Dong4,ROWS($1:1)),))</f>
        <v>21128</v>
      </c>
      <c r="H17" s="228">
        <f ca="1">IF(ROWS($1:1)&gt;COUNT(Dong4),"",OFFSET('TH-VAY'!I$1,SMALL(Dong4,ROWS($1:1)),))</f>
        <v>446329000</v>
      </c>
      <c r="I17" s="229">
        <f ca="1">IF(ROWS($1:1)&gt;COUNT(Dong4),"",OFFSET('TH-VAY'!J$1,SMALL(Dong4,ROWS($1:1)),))</f>
        <v>0</v>
      </c>
      <c r="J17" s="228">
        <f ca="1">IF(ROWS($1:1)&gt;COUNT(Dong4),"",OFFSET('TH-VAY'!K$1,SMALL(Dong4,ROWS($1:1)),))</f>
        <v>0</v>
      </c>
      <c r="K17" s="154">
        <f t="shared" ref="K17" ca="1" si="0">IF(C17&lt;&gt;"",ROUND(MAX(K16+G17-I17-M16,0),2),0)</f>
        <v>0</v>
      </c>
      <c r="L17" s="155">
        <f t="shared" ref="L17" ca="1" si="1">IF(C17&lt;&gt;"",MAX(L16-N16+H17-J17,0),0)</f>
        <v>0</v>
      </c>
      <c r="M17" s="154">
        <f t="shared" ref="M17" ca="1" si="2">IF(C17&lt;&gt;"",ROUND(MAX(M16+I17-G17-K16,0),2),0)</f>
        <v>86559.38</v>
      </c>
      <c r="N17" s="155">
        <f t="shared" ref="N17" ca="1" si="3">IF(C17&lt;&gt;"",MAX(N16-L16+J17-H17,0),0)</f>
        <v>1804337638</v>
      </c>
    </row>
    <row r="18" spans="1:14" s="189" customFormat="1" ht="19.5" customHeight="1">
      <c r="A18" s="180" t="str">
        <f t="shared" ref="A18:A19" ca="1" si="4">IF(D18&lt;&gt;"",C18,"")</f>
        <v/>
      </c>
      <c r="B18" s="181" t="str">
        <f ca="1">IF(ROWS($1:2)&gt;COUNT(Dong4),"",OFFSET('TH-VAY'!B$1,SMALL(Dong4,ROWS($1:2)),))</f>
        <v/>
      </c>
      <c r="C18" s="181" t="str">
        <f ca="1">IF(ROWS($1:2)&gt;COUNT(Dong4),"",OFFSET('TH-VAY'!C$1,SMALL(Dong4,ROWS($1:2)),))</f>
        <v/>
      </c>
      <c r="D18" s="231" t="str">
        <f ca="1">IF(ROWS($1:2)&gt;COUNT(Dong4),"",OFFSET('TH-VAY'!D$1,SMALL(Dong4,ROWS($1:2)),))</f>
        <v/>
      </c>
      <c r="E18" s="181" t="str">
        <f ca="1">IF(ROWS($1:2)&gt;COUNT(Dong4),"",OFFSET('TH-VAY'!F$1,SMALL(Dong4,ROWS($1:2)),))</f>
        <v/>
      </c>
      <c r="F18" s="228" t="str">
        <f ca="1">IF(ROWS($1:2)&gt;COUNT(Dong4),"",OFFSET('TH-VAY'!G$1,SMALL(Dong4,ROWS($1:2)),))</f>
        <v/>
      </c>
      <c r="G18" s="229" t="str">
        <f ca="1">IF(ROWS($1:2)&gt;COUNT(Dong4),"",OFFSET('TH-VAY'!H$1,SMALL(Dong4,ROWS($1:2)),))</f>
        <v/>
      </c>
      <c r="H18" s="228" t="str">
        <f ca="1">IF(ROWS($1:2)&gt;COUNT(Dong4),"",OFFSET('TH-VAY'!I$1,SMALL(Dong4,ROWS($1:2)),))</f>
        <v/>
      </c>
      <c r="I18" s="229" t="str">
        <f ca="1">IF(ROWS($1:2)&gt;COUNT(Dong4),"",OFFSET('TH-VAY'!J$1,SMALL(Dong4,ROWS($1:2)),))</f>
        <v/>
      </c>
      <c r="J18" s="228" t="str">
        <f ca="1">IF(ROWS($1:2)&gt;COUNT(Dong4),"",OFFSET('TH-VAY'!K$1,SMALL(Dong4,ROWS($1:2)),))</f>
        <v/>
      </c>
      <c r="K18" s="154">
        <f t="shared" ref="K18:K19" ca="1" si="5">IF(C18&lt;&gt;"",ROUND(MAX(K17+G18-I18-M17,0),2),0)</f>
        <v>0</v>
      </c>
      <c r="L18" s="155">
        <f t="shared" ref="L18:L19" ca="1" si="6">IF(C18&lt;&gt;"",MAX(L17-N17+H18-J18,0),0)</f>
        <v>0</v>
      </c>
      <c r="M18" s="154">
        <f t="shared" ref="M18:M19" ca="1" si="7">IF(C18&lt;&gt;"",ROUND(MAX(M17+I18-G18-K17,0),2),0)</f>
        <v>0</v>
      </c>
      <c r="N18" s="155">
        <f t="shared" ref="N18:N19" ca="1" si="8">IF(C18&lt;&gt;"",MAX(N17-L17+J18-H18,0),0)</f>
        <v>0</v>
      </c>
    </row>
    <row r="19" spans="1:14" s="189" customFormat="1" ht="19.5" customHeight="1">
      <c r="A19" s="180" t="str">
        <f t="shared" ca="1" si="4"/>
        <v/>
      </c>
      <c r="B19" s="181" t="str">
        <f ca="1">IF(ROWS($1:3)&gt;COUNT(Dong4),"",OFFSET('TH-VAY'!B$1,SMALL(Dong4,ROWS($1:3)),))</f>
        <v/>
      </c>
      <c r="C19" s="181" t="str">
        <f ca="1">IF(ROWS($1:3)&gt;COUNT(Dong4),"",OFFSET('TH-VAY'!C$1,SMALL(Dong4,ROWS($1:3)),))</f>
        <v/>
      </c>
      <c r="D19" s="231" t="str">
        <f ca="1">IF(ROWS($1:3)&gt;COUNT(Dong4),"",OFFSET('TH-VAY'!D$1,SMALL(Dong4,ROWS($1:3)),))</f>
        <v/>
      </c>
      <c r="E19" s="181" t="str">
        <f ca="1">IF(ROWS($1:3)&gt;COUNT(Dong4),"",OFFSET('TH-VAY'!F$1,SMALL(Dong4,ROWS($1:3)),))</f>
        <v/>
      </c>
      <c r="F19" s="228" t="str">
        <f ca="1">IF(ROWS($1:3)&gt;COUNT(Dong4),"",OFFSET('TH-VAY'!G$1,SMALL(Dong4,ROWS($1:3)),))</f>
        <v/>
      </c>
      <c r="G19" s="229" t="str">
        <f ca="1">IF(ROWS($1:3)&gt;COUNT(Dong4),"",OFFSET('TH-VAY'!H$1,SMALL(Dong4,ROWS($1:3)),))</f>
        <v/>
      </c>
      <c r="H19" s="228" t="str">
        <f ca="1">IF(ROWS($1:3)&gt;COUNT(Dong4),"",OFFSET('TH-VAY'!I$1,SMALL(Dong4,ROWS($1:3)),))</f>
        <v/>
      </c>
      <c r="I19" s="229" t="str">
        <f ca="1">IF(ROWS($1:3)&gt;COUNT(Dong4),"",OFFSET('TH-VAY'!J$1,SMALL(Dong4,ROWS($1:3)),))</f>
        <v/>
      </c>
      <c r="J19" s="228" t="str">
        <f ca="1">IF(ROWS($1:3)&gt;COUNT(Dong4),"",OFFSET('TH-VAY'!K$1,SMALL(Dong4,ROWS($1:3)),))</f>
        <v/>
      </c>
      <c r="K19" s="154">
        <f t="shared" ca="1" si="5"/>
        <v>0</v>
      </c>
      <c r="L19" s="155">
        <f t="shared" ca="1" si="6"/>
        <v>0</v>
      </c>
      <c r="M19" s="154">
        <f t="shared" ca="1" si="7"/>
        <v>0</v>
      </c>
      <c r="N19" s="155">
        <f t="shared" ca="1" si="8"/>
        <v>0</v>
      </c>
    </row>
    <row r="20" spans="1:14" s="189" customFormat="1" ht="19.5" customHeight="1">
      <c r="A20" s="184"/>
      <c r="B20" s="184"/>
      <c r="C20" s="184"/>
      <c r="D20" s="232"/>
      <c r="E20" s="186"/>
      <c r="F20" s="187"/>
      <c r="G20" s="185"/>
      <c r="H20" s="185"/>
      <c r="I20" s="185"/>
      <c r="J20" s="188"/>
      <c r="K20" s="154"/>
      <c r="L20" s="155"/>
      <c r="M20" s="154"/>
      <c r="N20" s="155"/>
    </row>
    <row r="21" spans="1:14" s="172" customFormat="1" ht="19.5" customHeight="1">
      <c r="A21" s="181"/>
      <c r="B21" s="181"/>
      <c r="C21" s="181"/>
      <c r="D21" s="190" t="s">
        <v>108</v>
      </c>
      <c r="E21" s="191" t="s">
        <v>23</v>
      </c>
      <c r="F21" s="191" t="s">
        <v>23</v>
      </c>
      <c r="G21" s="192">
        <f ca="1">SUM(G17:G18)</f>
        <v>21128</v>
      </c>
      <c r="H21" s="193">
        <f ca="1">SUM(H17:H18)</f>
        <v>446329000</v>
      </c>
      <c r="I21" s="192">
        <f ca="1">SUM(I17:I18)</f>
        <v>0</v>
      </c>
      <c r="J21" s="193">
        <f ca="1">SUM(J17:J19)</f>
        <v>0</v>
      </c>
      <c r="K21" s="193" t="s">
        <v>23</v>
      </c>
      <c r="L21" s="193" t="s">
        <v>23</v>
      </c>
      <c r="M21" s="193" t="s">
        <v>23</v>
      </c>
      <c r="N21" s="193" t="s">
        <v>23</v>
      </c>
    </row>
    <row r="22" spans="1:14" s="172" customFormat="1" ht="19.5" customHeight="1">
      <c r="A22" s="194"/>
      <c r="B22" s="194"/>
      <c r="C22" s="194"/>
      <c r="D22" s="195" t="s">
        <v>24</v>
      </c>
      <c r="E22" s="196" t="s">
        <v>23</v>
      </c>
      <c r="F22" s="196" t="s">
        <v>23</v>
      </c>
      <c r="G22" s="196" t="s">
        <v>23</v>
      </c>
      <c r="H22" s="196" t="s">
        <v>23</v>
      </c>
      <c r="I22" s="196" t="s">
        <v>23</v>
      </c>
      <c r="J22" s="196" t="s">
        <v>23</v>
      </c>
      <c r="K22" s="197">
        <f ca="1">MAX(K16+G21-M16-I21,0)</f>
        <v>0</v>
      </c>
      <c r="L22" s="198">
        <f ca="1">MAX(L16+H21-N16-J21,0)</f>
        <v>0</v>
      </c>
      <c r="M22" s="197">
        <f ca="1">MAX(M16+I21-K16-G21,0)</f>
        <v>86559.38</v>
      </c>
      <c r="N22" s="198">
        <f ca="1">MAX(N16+J21-L16-H21,0)</f>
        <v>1804337638</v>
      </c>
    </row>
    <row r="23" spans="1:14" s="172" customFormat="1">
      <c r="E23" s="211"/>
      <c r="F23" s="211"/>
    </row>
    <row r="24" spans="1:14" s="172" customFormat="1">
      <c r="C24" s="199" t="s">
        <v>109</v>
      </c>
      <c r="E24" s="211"/>
      <c r="F24" s="211"/>
    </row>
    <row r="25" spans="1:14" s="172" customFormat="1">
      <c r="C25" s="199" t="str">
        <f>"- Ngày mở sổ: "&amp;TEXT(VLOOKUP($H$9,'311-341'!$B$5:$C$9,2,0),"dd/MM/yy")</f>
        <v>- Ngày mở sổ: 25/02/12</v>
      </c>
      <c r="E25" s="211"/>
      <c r="F25" s="211"/>
    </row>
    <row r="26" spans="1:14" s="172" customFormat="1">
      <c r="E26" s="211"/>
      <c r="F26" s="211"/>
      <c r="L26" s="242" t="s">
        <v>175</v>
      </c>
    </row>
    <row r="27" spans="1:14" s="172" customFormat="1">
      <c r="C27" s="211" t="s">
        <v>25</v>
      </c>
      <c r="E27" s="211"/>
      <c r="F27" s="211"/>
      <c r="L27" s="211" t="s">
        <v>26</v>
      </c>
    </row>
    <row r="28" spans="1:14" s="172" customFormat="1">
      <c r="C28" s="211" t="s">
        <v>27</v>
      </c>
      <c r="E28" s="211"/>
      <c r="F28" s="211"/>
      <c r="L28" s="211" t="s">
        <v>27</v>
      </c>
    </row>
    <row r="29" spans="1:14" s="172" customFormat="1">
      <c r="E29" s="211"/>
      <c r="F29" s="211"/>
    </row>
    <row r="30" spans="1:14" s="172" customFormat="1">
      <c r="E30" s="211"/>
      <c r="F30" s="211"/>
    </row>
    <row r="31" spans="1:14" s="230" customFormat="1"/>
    <row r="32" spans="1:14" s="230" customFormat="1"/>
    <row r="33" spans="1:14" s="230" customFormat="1"/>
    <row r="34" spans="1:14" s="170" customFormat="1" ht="16.5" customHeight="1">
      <c r="A34" s="168" t="s">
        <v>0</v>
      </c>
      <c r="B34" s="169"/>
      <c r="C34" s="169"/>
      <c r="H34" s="169"/>
      <c r="I34" s="169"/>
      <c r="J34" s="276" t="s">
        <v>127</v>
      </c>
      <c r="K34" s="276"/>
      <c r="L34" s="276"/>
      <c r="M34" s="276"/>
      <c r="N34" s="276"/>
    </row>
    <row r="35" spans="1:14" s="170" customFormat="1" ht="16.5" customHeight="1">
      <c r="A35" s="168" t="s">
        <v>1</v>
      </c>
      <c r="B35" s="243"/>
      <c r="C35" s="243"/>
      <c r="H35" s="171"/>
      <c r="I35" s="171"/>
      <c r="J35" s="277" t="s">
        <v>128</v>
      </c>
      <c r="K35" s="277"/>
      <c r="L35" s="277"/>
      <c r="M35" s="277"/>
      <c r="N35" s="277"/>
    </row>
    <row r="36" spans="1:14" s="170" customFormat="1" ht="16.5" customHeight="1">
      <c r="A36" s="243"/>
      <c r="B36" s="243"/>
      <c r="C36" s="243"/>
      <c r="H36" s="171"/>
      <c r="I36" s="171"/>
      <c r="J36" s="277"/>
      <c r="K36" s="277"/>
      <c r="L36" s="277"/>
      <c r="M36" s="277"/>
      <c r="N36" s="277"/>
    </row>
    <row r="37" spans="1:14" s="170" customFormat="1" ht="16.5" customHeight="1">
      <c r="A37" s="243"/>
      <c r="B37" s="243"/>
      <c r="C37" s="243"/>
      <c r="H37" s="171"/>
      <c r="I37" s="171"/>
      <c r="J37" s="244"/>
      <c r="K37" s="244"/>
      <c r="L37" s="244"/>
      <c r="M37" s="244"/>
      <c r="N37" s="244"/>
    </row>
    <row r="38" spans="1:14" s="172" customFormat="1" ht="23.25" customHeight="1">
      <c r="A38" s="278" t="s">
        <v>103</v>
      </c>
      <c r="B38" s="279"/>
      <c r="C38" s="279"/>
      <c r="D38" s="279"/>
      <c r="E38" s="279"/>
      <c r="F38" s="279"/>
      <c r="G38" s="279"/>
      <c r="H38" s="279"/>
      <c r="I38" s="279"/>
      <c r="J38" s="279"/>
      <c r="K38" s="279"/>
      <c r="L38" s="279"/>
      <c r="M38" s="279"/>
      <c r="N38" s="279"/>
    </row>
    <row r="39" spans="1:14" s="172" customFormat="1">
      <c r="A39" s="280" t="s">
        <v>104</v>
      </c>
      <c r="B39" s="28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</row>
    <row r="40" spans="1:14" s="172" customFormat="1">
      <c r="A40" s="280" t="s">
        <v>176</v>
      </c>
      <c r="B40" s="28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0"/>
      <c r="N40" s="280"/>
    </row>
    <row r="41" spans="1:14" s="172" customFormat="1" ht="15" customHeight="1">
      <c r="A41" s="280" t="str">
        <f>IF(MID($H$9,4,4)="1015","Đối tượng cho vay: NH Eximbank CN Q11","Đối tượng cho vay: NH Eximbank CN Q4")</f>
        <v>Đối tượng cho vay: NH Eximbank CN Q11</v>
      </c>
      <c r="B41" s="28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0"/>
      <c r="N41" s="280"/>
    </row>
    <row r="42" spans="1:14" s="172" customFormat="1">
      <c r="A42" s="242"/>
      <c r="B42" s="242"/>
      <c r="C42" s="242"/>
      <c r="D42" s="242"/>
      <c r="E42" s="242"/>
      <c r="F42" s="242"/>
      <c r="G42" s="225" t="s">
        <v>126</v>
      </c>
      <c r="H42" s="281" t="s">
        <v>381</v>
      </c>
      <c r="I42" s="281"/>
      <c r="J42" s="226" t="str">
        <f>"ngày "&amp; TEXT(VLOOKUP($H$42,DSKU1,2,0),"dd/MM/yy")</f>
        <v>ngày 23/03/12</v>
      </c>
      <c r="K42" s="242"/>
      <c r="L42" s="242"/>
      <c r="M42" s="242"/>
      <c r="N42" s="242"/>
    </row>
    <row r="43" spans="1:14" s="172" customFormat="1">
      <c r="A43" s="280" t="s">
        <v>105</v>
      </c>
      <c r="B43" s="28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0"/>
      <c r="N43" s="280"/>
    </row>
    <row r="44" spans="1:14" s="172" customFormat="1"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2"/>
      <c r="N44" s="282"/>
    </row>
    <row r="45" spans="1:14" s="172" customFormat="1" ht="15.75" customHeight="1">
      <c r="A45" s="264" t="s">
        <v>6</v>
      </c>
      <c r="B45" s="267" t="s">
        <v>7</v>
      </c>
      <c r="C45" s="268"/>
      <c r="D45" s="264" t="s">
        <v>8</v>
      </c>
      <c r="E45" s="264" t="s">
        <v>9</v>
      </c>
      <c r="F45" s="264" t="s">
        <v>106</v>
      </c>
      <c r="G45" s="267" t="s">
        <v>10</v>
      </c>
      <c r="H45" s="274"/>
      <c r="I45" s="274"/>
      <c r="J45" s="275"/>
      <c r="K45" s="267" t="s">
        <v>11</v>
      </c>
      <c r="L45" s="274"/>
      <c r="M45" s="274"/>
      <c r="N45" s="275"/>
    </row>
    <row r="46" spans="1:14" s="172" customFormat="1" ht="15.75" customHeight="1">
      <c r="A46" s="265"/>
      <c r="B46" s="270" t="s">
        <v>12</v>
      </c>
      <c r="C46" s="270" t="s">
        <v>13</v>
      </c>
      <c r="D46" s="265"/>
      <c r="E46" s="265"/>
      <c r="F46" s="283"/>
      <c r="G46" s="272" t="s">
        <v>14</v>
      </c>
      <c r="H46" s="275"/>
      <c r="I46" s="272" t="s">
        <v>15</v>
      </c>
      <c r="J46" s="275"/>
      <c r="K46" s="272" t="s">
        <v>14</v>
      </c>
      <c r="L46" s="275"/>
      <c r="M46" s="272" t="s">
        <v>15</v>
      </c>
      <c r="N46" s="275"/>
    </row>
    <row r="47" spans="1:14" s="172" customFormat="1" ht="32.25" customHeight="1">
      <c r="A47" s="266"/>
      <c r="B47" s="271"/>
      <c r="C47" s="271"/>
      <c r="D47" s="266"/>
      <c r="E47" s="266"/>
      <c r="F47" s="284"/>
      <c r="G47" s="173" t="s">
        <v>96</v>
      </c>
      <c r="H47" s="173" t="s">
        <v>107</v>
      </c>
      <c r="I47" s="173" t="s">
        <v>96</v>
      </c>
      <c r="J47" s="173" t="s">
        <v>107</v>
      </c>
      <c r="K47" s="173" t="s">
        <v>96</v>
      </c>
      <c r="L47" s="173" t="s">
        <v>107</v>
      </c>
      <c r="M47" s="173" t="s">
        <v>96</v>
      </c>
      <c r="N47" s="173" t="s">
        <v>107</v>
      </c>
    </row>
    <row r="48" spans="1:14" s="242" customFormat="1">
      <c r="A48" s="174" t="s">
        <v>16</v>
      </c>
      <c r="B48" s="241" t="s">
        <v>17</v>
      </c>
      <c r="C48" s="174" t="s">
        <v>18</v>
      </c>
      <c r="D48" s="174" t="s">
        <v>19</v>
      </c>
      <c r="E48" s="174" t="s">
        <v>20</v>
      </c>
      <c r="F48" s="174">
        <v>1</v>
      </c>
      <c r="G48" s="174">
        <v>2</v>
      </c>
      <c r="H48" s="174">
        <v>3</v>
      </c>
      <c r="I48" s="174">
        <v>4</v>
      </c>
      <c r="J48" s="174">
        <v>5</v>
      </c>
      <c r="K48" s="174">
        <v>6</v>
      </c>
      <c r="L48" s="174">
        <v>7</v>
      </c>
      <c r="M48" s="174">
        <v>8</v>
      </c>
      <c r="N48" s="174">
        <v>9</v>
      </c>
    </row>
    <row r="49" spans="1:14" s="172" customFormat="1" ht="19.5" customHeight="1">
      <c r="A49" s="175"/>
      <c r="B49" s="175"/>
      <c r="C49" s="175"/>
      <c r="D49" s="176" t="s">
        <v>21</v>
      </c>
      <c r="E49" s="177"/>
      <c r="F49" s="177"/>
      <c r="G49" s="175"/>
      <c r="H49" s="175"/>
      <c r="I49" s="175"/>
      <c r="J49" s="175"/>
      <c r="K49" s="178">
        <f>VLOOKUP($H$42,DSKU1,3,0)</f>
        <v>0</v>
      </c>
      <c r="L49" s="178">
        <f>VLOOKUP($H$42,DSKU1,4,0)</f>
        <v>0</v>
      </c>
      <c r="M49" s="178">
        <f>VLOOKUP($H$42,DSKU1,5,0)</f>
        <v>95820</v>
      </c>
      <c r="N49" s="179">
        <f>VLOOKUP($H$42,DSKU1,6,0)</f>
        <v>1998996840</v>
      </c>
    </row>
    <row r="50" spans="1:14" s="172" customFormat="1" ht="19.5" customHeight="1">
      <c r="A50" s="180">
        <f ca="1">IF(D50&lt;&gt;"",C50,"")</f>
        <v>41359</v>
      </c>
      <c r="B50" s="181" t="str">
        <f ca="1">IF(ROWS($1:1)&gt;COUNT(Dong5),"",OFFSET('TH-VAY'!B$1,SMALL(Dong5,ROWS($1:1)),))</f>
        <v>GBN</v>
      </c>
      <c r="C50" s="181">
        <f ca="1">IF(ROWS($1:1)&gt;COUNT(Dong5),"",OFFSET('TH-VAY'!C$1,SMALL(Dong5,ROWS($1:1)),))</f>
        <v>41359</v>
      </c>
      <c r="D50" s="231" t="str">
        <f ca="1">IF(ROWS($1:1)&gt;COUNT(Dong5),"",OFFSET('TH-VAY'!D$1,SMALL(Dong5,ROWS($1:1)),))</f>
        <v>Trả tất toan khế ước</v>
      </c>
      <c r="E50" s="181" t="str">
        <f ca="1">IF(ROWS($1:1)&gt;COUNT(Dong5),"",OFFSET('TH-VAY'!F$1,SMALL(Dong5,ROWS($1:1)),))</f>
        <v>1122</v>
      </c>
      <c r="F50" s="228">
        <f ca="1">IF(ROWS($1:1)&gt;COUNT(Dong5),"",OFFSET('TH-VAY'!G$1,SMALL(Dong5,ROWS($1:1)),))</f>
        <v>20970</v>
      </c>
      <c r="G50" s="229">
        <f ca="1">IF(ROWS($1:1)&gt;COUNT(Dong5),"",OFFSET('TH-VAY'!H$1,SMALL(Dong5,ROWS($1:1)),))</f>
        <v>95820</v>
      </c>
      <c r="H50" s="228">
        <f ca="1">IF(ROWS($1:1)&gt;COUNT(Dong5),"",OFFSET('TH-VAY'!I$1,SMALL(Dong5,ROWS($1:1)),))</f>
        <v>2009345400</v>
      </c>
      <c r="I50" s="229">
        <f ca="1">IF(ROWS($1:1)&gt;COUNT(Dong5),"",OFFSET('TH-VAY'!J$1,SMALL(Dong5,ROWS($1:1)),))</f>
        <v>0</v>
      </c>
      <c r="J50" s="228">
        <f ca="1">IF(ROWS($1:1)&gt;COUNT(Dong5),"",OFFSET('TH-VAY'!K$1,SMALL(Dong5,ROWS($1:1)),))</f>
        <v>0</v>
      </c>
      <c r="K50" s="154">
        <f t="shared" ref="K50:K52" ca="1" si="9">IF(C50&lt;&gt;"",ROUND(MAX(K49+G50-I50-M49,0),2),0)</f>
        <v>0</v>
      </c>
      <c r="L50" s="155">
        <f t="shared" ref="L50:L52" ca="1" si="10">IF(C50&lt;&gt;"",MAX(L49-N49+H50-J50,0),0)</f>
        <v>10348560</v>
      </c>
      <c r="M50" s="154">
        <f t="shared" ref="M50:M52" ca="1" si="11">IF(C50&lt;&gt;"",ROUND(MAX(M49+I50-G50-K49,0),2),0)</f>
        <v>0</v>
      </c>
      <c r="N50" s="155">
        <f t="shared" ref="N50:N52" ca="1" si="12">IF(C50&lt;&gt;"",MAX(N49-L49+J50-H50,0),0)</f>
        <v>0</v>
      </c>
    </row>
    <row r="51" spans="1:14" s="189" customFormat="1" ht="19.5" customHeight="1">
      <c r="A51" s="180">
        <f t="shared" ref="A51:A52" ca="1" si="13">IF(D51&lt;&gt;"",C51,"")</f>
        <v>41359</v>
      </c>
      <c r="B51" s="181" t="str">
        <f ca="1">IF(ROWS($1:2)&gt;COUNT(Dong5),"",OFFSET('TH-VAY'!B$1,SMALL(Dong5,ROWS($1:2)),))</f>
        <v>CTGS</v>
      </c>
      <c r="C51" s="181">
        <f ca="1">IF(ROWS($1:2)&gt;COUNT(Dong5),"",OFFSET('TH-VAY'!C$1,SMALL(Dong5,ROWS($1:2)),))</f>
        <v>41359</v>
      </c>
      <c r="D51" s="231" t="str">
        <f ca="1">IF(ROWS($1:2)&gt;COUNT(Dong5),"",OFFSET('TH-VAY'!D$1,SMALL(Dong5,ROWS($1:2)),))</f>
        <v>Chênh lệch tỷ giá vay NH</v>
      </c>
      <c r="E51" s="181" t="str">
        <f ca="1">IF(ROWS($1:2)&gt;COUNT(Dong5),"",OFFSET('TH-VAY'!F$1,SMALL(Dong5,ROWS($1:2)),))</f>
        <v>635</v>
      </c>
      <c r="F51" s="228">
        <f ca="1">IF(ROWS($1:2)&gt;COUNT(Dong5),"",OFFSET('TH-VAY'!G$1,SMALL(Dong5,ROWS($1:2)),))</f>
        <v>0</v>
      </c>
      <c r="G51" s="229">
        <f ca="1">IF(ROWS($1:2)&gt;COUNT(Dong5),"",OFFSET('TH-VAY'!H$1,SMALL(Dong5,ROWS($1:2)),))</f>
        <v>0</v>
      </c>
      <c r="H51" s="228">
        <f ca="1">IF(ROWS($1:2)&gt;COUNT(Dong5),"",OFFSET('TH-VAY'!I$1,SMALL(Dong5,ROWS($1:2)),))</f>
        <v>0</v>
      </c>
      <c r="I51" s="229">
        <f ca="1">IF(ROWS($1:2)&gt;COUNT(Dong5),"",OFFSET('TH-VAY'!J$1,SMALL(Dong5,ROWS($1:2)),))</f>
        <v>0</v>
      </c>
      <c r="J51" s="228">
        <f ca="1">IF(ROWS($1:2)&gt;COUNT(Dong5),"",OFFSET('TH-VAY'!K$1,SMALL(Dong5,ROWS($1:2)),))</f>
        <v>10348560</v>
      </c>
      <c r="K51" s="154">
        <f t="shared" ca="1" si="9"/>
        <v>0</v>
      </c>
      <c r="L51" s="155">
        <f t="shared" ca="1" si="10"/>
        <v>0</v>
      </c>
      <c r="M51" s="154">
        <f t="shared" ca="1" si="11"/>
        <v>0</v>
      </c>
      <c r="N51" s="155">
        <f t="shared" ca="1" si="12"/>
        <v>0</v>
      </c>
    </row>
    <row r="52" spans="1:14" s="189" customFormat="1" ht="19.5" customHeight="1">
      <c r="A52" s="180" t="str">
        <f t="shared" ca="1" si="13"/>
        <v/>
      </c>
      <c r="B52" s="181" t="str">
        <f ca="1">IF(ROWS($1:3)&gt;COUNT(Dong5),"",OFFSET('TH-VAY'!B$1,SMALL(Dong5,ROWS($1:3)),))</f>
        <v/>
      </c>
      <c r="C52" s="181" t="str">
        <f ca="1">IF(ROWS($1:3)&gt;COUNT(Dong5),"",OFFSET('TH-VAY'!C$1,SMALL(Dong5,ROWS($1:3)),))</f>
        <v/>
      </c>
      <c r="D52" s="231" t="str">
        <f ca="1">IF(ROWS($1:3)&gt;COUNT(Dong5),"",OFFSET('TH-VAY'!D$1,SMALL(Dong5,ROWS($1:3)),))</f>
        <v/>
      </c>
      <c r="E52" s="181" t="str">
        <f ca="1">IF(ROWS($1:3)&gt;COUNT(Dong5),"",OFFSET('TH-VAY'!F$1,SMALL(Dong5,ROWS($1:3)),))</f>
        <v/>
      </c>
      <c r="F52" s="228" t="str">
        <f ca="1">IF(ROWS($1:3)&gt;COUNT(Dong5),"",OFFSET('TH-VAY'!G$1,SMALL(Dong5,ROWS($1:3)),))</f>
        <v/>
      </c>
      <c r="G52" s="229" t="str">
        <f ca="1">IF(ROWS($1:3)&gt;COUNT(Dong5),"",OFFSET('TH-VAY'!H$1,SMALL(Dong5,ROWS($1:3)),))</f>
        <v/>
      </c>
      <c r="H52" s="228" t="str">
        <f ca="1">IF(ROWS($1:3)&gt;COUNT(Dong5),"",OFFSET('TH-VAY'!I$1,SMALL(Dong5,ROWS($1:3)),))</f>
        <v/>
      </c>
      <c r="I52" s="229" t="str">
        <f ca="1">IF(ROWS($1:3)&gt;COUNT(Dong5),"",OFFSET('TH-VAY'!J$1,SMALL(Dong5,ROWS($1:3)),))</f>
        <v/>
      </c>
      <c r="J52" s="228" t="str">
        <f ca="1">IF(ROWS($1:3)&gt;COUNT(Dong5),"",OFFSET('TH-VAY'!K$1,SMALL(Dong5,ROWS($1:3)),))</f>
        <v/>
      </c>
      <c r="K52" s="154">
        <f t="shared" ca="1" si="9"/>
        <v>0</v>
      </c>
      <c r="L52" s="155">
        <f t="shared" ca="1" si="10"/>
        <v>0</v>
      </c>
      <c r="M52" s="154">
        <f t="shared" ca="1" si="11"/>
        <v>0</v>
      </c>
      <c r="N52" s="155">
        <f t="shared" ca="1" si="12"/>
        <v>0</v>
      </c>
    </row>
    <row r="53" spans="1:14" s="189" customFormat="1" ht="19.5" customHeight="1">
      <c r="A53" s="184"/>
      <c r="B53" s="184"/>
      <c r="C53" s="184"/>
      <c r="D53" s="232"/>
      <c r="E53" s="186"/>
      <c r="F53" s="187"/>
      <c r="G53" s="185"/>
      <c r="H53" s="185"/>
      <c r="I53" s="185"/>
      <c r="J53" s="188"/>
      <c r="K53" s="154"/>
      <c r="L53" s="155"/>
      <c r="M53" s="154"/>
      <c r="N53" s="155"/>
    </row>
    <row r="54" spans="1:14" s="172" customFormat="1" ht="19.5" customHeight="1">
      <c r="A54" s="181"/>
      <c r="B54" s="181"/>
      <c r="C54" s="181"/>
      <c r="D54" s="190" t="s">
        <v>108</v>
      </c>
      <c r="E54" s="191" t="s">
        <v>23</v>
      </c>
      <c r="F54" s="191" t="s">
        <v>23</v>
      </c>
      <c r="G54" s="192">
        <f ca="1">SUM(G50:G51)</f>
        <v>95820</v>
      </c>
      <c r="H54" s="193">
        <f ca="1">SUM(H50:H51)</f>
        <v>2009345400</v>
      </c>
      <c r="I54" s="192">
        <f ca="1">SUM(I50:I51)</f>
        <v>0</v>
      </c>
      <c r="J54" s="193">
        <f ca="1">SUM(J50:J52)</f>
        <v>10348560</v>
      </c>
      <c r="K54" s="193" t="s">
        <v>23</v>
      </c>
      <c r="L54" s="193" t="s">
        <v>23</v>
      </c>
      <c r="M54" s="193" t="s">
        <v>23</v>
      </c>
      <c r="N54" s="193" t="s">
        <v>23</v>
      </c>
    </row>
    <row r="55" spans="1:14" s="172" customFormat="1" ht="19.5" customHeight="1">
      <c r="A55" s="194"/>
      <c r="B55" s="194"/>
      <c r="C55" s="194"/>
      <c r="D55" s="195" t="s">
        <v>24</v>
      </c>
      <c r="E55" s="196" t="s">
        <v>23</v>
      </c>
      <c r="F55" s="196" t="s">
        <v>23</v>
      </c>
      <c r="G55" s="196" t="s">
        <v>23</v>
      </c>
      <c r="H55" s="196" t="s">
        <v>23</v>
      </c>
      <c r="I55" s="196" t="s">
        <v>23</v>
      </c>
      <c r="J55" s="196" t="s">
        <v>23</v>
      </c>
      <c r="K55" s="197">
        <f ca="1">MAX(K49+G54-M49-I54,0)</f>
        <v>0</v>
      </c>
      <c r="L55" s="198">
        <f ca="1">MAX(L49+H54-N49-J54,0)</f>
        <v>0</v>
      </c>
      <c r="M55" s="197">
        <f ca="1">MAX(M49+I54-K49-G54,0)</f>
        <v>0</v>
      </c>
      <c r="N55" s="198">
        <f ca="1">MAX(N49+J54-L49-H54,0)</f>
        <v>0</v>
      </c>
    </row>
    <row r="56" spans="1:14" s="172" customFormat="1">
      <c r="E56" s="242"/>
      <c r="F56" s="242"/>
    </row>
    <row r="57" spans="1:14" s="172" customFormat="1">
      <c r="C57" s="199" t="s">
        <v>109</v>
      </c>
      <c r="E57" s="242"/>
      <c r="F57" s="242"/>
    </row>
    <row r="58" spans="1:14" s="172" customFormat="1">
      <c r="C58" s="199" t="str">
        <f>"- Ngày mở sổ: "&amp;TEXT(VLOOKUP($H$9,'311-341'!$B$5:$C$9,2,0),"dd/MM/yy")</f>
        <v>- Ngày mở sổ: 25/02/12</v>
      </c>
      <c r="E58" s="242"/>
      <c r="F58" s="242"/>
    </row>
    <row r="59" spans="1:14" s="172" customFormat="1">
      <c r="E59" s="242"/>
      <c r="F59" s="242"/>
      <c r="L59" s="242" t="s">
        <v>175</v>
      </c>
    </row>
    <row r="60" spans="1:14" s="172" customFormat="1">
      <c r="C60" s="242" t="s">
        <v>25</v>
      </c>
      <c r="E60" s="242"/>
      <c r="F60" s="242"/>
      <c r="L60" s="242" t="s">
        <v>26</v>
      </c>
    </row>
    <row r="61" spans="1:14" s="172" customFormat="1">
      <c r="C61" s="242" t="s">
        <v>27</v>
      </c>
      <c r="E61" s="242"/>
      <c r="F61" s="242"/>
      <c r="L61" s="242" t="s">
        <v>27</v>
      </c>
    </row>
    <row r="62" spans="1:14" s="172" customFormat="1">
      <c r="E62" s="242"/>
      <c r="F62" s="242"/>
    </row>
  </sheetData>
  <mergeCells count="44">
    <mergeCell ref="H9:I9"/>
    <mergeCell ref="A10:N10"/>
    <mergeCell ref="C11:N11"/>
    <mergeCell ref="A12:A14"/>
    <mergeCell ref="B12:C12"/>
    <mergeCell ref="D12:D14"/>
    <mergeCell ref="E12:E14"/>
    <mergeCell ref="F12:F14"/>
    <mergeCell ref="G12:J12"/>
    <mergeCell ref="K12:N12"/>
    <mergeCell ref="B13:B14"/>
    <mergeCell ref="C13:C14"/>
    <mergeCell ref="G13:H13"/>
    <mergeCell ref="I13:J13"/>
    <mergeCell ref="K13:L13"/>
    <mergeCell ref="M13:N13"/>
    <mergeCell ref="A8:N8"/>
    <mergeCell ref="J1:N1"/>
    <mergeCell ref="J2:N3"/>
    <mergeCell ref="A5:N5"/>
    <mergeCell ref="A6:N6"/>
    <mergeCell ref="A7:N7"/>
    <mergeCell ref="A41:N41"/>
    <mergeCell ref="H42:I42"/>
    <mergeCell ref="A43:N43"/>
    <mergeCell ref="C44:N44"/>
    <mergeCell ref="A45:A47"/>
    <mergeCell ref="B45:C45"/>
    <mergeCell ref="D45:D47"/>
    <mergeCell ref="E45:E47"/>
    <mergeCell ref="F45:F47"/>
    <mergeCell ref="J34:N34"/>
    <mergeCell ref="J35:N36"/>
    <mergeCell ref="A38:N38"/>
    <mergeCell ref="A39:N39"/>
    <mergeCell ref="A40:N40"/>
    <mergeCell ref="G45:J45"/>
    <mergeCell ref="K45:N45"/>
    <mergeCell ref="B46:B47"/>
    <mergeCell ref="C46:C47"/>
    <mergeCell ref="G46:H46"/>
    <mergeCell ref="I46:J46"/>
    <mergeCell ref="K46:L46"/>
    <mergeCell ref="M46:N46"/>
  </mergeCells>
  <dataValidations count="2">
    <dataValidation type="list" allowBlank="1" showInputMessage="1" showErrorMessage="1" sqref="H9:I9">
      <formula1>DSKU</formula1>
    </dataValidation>
    <dataValidation type="list" allowBlank="1" showInputMessage="1" showErrorMessage="1" sqref="H42:I42">
      <formula1>DSKU2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9" enableFormatConditionsCalculation="0">
    <tabColor indexed="12"/>
  </sheetPr>
  <dimension ref="A2:U260"/>
  <sheetViews>
    <sheetView topLeftCell="A11" zoomScale="90" workbookViewId="0">
      <pane ySplit="5" topLeftCell="A16" activePane="bottomLeft" state="frozen"/>
      <selection activeCell="A11" sqref="A11"/>
      <selection pane="bottomLeft" activeCell="J107" sqref="J107"/>
    </sheetView>
  </sheetViews>
  <sheetFormatPr defaultRowHeight="15"/>
  <cols>
    <col min="1" max="1" width="9.85546875" style="27" customWidth="1"/>
    <col min="2" max="2" width="7" style="26" customWidth="1"/>
    <col min="3" max="3" width="9.28515625" style="27" customWidth="1"/>
    <col min="4" max="4" width="26.5703125" style="28" customWidth="1"/>
    <col min="5" max="5" width="7.140625" style="27" customWidth="1"/>
    <col min="6" max="6" width="15.28515625" style="27" customWidth="1"/>
    <col min="7" max="7" width="15.28515625" style="44" customWidth="1"/>
    <col min="8" max="8" width="15.28515625" style="27" customWidth="1"/>
    <col min="9" max="9" width="13.7109375" style="27" customWidth="1"/>
    <col min="10" max="10" width="7.5703125" style="28" customWidth="1"/>
    <col min="11" max="11" width="14" style="133" customWidth="1"/>
    <col min="12" max="12" width="12.85546875" style="28" customWidth="1"/>
    <col min="13" max="14" width="9.140625" style="28" customWidth="1"/>
    <col min="15" max="15" width="9.140625" style="27" hidden="1" customWidth="1"/>
    <col min="16" max="16" width="7" style="26" hidden="1" customWidth="1"/>
    <col min="17" max="17" width="26.5703125" style="28" hidden="1" customWidth="1"/>
    <col min="18" max="18" width="7.140625" style="27" hidden="1" customWidth="1"/>
    <col min="19" max="19" width="15.28515625" style="27" hidden="1" customWidth="1"/>
    <col min="20" max="20" width="15.28515625" style="44" hidden="1" customWidth="1"/>
    <col min="21" max="21" width="9.140625" style="137" hidden="1" customWidth="1"/>
    <col min="22" max="24" width="9.140625" style="28" customWidth="1"/>
    <col min="25" max="16384" width="9.140625" style="28"/>
  </cols>
  <sheetData>
    <row r="2" spans="1:21" ht="15.75" customHeight="1">
      <c r="A2" s="15" t="s">
        <v>0</v>
      </c>
      <c r="G2" s="295" t="s">
        <v>117</v>
      </c>
      <c r="H2" s="295"/>
      <c r="I2" s="295"/>
      <c r="O2" s="15" t="s">
        <v>0</v>
      </c>
      <c r="T2" s="28"/>
    </row>
    <row r="3" spans="1:21" ht="15.75" customHeight="1">
      <c r="A3" s="15" t="s">
        <v>1</v>
      </c>
      <c r="G3" s="296" t="s">
        <v>118</v>
      </c>
      <c r="H3" s="296"/>
      <c r="I3" s="296"/>
      <c r="O3" s="15" t="s">
        <v>1</v>
      </c>
      <c r="T3" s="28"/>
    </row>
    <row r="4" spans="1:21">
      <c r="F4" s="3"/>
      <c r="G4" s="296"/>
      <c r="H4" s="296"/>
      <c r="I4" s="296"/>
      <c r="S4" s="3"/>
      <c r="T4" s="28"/>
    </row>
    <row r="5" spans="1:21" ht="23.25" customHeight="1">
      <c r="A5" s="298" t="s">
        <v>2</v>
      </c>
      <c r="B5" s="298"/>
      <c r="C5" s="298"/>
      <c r="D5" s="298"/>
      <c r="E5" s="298"/>
      <c r="F5" s="298"/>
      <c r="G5" s="298"/>
      <c r="H5" s="298"/>
      <c r="I5" s="298"/>
      <c r="O5" s="28"/>
      <c r="P5" s="28"/>
      <c r="R5" s="28"/>
      <c r="S5" s="28"/>
      <c r="T5" s="28"/>
    </row>
    <row r="6" spans="1:21">
      <c r="A6" s="285" t="s">
        <v>3</v>
      </c>
      <c r="B6" s="285"/>
      <c r="C6" s="285"/>
      <c r="D6" s="285"/>
      <c r="E6" s="285"/>
      <c r="F6" s="285"/>
      <c r="G6" s="285"/>
      <c r="H6" s="285"/>
      <c r="I6" s="285"/>
      <c r="O6" s="28"/>
      <c r="P6" s="28"/>
      <c r="R6" s="28"/>
      <c r="S6" s="28"/>
      <c r="T6" s="28"/>
    </row>
    <row r="7" spans="1:21">
      <c r="A7" s="299" t="s">
        <v>28</v>
      </c>
      <c r="B7" s="299"/>
      <c r="C7" s="299"/>
      <c r="D7" s="299"/>
      <c r="E7" s="299"/>
      <c r="F7" s="299"/>
      <c r="G7" s="299"/>
      <c r="H7" s="299"/>
      <c r="I7" s="299"/>
      <c r="O7" s="28"/>
      <c r="P7" s="28"/>
      <c r="R7" s="28"/>
      <c r="S7" s="28"/>
      <c r="T7" s="28"/>
    </row>
    <row r="8" spans="1:21">
      <c r="A8" s="285" t="s">
        <v>43</v>
      </c>
      <c r="B8" s="285"/>
      <c r="C8" s="285"/>
      <c r="D8" s="285"/>
      <c r="E8" s="285"/>
      <c r="F8" s="285"/>
      <c r="G8" s="285"/>
      <c r="H8" s="285"/>
      <c r="I8" s="285"/>
      <c r="O8" s="28"/>
      <c r="P8" s="28"/>
      <c r="R8" s="28"/>
      <c r="S8" s="28"/>
      <c r="T8" s="28"/>
    </row>
    <row r="9" spans="1:21">
      <c r="A9" s="285" t="s">
        <v>5</v>
      </c>
      <c r="B9" s="285"/>
      <c r="C9" s="285"/>
      <c r="D9" s="285"/>
      <c r="E9" s="285"/>
      <c r="F9" s="285"/>
      <c r="G9" s="285"/>
      <c r="H9" s="285"/>
      <c r="I9" s="285"/>
      <c r="O9" s="28"/>
      <c r="P9" s="28"/>
      <c r="R9" s="28"/>
      <c r="S9" s="28"/>
      <c r="T9" s="28"/>
    </row>
    <row r="10" spans="1:21" ht="15" customHeight="1">
      <c r="A10" s="300"/>
      <c r="B10" s="300"/>
      <c r="C10" s="300"/>
      <c r="D10" s="300"/>
      <c r="E10" s="300"/>
      <c r="F10" s="300"/>
      <c r="G10" s="300"/>
      <c r="H10" s="300"/>
      <c r="I10" s="300"/>
      <c r="O10" s="28"/>
      <c r="P10" s="28"/>
      <c r="R10" s="28"/>
      <c r="S10" s="28"/>
      <c r="T10" s="28"/>
    </row>
    <row r="11" spans="1:21" ht="15.75" customHeight="1">
      <c r="A11" s="286" t="s">
        <v>6</v>
      </c>
      <c r="B11" s="287" t="s">
        <v>7</v>
      </c>
      <c r="C11" s="288"/>
      <c r="D11" s="286" t="s">
        <v>8</v>
      </c>
      <c r="E11" s="286" t="s">
        <v>9</v>
      </c>
      <c r="F11" s="287" t="s">
        <v>10</v>
      </c>
      <c r="G11" s="288"/>
      <c r="H11" s="287" t="s">
        <v>11</v>
      </c>
      <c r="I11" s="297"/>
      <c r="O11" s="286" t="s">
        <v>6</v>
      </c>
      <c r="P11" s="115" t="s">
        <v>7</v>
      </c>
      <c r="Q11" s="286" t="s">
        <v>8</v>
      </c>
      <c r="R11" s="286" t="s">
        <v>9</v>
      </c>
      <c r="S11" s="287" t="s">
        <v>10</v>
      </c>
      <c r="T11" s="288"/>
    </row>
    <row r="12" spans="1:21" ht="15.75" customHeight="1">
      <c r="A12" s="286"/>
      <c r="B12" s="289" t="s">
        <v>12</v>
      </c>
      <c r="C12" s="291" t="s">
        <v>13</v>
      </c>
      <c r="D12" s="286"/>
      <c r="E12" s="286"/>
      <c r="F12" s="291" t="s">
        <v>14</v>
      </c>
      <c r="G12" s="293" t="s">
        <v>15</v>
      </c>
      <c r="H12" s="291" t="s">
        <v>14</v>
      </c>
      <c r="I12" s="291" t="s">
        <v>15</v>
      </c>
      <c r="O12" s="286"/>
      <c r="P12" s="289" t="s">
        <v>12</v>
      </c>
      <c r="Q12" s="286"/>
      <c r="R12" s="286"/>
      <c r="S12" s="291" t="s">
        <v>14</v>
      </c>
      <c r="T12" s="293" t="s">
        <v>15</v>
      </c>
    </row>
    <row r="13" spans="1:21" ht="18" customHeight="1">
      <c r="A13" s="286"/>
      <c r="B13" s="290"/>
      <c r="C13" s="292"/>
      <c r="D13" s="286"/>
      <c r="E13" s="286"/>
      <c r="F13" s="292"/>
      <c r="G13" s="294"/>
      <c r="H13" s="292"/>
      <c r="I13" s="292"/>
      <c r="O13" s="286"/>
      <c r="P13" s="290"/>
      <c r="Q13" s="286"/>
      <c r="R13" s="286"/>
      <c r="S13" s="292"/>
      <c r="T13" s="294"/>
    </row>
    <row r="14" spans="1:21" s="27" customFormat="1" ht="12" customHeight="1">
      <c r="A14" s="29" t="s">
        <v>16</v>
      </c>
      <c r="B14" s="30" t="s">
        <v>17</v>
      </c>
      <c r="C14" s="29" t="s">
        <v>18</v>
      </c>
      <c r="D14" s="29" t="s">
        <v>19</v>
      </c>
      <c r="E14" s="29" t="s">
        <v>20</v>
      </c>
      <c r="F14" s="29">
        <v>1</v>
      </c>
      <c r="G14" s="31">
        <v>2</v>
      </c>
      <c r="H14" s="29">
        <v>3</v>
      </c>
      <c r="I14" s="29">
        <v>4</v>
      </c>
      <c r="K14" s="26"/>
      <c r="O14" s="29" t="s">
        <v>16</v>
      </c>
      <c r="P14" s="30" t="s">
        <v>17</v>
      </c>
      <c r="Q14" s="29" t="s">
        <v>19</v>
      </c>
      <c r="R14" s="29" t="s">
        <v>20</v>
      </c>
      <c r="S14" s="29">
        <v>1</v>
      </c>
      <c r="T14" s="31">
        <v>2</v>
      </c>
      <c r="U14" s="138"/>
    </row>
    <row r="15" spans="1:21" ht="19.5" customHeight="1">
      <c r="A15" s="32"/>
      <c r="B15" s="33"/>
      <c r="C15" s="32"/>
      <c r="D15" s="34" t="s">
        <v>21</v>
      </c>
      <c r="E15" s="35"/>
      <c r="F15" s="21"/>
      <c r="G15" s="20"/>
      <c r="H15" s="21">
        <v>8650400</v>
      </c>
      <c r="I15" s="21">
        <v>0</v>
      </c>
      <c r="J15" s="36"/>
      <c r="O15" s="32"/>
      <c r="P15" s="33"/>
      <c r="Q15" s="34"/>
      <c r="R15" s="35"/>
      <c r="S15" s="21"/>
      <c r="T15" s="20"/>
    </row>
    <row r="16" spans="1:21" ht="19.5" customHeight="1">
      <c r="A16" s="61">
        <v>41284</v>
      </c>
      <c r="B16" s="94" t="s">
        <v>135</v>
      </c>
      <c r="C16" s="95">
        <v>41284</v>
      </c>
      <c r="D16" s="96" t="s">
        <v>44</v>
      </c>
      <c r="E16" s="97" t="s">
        <v>45</v>
      </c>
      <c r="F16" s="98">
        <v>400000000</v>
      </c>
      <c r="G16" s="99"/>
      <c r="H16" s="93">
        <f>MAX(H15+F16-I15-G16,0)</f>
        <v>408650400</v>
      </c>
      <c r="I16" s="93">
        <f>MAX(I15+G16-H15-F16,0)</f>
        <v>0</v>
      </c>
      <c r="J16" s="36">
        <v>4</v>
      </c>
      <c r="O16" s="61">
        <f ca="1">IF(ROWS($1:1)&gt;COUNT(Dong),"",OFFSET('141-BH'!A$1,SMALL(Dong,ROWS($1:1)),))</f>
        <v>41403</v>
      </c>
      <c r="P16" s="61" t="str">
        <f ca="1">IF(ROWS($1:1)&gt;COUNT(Dong),"",OFFSET('141-BH'!B$1,SMALL(Dong,ROWS($1:1)),))</f>
        <v>C10</v>
      </c>
      <c r="Q16" s="100" t="str">
        <f ca="1">IF(ROWS($1:1)&gt;COUNT(Dong),"",OFFSET('141-BH'!D$1,SMALL(Dong,ROWS($1:1)),))</f>
        <v>Tạm ứng mua NL</v>
      </c>
      <c r="R16" s="61" t="str">
        <f ca="1">IF(ROWS($1:1)&gt;COUNT(Dong),"",OFFSET('141-BH'!E$1,SMALL(Dong,ROWS($1:1)),))</f>
        <v>111</v>
      </c>
      <c r="S16" s="93">
        <f ca="1">IF(ROWS($1:1)&gt;COUNT(Dong),"",OFFSET('141-BH'!F$1,SMALL(Dong,ROWS($1:1)),))</f>
        <v>550000000</v>
      </c>
      <c r="T16" s="93">
        <f ca="1">IF(ROWS($1:1)&gt;COUNT(Dong),"",OFFSET('141-BH'!G$1,SMALL(Dong,ROWS($1:1)),))</f>
        <v>0</v>
      </c>
      <c r="U16" s="139" t="str">
        <f ca="1">IF(IF(ROWS($1:1)&gt;COUNT(Dong),"",OFFSET('141-BH'!K$1,SMALL(Dong,ROWS($1:1)),))=0,"",IF(ROWS($1:1)&gt;COUNT(Dong),"",OFFSET('141-BH'!K$1,SMALL(Dong,ROWS($1:1)),)))</f>
        <v/>
      </c>
    </row>
    <row r="17" spans="1:21" ht="19.5" customHeight="1">
      <c r="A17" s="11">
        <v>41347</v>
      </c>
      <c r="B17" s="17" t="s">
        <v>60</v>
      </c>
      <c r="C17" s="14">
        <v>41347</v>
      </c>
      <c r="D17" s="16" t="s">
        <v>44</v>
      </c>
      <c r="E17" s="97" t="s">
        <v>45</v>
      </c>
      <c r="F17" s="9">
        <v>600000000</v>
      </c>
      <c r="G17" s="19"/>
      <c r="H17" s="5">
        <f>MAX(H16+F17-I16-G17,0)</f>
        <v>1008650400</v>
      </c>
      <c r="I17" s="5">
        <f>MAX(I16+G17-H16-F17,0)</f>
        <v>0</v>
      </c>
      <c r="J17" s="36">
        <v>4</v>
      </c>
      <c r="O17" s="61">
        <f ca="1">IF(ROWS($1:2)&gt;COUNT(Dong),"",OFFSET('141-BH'!A$1,SMALL(Dong,ROWS($1:2)),))</f>
        <v>41404</v>
      </c>
      <c r="P17" s="61" t="str">
        <f ca="1">IF(ROWS($1:2)&gt;COUNT(Dong),"",OFFSET('141-BH'!B$1,SMALL(Dong,ROWS($1:2)),))</f>
        <v>C13</v>
      </c>
      <c r="Q17" s="100" t="str">
        <f ca="1">IF(ROWS($1:2)&gt;COUNT(Dong),"",OFFSET('141-BH'!D$1,SMALL(Dong,ROWS($1:2)),))</f>
        <v>Tạm ứng mua NL</v>
      </c>
      <c r="R17" s="61" t="str">
        <f ca="1">IF(ROWS($1:2)&gt;COUNT(Dong),"",OFFSET('141-BH'!E$1,SMALL(Dong,ROWS($1:2)),))</f>
        <v>111</v>
      </c>
      <c r="S17" s="93">
        <f ca="1">IF(ROWS($1:2)&gt;COUNT(Dong),"",OFFSET('141-BH'!F$1,SMALL(Dong,ROWS($1:2)),))</f>
        <v>510000000</v>
      </c>
      <c r="T17" s="93">
        <f ca="1">IF(ROWS($1:2)&gt;COUNT(Dong),"",OFFSET('141-BH'!G$1,SMALL(Dong,ROWS($1:2)),))</f>
        <v>0</v>
      </c>
      <c r="U17" s="139" t="str">
        <f ca="1">IF(IF(ROWS($1:2)&gt;COUNT(Dong),"",OFFSET('141-BH'!K$1,SMALL(Dong,ROWS($1:2)),))=0,"",IF(ROWS($1:2)&gt;COUNT(Dong),"",OFFSET('141-BH'!K$1,SMALL(Dong,ROWS($1:2)),)))</f>
        <v/>
      </c>
    </row>
    <row r="18" spans="1:21" ht="19.5" customHeight="1">
      <c r="A18" s="11">
        <v>41360</v>
      </c>
      <c r="B18" s="17" t="s">
        <v>161</v>
      </c>
      <c r="C18" s="14">
        <v>41360</v>
      </c>
      <c r="D18" s="16" t="s">
        <v>44</v>
      </c>
      <c r="E18" s="97" t="s">
        <v>45</v>
      </c>
      <c r="F18" s="9">
        <v>600000000</v>
      </c>
      <c r="G18" s="19"/>
      <c r="H18" s="5">
        <f t="shared" ref="H18:H25" si="0">MAX(H17+F18-I17-G18,0)</f>
        <v>1608650400</v>
      </c>
      <c r="I18" s="5">
        <f t="shared" ref="I18:I25" si="1">MAX(I17+G18-H17-F18,0)</f>
        <v>0</v>
      </c>
      <c r="J18" s="36">
        <v>4</v>
      </c>
      <c r="O18" s="61">
        <f ca="1">IF(ROWS($1:3)&gt;COUNT(Dong),"",OFFSET('141-BH'!A$1,SMALL(Dong,ROWS($1:3)),))</f>
        <v>41423</v>
      </c>
      <c r="P18" s="61" t="str">
        <f ca="1">IF(ROWS($1:3)&gt;COUNT(Dong),"",OFFSET('141-BH'!B$1,SMALL(Dong,ROWS($1:3)),))</f>
        <v>TU04</v>
      </c>
      <c r="Q18" s="100" t="str">
        <f ca="1">IF(ROWS($1:3)&gt;COUNT(Dong),"",OFFSET('141-BH'!D$1,SMALL(Dong,ROWS($1:3)),))</f>
        <v>Lê Hoàng Long</v>
      </c>
      <c r="R18" s="61" t="str">
        <f ca="1">IF(ROWS($1:3)&gt;COUNT(Dong),"",OFFSET('141-BH'!E$1,SMALL(Dong,ROWS($1:3)),))</f>
        <v>331</v>
      </c>
      <c r="S18" s="93">
        <f ca="1">IF(ROWS($1:3)&gt;COUNT(Dong),"",OFFSET('141-BH'!F$1,SMALL(Dong,ROWS($1:3)),))</f>
        <v>0</v>
      </c>
      <c r="T18" s="93">
        <f ca="1">IF(ROWS($1:3)&gt;COUNT(Dong),"",OFFSET('141-BH'!G$1,SMALL(Dong,ROWS($1:3)),))</f>
        <v>170612000</v>
      </c>
      <c r="U18" s="139" t="str">
        <f ca="1">IF(IF(ROWS($1:3)&gt;COUNT(Dong),"",OFFSET('141-BH'!K$1,SMALL(Dong,ROWS($1:3)),))=0,"",IF(ROWS($1:3)&gt;COUNT(Dong),"",OFFSET('141-BH'!K$1,SMALL(Dong,ROWS($1:3)),)))</f>
        <v>NL04 &amp; NL15</v>
      </c>
    </row>
    <row r="19" spans="1:21" ht="19.5" customHeight="1">
      <c r="A19" s="11">
        <v>41377</v>
      </c>
      <c r="B19" s="17" t="s">
        <v>150</v>
      </c>
      <c r="C19" s="14">
        <v>41377</v>
      </c>
      <c r="D19" s="16" t="s">
        <v>44</v>
      </c>
      <c r="E19" s="97" t="s">
        <v>45</v>
      </c>
      <c r="F19" s="9">
        <v>550000000</v>
      </c>
      <c r="G19" s="19"/>
      <c r="H19" s="5">
        <f t="shared" si="0"/>
        <v>2158650400</v>
      </c>
      <c r="I19" s="5">
        <f t="shared" si="1"/>
        <v>0</v>
      </c>
      <c r="J19" s="36">
        <v>4</v>
      </c>
      <c r="O19" s="61">
        <f ca="1">IF(ROWS($1:4)&gt;COUNT(Dong),"",OFFSET('141-BH'!A$1,SMALL(Dong,ROWS($1:4)),))</f>
        <v>41423</v>
      </c>
      <c r="P19" s="61" t="str">
        <f ca="1">IF(ROWS($1:4)&gt;COUNT(Dong),"",OFFSET('141-BH'!B$1,SMALL(Dong,ROWS($1:4)),))</f>
        <v>TU04</v>
      </c>
      <c r="Q19" s="100" t="str">
        <f ca="1">IF(ROWS($1:4)&gt;COUNT(Dong),"",OFFSET('141-BH'!D$1,SMALL(Dong,ROWS($1:4)),))</f>
        <v>Nguyễn Thị Kim Vân</v>
      </c>
      <c r="R19" s="61" t="str">
        <f ca="1">IF(ROWS($1:4)&gt;COUNT(Dong),"",OFFSET('141-BH'!E$1,SMALL(Dong,ROWS($1:4)),))</f>
        <v>331</v>
      </c>
      <c r="S19" s="93">
        <f ca="1">IF(ROWS($1:4)&gt;COUNT(Dong),"",OFFSET('141-BH'!F$1,SMALL(Dong,ROWS($1:4)),))</f>
        <v>0</v>
      </c>
      <c r="T19" s="93">
        <f ca="1">IF(ROWS($1:4)&gt;COUNT(Dong),"",OFFSET('141-BH'!G$1,SMALL(Dong,ROWS($1:4)),))</f>
        <v>155791000</v>
      </c>
      <c r="U19" s="139" t="str">
        <f ca="1">IF(IF(ROWS($1:4)&gt;COUNT(Dong),"",OFFSET('141-BH'!K$1,SMALL(Dong,ROWS($1:4)),))=0,"",IF(ROWS($1:4)&gt;COUNT(Dong),"",OFFSET('141-BH'!K$1,SMALL(Dong,ROWS($1:4)),)))</f>
        <v>NL07 &amp; NL21</v>
      </c>
    </row>
    <row r="20" spans="1:21" ht="19.5" customHeight="1">
      <c r="A20" s="11">
        <v>41381</v>
      </c>
      <c r="B20" s="17" t="s">
        <v>161</v>
      </c>
      <c r="C20" s="14">
        <v>41381</v>
      </c>
      <c r="D20" s="16" t="s">
        <v>44</v>
      </c>
      <c r="E20" s="97" t="s">
        <v>45</v>
      </c>
      <c r="F20" s="9">
        <v>500000000</v>
      </c>
      <c r="G20" s="19"/>
      <c r="H20" s="5">
        <f t="shared" si="0"/>
        <v>2658650400</v>
      </c>
      <c r="I20" s="5">
        <f t="shared" si="1"/>
        <v>0</v>
      </c>
      <c r="J20" s="36">
        <v>4</v>
      </c>
      <c r="O20" s="61">
        <f ca="1">IF(ROWS($1:5)&gt;COUNT(Dong),"",OFFSET('141-BH'!A$1,SMALL(Dong,ROWS($1:5)),))</f>
        <v>41423</v>
      </c>
      <c r="P20" s="61" t="str">
        <f ca="1">IF(ROWS($1:5)&gt;COUNT(Dong),"",OFFSET('141-BH'!B$1,SMALL(Dong,ROWS($1:5)),))</f>
        <v>TU04</v>
      </c>
      <c r="Q20" s="100" t="str">
        <f ca="1">IF(ROWS($1:5)&gt;COUNT(Dong),"",OFFSET('141-BH'!D$1,SMALL(Dong,ROWS($1:5)),))</f>
        <v>Phạm Thị Bảy</v>
      </c>
      <c r="R20" s="61" t="str">
        <f ca="1">IF(ROWS($1:5)&gt;COUNT(Dong),"",OFFSET('141-BH'!E$1,SMALL(Dong,ROWS($1:5)),))</f>
        <v>331</v>
      </c>
      <c r="S20" s="93">
        <f ca="1">IF(ROWS($1:5)&gt;COUNT(Dong),"",OFFSET('141-BH'!F$1,SMALL(Dong,ROWS($1:5)),))</f>
        <v>0</v>
      </c>
      <c r="T20" s="93">
        <f ca="1">IF(ROWS($1:5)&gt;COUNT(Dong),"",OFFSET('141-BH'!G$1,SMALL(Dong,ROWS($1:5)),))</f>
        <v>167594000</v>
      </c>
      <c r="U20" s="139" t="str">
        <f ca="1">IF(IF(ROWS($1:5)&gt;COUNT(Dong),"",OFFSET('141-BH'!K$1,SMALL(Dong,ROWS($1:5)),))=0,"",IF(ROWS($1:5)&gt;COUNT(Dong),"",OFFSET('141-BH'!K$1,SMALL(Dong,ROWS($1:5)),)))</f>
        <v>NL06 &amp; NL20</v>
      </c>
    </row>
    <row r="21" spans="1:21" ht="19.5" customHeight="1">
      <c r="A21" s="11">
        <v>41382</v>
      </c>
      <c r="B21" s="17" t="s">
        <v>61</v>
      </c>
      <c r="C21" s="14">
        <v>41382</v>
      </c>
      <c r="D21" s="16" t="s">
        <v>44</v>
      </c>
      <c r="E21" s="97" t="s">
        <v>45</v>
      </c>
      <c r="F21" s="89">
        <v>370000000</v>
      </c>
      <c r="G21" s="19"/>
      <c r="H21" s="5">
        <f t="shared" si="0"/>
        <v>3028650400</v>
      </c>
      <c r="I21" s="5">
        <f t="shared" si="1"/>
        <v>0</v>
      </c>
      <c r="J21" s="36">
        <v>4</v>
      </c>
      <c r="O21" s="61">
        <f ca="1">IF(ROWS($1:6)&gt;COUNT(Dong),"",OFFSET('141-BH'!A$1,SMALL(Dong,ROWS($1:6)),))</f>
        <v>41423</v>
      </c>
      <c r="P21" s="61" t="str">
        <f ca="1">IF(ROWS($1:6)&gt;COUNT(Dong),"",OFFSET('141-BH'!B$1,SMALL(Dong,ROWS($1:6)),))</f>
        <v>TU04</v>
      </c>
      <c r="Q21" s="100" t="str">
        <f ca="1">IF(ROWS($1:6)&gt;COUNT(Dong),"",OFFSET('141-BH'!D$1,SMALL(Dong,ROWS($1:6)),))</f>
        <v>Tiêu Vĩnh Phát</v>
      </c>
      <c r="R21" s="61" t="str">
        <f ca="1">IF(ROWS($1:6)&gt;COUNT(Dong),"",OFFSET('141-BH'!E$1,SMALL(Dong,ROWS($1:6)),))</f>
        <v>331</v>
      </c>
      <c r="S21" s="93">
        <f ca="1">IF(ROWS($1:6)&gt;COUNT(Dong),"",OFFSET('141-BH'!F$1,SMALL(Dong,ROWS($1:6)),))</f>
        <v>0</v>
      </c>
      <c r="T21" s="93">
        <f ca="1">IF(ROWS($1:6)&gt;COUNT(Dong),"",OFFSET('141-BH'!G$1,SMALL(Dong,ROWS($1:6)),))</f>
        <v>188984000</v>
      </c>
      <c r="U21" s="139" t="str">
        <f ca="1">IF(IF(ROWS($1:6)&gt;COUNT(Dong),"",OFFSET('141-BH'!K$1,SMALL(Dong,ROWS($1:6)),))=0,"",IF(ROWS($1:6)&gt;COUNT(Dong),"",OFFSET('141-BH'!K$1,SMALL(Dong,ROWS($1:6)),)))</f>
        <v>NL02 &amp; NL13</v>
      </c>
    </row>
    <row r="22" spans="1:21" ht="19.5" customHeight="1">
      <c r="A22" s="11">
        <v>41393</v>
      </c>
      <c r="B22" s="38" t="s">
        <v>65</v>
      </c>
      <c r="C22" s="14">
        <v>41393</v>
      </c>
      <c r="D22" s="10" t="s">
        <v>139</v>
      </c>
      <c r="E22" s="37" t="s">
        <v>42</v>
      </c>
      <c r="F22" s="19"/>
      <c r="G22" s="9">
        <v>189414000</v>
      </c>
      <c r="H22" s="5">
        <f t="shared" si="0"/>
        <v>2839236400</v>
      </c>
      <c r="I22" s="5">
        <f t="shared" si="1"/>
        <v>0</v>
      </c>
      <c r="J22" s="36">
        <v>4</v>
      </c>
      <c r="K22" s="133" t="s">
        <v>197</v>
      </c>
      <c r="O22" s="61">
        <f ca="1">IF(ROWS($1:7)&gt;COUNT(Dong),"",OFFSET('141-BH'!A$1,SMALL(Dong,ROWS($1:7)),))</f>
        <v>41423</v>
      </c>
      <c r="P22" s="61" t="str">
        <f ca="1">IF(ROWS($1:7)&gt;COUNT(Dong),"",OFFSET('141-BH'!B$1,SMALL(Dong,ROWS($1:7)),))</f>
        <v>TU04</v>
      </c>
      <c r="Q22" s="100" t="str">
        <f ca="1">IF(ROWS($1:7)&gt;COUNT(Dong),"",OFFSET('141-BH'!D$1,SMALL(Dong,ROWS($1:7)),))</f>
        <v>Trần Ngọc Quyên</v>
      </c>
      <c r="R22" s="61" t="str">
        <f ca="1">IF(ROWS($1:7)&gt;COUNT(Dong),"",OFFSET('141-BH'!E$1,SMALL(Dong,ROWS($1:7)),))</f>
        <v>331</v>
      </c>
      <c r="S22" s="93">
        <f ca="1">IF(ROWS($1:7)&gt;COUNT(Dong),"",OFFSET('141-BH'!F$1,SMALL(Dong,ROWS($1:7)),))</f>
        <v>0</v>
      </c>
      <c r="T22" s="93">
        <f ca="1">IF(ROWS($1:7)&gt;COUNT(Dong),"",OFFSET('141-BH'!G$1,SMALL(Dong,ROWS($1:7)),))</f>
        <v>196223000</v>
      </c>
      <c r="U22" s="139" t="str">
        <f ca="1">IF(IF(ROWS($1:7)&gt;COUNT(Dong),"",OFFSET('141-BH'!K$1,SMALL(Dong,ROWS($1:7)),))=0,"",IF(ROWS($1:7)&gt;COUNT(Dong),"",OFFSET('141-BH'!K$1,SMALL(Dong,ROWS($1:7)),)))</f>
        <v>NL01 &amp; NL12</v>
      </c>
    </row>
    <row r="23" spans="1:21" ht="19.5" customHeight="1">
      <c r="A23" s="11">
        <v>41393</v>
      </c>
      <c r="B23" s="38" t="s">
        <v>65</v>
      </c>
      <c r="C23" s="14">
        <v>41393</v>
      </c>
      <c r="D23" s="16" t="s">
        <v>184</v>
      </c>
      <c r="E23" s="37" t="s">
        <v>42</v>
      </c>
      <c r="F23" s="19"/>
      <c r="G23" s="19">
        <v>152656000</v>
      </c>
      <c r="H23" s="5">
        <f t="shared" si="0"/>
        <v>2686580400</v>
      </c>
      <c r="I23" s="5">
        <f t="shared" si="1"/>
        <v>0</v>
      </c>
      <c r="J23" s="36">
        <v>4</v>
      </c>
      <c r="K23" s="133" t="s">
        <v>198</v>
      </c>
      <c r="O23" s="61">
        <f ca="1">IF(ROWS($1:8)&gt;COUNT(Dong),"",OFFSET('141-BH'!A$1,SMALL(Dong,ROWS($1:8)),))</f>
        <v>41423</v>
      </c>
      <c r="P23" s="61" t="str">
        <f ca="1">IF(ROWS($1:8)&gt;COUNT(Dong),"",OFFSET('141-BH'!B$1,SMALL(Dong,ROWS($1:8)),))</f>
        <v>TU04</v>
      </c>
      <c r="Q23" s="100" t="str">
        <f ca="1">IF(ROWS($1:8)&gt;COUNT(Dong),"",OFFSET('141-BH'!D$1,SMALL(Dong,ROWS($1:8)),))</f>
        <v>Vương Hải Thạnh</v>
      </c>
      <c r="R23" s="61" t="str">
        <f ca="1">IF(ROWS($1:8)&gt;COUNT(Dong),"",OFFSET('141-BH'!E$1,SMALL(Dong,ROWS($1:8)),))</f>
        <v>331</v>
      </c>
      <c r="S23" s="93">
        <f ca="1">IF(ROWS($1:8)&gt;COUNT(Dong),"",OFFSET('141-BH'!F$1,SMALL(Dong,ROWS($1:8)),))</f>
        <v>0</v>
      </c>
      <c r="T23" s="93">
        <f ca="1">IF(ROWS($1:8)&gt;COUNT(Dong),"",OFFSET('141-BH'!G$1,SMALL(Dong,ROWS($1:8)),))</f>
        <v>181192000</v>
      </c>
      <c r="U23" s="139" t="str">
        <f ca="1">IF(IF(ROWS($1:8)&gt;COUNT(Dong),"",OFFSET('141-BH'!K$1,SMALL(Dong,ROWS($1:8)),))=0,"",IF(ROWS($1:8)&gt;COUNT(Dong),"",OFFSET('141-BH'!K$1,SMALL(Dong,ROWS($1:8)),)))</f>
        <v>NL03 &amp; NL14</v>
      </c>
    </row>
    <row r="24" spans="1:21" ht="19.5" customHeight="1">
      <c r="A24" s="11">
        <v>41393</v>
      </c>
      <c r="B24" s="38" t="s">
        <v>65</v>
      </c>
      <c r="C24" s="14">
        <v>41393</v>
      </c>
      <c r="D24" s="16" t="s">
        <v>185</v>
      </c>
      <c r="E24" s="37" t="s">
        <v>42</v>
      </c>
      <c r="F24" s="19"/>
      <c r="G24" s="19">
        <v>284954000</v>
      </c>
      <c r="H24" s="5">
        <f t="shared" si="0"/>
        <v>2401626400</v>
      </c>
      <c r="I24" s="5">
        <f t="shared" si="1"/>
        <v>0</v>
      </c>
      <c r="J24" s="36">
        <v>4</v>
      </c>
      <c r="K24" s="133" t="s">
        <v>199</v>
      </c>
      <c r="O24" s="61" t="str">
        <f ca="1">IF(ROWS($1:9)&gt;COUNT(Dong),"",OFFSET('141-BH'!A$1,SMALL(Dong,ROWS($1:9)),))</f>
        <v/>
      </c>
      <c r="P24" s="61" t="str">
        <f ca="1">IF(ROWS($1:9)&gt;COUNT(Dong),"",OFFSET('141-BH'!B$1,SMALL(Dong,ROWS($1:9)),))</f>
        <v/>
      </c>
      <c r="Q24" s="100" t="str">
        <f ca="1">IF(ROWS($1:9)&gt;COUNT(Dong),"",OFFSET('141-BH'!D$1,SMALL(Dong,ROWS($1:9)),))</f>
        <v/>
      </c>
      <c r="R24" s="61" t="str">
        <f ca="1">IF(ROWS($1:9)&gt;COUNT(Dong),"",OFFSET('141-BH'!E$1,SMALL(Dong,ROWS($1:9)),))</f>
        <v/>
      </c>
      <c r="S24" s="93" t="str">
        <f ca="1">IF(ROWS($1:9)&gt;COUNT(Dong),"",OFFSET('141-BH'!F$1,SMALL(Dong,ROWS($1:9)),))</f>
        <v/>
      </c>
      <c r="T24" s="93" t="str">
        <f ca="1">IF(ROWS($1:9)&gt;COUNT(Dong),"",OFFSET('141-BH'!G$1,SMALL(Dong,ROWS($1:9)),))</f>
        <v/>
      </c>
      <c r="U24" s="139" t="str">
        <f ca="1">IF(IF(ROWS($1:9)&gt;COUNT(Dong),"",OFFSET('141-BH'!K$1,SMALL(Dong,ROWS($1:9)),))=0,"",IF(ROWS($1:9)&gt;COUNT(Dong),"",OFFSET('141-BH'!K$1,SMALL(Dong,ROWS($1:9)),)))</f>
        <v/>
      </c>
    </row>
    <row r="25" spans="1:21" ht="19.5" customHeight="1">
      <c r="A25" s="11">
        <v>41393</v>
      </c>
      <c r="B25" s="38" t="s">
        <v>65</v>
      </c>
      <c r="C25" s="14">
        <v>41393</v>
      </c>
      <c r="D25" s="16" t="s">
        <v>186</v>
      </c>
      <c r="E25" s="37" t="s">
        <v>42</v>
      </c>
      <c r="F25" s="19"/>
      <c r="G25" s="19">
        <v>98787000</v>
      </c>
      <c r="H25" s="5">
        <f t="shared" si="0"/>
        <v>2302839400</v>
      </c>
      <c r="I25" s="5">
        <f t="shared" si="1"/>
        <v>0</v>
      </c>
      <c r="J25" s="36">
        <v>4</v>
      </c>
      <c r="K25" s="133" t="s">
        <v>200</v>
      </c>
      <c r="O25" s="61" t="str">
        <f ca="1">IF(ROWS($1:10)&gt;COUNT(Dong),"",OFFSET('141-BH'!A$1,SMALL(Dong,ROWS($1:10)),))</f>
        <v/>
      </c>
      <c r="P25" s="61" t="str">
        <f ca="1">IF(ROWS($1:10)&gt;COUNT(Dong),"",OFFSET('141-BH'!B$1,SMALL(Dong,ROWS($1:10)),))</f>
        <v/>
      </c>
      <c r="Q25" s="100" t="str">
        <f ca="1">IF(ROWS($1:10)&gt;COUNT(Dong),"",OFFSET('141-BH'!D$1,SMALL(Dong,ROWS($1:10)),))</f>
        <v/>
      </c>
      <c r="R25" s="61" t="str">
        <f ca="1">IF(ROWS($1:10)&gt;COUNT(Dong),"",OFFSET('141-BH'!E$1,SMALL(Dong,ROWS($1:10)),))</f>
        <v/>
      </c>
      <c r="S25" s="93" t="str">
        <f ca="1">IF(ROWS($1:10)&gt;COUNT(Dong),"",OFFSET('141-BH'!F$1,SMALL(Dong,ROWS($1:10)),))</f>
        <v/>
      </c>
      <c r="T25" s="93" t="str">
        <f ca="1">IF(ROWS($1:10)&gt;COUNT(Dong),"",OFFSET('141-BH'!G$1,SMALL(Dong,ROWS($1:10)),))</f>
        <v/>
      </c>
      <c r="U25" s="139" t="str">
        <f ca="1">IF(IF(ROWS($1:10)&gt;COUNT(Dong),"",OFFSET('141-BH'!K$1,SMALL(Dong,ROWS($1:10)),))=0,"",IF(ROWS($1:10)&gt;COUNT(Dong),"",OFFSET('141-BH'!K$1,SMALL(Dong,ROWS($1:10)),)))</f>
        <v/>
      </c>
    </row>
    <row r="26" spans="1:21" s="52" customFormat="1" ht="19.5" customHeight="1">
      <c r="A26" s="11">
        <v>41393</v>
      </c>
      <c r="B26" s="38" t="s">
        <v>65</v>
      </c>
      <c r="C26" s="14">
        <v>41393</v>
      </c>
      <c r="D26" s="16" t="s">
        <v>31</v>
      </c>
      <c r="E26" s="37" t="s">
        <v>42</v>
      </c>
      <c r="F26" s="19"/>
      <c r="G26" s="19">
        <v>127818000</v>
      </c>
      <c r="H26" s="5">
        <f t="shared" ref="H26:H83" si="2">MAX(H25+F26-I25-G26,0)</f>
        <v>2175021400</v>
      </c>
      <c r="I26" s="5">
        <f t="shared" ref="I26:I83" si="3">MAX(I25+G26-H25-F26,0)</f>
        <v>0</v>
      </c>
      <c r="J26" s="36">
        <v>4</v>
      </c>
      <c r="K26" s="133" t="s">
        <v>201</v>
      </c>
      <c r="O26" s="61" t="str">
        <f ca="1">IF(ROWS($1:11)&gt;COUNT(Dong),"",OFFSET('141-BH'!A$1,SMALL(Dong,ROWS($1:11)),))</f>
        <v/>
      </c>
      <c r="P26" s="61" t="str">
        <f ca="1">IF(ROWS($1:11)&gt;COUNT(Dong),"",OFFSET('141-BH'!B$1,SMALL(Dong,ROWS($1:11)),))</f>
        <v/>
      </c>
      <c r="Q26" s="100" t="str">
        <f ca="1">IF(ROWS($1:11)&gt;COUNT(Dong),"",OFFSET('141-BH'!D$1,SMALL(Dong,ROWS($1:11)),))</f>
        <v/>
      </c>
      <c r="R26" s="61" t="str">
        <f ca="1">IF(ROWS($1:11)&gt;COUNT(Dong),"",OFFSET('141-BH'!E$1,SMALL(Dong,ROWS($1:11)),))</f>
        <v/>
      </c>
      <c r="S26" s="93" t="str">
        <f ca="1">IF(ROWS($1:11)&gt;COUNT(Dong),"",OFFSET('141-BH'!F$1,SMALL(Dong,ROWS($1:11)),))</f>
        <v/>
      </c>
      <c r="T26" s="93" t="str">
        <f ca="1">IF(ROWS($1:11)&gt;COUNT(Dong),"",OFFSET('141-BH'!G$1,SMALL(Dong,ROWS($1:11)),))</f>
        <v/>
      </c>
      <c r="U26" s="139" t="str">
        <f ca="1">IF(IF(ROWS($1:11)&gt;COUNT(Dong),"",OFFSET('141-BH'!K$1,SMALL(Dong,ROWS($1:11)),))=0,"",IF(ROWS($1:11)&gt;COUNT(Dong),"",OFFSET('141-BH'!K$1,SMALL(Dong,ROWS($1:11)),)))</f>
        <v/>
      </c>
    </row>
    <row r="27" spans="1:21" ht="19.5" customHeight="1">
      <c r="A27" s="11">
        <v>41393</v>
      </c>
      <c r="B27" s="38" t="s">
        <v>65</v>
      </c>
      <c r="C27" s="14">
        <v>41393</v>
      </c>
      <c r="D27" s="16" t="s">
        <v>131</v>
      </c>
      <c r="E27" s="37" t="s">
        <v>42</v>
      </c>
      <c r="F27" s="19"/>
      <c r="G27" s="19">
        <v>320356000</v>
      </c>
      <c r="H27" s="5">
        <f t="shared" si="2"/>
        <v>1854665400</v>
      </c>
      <c r="I27" s="5">
        <f t="shared" si="3"/>
        <v>0</v>
      </c>
      <c r="J27" s="36">
        <v>4</v>
      </c>
      <c r="K27" s="133" t="s">
        <v>202</v>
      </c>
      <c r="O27" s="61" t="str">
        <f ca="1">IF(ROWS($1:12)&gt;COUNT(Dong),"",OFFSET('141-BH'!A$1,SMALL(Dong,ROWS($1:12)),))</f>
        <v/>
      </c>
      <c r="P27" s="61" t="str">
        <f ca="1">IF(ROWS($1:12)&gt;COUNT(Dong),"",OFFSET('141-BH'!B$1,SMALL(Dong,ROWS($1:12)),))</f>
        <v/>
      </c>
      <c r="Q27" s="100" t="str">
        <f ca="1">IF(ROWS($1:12)&gt;COUNT(Dong),"",OFFSET('141-BH'!D$1,SMALL(Dong,ROWS($1:12)),))</f>
        <v/>
      </c>
      <c r="R27" s="61" t="str">
        <f ca="1">IF(ROWS($1:12)&gt;COUNT(Dong),"",OFFSET('141-BH'!E$1,SMALL(Dong,ROWS($1:12)),))</f>
        <v/>
      </c>
      <c r="S27" s="93" t="str">
        <f ca="1">IF(ROWS($1:12)&gt;COUNT(Dong),"",OFFSET('141-BH'!F$1,SMALL(Dong,ROWS($1:12)),))</f>
        <v/>
      </c>
      <c r="T27" s="93" t="str">
        <f ca="1">IF(ROWS($1:12)&gt;COUNT(Dong),"",OFFSET('141-BH'!G$1,SMALL(Dong,ROWS($1:12)),))</f>
        <v/>
      </c>
      <c r="U27" s="139" t="str">
        <f ca="1">IF(IF(ROWS($1:12)&gt;COUNT(Dong),"",OFFSET('141-BH'!K$1,SMALL(Dong,ROWS($1:12)),))=0,"",IF(ROWS($1:12)&gt;COUNT(Dong),"",OFFSET('141-BH'!K$1,SMALL(Dong,ROWS($1:12)),)))</f>
        <v/>
      </c>
    </row>
    <row r="28" spans="1:21" ht="19.5" customHeight="1">
      <c r="A28" s="11">
        <v>41393</v>
      </c>
      <c r="B28" s="38" t="s">
        <v>65</v>
      </c>
      <c r="C28" s="14">
        <v>41393</v>
      </c>
      <c r="D28" s="16" t="s">
        <v>187</v>
      </c>
      <c r="E28" s="37" t="s">
        <v>42</v>
      </c>
      <c r="F28" s="19"/>
      <c r="G28" s="19">
        <v>153846000</v>
      </c>
      <c r="H28" s="5">
        <f t="shared" si="2"/>
        <v>1700819400</v>
      </c>
      <c r="I28" s="5">
        <f t="shared" si="3"/>
        <v>0</v>
      </c>
      <c r="J28" s="36">
        <v>4</v>
      </c>
      <c r="K28" s="133" t="s">
        <v>203</v>
      </c>
      <c r="O28" s="61" t="str">
        <f ca="1">IF(ROWS($1:13)&gt;COUNT(Dong),"",OFFSET('141-BH'!A$1,SMALL(Dong,ROWS($1:13)),))</f>
        <v/>
      </c>
      <c r="P28" s="61" t="str">
        <f ca="1">IF(ROWS($1:13)&gt;COUNT(Dong),"",OFFSET('141-BH'!B$1,SMALL(Dong,ROWS($1:13)),))</f>
        <v/>
      </c>
      <c r="Q28" s="100" t="str">
        <f ca="1">IF(ROWS($1:13)&gt;COUNT(Dong),"",OFFSET('141-BH'!D$1,SMALL(Dong,ROWS($1:13)),))</f>
        <v/>
      </c>
      <c r="R28" s="61" t="str">
        <f ca="1">IF(ROWS($1:13)&gt;COUNT(Dong),"",OFFSET('141-BH'!E$1,SMALL(Dong,ROWS($1:13)),))</f>
        <v/>
      </c>
      <c r="S28" s="93" t="str">
        <f ca="1">IF(ROWS($1:13)&gt;COUNT(Dong),"",OFFSET('141-BH'!F$1,SMALL(Dong,ROWS($1:13)),))</f>
        <v/>
      </c>
      <c r="T28" s="93" t="str">
        <f ca="1">IF(ROWS($1:13)&gt;COUNT(Dong),"",OFFSET('141-BH'!G$1,SMALL(Dong,ROWS($1:13)),))</f>
        <v/>
      </c>
      <c r="U28" s="139" t="str">
        <f ca="1">IF(IF(ROWS($1:13)&gt;COUNT(Dong),"",OFFSET('141-BH'!K$1,SMALL(Dong,ROWS($1:13)),))=0,"",IF(ROWS($1:13)&gt;COUNT(Dong),"",OFFSET('141-BH'!K$1,SMALL(Dong,ROWS($1:13)),)))</f>
        <v/>
      </c>
    </row>
    <row r="29" spans="1:21" ht="19.5" customHeight="1">
      <c r="A29" s="11">
        <v>41393</v>
      </c>
      <c r="B29" s="38" t="s">
        <v>65</v>
      </c>
      <c r="C29" s="14">
        <v>41393</v>
      </c>
      <c r="D29" s="16" t="s">
        <v>169</v>
      </c>
      <c r="E29" s="37" t="s">
        <v>42</v>
      </c>
      <c r="F29" s="19"/>
      <c r="G29" s="19">
        <v>272493000</v>
      </c>
      <c r="H29" s="5">
        <f t="shared" si="2"/>
        <v>1428326400</v>
      </c>
      <c r="I29" s="5">
        <f t="shared" si="3"/>
        <v>0</v>
      </c>
      <c r="J29" s="36">
        <v>4</v>
      </c>
      <c r="K29" s="133" t="s">
        <v>204</v>
      </c>
      <c r="O29" s="61" t="str">
        <f ca="1">IF(ROWS($1:14)&gt;COUNT(Dong),"",OFFSET('141-BH'!A$1,SMALL(Dong,ROWS($1:14)),))</f>
        <v/>
      </c>
      <c r="P29" s="61" t="str">
        <f ca="1">IF(ROWS($1:14)&gt;COUNT(Dong),"",OFFSET('141-BH'!B$1,SMALL(Dong,ROWS($1:14)),))</f>
        <v/>
      </c>
      <c r="Q29" s="100" t="str">
        <f ca="1">IF(ROWS($1:14)&gt;COUNT(Dong),"",OFFSET('141-BH'!D$1,SMALL(Dong,ROWS($1:14)),))</f>
        <v/>
      </c>
      <c r="R29" s="61" t="str">
        <f ca="1">IF(ROWS($1:14)&gt;COUNT(Dong),"",OFFSET('141-BH'!E$1,SMALL(Dong,ROWS($1:14)),))</f>
        <v/>
      </c>
      <c r="S29" s="93" t="str">
        <f ca="1">IF(ROWS($1:14)&gt;COUNT(Dong),"",OFFSET('141-BH'!F$1,SMALL(Dong,ROWS($1:14)),))</f>
        <v/>
      </c>
      <c r="T29" s="93" t="str">
        <f ca="1">IF(ROWS($1:14)&gt;COUNT(Dong),"",OFFSET('141-BH'!G$1,SMALL(Dong,ROWS($1:14)),))</f>
        <v/>
      </c>
      <c r="U29" s="139" t="str">
        <f ca="1">IF(IF(ROWS($1:14)&gt;COUNT(Dong),"",OFFSET('141-BH'!K$1,SMALL(Dong,ROWS($1:14)),))=0,"",IF(ROWS($1:14)&gt;COUNT(Dong),"",OFFSET('141-BH'!K$1,SMALL(Dong,ROWS($1:14)),)))</f>
        <v/>
      </c>
    </row>
    <row r="30" spans="1:21" ht="19.5" customHeight="1">
      <c r="A30" s="11">
        <v>41393</v>
      </c>
      <c r="B30" s="38" t="s">
        <v>65</v>
      </c>
      <c r="C30" s="14">
        <v>41393</v>
      </c>
      <c r="D30" s="16" t="s">
        <v>145</v>
      </c>
      <c r="E30" s="37" t="s">
        <v>42</v>
      </c>
      <c r="F30" s="19"/>
      <c r="G30" s="19">
        <v>284613000</v>
      </c>
      <c r="H30" s="5">
        <f t="shared" si="2"/>
        <v>1143713400</v>
      </c>
      <c r="I30" s="5">
        <f t="shared" si="3"/>
        <v>0</v>
      </c>
      <c r="J30" s="36">
        <v>4</v>
      </c>
      <c r="K30" s="133" t="s">
        <v>205</v>
      </c>
      <c r="O30" s="61" t="str">
        <f ca="1">IF(ROWS($1:15)&gt;COUNT(Dong),"",OFFSET('141-BH'!A$1,SMALL(Dong,ROWS($1:15)),))</f>
        <v/>
      </c>
      <c r="P30" s="61" t="str">
        <f ca="1">IF(ROWS($1:15)&gt;COUNT(Dong),"",OFFSET('141-BH'!B$1,SMALL(Dong,ROWS($1:15)),))</f>
        <v/>
      </c>
      <c r="Q30" s="100" t="str">
        <f ca="1">IF(ROWS($1:15)&gt;COUNT(Dong),"",OFFSET('141-BH'!D$1,SMALL(Dong,ROWS($1:15)),))</f>
        <v/>
      </c>
      <c r="R30" s="61" t="str">
        <f ca="1">IF(ROWS($1:15)&gt;COUNT(Dong),"",OFFSET('141-BH'!E$1,SMALL(Dong,ROWS($1:15)),))</f>
        <v/>
      </c>
      <c r="S30" s="93" t="str">
        <f ca="1">IF(ROWS($1:15)&gt;COUNT(Dong),"",OFFSET('141-BH'!F$1,SMALL(Dong,ROWS($1:15)),))</f>
        <v/>
      </c>
      <c r="T30" s="93" t="str">
        <f ca="1">IF(ROWS($1:15)&gt;COUNT(Dong),"",OFFSET('141-BH'!G$1,SMALL(Dong,ROWS($1:15)),))</f>
        <v/>
      </c>
      <c r="U30" s="139" t="str">
        <f ca="1">IF(IF(ROWS($1:15)&gt;COUNT(Dong),"",OFFSET('141-BH'!K$1,SMALL(Dong,ROWS($1:15)),))=0,"",IF(ROWS($1:15)&gt;COUNT(Dong),"",OFFSET('141-BH'!K$1,SMALL(Dong,ROWS($1:15)),)))</f>
        <v/>
      </c>
    </row>
    <row r="31" spans="1:21" s="52" customFormat="1" ht="19.5" customHeight="1">
      <c r="A31" s="11">
        <v>41393</v>
      </c>
      <c r="B31" s="38" t="s">
        <v>65</v>
      </c>
      <c r="C31" s="14">
        <v>41393</v>
      </c>
      <c r="D31" s="16" t="s">
        <v>147</v>
      </c>
      <c r="E31" s="37" t="s">
        <v>42</v>
      </c>
      <c r="F31" s="19"/>
      <c r="G31" s="19">
        <v>231372000</v>
      </c>
      <c r="H31" s="5">
        <f t="shared" si="2"/>
        <v>912341400</v>
      </c>
      <c r="I31" s="5">
        <f t="shared" si="3"/>
        <v>0</v>
      </c>
      <c r="J31" s="36">
        <v>4</v>
      </c>
      <c r="K31" s="133" t="s">
        <v>206</v>
      </c>
      <c r="O31" s="61" t="str">
        <f ca="1">IF(ROWS($1:16)&gt;COUNT(Dong),"",OFFSET('141-BH'!A$1,SMALL(Dong,ROWS($1:16)),))</f>
        <v/>
      </c>
      <c r="P31" s="61" t="str">
        <f ca="1">IF(ROWS($1:16)&gt;COUNT(Dong),"",OFFSET('141-BH'!B$1,SMALL(Dong,ROWS($1:16)),))</f>
        <v/>
      </c>
      <c r="Q31" s="100" t="str">
        <f ca="1">IF(ROWS($1:16)&gt;COUNT(Dong),"",OFFSET('141-BH'!D$1,SMALL(Dong,ROWS($1:16)),))</f>
        <v/>
      </c>
      <c r="R31" s="61" t="str">
        <f ca="1">IF(ROWS($1:16)&gt;COUNT(Dong),"",OFFSET('141-BH'!E$1,SMALL(Dong,ROWS($1:16)),))</f>
        <v/>
      </c>
      <c r="S31" s="93" t="str">
        <f ca="1">IF(ROWS($1:16)&gt;COUNT(Dong),"",OFFSET('141-BH'!F$1,SMALL(Dong,ROWS($1:16)),))</f>
        <v/>
      </c>
      <c r="T31" s="93" t="str">
        <f ca="1">IF(ROWS($1:16)&gt;COUNT(Dong),"",OFFSET('141-BH'!G$1,SMALL(Dong,ROWS($1:16)),))</f>
        <v/>
      </c>
      <c r="U31" s="139" t="str">
        <f ca="1">IF(IF(ROWS($1:16)&gt;COUNT(Dong),"",OFFSET('141-BH'!K$1,SMALL(Dong,ROWS($1:16)),))=0,"",IF(ROWS($1:16)&gt;COUNT(Dong),"",OFFSET('141-BH'!K$1,SMALL(Dong,ROWS($1:16)),)))</f>
        <v/>
      </c>
    </row>
    <row r="32" spans="1:21" ht="19.5" customHeight="1">
      <c r="A32" s="11">
        <v>41393</v>
      </c>
      <c r="B32" s="38" t="s">
        <v>65</v>
      </c>
      <c r="C32" s="14">
        <v>41393</v>
      </c>
      <c r="D32" s="16" t="s">
        <v>148</v>
      </c>
      <c r="E32" s="37" t="s">
        <v>42</v>
      </c>
      <c r="F32" s="19"/>
      <c r="G32" s="19">
        <v>138628000</v>
      </c>
      <c r="H32" s="5">
        <f t="shared" si="2"/>
        <v>773713400</v>
      </c>
      <c r="I32" s="5">
        <f t="shared" si="3"/>
        <v>0</v>
      </c>
      <c r="J32" s="36">
        <v>4</v>
      </c>
      <c r="K32" s="133" t="s">
        <v>207</v>
      </c>
      <c r="O32" s="61" t="str">
        <f ca="1">IF(ROWS($1:17)&gt;COUNT(Dong),"",OFFSET('141-BH'!A$1,SMALL(Dong,ROWS($1:17)),))</f>
        <v/>
      </c>
      <c r="P32" s="61" t="str">
        <f ca="1">IF(ROWS($1:17)&gt;COUNT(Dong),"",OFFSET('141-BH'!B$1,SMALL(Dong,ROWS($1:17)),))</f>
        <v/>
      </c>
      <c r="Q32" s="100" t="str">
        <f ca="1">IF(ROWS($1:17)&gt;COUNT(Dong),"",OFFSET('141-BH'!D$1,SMALL(Dong,ROWS($1:17)),))</f>
        <v/>
      </c>
      <c r="R32" s="61" t="str">
        <f ca="1">IF(ROWS($1:17)&gt;COUNT(Dong),"",OFFSET('141-BH'!E$1,SMALL(Dong,ROWS($1:17)),))</f>
        <v/>
      </c>
      <c r="S32" s="93" t="str">
        <f ca="1">IF(ROWS($1:17)&gt;COUNT(Dong),"",OFFSET('141-BH'!F$1,SMALL(Dong,ROWS($1:17)),))</f>
        <v/>
      </c>
      <c r="T32" s="93" t="str">
        <f ca="1">IF(ROWS($1:17)&gt;COUNT(Dong),"",OFFSET('141-BH'!G$1,SMALL(Dong,ROWS($1:17)),))</f>
        <v/>
      </c>
      <c r="U32" s="139" t="str">
        <f ca="1">IF(IF(ROWS($1:17)&gt;COUNT(Dong),"",OFFSET('141-BH'!K$1,SMALL(Dong,ROWS($1:17)),))=0,"",IF(ROWS($1:17)&gt;COUNT(Dong),"",OFFSET('141-BH'!K$1,SMALL(Dong,ROWS($1:17)),)))</f>
        <v/>
      </c>
    </row>
    <row r="33" spans="1:21" ht="19.5" customHeight="1">
      <c r="A33" s="11">
        <v>41393</v>
      </c>
      <c r="B33" s="38" t="s">
        <v>65</v>
      </c>
      <c r="C33" s="14">
        <v>41393</v>
      </c>
      <c r="D33" s="16" t="s">
        <v>30</v>
      </c>
      <c r="E33" s="37" t="s">
        <v>42</v>
      </c>
      <c r="F33" s="19"/>
      <c r="G33" s="19">
        <v>123336000</v>
      </c>
      <c r="H33" s="5">
        <f t="shared" si="2"/>
        <v>650377400</v>
      </c>
      <c r="I33" s="5">
        <f t="shared" si="3"/>
        <v>0</v>
      </c>
      <c r="J33" s="36">
        <v>4</v>
      </c>
      <c r="K33" s="133" t="s">
        <v>208</v>
      </c>
      <c r="O33" s="61" t="str">
        <f ca="1">IF(ROWS($1:18)&gt;COUNT(Dong),"",OFFSET('141-BH'!A$1,SMALL(Dong,ROWS($1:18)),))</f>
        <v/>
      </c>
      <c r="P33" s="61" t="str">
        <f ca="1">IF(ROWS($1:18)&gt;COUNT(Dong),"",OFFSET('141-BH'!B$1,SMALL(Dong,ROWS($1:18)),))</f>
        <v/>
      </c>
      <c r="Q33" s="100" t="str">
        <f ca="1">IF(ROWS($1:18)&gt;COUNT(Dong),"",OFFSET('141-BH'!D$1,SMALL(Dong,ROWS($1:18)),))</f>
        <v/>
      </c>
      <c r="R33" s="61" t="str">
        <f ca="1">IF(ROWS($1:18)&gt;COUNT(Dong),"",OFFSET('141-BH'!E$1,SMALL(Dong,ROWS($1:18)),))</f>
        <v/>
      </c>
      <c r="S33" s="93" t="str">
        <f ca="1">IF(ROWS($1:18)&gt;COUNT(Dong),"",OFFSET('141-BH'!F$1,SMALL(Dong,ROWS($1:18)),))</f>
        <v/>
      </c>
      <c r="T33" s="93" t="str">
        <f ca="1">IF(ROWS($1:18)&gt;COUNT(Dong),"",OFFSET('141-BH'!G$1,SMALL(Dong,ROWS($1:18)),))</f>
        <v/>
      </c>
      <c r="U33" s="139" t="str">
        <f ca="1">IF(IF(ROWS($1:18)&gt;COUNT(Dong),"",OFFSET('141-BH'!K$1,SMALL(Dong,ROWS($1:18)),))=0,"",IF(ROWS($1:18)&gt;COUNT(Dong),"",OFFSET('141-BH'!K$1,SMALL(Dong,ROWS($1:18)),)))</f>
        <v/>
      </c>
    </row>
    <row r="34" spans="1:21" ht="19.5" customHeight="1">
      <c r="A34" s="11">
        <v>41393</v>
      </c>
      <c r="B34" s="38" t="s">
        <v>65</v>
      </c>
      <c r="C34" s="14">
        <v>41393</v>
      </c>
      <c r="D34" s="16" t="s">
        <v>33</v>
      </c>
      <c r="E34" s="37" t="s">
        <v>42</v>
      </c>
      <c r="F34" s="19"/>
      <c r="G34" s="19">
        <v>246172000</v>
      </c>
      <c r="H34" s="5">
        <f t="shared" si="2"/>
        <v>404205400</v>
      </c>
      <c r="I34" s="5">
        <f t="shared" si="3"/>
        <v>0</v>
      </c>
      <c r="J34" s="36">
        <v>4</v>
      </c>
      <c r="K34" s="133" t="s">
        <v>209</v>
      </c>
      <c r="O34" s="61" t="str">
        <f ca="1">IF(ROWS($1:19)&gt;COUNT(Dong),"",OFFSET('141-BH'!A$1,SMALL(Dong,ROWS($1:19)),))</f>
        <v/>
      </c>
      <c r="P34" s="61" t="str">
        <f ca="1">IF(ROWS($1:19)&gt;COUNT(Dong),"",OFFSET('141-BH'!B$1,SMALL(Dong,ROWS($1:19)),))</f>
        <v/>
      </c>
      <c r="Q34" s="100" t="str">
        <f ca="1">IF(ROWS($1:19)&gt;COUNT(Dong),"",OFFSET('141-BH'!D$1,SMALL(Dong,ROWS($1:19)),))</f>
        <v/>
      </c>
      <c r="R34" s="61" t="str">
        <f ca="1">IF(ROWS($1:19)&gt;COUNT(Dong),"",OFFSET('141-BH'!E$1,SMALL(Dong,ROWS($1:19)),))</f>
        <v/>
      </c>
      <c r="S34" s="93" t="str">
        <f ca="1">IF(ROWS($1:19)&gt;COUNT(Dong),"",OFFSET('141-BH'!F$1,SMALL(Dong,ROWS($1:19)),))</f>
        <v/>
      </c>
      <c r="T34" s="93" t="str">
        <f ca="1">IF(ROWS($1:19)&gt;COUNT(Dong),"",OFFSET('141-BH'!G$1,SMALL(Dong,ROWS($1:19)),))</f>
        <v/>
      </c>
      <c r="U34" s="139" t="str">
        <f ca="1">IF(IF(ROWS($1:19)&gt;COUNT(Dong),"",OFFSET('141-BH'!K$1,SMALL(Dong,ROWS($1:19)),))=0,"",IF(ROWS($1:19)&gt;COUNT(Dong),"",OFFSET('141-BH'!K$1,SMALL(Dong,ROWS($1:19)),)))</f>
        <v/>
      </c>
    </row>
    <row r="35" spans="1:21" ht="19.5" customHeight="1">
      <c r="A35" s="14">
        <v>41393</v>
      </c>
      <c r="B35" s="23" t="s">
        <v>65</v>
      </c>
      <c r="C35" s="14">
        <v>41393</v>
      </c>
      <c r="D35" s="16" t="s">
        <v>149</v>
      </c>
      <c r="E35" s="37" t="s">
        <v>42</v>
      </c>
      <c r="F35" s="9"/>
      <c r="G35" s="19">
        <v>402133000</v>
      </c>
      <c r="H35" s="5">
        <f t="shared" si="2"/>
        <v>2072400</v>
      </c>
      <c r="I35" s="5">
        <f t="shared" si="3"/>
        <v>0</v>
      </c>
      <c r="J35" s="36">
        <v>4</v>
      </c>
      <c r="K35" s="133" t="s">
        <v>210</v>
      </c>
      <c r="O35" s="61" t="str">
        <f ca="1">IF(ROWS($1:20)&gt;COUNT(Dong),"",OFFSET('141-BH'!A$1,SMALL(Dong,ROWS($1:20)),))</f>
        <v/>
      </c>
      <c r="P35" s="61" t="str">
        <f ca="1">IF(ROWS($1:20)&gt;COUNT(Dong),"",OFFSET('141-BH'!B$1,SMALL(Dong,ROWS($1:20)),))</f>
        <v/>
      </c>
      <c r="Q35" s="100" t="str">
        <f ca="1">IF(ROWS($1:20)&gt;COUNT(Dong),"",OFFSET('141-BH'!D$1,SMALL(Dong,ROWS($1:20)),))</f>
        <v/>
      </c>
      <c r="R35" s="61" t="str">
        <f ca="1">IF(ROWS($1:20)&gt;COUNT(Dong),"",OFFSET('141-BH'!E$1,SMALL(Dong,ROWS($1:20)),))</f>
        <v/>
      </c>
      <c r="S35" s="93" t="str">
        <f ca="1">IF(ROWS($1:20)&gt;COUNT(Dong),"",OFFSET('141-BH'!F$1,SMALL(Dong,ROWS($1:20)),))</f>
        <v/>
      </c>
      <c r="T35" s="93" t="str">
        <f ca="1">IF(ROWS($1:20)&gt;COUNT(Dong),"",OFFSET('141-BH'!G$1,SMALL(Dong,ROWS($1:20)),))</f>
        <v/>
      </c>
      <c r="U35" s="139" t="str">
        <f ca="1">IF(IF(ROWS($1:20)&gt;COUNT(Dong),"",OFFSET('141-BH'!K$1,SMALL(Dong,ROWS($1:20)),))=0,"",IF(ROWS($1:20)&gt;COUNT(Dong),"",OFFSET('141-BH'!K$1,SMALL(Dong,ROWS($1:20)),)))</f>
        <v/>
      </c>
    </row>
    <row r="36" spans="1:21" ht="19.5" customHeight="1">
      <c r="A36" s="14">
        <v>41403</v>
      </c>
      <c r="B36" s="23" t="s">
        <v>123</v>
      </c>
      <c r="C36" s="14">
        <v>41403</v>
      </c>
      <c r="D36" s="16" t="s">
        <v>44</v>
      </c>
      <c r="E36" s="97" t="s">
        <v>45</v>
      </c>
      <c r="F36" s="9">
        <v>550000000</v>
      </c>
      <c r="G36" s="19"/>
      <c r="H36" s="5">
        <f t="shared" si="2"/>
        <v>552072400</v>
      </c>
      <c r="I36" s="5">
        <f t="shared" si="3"/>
        <v>0</v>
      </c>
      <c r="J36" s="36">
        <f t="shared" ref="J36:J43" si="4">IF(A36&lt;&gt;"",MONTH(A36),"")</f>
        <v>5</v>
      </c>
      <c r="O36" s="61" t="str">
        <f ca="1">IF(ROWS($1:21)&gt;COUNT(Dong),"",OFFSET('141-BH'!A$1,SMALL(Dong,ROWS($1:21)),))</f>
        <v/>
      </c>
      <c r="P36" s="61" t="str">
        <f ca="1">IF(ROWS($1:21)&gt;COUNT(Dong),"",OFFSET('141-BH'!B$1,SMALL(Dong,ROWS($1:21)),))</f>
        <v/>
      </c>
      <c r="Q36" s="100" t="str">
        <f ca="1">IF(ROWS($1:21)&gt;COUNT(Dong),"",OFFSET('141-BH'!D$1,SMALL(Dong,ROWS($1:21)),))</f>
        <v/>
      </c>
      <c r="R36" s="61" t="str">
        <f ca="1">IF(ROWS($1:21)&gt;COUNT(Dong),"",OFFSET('141-BH'!E$1,SMALL(Dong,ROWS($1:21)),))</f>
        <v/>
      </c>
      <c r="S36" s="93" t="str">
        <f ca="1">IF(ROWS($1:21)&gt;COUNT(Dong),"",OFFSET('141-BH'!F$1,SMALL(Dong,ROWS($1:21)),))</f>
        <v/>
      </c>
      <c r="T36" s="93" t="str">
        <f ca="1">IF(ROWS($1:21)&gt;COUNT(Dong),"",OFFSET('141-BH'!G$1,SMALL(Dong,ROWS($1:21)),))</f>
        <v/>
      </c>
      <c r="U36" s="139" t="str">
        <f ca="1">IF(IF(ROWS($1:21)&gt;COUNT(Dong),"",OFFSET('141-BH'!K$1,SMALL(Dong,ROWS($1:21)),))=0,"",IF(ROWS($1:21)&gt;COUNT(Dong),"",OFFSET('141-BH'!K$1,SMALL(Dong,ROWS($1:21)),)))</f>
        <v/>
      </c>
    </row>
    <row r="37" spans="1:21" ht="19.5" customHeight="1">
      <c r="A37" s="14">
        <v>41404</v>
      </c>
      <c r="B37" s="23" t="s">
        <v>49</v>
      </c>
      <c r="C37" s="14">
        <v>41404</v>
      </c>
      <c r="D37" s="16" t="s">
        <v>44</v>
      </c>
      <c r="E37" s="97" t="s">
        <v>45</v>
      </c>
      <c r="F37" s="9">
        <v>510000000</v>
      </c>
      <c r="G37" s="19"/>
      <c r="H37" s="5">
        <f t="shared" si="2"/>
        <v>1062072400</v>
      </c>
      <c r="I37" s="5">
        <f t="shared" si="3"/>
        <v>0</v>
      </c>
      <c r="J37" s="36">
        <f t="shared" si="4"/>
        <v>5</v>
      </c>
      <c r="O37" s="61" t="str">
        <f ca="1">IF(ROWS($1:22)&gt;COUNT(Dong),"",OFFSET('141-BH'!A$1,SMALL(Dong,ROWS($1:22)),))</f>
        <v/>
      </c>
      <c r="P37" s="61" t="str">
        <f ca="1">IF(ROWS($1:22)&gt;COUNT(Dong),"",OFFSET('141-BH'!B$1,SMALL(Dong,ROWS($1:22)),))</f>
        <v/>
      </c>
      <c r="Q37" s="100" t="str">
        <f ca="1">IF(ROWS($1:22)&gt;COUNT(Dong),"",OFFSET('141-BH'!D$1,SMALL(Dong,ROWS($1:22)),))</f>
        <v/>
      </c>
      <c r="R37" s="61" t="str">
        <f ca="1">IF(ROWS($1:22)&gt;COUNT(Dong),"",OFFSET('141-BH'!E$1,SMALL(Dong,ROWS($1:22)),))</f>
        <v/>
      </c>
      <c r="S37" s="93" t="str">
        <f ca="1">IF(ROWS($1:22)&gt;COUNT(Dong),"",OFFSET('141-BH'!F$1,SMALL(Dong,ROWS($1:22)),))</f>
        <v/>
      </c>
      <c r="T37" s="93" t="str">
        <f ca="1">IF(ROWS($1:22)&gt;COUNT(Dong),"",OFFSET('141-BH'!G$1,SMALL(Dong,ROWS($1:22)),))</f>
        <v/>
      </c>
      <c r="U37" s="139" t="str">
        <f ca="1">IF(IF(ROWS($1:22)&gt;COUNT(Dong),"",OFFSET('141-BH'!K$1,SMALL(Dong,ROWS($1:22)),))=0,"",IF(ROWS($1:22)&gt;COUNT(Dong),"",OFFSET('141-BH'!K$1,SMALL(Dong,ROWS($1:22)),)))</f>
        <v/>
      </c>
    </row>
    <row r="38" spans="1:21" ht="19.5" customHeight="1">
      <c r="A38" s="14">
        <v>41423</v>
      </c>
      <c r="B38" s="23" t="s">
        <v>68</v>
      </c>
      <c r="C38" s="14">
        <v>41423</v>
      </c>
      <c r="D38" s="16" t="s">
        <v>184</v>
      </c>
      <c r="E38" s="37" t="s">
        <v>42</v>
      </c>
      <c r="F38" s="9"/>
      <c r="G38" s="19">
        <v>170612000</v>
      </c>
      <c r="H38" s="5">
        <f t="shared" si="2"/>
        <v>891460400</v>
      </c>
      <c r="I38" s="5">
        <f t="shared" si="3"/>
        <v>0</v>
      </c>
      <c r="J38" s="36">
        <f t="shared" si="4"/>
        <v>5</v>
      </c>
      <c r="K38" s="133" t="s">
        <v>211</v>
      </c>
      <c r="O38" s="61" t="str">
        <f ca="1">IF(ROWS($1:23)&gt;COUNT(Dong),"",OFFSET('141-BH'!A$1,SMALL(Dong,ROWS($1:23)),))</f>
        <v/>
      </c>
      <c r="P38" s="61" t="str">
        <f ca="1">IF(ROWS($1:23)&gt;COUNT(Dong),"",OFFSET('141-BH'!B$1,SMALL(Dong,ROWS($1:23)),))</f>
        <v/>
      </c>
      <c r="Q38" s="100" t="str">
        <f ca="1">IF(ROWS($1:23)&gt;COUNT(Dong),"",OFFSET('141-BH'!D$1,SMALL(Dong,ROWS($1:23)),))</f>
        <v/>
      </c>
      <c r="R38" s="61" t="str">
        <f ca="1">IF(ROWS($1:23)&gt;COUNT(Dong),"",OFFSET('141-BH'!E$1,SMALL(Dong,ROWS($1:23)),))</f>
        <v/>
      </c>
      <c r="S38" s="93" t="str">
        <f ca="1">IF(ROWS($1:23)&gt;COUNT(Dong),"",OFFSET('141-BH'!F$1,SMALL(Dong,ROWS($1:23)),))</f>
        <v/>
      </c>
      <c r="T38" s="93" t="str">
        <f ca="1">IF(ROWS($1:23)&gt;COUNT(Dong),"",OFFSET('141-BH'!G$1,SMALL(Dong,ROWS($1:23)),))</f>
        <v/>
      </c>
      <c r="U38" s="139" t="str">
        <f ca="1">IF(IF(ROWS($1:23)&gt;COUNT(Dong),"",OFFSET('141-BH'!K$1,SMALL(Dong,ROWS($1:23)),))=0,"",IF(ROWS($1:23)&gt;COUNT(Dong),"",OFFSET('141-BH'!K$1,SMALL(Dong,ROWS($1:23)),)))</f>
        <v/>
      </c>
    </row>
    <row r="39" spans="1:21" ht="19.5" customHeight="1">
      <c r="A39" s="11">
        <v>41423</v>
      </c>
      <c r="B39" s="17" t="s">
        <v>68</v>
      </c>
      <c r="C39" s="14">
        <v>41423</v>
      </c>
      <c r="D39" s="10" t="s">
        <v>131</v>
      </c>
      <c r="E39" s="37" t="s">
        <v>42</v>
      </c>
      <c r="F39" s="9"/>
      <c r="G39" s="19">
        <v>155791000</v>
      </c>
      <c r="H39" s="5">
        <f t="shared" si="2"/>
        <v>735669400</v>
      </c>
      <c r="I39" s="5">
        <f t="shared" si="3"/>
        <v>0</v>
      </c>
      <c r="J39" s="36">
        <f t="shared" si="4"/>
        <v>5</v>
      </c>
      <c r="K39" s="133" t="s">
        <v>212</v>
      </c>
      <c r="O39" s="61" t="str">
        <f ca="1">IF(ROWS($1:24)&gt;COUNT(Dong),"",OFFSET('141-BH'!A$1,SMALL(Dong,ROWS($1:24)),))</f>
        <v/>
      </c>
      <c r="P39" s="61" t="str">
        <f ca="1">IF(ROWS($1:24)&gt;COUNT(Dong),"",OFFSET('141-BH'!B$1,SMALL(Dong,ROWS($1:24)),))</f>
        <v/>
      </c>
      <c r="Q39" s="100" t="str">
        <f ca="1">IF(ROWS($1:24)&gt;COUNT(Dong),"",OFFSET('141-BH'!D$1,SMALL(Dong,ROWS($1:24)),))</f>
        <v/>
      </c>
      <c r="R39" s="61" t="str">
        <f ca="1">IF(ROWS($1:24)&gt;COUNT(Dong),"",OFFSET('141-BH'!E$1,SMALL(Dong,ROWS($1:24)),))</f>
        <v/>
      </c>
      <c r="S39" s="93" t="str">
        <f ca="1">IF(ROWS($1:24)&gt;COUNT(Dong),"",OFFSET('141-BH'!F$1,SMALL(Dong,ROWS($1:24)),))</f>
        <v/>
      </c>
      <c r="T39" s="93" t="str">
        <f ca="1">IF(ROWS($1:24)&gt;COUNT(Dong),"",OFFSET('141-BH'!G$1,SMALL(Dong,ROWS($1:24)),))</f>
        <v/>
      </c>
      <c r="U39" s="139" t="str">
        <f ca="1">IF(IF(ROWS($1:24)&gt;COUNT(Dong),"",OFFSET('141-BH'!K$1,SMALL(Dong,ROWS($1:24)),))=0,"",IF(ROWS($1:24)&gt;COUNT(Dong),"",OFFSET('141-BH'!K$1,SMALL(Dong,ROWS($1:24)),)))</f>
        <v/>
      </c>
    </row>
    <row r="40" spans="1:21" ht="19.5" customHeight="1">
      <c r="A40" s="11">
        <v>41423</v>
      </c>
      <c r="B40" s="17" t="s">
        <v>68</v>
      </c>
      <c r="C40" s="14">
        <v>41423</v>
      </c>
      <c r="D40" s="16" t="s">
        <v>145</v>
      </c>
      <c r="E40" s="37" t="s">
        <v>42</v>
      </c>
      <c r="F40" s="19"/>
      <c r="G40" s="9">
        <v>167594000</v>
      </c>
      <c r="H40" s="5">
        <f t="shared" si="2"/>
        <v>568075400</v>
      </c>
      <c r="I40" s="5">
        <f t="shared" si="3"/>
        <v>0</v>
      </c>
      <c r="J40" s="36">
        <f t="shared" si="4"/>
        <v>5</v>
      </c>
      <c r="K40" s="133" t="s">
        <v>213</v>
      </c>
      <c r="O40" s="61" t="str">
        <f ca="1">IF(ROWS($1:25)&gt;COUNT(Dong),"",OFFSET('141-BH'!A$1,SMALL(Dong,ROWS($1:25)),))</f>
        <v/>
      </c>
      <c r="P40" s="61" t="str">
        <f ca="1">IF(ROWS($1:25)&gt;COUNT(Dong),"",OFFSET('141-BH'!B$1,SMALL(Dong,ROWS($1:25)),))</f>
        <v/>
      </c>
      <c r="Q40" s="100" t="str">
        <f ca="1">IF(ROWS($1:25)&gt;COUNT(Dong),"",OFFSET('141-BH'!D$1,SMALL(Dong,ROWS($1:25)),))</f>
        <v/>
      </c>
      <c r="R40" s="61" t="str">
        <f ca="1">IF(ROWS($1:25)&gt;COUNT(Dong),"",OFFSET('141-BH'!E$1,SMALL(Dong,ROWS($1:25)),))</f>
        <v/>
      </c>
      <c r="S40" s="93" t="str">
        <f ca="1">IF(ROWS($1:25)&gt;COUNT(Dong),"",OFFSET('141-BH'!F$1,SMALL(Dong,ROWS($1:25)),))</f>
        <v/>
      </c>
      <c r="T40" s="93" t="str">
        <f ca="1">IF(ROWS($1:25)&gt;COUNT(Dong),"",OFFSET('141-BH'!G$1,SMALL(Dong,ROWS($1:25)),))</f>
        <v/>
      </c>
      <c r="U40" s="139" t="str">
        <f ca="1">IF(IF(ROWS($1:25)&gt;COUNT(Dong),"",OFFSET('141-BH'!K$1,SMALL(Dong,ROWS($1:25)),))=0,"",IF(ROWS($1:25)&gt;COUNT(Dong),"",OFFSET('141-BH'!K$1,SMALL(Dong,ROWS($1:25)),)))</f>
        <v/>
      </c>
    </row>
    <row r="41" spans="1:21" ht="19.5" customHeight="1">
      <c r="A41" s="11">
        <v>41423</v>
      </c>
      <c r="B41" s="17" t="s">
        <v>68</v>
      </c>
      <c r="C41" s="14">
        <v>41423</v>
      </c>
      <c r="D41" s="16" t="s">
        <v>147</v>
      </c>
      <c r="E41" s="37" t="s">
        <v>42</v>
      </c>
      <c r="F41" s="9"/>
      <c r="G41" s="19">
        <v>188984000</v>
      </c>
      <c r="H41" s="5">
        <f t="shared" si="2"/>
        <v>379091400</v>
      </c>
      <c r="I41" s="5">
        <f t="shared" si="3"/>
        <v>0</v>
      </c>
      <c r="J41" s="36">
        <f t="shared" si="4"/>
        <v>5</v>
      </c>
      <c r="K41" s="133" t="s">
        <v>214</v>
      </c>
      <c r="O41" s="61" t="str">
        <f ca="1">IF(ROWS($1:26)&gt;COUNT(Dong),"",OFFSET('141-BH'!A$1,SMALL(Dong,ROWS($1:26)),))</f>
        <v/>
      </c>
      <c r="P41" s="61" t="str">
        <f ca="1">IF(ROWS($1:26)&gt;COUNT(Dong),"",OFFSET('141-BH'!B$1,SMALL(Dong,ROWS($1:26)),))</f>
        <v/>
      </c>
      <c r="Q41" s="100" t="str">
        <f ca="1">IF(ROWS($1:26)&gt;COUNT(Dong),"",OFFSET('141-BH'!D$1,SMALL(Dong,ROWS($1:26)),))</f>
        <v/>
      </c>
      <c r="R41" s="61" t="str">
        <f ca="1">IF(ROWS($1:26)&gt;COUNT(Dong),"",OFFSET('141-BH'!E$1,SMALL(Dong,ROWS($1:26)),))</f>
        <v/>
      </c>
      <c r="S41" s="93" t="str">
        <f ca="1">IF(ROWS($1:26)&gt;COUNT(Dong),"",OFFSET('141-BH'!F$1,SMALL(Dong,ROWS($1:26)),))</f>
        <v/>
      </c>
      <c r="T41" s="93" t="str">
        <f ca="1">IF(ROWS($1:26)&gt;COUNT(Dong),"",OFFSET('141-BH'!G$1,SMALL(Dong,ROWS($1:26)),))</f>
        <v/>
      </c>
      <c r="U41" s="139" t="str">
        <f ca="1">IF(IF(ROWS($1:26)&gt;COUNT(Dong),"",OFFSET('141-BH'!K$1,SMALL(Dong,ROWS($1:26)),))=0,"",IF(ROWS($1:26)&gt;COUNT(Dong),"",OFFSET('141-BH'!K$1,SMALL(Dong,ROWS($1:26)),)))</f>
        <v/>
      </c>
    </row>
    <row r="42" spans="1:21" ht="19.5" customHeight="1">
      <c r="A42" s="11">
        <v>41423</v>
      </c>
      <c r="B42" s="17" t="s">
        <v>68</v>
      </c>
      <c r="C42" s="14">
        <v>41423</v>
      </c>
      <c r="D42" s="16" t="s">
        <v>148</v>
      </c>
      <c r="E42" s="37" t="s">
        <v>42</v>
      </c>
      <c r="F42" s="9"/>
      <c r="G42" s="19">
        <v>196223000</v>
      </c>
      <c r="H42" s="5">
        <f t="shared" si="2"/>
        <v>182868400</v>
      </c>
      <c r="I42" s="5">
        <f t="shared" si="3"/>
        <v>0</v>
      </c>
      <c r="J42" s="36">
        <f t="shared" si="4"/>
        <v>5</v>
      </c>
      <c r="K42" s="133" t="s">
        <v>215</v>
      </c>
      <c r="O42" s="61" t="str">
        <f ca="1">IF(ROWS($1:27)&gt;COUNT(Dong),"",OFFSET('141-BH'!A$1,SMALL(Dong,ROWS($1:27)),))</f>
        <v/>
      </c>
      <c r="P42" s="61" t="str">
        <f ca="1">IF(ROWS($1:27)&gt;COUNT(Dong),"",OFFSET('141-BH'!B$1,SMALL(Dong,ROWS($1:27)),))</f>
        <v/>
      </c>
      <c r="Q42" s="100" t="str">
        <f ca="1">IF(ROWS($1:27)&gt;COUNT(Dong),"",OFFSET('141-BH'!D$1,SMALL(Dong,ROWS($1:27)),))</f>
        <v/>
      </c>
      <c r="R42" s="61" t="str">
        <f ca="1">IF(ROWS($1:27)&gt;COUNT(Dong),"",OFFSET('141-BH'!E$1,SMALL(Dong,ROWS($1:27)),))</f>
        <v/>
      </c>
      <c r="S42" s="93" t="str">
        <f ca="1">IF(ROWS($1:27)&gt;COUNT(Dong),"",OFFSET('141-BH'!F$1,SMALL(Dong,ROWS($1:27)),))</f>
        <v/>
      </c>
      <c r="T42" s="93" t="str">
        <f ca="1">IF(ROWS($1:27)&gt;COUNT(Dong),"",OFFSET('141-BH'!G$1,SMALL(Dong,ROWS($1:27)),))</f>
        <v/>
      </c>
      <c r="U42" s="139" t="str">
        <f ca="1">IF(IF(ROWS($1:27)&gt;COUNT(Dong),"",OFFSET('141-BH'!K$1,SMALL(Dong,ROWS($1:27)),))=0,"",IF(ROWS($1:27)&gt;COUNT(Dong),"",OFFSET('141-BH'!K$1,SMALL(Dong,ROWS($1:27)),)))</f>
        <v/>
      </c>
    </row>
    <row r="43" spans="1:21" ht="19.5" customHeight="1">
      <c r="A43" s="11">
        <v>41423</v>
      </c>
      <c r="B43" s="17" t="s">
        <v>68</v>
      </c>
      <c r="C43" s="14">
        <v>41423</v>
      </c>
      <c r="D43" s="16" t="s">
        <v>149</v>
      </c>
      <c r="E43" s="37" t="s">
        <v>42</v>
      </c>
      <c r="F43" s="19"/>
      <c r="G43" s="9">
        <v>181192000</v>
      </c>
      <c r="H43" s="5">
        <f t="shared" si="2"/>
        <v>1676400</v>
      </c>
      <c r="I43" s="5">
        <f t="shared" si="3"/>
        <v>0</v>
      </c>
      <c r="J43" s="36">
        <f t="shared" si="4"/>
        <v>5</v>
      </c>
      <c r="K43" s="133" t="s">
        <v>216</v>
      </c>
      <c r="O43" s="61" t="str">
        <f ca="1">IF(ROWS($1:28)&gt;COUNT(Dong),"",OFFSET('141-BH'!A$1,SMALL(Dong,ROWS($1:28)),))</f>
        <v/>
      </c>
      <c r="P43" s="61" t="str">
        <f ca="1">IF(ROWS($1:28)&gt;COUNT(Dong),"",OFFSET('141-BH'!B$1,SMALL(Dong,ROWS($1:28)),))</f>
        <v/>
      </c>
      <c r="Q43" s="100" t="str">
        <f ca="1">IF(ROWS($1:28)&gt;COUNT(Dong),"",OFFSET('141-BH'!D$1,SMALL(Dong,ROWS($1:28)),))</f>
        <v/>
      </c>
      <c r="R43" s="61" t="str">
        <f ca="1">IF(ROWS($1:28)&gt;COUNT(Dong),"",OFFSET('141-BH'!E$1,SMALL(Dong,ROWS($1:28)),))</f>
        <v/>
      </c>
      <c r="S43" s="93" t="str">
        <f ca="1">IF(ROWS($1:28)&gt;COUNT(Dong),"",OFFSET('141-BH'!F$1,SMALL(Dong,ROWS($1:28)),))</f>
        <v/>
      </c>
      <c r="T43" s="93" t="str">
        <f ca="1">IF(ROWS($1:28)&gt;COUNT(Dong),"",OFFSET('141-BH'!G$1,SMALL(Dong,ROWS($1:28)),))</f>
        <v/>
      </c>
      <c r="U43" s="139" t="str">
        <f ca="1">IF(IF(ROWS($1:28)&gt;COUNT(Dong),"",OFFSET('141-BH'!K$1,SMALL(Dong,ROWS($1:28)),))=0,"",IF(ROWS($1:28)&gt;COUNT(Dong),"",OFFSET('141-BH'!K$1,SMALL(Dong,ROWS($1:28)),)))</f>
        <v/>
      </c>
    </row>
    <row r="44" spans="1:21" ht="19.5" customHeight="1">
      <c r="A44" s="11">
        <v>41423</v>
      </c>
      <c r="B44" s="17" t="s">
        <v>152</v>
      </c>
      <c r="C44" s="14">
        <v>41423</v>
      </c>
      <c r="D44" s="16" t="s">
        <v>44</v>
      </c>
      <c r="E44" s="97" t="s">
        <v>45</v>
      </c>
      <c r="F44" s="9">
        <v>500000000</v>
      </c>
      <c r="G44" s="19"/>
      <c r="H44" s="5">
        <f t="shared" si="2"/>
        <v>501676400</v>
      </c>
      <c r="I44" s="5">
        <f t="shared" si="3"/>
        <v>0</v>
      </c>
      <c r="J44" s="36">
        <v>6</v>
      </c>
      <c r="O44" s="61" t="str">
        <f ca="1">IF(ROWS($1:29)&gt;COUNT(Dong),"",OFFSET('141-BH'!A$1,SMALL(Dong,ROWS($1:29)),))</f>
        <v/>
      </c>
      <c r="P44" s="61" t="str">
        <f ca="1">IF(ROWS($1:29)&gt;COUNT(Dong),"",OFFSET('141-BH'!B$1,SMALL(Dong,ROWS($1:29)),))</f>
        <v/>
      </c>
      <c r="Q44" s="100" t="str">
        <f ca="1">IF(ROWS($1:29)&gt;COUNT(Dong),"",OFFSET('141-BH'!D$1,SMALL(Dong,ROWS($1:29)),))</f>
        <v/>
      </c>
      <c r="R44" s="61" t="str">
        <f ca="1">IF(ROWS($1:29)&gt;COUNT(Dong),"",OFFSET('141-BH'!E$1,SMALL(Dong,ROWS($1:29)),))</f>
        <v/>
      </c>
      <c r="S44" s="93" t="str">
        <f ca="1">IF(ROWS($1:29)&gt;COUNT(Dong),"",OFFSET('141-BH'!F$1,SMALL(Dong,ROWS($1:29)),))</f>
        <v/>
      </c>
      <c r="T44" s="93" t="str">
        <f ca="1">IF(ROWS($1:29)&gt;COUNT(Dong),"",OFFSET('141-BH'!G$1,SMALL(Dong,ROWS($1:29)),))</f>
        <v/>
      </c>
      <c r="U44" s="139" t="str">
        <f ca="1">IF(IF(ROWS($1:29)&gt;COUNT(Dong),"",OFFSET('141-BH'!K$1,SMALL(Dong,ROWS($1:29)),))=0,"",IF(ROWS($1:29)&gt;COUNT(Dong),"",OFFSET('141-BH'!K$1,SMALL(Dong,ROWS($1:29)),)))</f>
        <v/>
      </c>
    </row>
    <row r="45" spans="1:21" ht="19.5" customHeight="1">
      <c r="A45" s="11">
        <v>41429</v>
      </c>
      <c r="B45" s="17" t="s">
        <v>135</v>
      </c>
      <c r="C45" s="14">
        <v>41429</v>
      </c>
      <c r="D45" s="16" t="s">
        <v>44</v>
      </c>
      <c r="E45" s="97" t="s">
        <v>45</v>
      </c>
      <c r="F45" s="9">
        <v>650000000</v>
      </c>
      <c r="G45" s="19"/>
      <c r="H45" s="5">
        <f t="shared" si="2"/>
        <v>1151676400</v>
      </c>
      <c r="I45" s="5">
        <f t="shared" si="3"/>
        <v>0</v>
      </c>
      <c r="J45" s="36">
        <v>6</v>
      </c>
      <c r="O45" s="61" t="str">
        <f ca="1">IF(ROWS($1:30)&gt;COUNT(Dong),"",OFFSET('141-BH'!A$1,SMALL(Dong,ROWS($1:30)),))</f>
        <v/>
      </c>
      <c r="P45" s="61" t="str">
        <f ca="1">IF(ROWS($1:30)&gt;COUNT(Dong),"",OFFSET('141-BH'!B$1,SMALL(Dong,ROWS($1:30)),))</f>
        <v/>
      </c>
      <c r="Q45" s="100" t="str">
        <f ca="1">IF(ROWS($1:30)&gt;COUNT(Dong),"",OFFSET('141-BH'!D$1,SMALL(Dong,ROWS($1:30)),))</f>
        <v/>
      </c>
      <c r="R45" s="61" t="str">
        <f ca="1">IF(ROWS($1:30)&gt;COUNT(Dong),"",OFFSET('141-BH'!E$1,SMALL(Dong,ROWS($1:30)),))</f>
        <v/>
      </c>
      <c r="S45" s="93" t="str">
        <f ca="1">IF(ROWS($1:30)&gt;COUNT(Dong),"",OFFSET('141-BH'!F$1,SMALL(Dong,ROWS($1:30)),))</f>
        <v/>
      </c>
      <c r="T45" s="93" t="str">
        <f ca="1">IF(ROWS($1:30)&gt;COUNT(Dong),"",OFFSET('141-BH'!G$1,SMALL(Dong,ROWS($1:30)),))</f>
        <v/>
      </c>
      <c r="U45" s="139" t="str">
        <f ca="1">IF(IF(ROWS($1:30)&gt;COUNT(Dong),"",OFFSET('141-BH'!K$1,SMALL(Dong,ROWS($1:30)),))=0,"",IF(ROWS($1:30)&gt;COUNT(Dong),"",OFFSET('141-BH'!K$1,SMALL(Dong,ROWS($1:30)),)))</f>
        <v/>
      </c>
    </row>
    <row r="46" spans="1:21" ht="19.5" customHeight="1">
      <c r="A46" s="11">
        <v>41436</v>
      </c>
      <c r="B46" s="17" t="s">
        <v>49</v>
      </c>
      <c r="C46" s="14">
        <v>41436</v>
      </c>
      <c r="D46" s="16" t="s">
        <v>44</v>
      </c>
      <c r="E46" s="97" t="s">
        <v>45</v>
      </c>
      <c r="F46" s="9">
        <v>650000000</v>
      </c>
      <c r="G46" s="19"/>
      <c r="H46" s="5">
        <f t="shared" si="2"/>
        <v>1801676400</v>
      </c>
      <c r="I46" s="5">
        <f t="shared" si="3"/>
        <v>0</v>
      </c>
      <c r="J46" s="36">
        <v>6</v>
      </c>
      <c r="O46" s="61" t="str">
        <f ca="1">IF(ROWS($1:31)&gt;COUNT(Dong),"",OFFSET('141-BH'!A$1,SMALL(Dong,ROWS($1:31)),))</f>
        <v/>
      </c>
      <c r="P46" s="61" t="str">
        <f ca="1">IF(ROWS($1:31)&gt;COUNT(Dong),"",OFFSET('141-BH'!B$1,SMALL(Dong,ROWS($1:31)),))</f>
        <v/>
      </c>
      <c r="Q46" s="100" t="str">
        <f ca="1">IF(ROWS($1:31)&gt;COUNT(Dong),"",OFFSET('141-BH'!D$1,SMALL(Dong,ROWS($1:31)),))</f>
        <v/>
      </c>
      <c r="R46" s="61" t="str">
        <f ca="1">IF(ROWS($1:31)&gt;COUNT(Dong),"",OFFSET('141-BH'!E$1,SMALL(Dong,ROWS($1:31)),))</f>
        <v/>
      </c>
      <c r="S46" s="93" t="str">
        <f ca="1">IF(ROWS($1:31)&gt;COUNT(Dong),"",OFFSET('141-BH'!F$1,SMALL(Dong,ROWS($1:31)),))</f>
        <v/>
      </c>
      <c r="T46" s="93" t="str">
        <f ca="1">IF(ROWS($1:31)&gt;COUNT(Dong),"",OFFSET('141-BH'!G$1,SMALL(Dong,ROWS($1:31)),))</f>
        <v/>
      </c>
      <c r="U46" s="139" t="str">
        <f ca="1">IF(IF(ROWS($1:31)&gt;COUNT(Dong),"",OFFSET('141-BH'!K$1,SMALL(Dong,ROWS($1:31)),))=0,"",IF(ROWS($1:31)&gt;COUNT(Dong),"",OFFSET('141-BH'!K$1,SMALL(Dong,ROWS($1:31)),)))</f>
        <v/>
      </c>
    </row>
    <row r="47" spans="1:21" ht="19.5" customHeight="1">
      <c r="A47" s="11">
        <v>41445</v>
      </c>
      <c r="B47" s="17" t="s">
        <v>57</v>
      </c>
      <c r="C47" s="14">
        <v>41445</v>
      </c>
      <c r="D47" s="16" t="s">
        <v>44</v>
      </c>
      <c r="E47" s="97" t="s">
        <v>45</v>
      </c>
      <c r="F47" s="9">
        <v>470000000</v>
      </c>
      <c r="G47" s="19"/>
      <c r="H47" s="5">
        <f t="shared" si="2"/>
        <v>2271676400</v>
      </c>
      <c r="I47" s="5">
        <f t="shared" si="3"/>
        <v>0</v>
      </c>
      <c r="J47" s="36">
        <v>6</v>
      </c>
      <c r="O47" s="61" t="str">
        <f ca="1">IF(ROWS($1:32)&gt;COUNT(Dong),"",OFFSET('141-BH'!A$1,SMALL(Dong,ROWS($1:32)),))</f>
        <v/>
      </c>
      <c r="P47" s="61" t="str">
        <f ca="1">IF(ROWS($1:32)&gt;COUNT(Dong),"",OFFSET('141-BH'!B$1,SMALL(Dong,ROWS($1:32)),))</f>
        <v/>
      </c>
      <c r="Q47" s="100" t="str">
        <f ca="1">IF(ROWS($1:32)&gt;COUNT(Dong),"",OFFSET('141-BH'!D$1,SMALL(Dong,ROWS($1:32)),))</f>
        <v/>
      </c>
      <c r="R47" s="61" t="str">
        <f ca="1">IF(ROWS($1:32)&gt;COUNT(Dong),"",OFFSET('141-BH'!E$1,SMALL(Dong,ROWS($1:32)),))</f>
        <v/>
      </c>
      <c r="S47" s="93" t="str">
        <f ca="1">IF(ROWS($1:32)&gt;COUNT(Dong),"",OFFSET('141-BH'!F$1,SMALL(Dong,ROWS($1:32)),))</f>
        <v/>
      </c>
      <c r="T47" s="93" t="str">
        <f ca="1">IF(ROWS($1:32)&gt;COUNT(Dong),"",OFFSET('141-BH'!G$1,SMALL(Dong,ROWS($1:32)),))</f>
        <v/>
      </c>
      <c r="U47" s="139" t="str">
        <f ca="1">IF(IF(ROWS($1:32)&gt;COUNT(Dong),"",OFFSET('141-BH'!K$1,SMALL(Dong,ROWS($1:32)),))=0,"",IF(ROWS($1:32)&gt;COUNT(Dong),"",OFFSET('141-BH'!K$1,SMALL(Dong,ROWS($1:32)),)))</f>
        <v/>
      </c>
    </row>
    <row r="48" spans="1:21" s="52" customFormat="1" ht="19.5" customHeight="1">
      <c r="A48" s="11">
        <v>41452</v>
      </c>
      <c r="B48" s="17" t="s">
        <v>130</v>
      </c>
      <c r="C48" s="14">
        <v>41452</v>
      </c>
      <c r="D48" s="16" t="s">
        <v>188</v>
      </c>
      <c r="E48" s="37" t="s">
        <v>42</v>
      </c>
      <c r="F48" s="9"/>
      <c r="G48" s="19">
        <v>13500000</v>
      </c>
      <c r="H48" s="5">
        <f t="shared" si="2"/>
        <v>2258176400</v>
      </c>
      <c r="I48" s="5">
        <f t="shared" si="3"/>
        <v>0</v>
      </c>
      <c r="J48" s="36">
        <v>6</v>
      </c>
      <c r="K48" s="133" t="s">
        <v>217</v>
      </c>
      <c r="O48" s="61" t="str">
        <f ca="1">IF(ROWS($1:33)&gt;COUNT(Dong),"",OFFSET('141-BH'!A$1,SMALL(Dong,ROWS($1:33)),))</f>
        <v/>
      </c>
      <c r="P48" s="61" t="str">
        <f ca="1">IF(ROWS($1:33)&gt;COUNT(Dong),"",OFFSET('141-BH'!B$1,SMALL(Dong,ROWS($1:33)),))</f>
        <v/>
      </c>
      <c r="Q48" s="100" t="str">
        <f ca="1">IF(ROWS($1:33)&gt;COUNT(Dong),"",OFFSET('141-BH'!D$1,SMALL(Dong,ROWS($1:33)),))</f>
        <v/>
      </c>
      <c r="R48" s="61" t="str">
        <f ca="1">IF(ROWS($1:33)&gt;COUNT(Dong),"",OFFSET('141-BH'!E$1,SMALL(Dong,ROWS($1:33)),))</f>
        <v/>
      </c>
      <c r="S48" s="93" t="str">
        <f ca="1">IF(ROWS($1:33)&gt;COUNT(Dong),"",OFFSET('141-BH'!F$1,SMALL(Dong,ROWS($1:33)),))</f>
        <v/>
      </c>
      <c r="T48" s="93" t="str">
        <f ca="1">IF(ROWS($1:33)&gt;COUNT(Dong),"",OFFSET('141-BH'!G$1,SMALL(Dong,ROWS($1:33)),))</f>
        <v/>
      </c>
      <c r="U48" s="139" t="str">
        <f ca="1">IF(IF(ROWS($1:33)&gt;COUNT(Dong),"",OFFSET('141-BH'!K$1,SMALL(Dong,ROWS($1:33)),))=0,"",IF(ROWS($1:33)&gt;COUNT(Dong),"",OFFSET('141-BH'!K$1,SMALL(Dong,ROWS($1:33)),)))</f>
        <v/>
      </c>
    </row>
    <row r="49" spans="1:21" ht="19.5" customHeight="1">
      <c r="A49" s="11">
        <v>41452</v>
      </c>
      <c r="B49" s="17" t="s">
        <v>130</v>
      </c>
      <c r="C49" s="14">
        <v>41452</v>
      </c>
      <c r="D49" s="16" t="s">
        <v>149</v>
      </c>
      <c r="E49" s="37" t="s">
        <v>42</v>
      </c>
      <c r="F49" s="9"/>
      <c r="G49" s="19">
        <v>129375000</v>
      </c>
      <c r="H49" s="5">
        <f t="shared" si="2"/>
        <v>2128801400</v>
      </c>
      <c r="I49" s="5">
        <f t="shared" si="3"/>
        <v>0</v>
      </c>
      <c r="J49" s="36">
        <v>6</v>
      </c>
      <c r="K49" s="133" t="s">
        <v>218</v>
      </c>
      <c r="O49" s="61" t="str">
        <f ca="1">IF(ROWS($1:34)&gt;COUNT(Dong),"",OFFSET('141-BH'!A$1,SMALL(Dong,ROWS($1:34)),))</f>
        <v/>
      </c>
      <c r="P49" s="61" t="str">
        <f ca="1">IF(ROWS($1:34)&gt;COUNT(Dong),"",OFFSET('141-BH'!B$1,SMALL(Dong,ROWS($1:34)),))</f>
        <v/>
      </c>
      <c r="Q49" s="100" t="str">
        <f ca="1">IF(ROWS($1:34)&gt;COUNT(Dong),"",OFFSET('141-BH'!D$1,SMALL(Dong,ROWS($1:34)),))</f>
        <v/>
      </c>
      <c r="R49" s="61" t="str">
        <f ca="1">IF(ROWS($1:34)&gt;COUNT(Dong),"",OFFSET('141-BH'!E$1,SMALL(Dong,ROWS($1:34)),))</f>
        <v/>
      </c>
      <c r="S49" s="93" t="str">
        <f ca="1">IF(ROWS($1:34)&gt;COUNT(Dong),"",OFFSET('141-BH'!F$1,SMALL(Dong,ROWS($1:34)),))</f>
        <v/>
      </c>
      <c r="T49" s="93" t="str">
        <f ca="1">IF(ROWS($1:34)&gt;COUNT(Dong),"",OFFSET('141-BH'!G$1,SMALL(Dong,ROWS($1:34)),))</f>
        <v/>
      </c>
      <c r="U49" s="139" t="str">
        <f ca="1">IF(IF(ROWS($1:34)&gt;COUNT(Dong),"",OFFSET('141-BH'!K$1,SMALL(Dong,ROWS($1:34)),))=0,"",IF(ROWS($1:34)&gt;COUNT(Dong),"",OFFSET('141-BH'!K$1,SMALL(Dong,ROWS($1:34)),)))</f>
        <v/>
      </c>
    </row>
    <row r="50" spans="1:21" ht="19.5" customHeight="1">
      <c r="A50" s="11">
        <v>41452</v>
      </c>
      <c r="B50" s="17" t="s">
        <v>130</v>
      </c>
      <c r="C50" s="14">
        <v>41452</v>
      </c>
      <c r="D50" s="16" t="s">
        <v>131</v>
      </c>
      <c r="E50" s="37" t="s">
        <v>42</v>
      </c>
      <c r="F50" s="9"/>
      <c r="G50" s="19">
        <v>221163000</v>
      </c>
      <c r="H50" s="5">
        <f t="shared" si="2"/>
        <v>1907638400</v>
      </c>
      <c r="I50" s="5">
        <f t="shared" si="3"/>
        <v>0</v>
      </c>
      <c r="J50" s="36">
        <v>6</v>
      </c>
      <c r="K50" s="133" t="s">
        <v>219</v>
      </c>
      <c r="O50" s="61" t="str">
        <f ca="1">IF(ROWS($1:35)&gt;COUNT(Dong),"",OFFSET('141-BH'!A$1,SMALL(Dong,ROWS($1:35)),))</f>
        <v/>
      </c>
      <c r="P50" s="61" t="str">
        <f ca="1">IF(ROWS($1:35)&gt;COUNT(Dong),"",OFFSET('141-BH'!B$1,SMALL(Dong,ROWS($1:35)),))</f>
        <v/>
      </c>
      <c r="Q50" s="100" t="str">
        <f ca="1">IF(ROWS($1:35)&gt;COUNT(Dong),"",OFFSET('141-BH'!D$1,SMALL(Dong,ROWS($1:35)),))</f>
        <v/>
      </c>
      <c r="R50" s="61" t="str">
        <f ca="1">IF(ROWS($1:35)&gt;COUNT(Dong),"",OFFSET('141-BH'!E$1,SMALL(Dong,ROWS($1:35)),))</f>
        <v/>
      </c>
      <c r="S50" s="93" t="str">
        <f ca="1">IF(ROWS($1:35)&gt;COUNT(Dong),"",OFFSET('141-BH'!F$1,SMALL(Dong,ROWS($1:35)),))</f>
        <v/>
      </c>
      <c r="T50" s="93" t="str">
        <f ca="1">IF(ROWS($1:35)&gt;COUNT(Dong),"",OFFSET('141-BH'!G$1,SMALL(Dong,ROWS($1:35)),))</f>
        <v/>
      </c>
      <c r="U50" s="139" t="str">
        <f ca="1">IF(IF(ROWS($1:35)&gt;COUNT(Dong),"",OFFSET('141-BH'!K$1,SMALL(Dong,ROWS($1:35)),))=0,"",IF(ROWS($1:35)&gt;COUNT(Dong),"",OFFSET('141-BH'!K$1,SMALL(Dong,ROWS($1:35)),)))</f>
        <v/>
      </c>
    </row>
    <row r="51" spans="1:21" ht="19.5" customHeight="1">
      <c r="A51" s="11">
        <v>41452</v>
      </c>
      <c r="B51" s="38" t="s">
        <v>130</v>
      </c>
      <c r="C51" s="14">
        <v>41452</v>
      </c>
      <c r="D51" s="16" t="s">
        <v>139</v>
      </c>
      <c r="E51" s="37" t="s">
        <v>42</v>
      </c>
      <c r="F51" s="4"/>
      <c r="G51" s="5">
        <v>76589000</v>
      </c>
      <c r="H51" s="5">
        <f t="shared" si="2"/>
        <v>1831049400</v>
      </c>
      <c r="I51" s="5">
        <f t="shared" si="3"/>
        <v>0</v>
      </c>
      <c r="J51" s="36">
        <v>6</v>
      </c>
      <c r="K51" s="133" t="s">
        <v>220</v>
      </c>
      <c r="O51" s="50"/>
      <c r="P51" s="101"/>
      <c r="Q51" s="102"/>
      <c r="R51" s="18"/>
      <c r="S51" s="103"/>
      <c r="T51" s="60"/>
    </row>
    <row r="52" spans="1:21" ht="19.5" customHeight="1">
      <c r="A52" s="14">
        <v>41452</v>
      </c>
      <c r="B52" s="23" t="s">
        <v>130</v>
      </c>
      <c r="C52" s="14">
        <v>41452</v>
      </c>
      <c r="D52" s="16" t="s">
        <v>188</v>
      </c>
      <c r="E52" s="37" t="s">
        <v>42</v>
      </c>
      <c r="F52" s="4"/>
      <c r="G52" s="19">
        <v>232637000</v>
      </c>
      <c r="H52" s="5">
        <f t="shared" si="2"/>
        <v>1598412400</v>
      </c>
      <c r="I52" s="5">
        <f t="shared" si="3"/>
        <v>0</v>
      </c>
      <c r="J52" s="36">
        <v>6</v>
      </c>
      <c r="K52" s="133" t="s">
        <v>221</v>
      </c>
      <c r="O52" s="104"/>
      <c r="P52" s="91"/>
      <c r="Q52" s="53"/>
      <c r="R52" s="105"/>
      <c r="S52" s="106"/>
      <c r="T52" s="59"/>
    </row>
    <row r="53" spans="1:21" ht="19.5" customHeight="1">
      <c r="A53" s="14">
        <v>41452</v>
      </c>
      <c r="B53" s="23" t="s">
        <v>130</v>
      </c>
      <c r="C53" s="14">
        <v>41452</v>
      </c>
      <c r="D53" s="16" t="s">
        <v>184</v>
      </c>
      <c r="E53" s="37" t="s">
        <v>42</v>
      </c>
      <c r="F53" s="4"/>
      <c r="G53" s="19">
        <v>161757000</v>
      </c>
      <c r="H53" s="5">
        <f t="shared" si="2"/>
        <v>1436655400</v>
      </c>
      <c r="I53" s="5">
        <f t="shared" si="3"/>
        <v>0</v>
      </c>
      <c r="J53" s="36">
        <v>6</v>
      </c>
      <c r="K53" s="133" t="s">
        <v>222</v>
      </c>
      <c r="O53" s="104"/>
      <c r="P53" s="91"/>
      <c r="Q53" s="53"/>
      <c r="R53" s="105"/>
      <c r="S53" s="107"/>
      <c r="T53" s="59"/>
    </row>
    <row r="54" spans="1:21" ht="19.5" customHeight="1">
      <c r="A54" s="14">
        <v>41452</v>
      </c>
      <c r="B54" s="17" t="s">
        <v>130</v>
      </c>
      <c r="C54" s="14">
        <v>41452</v>
      </c>
      <c r="D54" s="10" t="s">
        <v>185</v>
      </c>
      <c r="E54" s="37" t="s">
        <v>42</v>
      </c>
      <c r="F54" s="9"/>
      <c r="G54" s="19">
        <v>107958000</v>
      </c>
      <c r="H54" s="5">
        <f t="shared" si="2"/>
        <v>1328697400</v>
      </c>
      <c r="I54" s="5">
        <f t="shared" si="3"/>
        <v>0</v>
      </c>
      <c r="J54" s="36">
        <v>6</v>
      </c>
      <c r="K54" s="133" t="s">
        <v>223</v>
      </c>
      <c r="O54" s="104"/>
      <c r="P54" s="91"/>
      <c r="Q54" s="53"/>
      <c r="R54" s="105"/>
      <c r="S54" s="106"/>
      <c r="T54" s="59"/>
    </row>
    <row r="55" spans="1:21" ht="19.5" customHeight="1">
      <c r="A55" s="14">
        <v>41452</v>
      </c>
      <c r="B55" s="17" t="s">
        <v>130</v>
      </c>
      <c r="C55" s="14">
        <v>41452</v>
      </c>
      <c r="D55" s="16" t="s">
        <v>31</v>
      </c>
      <c r="E55" s="37" t="s">
        <v>42</v>
      </c>
      <c r="F55" s="9"/>
      <c r="G55" s="19">
        <v>121520000</v>
      </c>
      <c r="H55" s="5">
        <f t="shared" si="2"/>
        <v>1207177400</v>
      </c>
      <c r="I55" s="5">
        <f t="shared" si="3"/>
        <v>0</v>
      </c>
      <c r="J55" s="36">
        <v>6</v>
      </c>
      <c r="K55" s="133" t="s">
        <v>224</v>
      </c>
      <c r="O55" s="104"/>
      <c r="P55" s="91"/>
      <c r="Q55" s="53"/>
      <c r="R55" s="105"/>
      <c r="S55" s="106"/>
      <c r="T55" s="59"/>
    </row>
    <row r="56" spans="1:21" ht="19.5" customHeight="1">
      <c r="A56" s="14">
        <v>41452</v>
      </c>
      <c r="B56" s="17" t="s">
        <v>130</v>
      </c>
      <c r="C56" s="14">
        <v>41452</v>
      </c>
      <c r="D56" s="16" t="s">
        <v>32</v>
      </c>
      <c r="E56" s="37" t="s">
        <v>42</v>
      </c>
      <c r="F56" s="9"/>
      <c r="G56" s="19">
        <v>116200000</v>
      </c>
      <c r="H56" s="5">
        <f t="shared" si="2"/>
        <v>1090977400</v>
      </c>
      <c r="I56" s="5">
        <f t="shared" si="3"/>
        <v>0</v>
      </c>
      <c r="J56" s="36">
        <v>6</v>
      </c>
      <c r="K56" s="133" t="s">
        <v>225</v>
      </c>
      <c r="O56" s="104"/>
      <c r="P56" s="91"/>
      <c r="Q56" s="53"/>
      <c r="R56" s="105"/>
      <c r="S56" s="106"/>
      <c r="T56" s="59"/>
    </row>
    <row r="57" spans="1:21" ht="19.5" customHeight="1">
      <c r="A57" s="14">
        <v>41452</v>
      </c>
      <c r="B57" s="17" t="s">
        <v>130</v>
      </c>
      <c r="C57" s="14">
        <v>41452</v>
      </c>
      <c r="D57" s="16" t="s">
        <v>187</v>
      </c>
      <c r="E57" s="37" t="s">
        <v>42</v>
      </c>
      <c r="F57" s="9"/>
      <c r="G57" s="19">
        <v>120960000</v>
      </c>
      <c r="H57" s="5">
        <f t="shared" si="2"/>
        <v>970017400</v>
      </c>
      <c r="I57" s="5">
        <f t="shared" si="3"/>
        <v>0</v>
      </c>
      <c r="J57" s="36">
        <v>6</v>
      </c>
      <c r="K57" s="133" t="s">
        <v>226</v>
      </c>
      <c r="O57" s="104"/>
      <c r="P57" s="91"/>
      <c r="Q57" s="53"/>
      <c r="R57" s="105"/>
      <c r="S57" s="106"/>
      <c r="T57" s="59"/>
    </row>
    <row r="58" spans="1:21" ht="19.5" customHeight="1">
      <c r="A58" s="14">
        <v>41452</v>
      </c>
      <c r="B58" s="17" t="s">
        <v>130</v>
      </c>
      <c r="C58" s="14">
        <v>41452</v>
      </c>
      <c r="D58" s="16" t="s">
        <v>145</v>
      </c>
      <c r="E58" s="37" t="s">
        <v>42</v>
      </c>
      <c r="F58" s="9"/>
      <c r="G58" s="19">
        <v>239700000</v>
      </c>
      <c r="H58" s="5">
        <f t="shared" si="2"/>
        <v>730317400</v>
      </c>
      <c r="I58" s="5">
        <f t="shared" si="3"/>
        <v>0</v>
      </c>
      <c r="J58" s="36">
        <v>6</v>
      </c>
      <c r="K58" s="133" t="s">
        <v>227</v>
      </c>
      <c r="O58" s="104"/>
      <c r="P58" s="91"/>
      <c r="Q58" s="53"/>
      <c r="R58" s="105"/>
      <c r="S58" s="106"/>
      <c r="T58" s="59"/>
    </row>
    <row r="59" spans="1:21" ht="19.5" customHeight="1">
      <c r="A59" s="14">
        <v>41452</v>
      </c>
      <c r="B59" s="17" t="s">
        <v>130</v>
      </c>
      <c r="C59" s="14">
        <v>41452</v>
      </c>
      <c r="D59" s="16" t="s">
        <v>147</v>
      </c>
      <c r="E59" s="37" t="s">
        <v>42</v>
      </c>
      <c r="F59" s="9"/>
      <c r="G59" s="19">
        <v>207140000</v>
      </c>
      <c r="H59" s="5">
        <f t="shared" si="2"/>
        <v>523177400</v>
      </c>
      <c r="I59" s="5">
        <f t="shared" si="3"/>
        <v>0</v>
      </c>
      <c r="J59" s="36">
        <v>6</v>
      </c>
      <c r="K59" s="133" t="s">
        <v>228</v>
      </c>
      <c r="O59" s="50"/>
      <c r="P59" s="91"/>
      <c r="Q59" s="53"/>
      <c r="R59" s="105"/>
      <c r="S59" s="106"/>
      <c r="T59" s="59"/>
    </row>
    <row r="60" spans="1:21" ht="19.5" customHeight="1">
      <c r="A60" s="11">
        <v>41452</v>
      </c>
      <c r="B60" s="23" t="s">
        <v>130</v>
      </c>
      <c r="C60" s="14">
        <v>41452</v>
      </c>
      <c r="D60" s="16" t="s">
        <v>189</v>
      </c>
      <c r="E60" s="37" t="s">
        <v>42</v>
      </c>
      <c r="F60" s="9"/>
      <c r="G60" s="24">
        <v>215320000</v>
      </c>
      <c r="H60" s="5">
        <f t="shared" si="2"/>
        <v>307857400</v>
      </c>
      <c r="I60" s="5">
        <f t="shared" si="3"/>
        <v>0</v>
      </c>
      <c r="J60" s="36">
        <v>6</v>
      </c>
      <c r="K60" s="133" t="s">
        <v>229</v>
      </c>
      <c r="O60" s="50"/>
      <c r="P60" s="91"/>
      <c r="Q60" s="53"/>
      <c r="R60" s="105"/>
      <c r="S60" s="106"/>
      <c r="T60" s="59"/>
    </row>
    <row r="61" spans="1:21" ht="19.5" customHeight="1">
      <c r="A61" s="11">
        <v>41452</v>
      </c>
      <c r="B61" s="23" t="s">
        <v>130</v>
      </c>
      <c r="C61" s="14">
        <v>41452</v>
      </c>
      <c r="D61" s="16" t="s">
        <v>33</v>
      </c>
      <c r="E61" s="37" t="s">
        <v>42</v>
      </c>
      <c r="F61" s="9"/>
      <c r="G61" s="24">
        <v>228484000</v>
      </c>
      <c r="H61" s="5">
        <f t="shared" si="2"/>
        <v>79373400</v>
      </c>
      <c r="I61" s="5">
        <f t="shared" si="3"/>
        <v>0</v>
      </c>
      <c r="J61" s="36">
        <v>6</v>
      </c>
      <c r="K61" s="133" t="s">
        <v>230</v>
      </c>
      <c r="O61" s="50"/>
      <c r="P61" s="91"/>
      <c r="Q61" s="53"/>
      <c r="R61" s="105"/>
      <c r="S61" s="106"/>
      <c r="T61" s="59"/>
    </row>
    <row r="62" spans="1:21" ht="19.5" customHeight="1">
      <c r="A62" s="11">
        <v>41452</v>
      </c>
      <c r="B62" s="23" t="s">
        <v>130</v>
      </c>
      <c r="C62" s="14">
        <v>41452</v>
      </c>
      <c r="D62" s="16" t="s">
        <v>149</v>
      </c>
      <c r="E62" s="37" t="s">
        <v>42</v>
      </c>
      <c r="F62" s="9"/>
      <c r="G62" s="24">
        <v>76653000</v>
      </c>
      <c r="H62" s="5">
        <f t="shared" si="2"/>
        <v>2720400</v>
      </c>
      <c r="I62" s="5">
        <f t="shared" si="3"/>
        <v>0</v>
      </c>
      <c r="J62" s="36">
        <v>6</v>
      </c>
      <c r="K62" s="133" t="s">
        <v>200</v>
      </c>
      <c r="O62" s="50"/>
      <c r="P62" s="91"/>
      <c r="Q62" s="53"/>
      <c r="R62" s="105"/>
      <c r="S62" s="106"/>
      <c r="T62" s="59"/>
    </row>
    <row r="63" spans="1:21" ht="19.5" customHeight="1">
      <c r="A63" s="11">
        <v>41452</v>
      </c>
      <c r="B63" s="23" t="s">
        <v>59</v>
      </c>
      <c r="C63" s="14">
        <v>41452</v>
      </c>
      <c r="D63" s="16" t="s">
        <v>44</v>
      </c>
      <c r="E63" s="97" t="s">
        <v>45</v>
      </c>
      <c r="F63" s="9">
        <v>650000000</v>
      </c>
      <c r="G63" s="19"/>
      <c r="H63" s="5">
        <f t="shared" si="2"/>
        <v>652720400</v>
      </c>
      <c r="I63" s="5">
        <f t="shared" si="3"/>
        <v>0</v>
      </c>
      <c r="J63" s="36">
        <v>7</v>
      </c>
      <c r="O63" s="50"/>
      <c r="P63" s="91"/>
      <c r="Q63" s="53"/>
      <c r="R63" s="105"/>
      <c r="S63" s="106"/>
      <c r="T63" s="59"/>
    </row>
    <row r="64" spans="1:21" ht="19.5" customHeight="1">
      <c r="A64" s="11">
        <v>41458</v>
      </c>
      <c r="B64" s="23" t="s">
        <v>136</v>
      </c>
      <c r="C64" s="14">
        <v>41458</v>
      </c>
      <c r="D64" s="238" t="s">
        <v>44</v>
      </c>
      <c r="E64" s="97" t="s">
        <v>45</v>
      </c>
      <c r="F64" s="9">
        <v>650000000</v>
      </c>
      <c r="G64" s="19"/>
      <c r="H64" s="5">
        <f t="shared" si="2"/>
        <v>1302720400</v>
      </c>
      <c r="I64" s="5">
        <f t="shared" si="3"/>
        <v>0</v>
      </c>
      <c r="J64" s="36">
        <v>7</v>
      </c>
      <c r="O64" s="50"/>
      <c r="P64" s="91"/>
      <c r="Q64" s="53"/>
      <c r="R64" s="105"/>
      <c r="S64" s="106"/>
      <c r="T64" s="59"/>
    </row>
    <row r="65" spans="1:20" ht="19.5" customHeight="1">
      <c r="A65" s="11">
        <v>41459</v>
      </c>
      <c r="B65" s="23" t="s">
        <v>52</v>
      </c>
      <c r="C65" s="14">
        <v>41459</v>
      </c>
      <c r="D65" s="16" t="s">
        <v>44</v>
      </c>
      <c r="E65" s="97" t="s">
        <v>45</v>
      </c>
      <c r="F65" s="9">
        <v>650000000</v>
      </c>
      <c r="G65" s="19"/>
      <c r="H65" s="5">
        <f t="shared" si="2"/>
        <v>1952720400</v>
      </c>
      <c r="I65" s="5">
        <f t="shared" si="3"/>
        <v>0</v>
      </c>
      <c r="J65" s="36">
        <v>7</v>
      </c>
      <c r="O65" s="50"/>
      <c r="P65" s="91"/>
      <c r="Q65" s="53"/>
      <c r="R65" s="105"/>
      <c r="S65" s="106"/>
      <c r="T65" s="59"/>
    </row>
    <row r="66" spans="1:20" ht="19.5" customHeight="1">
      <c r="A66" s="11">
        <v>41461</v>
      </c>
      <c r="B66" s="23" t="s">
        <v>122</v>
      </c>
      <c r="C66" s="14">
        <v>41461</v>
      </c>
      <c r="D66" s="16" t="s">
        <v>44</v>
      </c>
      <c r="E66" s="97" t="s">
        <v>45</v>
      </c>
      <c r="F66" s="9">
        <v>650000000</v>
      </c>
      <c r="G66" s="19"/>
      <c r="H66" s="5">
        <f t="shared" si="2"/>
        <v>2602720400</v>
      </c>
      <c r="I66" s="5">
        <f t="shared" si="3"/>
        <v>0</v>
      </c>
      <c r="J66" s="36">
        <v>7</v>
      </c>
      <c r="O66" s="109"/>
      <c r="P66" s="91"/>
      <c r="Q66" s="53"/>
      <c r="R66" s="105"/>
      <c r="S66" s="106"/>
      <c r="T66" s="59"/>
    </row>
    <row r="67" spans="1:20" ht="19.5" customHeight="1">
      <c r="A67" s="11">
        <v>41464</v>
      </c>
      <c r="B67" s="23" t="s">
        <v>158</v>
      </c>
      <c r="C67" s="14">
        <v>41464</v>
      </c>
      <c r="D67" s="16" t="s">
        <v>44</v>
      </c>
      <c r="E67" s="97" t="s">
        <v>45</v>
      </c>
      <c r="F67" s="9">
        <v>560000000</v>
      </c>
      <c r="G67" s="19"/>
      <c r="H67" s="5">
        <f t="shared" si="2"/>
        <v>3162720400</v>
      </c>
      <c r="I67" s="5">
        <f t="shared" si="3"/>
        <v>0</v>
      </c>
      <c r="J67" s="36">
        <v>7</v>
      </c>
      <c r="K67" s="239"/>
      <c r="O67" s="104"/>
      <c r="P67" s="91"/>
      <c r="Q67" s="53"/>
      <c r="R67" s="105"/>
      <c r="S67" s="106"/>
      <c r="T67" s="59"/>
    </row>
    <row r="68" spans="1:20" ht="19.5" customHeight="1">
      <c r="A68" s="11">
        <v>41472</v>
      </c>
      <c r="B68" s="23" t="s">
        <v>133</v>
      </c>
      <c r="C68" s="14">
        <v>41472</v>
      </c>
      <c r="D68" s="16" t="s">
        <v>188</v>
      </c>
      <c r="E68" s="37" t="s">
        <v>42</v>
      </c>
      <c r="F68" s="9"/>
      <c r="G68" s="19">
        <v>534943500</v>
      </c>
      <c r="H68" s="5">
        <f t="shared" si="2"/>
        <v>2627776900</v>
      </c>
      <c r="I68" s="5">
        <f t="shared" si="3"/>
        <v>0</v>
      </c>
      <c r="J68" s="36">
        <v>7</v>
      </c>
      <c r="K68" s="133" t="s">
        <v>231</v>
      </c>
      <c r="O68" s="104"/>
      <c r="P68" s="91"/>
      <c r="Q68" s="53"/>
      <c r="R68" s="105"/>
      <c r="S68" s="106"/>
      <c r="T68" s="59"/>
    </row>
    <row r="69" spans="1:20" ht="19.5" customHeight="1">
      <c r="A69" s="11">
        <v>41472</v>
      </c>
      <c r="B69" s="23" t="s">
        <v>133</v>
      </c>
      <c r="C69" s="14">
        <v>41472</v>
      </c>
      <c r="D69" s="16" t="s">
        <v>184</v>
      </c>
      <c r="E69" s="37" t="s">
        <v>42</v>
      </c>
      <c r="F69" s="9"/>
      <c r="G69" s="19">
        <v>261215500</v>
      </c>
      <c r="H69" s="5">
        <f t="shared" si="2"/>
        <v>2366561400</v>
      </c>
      <c r="I69" s="5">
        <f t="shared" si="3"/>
        <v>0</v>
      </c>
      <c r="J69" s="36">
        <v>7</v>
      </c>
      <c r="K69" s="133" t="s">
        <v>232</v>
      </c>
      <c r="O69" s="104"/>
      <c r="P69" s="91"/>
      <c r="Q69" s="53"/>
      <c r="R69" s="105"/>
      <c r="S69" s="106"/>
      <c r="T69" s="59"/>
    </row>
    <row r="70" spans="1:20" ht="19.5" customHeight="1">
      <c r="A70" s="14">
        <v>41472</v>
      </c>
      <c r="B70" s="23" t="s">
        <v>133</v>
      </c>
      <c r="C70" s="14">
        <v>41472</v>
      </c>
      <c r="D70" s="16" t="s">
        <v>29</v>
      </c>
      <c r="E70" s="37" t="s">
        <v>42</v>
      </c>
      <c r="F70" s="9"/>
      <c r="G70" s="9">
        <v>277970000</v>
      </c>
      <c r="H70" s="5">
        <f t="shared" si="2"/>
        <v>2088591400</v>
      </c>
      <c r="I70" s="5">
        <f t="shared" si="3"/>
        <v>0</v>
      </c>
      <c r="J70" s="36">
        <v>7</v>
      </c>
      <c r="K70" s="133" t="s">
        <v>233</v>
      </c>
      <c r="O70" s="104"/>
      <c r="P70" s="91"/>
      <c r="Q70" s="108"/>
      <c r="R70" s="105"/>
      <c r="S70" s="106"/>
      <c r="T70" s="106"/>
    </row>
    <row r="71" spans="1:20" ht="19.5" customHeight="1">
      <c r="A71" s="14">
        <v>41472</v>
      </c>
      <c r="B71" s="23" t="s">
        <v>133</v>
      </c>
      <c r="C71" s="14">
        <v>41472</v>
      </c>
      <c r="D71" s="16" t="s">
        <v>190</v>
      </c>
      <c r="E71" s="37" t="s">
        <v>42</v>
      </c>
      <c r="F71" s="9"/>
      <c r="G71" s="19">
        <v>220077500</v>
      </c>
      <c r="H71" s="5">
        <f t="shared" si="2"/>
        <v>1868513900</v>
      </c>
      <c r="I71" s="5">
        <f t="shared" si="3"/>
        <v>0</v>
      </c>
      <c r="J71" s="36">
        <v>7</v>
      </c>
      <c r="K71" s="133" t="s">
        <v>234</v>
      </c>
      <c r="O71" s="104"/>
      <c r="P71" s="91"/>
      <c r="Q71" s="53"/>
      <c r="R71" s="105"/>
      <c r="S71" s="106"/>
      <c r="T71" s="59"/>
    </row>
    <row r="72" spans="1:20" ht="19.5" customHeight="1">
      <c r="A72" s="14">
        <v>41472</v>
      </c>
      <c r="B72" s="23" t="s">
        <v>133</v>
      </c>
      <c r="C72" s="14">
        <v>41472</v>
      </c>
      <c r="D72" s="16" t="s">
        <v>131</v>
      </c>
      <c r="E72" s="37" t="s">
        <v>42</v>
      </c>
      <c r="F72" s="9"/>
      <c r="G72" s="19">
        <v>233128000</v>
      </c>
      <c r="H72" s="5">
        <f t="shared" si="2"/>
        <v>1635385900</v>
      </c>
      <c r="I72" s="5">
        <f t="shared" si="3"/>
        <v>0</v>
      </c>
      <c r="J72" s="36">
        <v>7</v>
      </c>
      <c r="K72" s="133" t="s">
        <v>235</v>
      </c>
      <c r="O72" s="104"/>
      <c r="P72" s="91"/>
      <c r="Q72" s="53"/>
      <c r="R72" s="105"/>
      <c r="S72" s="106"/>
      <c r="T72" s="59"/>
    </row>
    <row r="73" spans="1:20" ht="19.5" customHeight="1">
      <c r="A73" s="14">
        <v>41472</v>
      </c>
      <c r="B73" s="23" t="s">
        <v>133</v>
      </c>
      <c r="C73" s="14">
        <v>41472</v>
      </c>
      <c r="D73" s="16" t="s">
        <v>145</v>
      </c>
      <c r="E73" s="37" t="s">
        <v>42</v>
      </c>
      <c r="F73" s="9"/>
      <c r="G73" s="19">
        <v>263809000</v>
      </c>
      <c r="H73" s="5">
        <f t="shared" si="2"/>
        <v>1371576900</v>
      </c>
      <c r="I73" s="5">
        <f t="shared" si="3"/>
        <v>0</v>
      </c>
      <c r="J73" s="36">
        <v>7</v>
      </c>
      <c r="K73" s="133" t="s">
        <v>236</v>
      </c>
      <c r="O73" s="104"/>
      <c r="P73" s="91"/>
      <c r="Q73" s="53"/>
      <c r="R73" s="105"/>
      <c r="S73" s="106"/>
      <c r="T73" s="59"/>
    </row>
    <row r="74" spans="1:20" ht="19.5" customHeight="1">
      <c r="A74" s="14">
        <v>41472</v>
      </c>
      <c r="B74" s="23" t="s">
        <v>133</v>
      </c>
      <c r="C74" s="14">
        <v>41472</v>
      </c>
      <c r="D74" s="16" t="s">
        <v>147</v>
      </c>
      <c r="E74" s="37" t="s">
        <v>42</v>
      </c>
      <c r="F74" s="9"/>
      <c r="G74" s="19">
        <v>249658500</v>
      </c>
      <c r="H74" s="5">
        <f t="shared" si="2"/>
        <v>1121918400</v>
      </c>
      <c r="I74" s="5">
        <f t="shared" si="3"/>
        <v>0</v>
      </c>
      <c r="J74" s="36">
        <v>7</v>
      </c>
      <c r="K74" s="133" t="s">
        <v>237</v>
      </c>
      <c r="O74" s="104"/>
      <c r="P74" s="91"/>
      <c r="Q74" s="53"/>
      <c r="R74" s="105"/>
      <c r="S74" s="106"/>
      <c r="T74" s="59"/>
    </row>
    <row r="75" spans="1:20" ht="19.5" customHeight="1">
      <c r="A75" s="14">
        <v>41472</v>
      </c>
      <c r="B75" s="23" t="s">
        <v>133</v>
      </c>
      <c r="C75" s="14">
        <v>41472</v>
      </c>
      <c r="D75" s="16" t="s">
        <v>148</v>
      </c>
      <c r="E75" s="37" t="s">
        <v>42</v>
      </c>
      <c r="F75" s="9"/>
      <c r="G75" s="19">
        <v>238238000</v>
      </c>
      <c r="H75" s="5">
        <f t="shared" si="2"/>
        <v>883680400</v>
      </c>
      <c r="I75" s="5">
        <f t="shared" si="3"/>
        <v>0</v>
      </c>
      <c r="J75" s="36">
        <v>7</v>
      </c>
      <c r="K75" s="133" t="s">
        <v>238</v>
      </c>
      <c r="O75" s="104"/>
      <c r="P75" s="91"/>
      <c r="Q75" s="53"/>
      <c r="R75" s="105"/>
      <c r="S75" s="106"/>
      <c r="T75" s="59"/>
    </row>
    <row r="76" spans="1:20" ht="19.5" customHeight="1">
      <c r="A76" s="14">
        <v>41472</v>
      </c>
      <c r="B76" s="23" t="s">
        <v>133</v>
      </c>
      <c r="C76" s="14">
        <v>41472</v>
      </c>
      <c r="D76" s="16" t="s">
        <v>189</v>
      </c>
      <c r="E76" s="37" t="s">
        <v>42</v>
      </c>
      <c r="F76" s="9"/>
      <c r="G76" s="19">
        <v>266997500</v>
      </c>
      <c r="H76" s="5">
        <f t="shared" si="2"/>
        <v>616682900</v>
      </c>
      <c r="I76" s="5">
        <f t="shared" si="3"/>
        <v>0</v>
      </c>
      <c r="J76" s="36">
        <v>7</v>
      </c>
      <c r="K76" s="133" t="s">
        <v>239</v>
      </c>
      <c r="O76" s="104"/>
      <c r="P76" s="91"/>
      <c r="Q76" s="53"/>
      <c r="R76" s="105"/>
      <c r="S76" s="106"/>
      <c r="T76" s="59"/>
    </row>
    <row r="77" spans="1:20" ht="19.5" customHeight="1">
      <c r="A77" s="14">
        <v>41472</v>
      </c>
      <c r="B77" s="23" t="s">
        <v>133</v>
      </c>
      <c r="C77" s="14">
        <v>41472</v>
      </c>
      <c r="D77" s="16" t="s">
        <v>33</v>
      </c>
      <c r="E77" s="37" t="s">
        <v>42</v>
      </c>
      <c r="F77" s="9"/>
      <c r="G77" s="19">
        <v>369852000</v>
      </c>
      <c r="H77" s="5">
        <f t="shared" si="2"/>
        <v>246830900</v>
      </c>
      <c r="I77" s="5">
        <f t="shared" si="3"/>
        <v>0</v>
      </c>
      <c r="J77" s="36">
        <v>7</v>
      </c>
      <c r="K77" s="133" t="s">
        <v>240</v>
      </c>
      <c r="O77" s="104"/>
      <c r="P77" s="91"/>
      <c r="Q77" s="53"/>
      <c r="R77" s="105"/>
      <c r="S77" s="106"/>
      <c r="T77" s="59"/>
    </row>
    <row r="78" spans="1:20" ht="19.5" customHeight="1">
      <c r="A78" s="14">
        <v>41472</v>
      </c>
      <c r="B78" s="23" t="s">
        <v>133</v>
      </c>
      <c r="C78" s="14">
        <v>41472</v>
      </c>
      <c r="D78" s="16" t="s">
        <v>149</v>
      </c>
      <c r="E78" s="37" t="s">
        <v>42</v>
      </c>
      <c r="F78" s="9"/>
      <c r="G78" s="19">
        <v>243698000</v>
      </c>
      <c r="H78" s="5">
        <f t="shared" si="2"/>
        <v>3132900</v>
      </c>
      <c r="I78" s="5">
        <f t="shared" si="3"/>
        <v>0</v>
      </c>
      <c r="J78" s="36">
        <v>7</v>
      </c>
      <c r="K78" s="133" t="s">
        <v>241</v>
      </c>
      <c r="O78" s="104"/>
      <c r="P78" s="91"/>
      <c r="Q78" s="53"/>
      <c r="R78" s="105"/>
      <c r="S78" s="106"/>
      <c r="T78" s="59"/>
    </row>
    <row r="79" spans="1:20" ht="19.5" customHeight="1">
      <c r="A79" s="14">
        <v>41472</v>
      </c>
      <c r="B79" s="23" t="s">
        <v>50</v>
      </c>
      <c r="C79" s="14">
        <v>41472</v>
      </c>
      <c r="D79" s="16" t="s">
        <v>44</v>
      </c>
      <c r="E79" s="97" t="s">
        <v>45</v>
      </c>
      <c r="F79" s="9">
        <v>650000000</v>
      </c>
      <c r="G79" s="19"/>
      <c r="H79" s="5">
        <f t="shared" si="2"/>
        <v>653132900</v>
      </c>
      <c r="I79" s="5">
        <f t="shared" si="3"/>
        <v>0</v>
      </c>
      <c r="J79" s="36">
        <v>7</v>
      </c>
      <c r="O79" s="104"/>
      <c r="P79" s="91"/>
      <c r="Q79" s="53"/>
      <c r="R79" s="105"/>
      <c r="S79" s="106"/>
      <c r="T79" s="59"/>
    </row>
    <row r="80" spans="1:20" ht="19.5" customHeight="1">
      <c r="A80" s="14">
        <v>41473</v>
      </c>
      <c r="B80" s="23" t="s">
        <v>153</v>
      </c>
      <c r="C80" s="14">
        <v>41473</v>
      </c>
      <c r="D80" s="16" t="s">
        <v>44</v>
      </c>
      <c r="E80" s="97" t="s">
        <v>45</v>
      </c>
      <c r="F80" s="9">
        <v>650000000</v>
      </c>
      <c r="G80" s="19"/>
      <c r="H80" s="5">
        <f t="shared" si="2"/>
        <v>1303132900</v>
      </c>
      <c r="I80" s="5">
        <f t="shared" si="3"/>
        <v>0</v>
      </c>
      <c r="J80" s="36">
        <v>7</v>
      </c>
      <c r="O80" s="104"/>
      <c r="P80" s="91"/>
      <c r="Q80" s="53"/>
      <c r="R80" s="105"/>
      <c r="S80" s="106"/>
      <c r="T80" s="59"/>
    </row>
    <row r="81" spans="1:21" ht="19.5" customHeight="1">
      <c r="A81" s="14">
        <v>41481</v>
      </c>
      <c r="B81" s="23" t="s">
        <v>165</v>
      </c>
      <c r="C81" s="14">
        <v>41481</v>
      </c>
      <c r="D81" s="16" t="s">
        <v>44</v>
      </c>
      <c r="E81" s="97" t="s">
        <v>45</v>
      </c>
      <c r="F81" s="9">
        <v>610000000</v>
      </c>
      <c r="G81" s="19"/>
      <c r="H81" s="5">
        <f t="shared" si="2"/>
        <v>1913132900</v>
      </c>
      <c r="I81" s="5">
        <f t="shared" si="3"/>
        <v>0</v>
      </c>
      <c r="J81" s="36">
        <v>7</v>
      </c>
      <c r="O81" s="104"/>
      <c r="P81" s="91"/>
      <c r="Q81" s="53"/>
      <c r="R81" s="105"/>
      <c r="S81" s="106"/>
      <c r="T81" s="59"/>
    </row>
    <row r="82" spans="1:21" ht="19.5" customHeight="1">
      <c r="A82" s="14">
        <v>41486</v>
      </c>
      <c r="B82" s="23" t="s">
        <v>138</v>
      </c>
      <c r="C82" s="14">
        <v>41486</v>
      </c>
      <c r="D82" s="16" t="s">
        <v>188</v>
      </c>
      <c r="E82" s="37" t="s">
        <v>42</v>
      </c>
      <c r="F82" s="9"/>
      <c r="G82" s="19">
        <v>273182000</v>
      </c>
      <c r="H82" s="5">
        <f t="shared" si="2"/>
        <v>1639950900</v>
      </c>
      <c r="I82" s="5">
        <f t="shared" si="3"/>
        <v>0</v>
      </c>
      <c r="J82" s="36">
        <v>7</v>
      </c>
      <c r="K82" s="133" t="s">
        <v>242</v>
      </c>
      <c r="O82" s="104"/>
      <c r="P82" s="91"/>
      <c r="Q82" s="53"/>
      <c r="R82" s="105"/>
      <c r="S82" s="106"/>
      <c r="T82" s="59"/>
    </row>
    <row r="83" spans="1:21" ht="19.5" customHeight="1">
      <c r="A83" s="14">
        <v>41486</v>
      </c>
      <c r="B83" s="23" t="s">
        <v>138</v>
      </c>
      <c r="C83" s="14">
        <v>41486</v>
      </c>
      <c r="D83" s="16" t="s">
        <v>184</v>
      </c>
      <c r="E83" s="37" t="s">
        <v>42</v>
      </c>
      <c r="F83" s="9"/>
      <c r="G83" s="19">
        <v>232203000</v>
      </c>
      <c r="H83" s="5">
        <f t="shared" si="2"/>
        <v>1407747900</v>
      </c>
      <c r="I83" s="5">
        <f t="shared" si="3"/>
        <v>0</v>
      </c>
      <c r="J83" s="36">
        <v>7</v>
      </c>
      <c r="K83" s="133" t="s">
        <v>243</v>
      </c>
      <c r="O83" s="104"/>
      <c r="P83" s="91"/>
      <c r="Q83" s="53"/>
      <c r="R83" s="105"/>
      <c r="S83" s="106"/>
      <c r="T83" s="59"/>
    </row>
    <row r="84" spans="1:21" ht="19.5" customHeight="1">
      <c r="A84" s="14">
        <v>41486</v>
      </c>
      <c r="B84" s="23" t="s">
        <v>138</v>
      </c>
      <c r="C84" s="14">
        <v>41486</v>
      </c>
      <c r="D84" s="16" t="s">
        <v>29</v>
      </c>
      <c r="E84" s="37" t="s">
        <v>42</v>
      </c>
      <c r="F84" s="9"/>
      <c r="G84" s="9">
        <v>115498000</v>
      </c>
      <c r="H84" s="5">
        <f t="shared" ref="H84:H93" si="5">MAX(H83+F84-I83-G84,0)</f>
        <v>1292249900</v>
      </c>
      <c r="I84" s="5">
        <f t="shared" ref="I84:I93" si="6">MAX(I83+G84-H83-F84,0)</f>
        <v>0</v>
      </c>
      <c r="J84" s="36">
        <v>7</v>
      </c>
      <c r="K84" s="133" t="s">
        <v>244</v>
      </c>
      <c r="O84" s="104"/>
      <c r="P84" s="91"/>
      <c r="Q84" s="108"/>
      <c r="R84" s="105"/>
      <c r="S84" s="106"/>
      <c r="T84" s="106"/>
    </row>
    <row r="85" spans="1:21" ht="19.5" customHeight="1">
      <c r="A85" s="14">
        <v>41486</v>
      </c>
      <c r="B85" s="23" t="s">
        <v>138</v>
      </c>
      <c r="C85" s="14">
        <v>41486</v>
      </c>
      <c r="D85" s="16" t="s">
        <v>131</v>
      </c>
      <c r="E85" s="37" t="s">
        <v>42</v>
      </c>
      <c r="F85" s="9"/>
      <c r="G85" s="19">
        <v>81250000</v>
      </c>
      <c r="H85" s="5">
        <f t="shared" si="5"/>
        <v>1210999900</v>
      </c>
      <c r="I85" s="5">
        <f t="shared" si="6"/>
        <v>0</v>
      </c>
      <c r="J85" s="36">
        <v>7</v>
      </c>
      <c r="K85" s="133" t="s">
        <v>224</v>
      </c>
      <c r="O85" s="104"/>
      <c r="P85" s="91"/>
      <c r="Q85" s="53"/>
      <c r="R85" s="105"/>
      <c r="S85" s="106"/>
      <c r="T85" s="59"/>
    </row>
    <row r="86" spans="1:21" ht="19.5" customHeight="1">
      <c r="A86" s="14">
        <v>41486</v>
      </c>
      <c r="B86" s="23" t="s">
        <v>138</v>
      </c>
      <c r="C86" s="14">
        <v>41486</v>
      </c>
      <c r="D86" s="16" t="s">
        <v>147</v>
      </c>
      <c r="E86" s="37" t="s">
        <v>42</v>
      </c>
      <c r="F86" s="9"/>
      <c r="G86" s="19">
        <v>209554000</v>
      </c>
      <c r="H86" s="5">
        <f t="shared" si="5"/>
        <v>1001445900</v>
      </c>
      <c r="I86" s="5">
        <f t="shared" si="6"/>
        <v>0</v>
      </c>
      <c r="J86" s="36">
        <v>7</v>
      </c>
      <c r="K86" s="133" t="s">
        <v>245</v>
      </c>
      <c r="O86" s="104"/>
      <c r="P86" s="91"/>
      <c r="Q86" s="53"/>
      <c r="R86" s="105"/>
      <c r="S86" s="106"/>
      <c r="T86" s="59"/>
    </row>
    <row r="87" spans="1:21" ht="19.5" customHeight="1">
      <c r="A87" s="14">
        <v>41486</v>
      </c>
      <c r="B87" s="23" t="s">
        <v>138</v>
      </c>
      <c r="C87" s="14">
        <v>41486</v>
      </c>
      <c r="D87" s="16" t="s">
        <v>148</v>
      </c>
      <c r="E87" s="37" t="s">
        <v>42</v>
      </c>
      <c r="F87" s="9"/>
      <c r="G87" s="19">
        <v>291827000</v>
      </c>
      <c r="H87" s="5">
        <f t="shared" si="5"/>
        <v>709618900</v>
      </c>
      <c r="I87" s="5">
        <f t="shared" si="6"/>
        <v>0</v>
      </c>
      <c r="J87" s="36">
        <v>7</v>
      </c>
      <c r="K87" s="133" t="s">
        <v>246</v>
      </c>
      <c r="O87" s="104"/>
      <c r="P87" s="91"/>
      <c r="Q87" s="53"/>
      <c r="R87" s="105"/>
      <c r="S87" s="106"/>
      <c r="T87" s="59"/>
    </row>
    <row r="88" spans="1:21" ht="19.5" customHeight="1">
      <c r="A88" s="14">
        <v>41486</v>
      </c>
      <c r="B88" s="23" t="s">
        <v>138</v>
      </c>
      <c r="C88" s="14">
        <v>41486</v>
      </c>
      <c r="D88" s="16" t="s">
        <v>189</v>
      </c>
      <c r="E88" s="37" t="s">
        <v>42</v>
      </c>
      <c r="F88" s="9"/>
      <c r="G88" s="19">
        <v>154292000</v>
      </c>
      <c r="H88" s="5">
        <f t="shared" si="5"/>
        <v>555326900</v>
      </c>
      <c r="I88" s="5">
        <f t="shared" si="6"/>
        <v>0</v>
      </c>
      <c r="J88" s="36">
        <v>7</v>
      </c>
      <c r="K88" s="133" t="s">
        <v>200</v>
      </c>
      <c r="O88" s="104"/>
      <c r="P88" s="91"/>
      <c r="Q88" s="53"/>
      <c r="R88" s="105"/>
      <c r="S88" s="106"/>
      <c r="T88" s="59"/>
    </row>
    <row r="89" spans="1:21" ht="19.5" customHeight="1">
      <c r="A89" s="14">
        <v>41486</v>
      </c>
      <c r="B89" s="23" t="s">
        <v>138</v>
      </c>
      <c r="C89" s="14">
        <v>41486</v>
      </c>
      <c r="D89" s="16" t="s">
        <v>33</v>
      </c>
      <c r="E89" s="37" t="s">
        <v>42</v>
      </c>
      <c r="F89" s="9"/>
      <c r="G89" s="19">
        <v>302644000</v>
      </c>
      <c r="H89" s="5">
        <f t="shared" si="5"/>
        <v>252682900</v>
      </c>
      <c r="I89" s="5">
        <f t="shared" si="6"/>
        <v>0</v>
      </c>
      <c r="J89" s="36">
        <v>7</v>
      </c>
      <c r="K89" s="133" t="s">
        <v>247</v>
      </c>
      <c r="O89" s="104"/>
      <c r="P89" s="91"/>
      <c r="Q89" s="53"/>
      <c r="R89" s="105"/>
      <c r="S89" s="106"/>
      <c r="T89" s="59"/>
    </row>
    <row r="90" spans="1:21" s="52" customFormat="1" ht="19.5" customHeight="1">
      <c r="A90" s="14">
        <v>41486</v>
      </c>
      <c r="B90" s="23" t="s">
        <v>138</v>
      </c>
      <c r="C90" s="14">
        <v>41486</v>
      </c>
      <c r="D90" s="16" t="s">
        <v>149</v>
      </c>
      <c r="E90" s="37" t="s">
        <v>42</v>
      </c>
      <c r="F90" s="9"/>
      <c r="G90" s="19">
        <v>247437000</v>
      </c>
      <c r="H90" s="5">
        <f t="shared" si="5"/>
        <v>5245900</v>
      </c>
      <c r="I90" s="5">
        <f t="shared" si="6"/>
        <v>0</v>
      </c>
      <c r="J90" s="36">
        <v>7</v>
      </c>
      <c r="K90" s="133" t="s">
        <v>248</v>
      </c>
      <c r="O90" s="104"/>
      <c r="P90" s="91"/>
      <c r="Q90" s="53"/>
      <c r="R90" s="105"/>
      <c r="S90" s="106"/>
      <c r="T90" s="59"/>
      <c r="U90" s="140"/>
    </row>
    <row r="91" spans="1:21" ht="19.5" customHeight="1">
      <c r="A91" s="14">
        <v>41494</v>
      </c>
      <c r="B91" s="23" t="s">
        <v>60</v>
      </c>
      <c r="C91" s="14">
        <v>41494</v>
      </c>
      <c r="D91" s="16" t="s">
        <v>44</v>
      </c>
      <c r="E91" s="97" t="s">
        <v>45</v>
      </c>
      <c r="F91" s="9">
        <v>650000000</v>
      </c>
      <c r="G91" s="19"/>
      <c r="H91" s="5">
        <f t="shared" si="5"/>
        <v>655245900</v>
      </c>
      <c r="I91" s="5">
        <f t="shared" si="6"/>
        <v>0</v>
      </c>
      <c r="J91" s="36">
        <f t="shared" ref="J91:J143" si="7">IF(A91&lt;&gt;"",MONTH(A91),"")</f>
        <v>8</v>
      </c>
      <c r="O91" s="104"/>
      <c r="P91" s="91"/>
      <c r="Q91" s="53"/>
      <c r="R91" s="105"/>
      <c r="S91" s="106"/>
      <c r="T91" s="59"/>
    </row>
    <row r="92" spans="1:21" ht="19.5" customHeight="1">
      <c r="A92" s="14">
        <v>41499</v>
      </c>
      <c r="B92" s="23" t="s">
        <v>54</v>
      </c>
      <c r="C92" s="14">
        <v>41499</v>
      </c>
      <c r="D92" s="16" t="s">
        <v>44</v>
      </c>
      <c r="E92" s="97" t="s">
        <v>45</v>
      </c>
      <c r="F92" s="9">
        <v>650000000</v>
      </c>
      <c r="G92" s="19"/>
      <c r="H92" s="5">
        <f t="shared" si="5"/>
        <v>1305245900</v>
      </c>
      <c r="I92" s="5">
        <f t="shared" si="6"/>
        <v>0</v>
      </c>
      <c r="J92" s="36">
        <f t="shared" si="7"/>
        <v>8</v>
      </c>
      <c r="O92" s="104"/>
      <c r="P92" s="91"/>
      <c r="Q92" s="53"/>
      <c r="R92" s="105"/>
      <c r="S92" s="106"/>
      <c r="T92" s="59"/>
    </row>
    <row r="93" spans="1:21" ht="19.5" customHeight="1">
      <c r="A93" s="14">
        <v>41514</v>
      </c>
      <c r="B93" s="23" t="s">
        <v>62</v>
      </c>
      <c r="C93" s="14">
        <v>41514</v>
      </c>
      <c r="D93" s="16" t="s">
        <v>44</v>
      </c>
      <c r="E93" s="97" t="s">
        <v>45</v>
      </c>
      <c r="F93" s="9">
        <v>650000000</v>
      </c>
      <c r="G93" s="19"/>
      <c r="H93" s="5">
        <f t="shared" si="5"/>
        <v>1955245900</v>
      </c>
      <c r="I93" s="5">
        <f t="shared" si="6"/>
        <v>0</v>
      </c>
      <c r="J93" s="36">
        <f t="shared" si="7"/>
        <v>8</v>
      </c>
      <c r="O93" s="104"/>
      <c r="P93" s="91"/>
      <c r="Q93" s="53"/>
      <c r="R93" s="105"/>
      <c r="S93" s="106"/>
      <c r="T93" s="59"/>
    </row>
    <row r="94" spans="1:21" ht="19.5" customHeight="1">
      <c r="A94" s="14">
        <v>41515</v>
      </c>
      <c r="B94" s="23" t="s">
        <v>51</v>
      </c>
      <c r="C94" s="14">
        <v>41515</v>
      </c>
      <c r="D94" s="16" t="s">
        <v>44</v>
      </c>
      <c r="E94" s="97" t="s">
        <v>45</v>
      </c>
      <c r="F94" s="9">
        <v>530000000</v>
      </c>
      <c r="G94" s="19"/>
      <c r="H94" s="5">
        <f t="shared" ref="H94:H129" si="8">MAX(H93+F94-I93-G94,0)</f>
        <v>2485245900</v>
      </c>
      <c r="I94" s="5">
        <f t="shared" ref="I94:I129" si="9">MAX(I93+G94-H93-F94,0)</f>
        <v>0</v>
      </c>
      <c r="J94" s="36">
        <f t="shared" si="7"/>
        <v>8</v>
      </c>
      <c r="O94" s="104"/>
      <c r="P94" s="91"/>
      <c r="Q94" s="53"/>
      <c r="R94" s="105"/>
      <c r="S94" s="106"/>
      <c r="T94" s="59"/>
    </row>
    <row r="95" spans="1:21" ht="19.5" customHeight="1">
      <c r="A95" s="14">
        <v>41517</v>
      </c>
      <c r="B95" s="23" t="s">
        <v>170</v>
      </c>
      <c r="C95" s="14">
        <v>41517</v>
      </c>
      <c r="D95" s="16" t="s">
        <v>188</v>
      </c>
      <c r="E95" s="37" t="s">
        <v>42</v>
      </c>
      <c r="F95" s="9"/>
      <c r="G95" s="19">
        <v>433289000</v>
      </c>
      <c r="H95" s="5">
        <f t="shared" si="8"/>
        <v>2051956900</v>
      </c>
      <c r="I95" s="5">
        <f t="shared" si="9"/>
        <v>0</v>
      </c>
      <c r="J95" s="36">
        <f t="shared" si="7"/>
        <v>8</v>
      </c>
      <c r="K95" s="133" t="s">
        <v>249</v>
      </c>
      <c r="O95" s="104"/>
      <c r="P95" s="91"/>
      <c r="Q95" s="53"/>
      <c r="R95" s="105"/>
      <c r="S95" s="106"/>
      <c r="T95" s="59"/>
    </row>
    <row r="96" spans="1:21" ht="19.5" customHeight="1">
      <c r="A96" s="14">
        <v>41517</v>
      </c>
      <c r="B96" s="23" t="s">
        <v>170</v>
      </c>
      <c r="C96" s="14">
        <v>41517</v>
      </c>
      <c r="D96" s="16" t="s">
        <v>184</v>
      </c>
      <c r="E96" s="37" t="s">
        <v>42</v>
      </c>
      <c r="F96" s="9"/>
      <c r="G96" s="19">
        <v>98005000</v>
      </c>
      <c r="H96" s="5">
        <f t="shared" si="8"/>
        <v>1953951900</v>
      </c>
      <c r="I96" s="5">
        <f t="shared" si="9"/>
        <v>0</v>
      </c>
      <c r="J96" s="36">
        <f t="shared" si="7"/>
        <v>8</v>
      </c>
      <c r="K96" s="133" t="s">
        <v>250</v>
      </c>
      <c r="O96" s="104"/>
      <c r="P96" s="91"/>
      <c r="Q96" s="53"/>
      <c r="R96" s="105"/>
      <c r="S96" s="106"/>
      <c r="T96" s="59"/>
    </row>
    <row r="97" spans="1:20" ht="19.5" customHeight="1">
      <c r="A97" s="14">
        <v>41517</v>
      </c>
      <c r="B97" s="23" t="s">
        <v>170</v>
      </c>
      <c r="C97" s="14">
        <v>41517</v>
      </c>
      <c r="D97" s="16" t="s">
        <v>29</v>
      </c>
      <c r="E97" s="37" t="s">
        <v>42</v>
      </c>
      <c r="F97" s="9"/>
      <c r="G97" s="19">
        <v>105048000</v>
      </c>
      <c r="H97" s="5">
        <f t="shared" si="8"/>
        <v>1848903900</v>
      </c>
      <c r="I97" s="5">
        <f t="shared" si="9"/>
        <v>0</v>
      </c>
      <c r="J97" s="36">
        <f t="shared" si="7"/>
        <v>8</v>
      </c>
      <c r="K97" s="133" t="s">
        <v>251</v>
      </c>
      <c r="O97" s="104"/>
      <c r="P97" s="91"/>
      <c r="Q97" s="53"/>
      <c r="R97" s="105"/>
      <c r="S97" s="106"/>
      <c r="T97" s="59"/>
    </row>
    <row r="98" spans="1:20" ht="19.5" customHeight="1">
      <c r="A98" s="14">
        <v>41517</v>
      </c>
      <c r="B98" s="23" t="s">
        <v>170</v>
      </c>
      <c r="C98" s="14">
        <v>41517</v>
      </c>
      <c r="D98" s="16" t="s">
        <v>31</v>
      </c>
      <c r="E98" s="37" t="s">
        <v>42</v>
      </c>
      <c r="F98" s="9"/>
      <c r="G98" s="19">
        <v>211986000</v>
      </c>
      <c r="H98" s="5">
        <f t="shared" si="8"/>
        <v>1636917900</v>
      </c>
      <c r="I98" s="5">
        <f t="shared" si="9"/>
        <v>0</v>
      </c>
      <c r="J98" s="36">
        <f t="shared" si="7"/>
        <v>8</v>
      </c>
      <c r="K98" s="133" t="s">
        <v>252</v>
      </c>
      <c r="O98" s="104"/>
      <c r="P98" s="91"/>
      <c r="Q98" s="53"/>
      <c r="R98" s="105"/>
      <c r="S98" s="106"/>
      <c r="T98" s="59"/>
    </row>
    <row r="99" spans="1:20" ht="19.5" customHeight="1">
      <c r="A99" s="14">
        <v>41517</v>
      </c>
      <c r="B99" s="23" t="s">
        <v>170</v>
      </c>
      <c r="C99" s="14">
        <v>41517</v>
      </c>
      <c r="D99" s="16" t="s">
        <v>120</v>
      </c>
      <c r="E99" s="37" t="s">
        <v>42</v>
      </c>
      <c r="F99" s="9"/>
      <c r="G99" s="19">
        <v>106722000</v>
      </c>
      <c r="H99" s="5">
        <f t="shared" si="8"/>
        <v>1530195900</v>
      </c>
      <c r="I99" s="5">
        <f t="shared" si="9"/>
        <v>0</v>
      </c>
      <c r="J99" s="36">
        <f t="shared" si="7"/>
        <v>8</v>
      </c>
      <c r="K99" s="133" t="s">
        <v>253</v>
      </c>
      <c r="O99" s="104"/>
      <c r="P99" s="91"/>
      <c r="Q99" s="53"/>
      <c r="R99" s="105"/>
      <c r="S99" s="106"/>
      <c r="T99" s="59"/>
    </row>
    <row r="100" spans="1:20" ht="19.5" customHeight="1">
      <c r="A100" s="14">
        <v>41517</v>
      </c>
      <c r="B100" s="23" t="s">
        <v>170</v>
      </c>
      <c r="C100" s="14">
        <v>41517</v>
      </c>
      <c r="D100" s="16" t="s">
        <v>191</v>
      </c>
      <c r="E100" s="37" t="s">
        <v>42</v>
      </c>
      <c r="F100" s="9"/>
      <c r="G100" s="19">
        <v>99414000</v>
      </c>
      <c r="H100" s="5">
        <f t="shared" si="8"/>
        <v>1430781900</v>
      </c>
      <c r="I100" s="5">
        <f t="shared" si="9"/>
        <v>0</v>
      </c>
      <c r="J100" s="36">
        <f t="shared" si="7"/>
        <v>8</v>
      </c>
      <c r="K100" s="133" t="s">
        <v>254</v>
      </c>
      <c r="O100" s="104"/>
      <c r="P100" s="91"/>
      <c r="Q100" s="53"/>
      <c r="R100" s="105"/>
      <c r="S100" s="106"/>
      <c r="T100" s="59"/>
    </row>
    <row r="101" spans="1:20" ht="19.5" customHeight="1">
      <c r="A101" s="14">
        <v>41517</v>
      </c>
      <c r="B101" s="23" t="s">
        <v>170</v>
      </c>
      <c r="C101" s="14">
        <v>41517</v>
      </c>
      <c r="D101" s="16" t="s">
        <v>32</v>
      </c>
      <c r="E101" s="37" t="s">
        <v>42</v>
      </c>
      <c r="F101" s="9"/>
      <c r="G101" s="19">
        <v>206406000</v>
      </c>
      <c r="H101" s="5">
        <f t="shared" si="8"/>
        <v>1224375900</v>
      </c>
      <c r="I101" s="5">
        <f t="shared" si="9"/>
        <v>0</v>
      </c>
      <c r="J101" s="36">
        <f t="shared" si="7"/>
        <v>8</v>
      </c>
      <c r="K101" s="133" t="s">
        <v>255</v>
      </c>
      <c r="O101" s="104"/>
      <c r="P101" s="91"/>
      <c r="Q101" s="53"/>
      <c r="R101" s="105"/>
      <c r="S101" s="106"/>
      <c r="T101" s="59"/>
    </row>
    <row r="102" spans="1:20" ht="19.5" customHeight="1">
      <c r="A102" s="14">
        <v>41517</v>
      </c>
      <c r="B102" s="23" t="s">
        <v>170</v>
      </c>
      <c r="C102" s="14">
        <v>41517</v>
      </c>
      <c r="D102" s="10" t="s">
        <v>187</v>
      </c>
      <c r="E102" s="37" t="s">
        <v>42</v>
      </c>
      <c r="F102" s="9"/>
      <c r="G102" s="9">
        <v>100926000</v>
      </c>
      <c r="H102" s="5">
        <f t="shared" si="8"/>
        <v>1123449900</v>
      </c>
      <c r="I102" s="5">
        <f t="shared" si="9"/>
        <v>0</v>
      </c>
      <c r="J102" s="36">
        <f t="shared" si="7"/>
        <v>8</v>
      </c>
      <c r="K102" s="133" t="s">
        <v>223</v>
      </c>
      <c r="O102" s="104"/>
      <c r="P102" s="91"/>
      <c r="Q102" s="108"/>
      <c r="R102" s="105"/>
      <c r="S102" s="106"/>
      <c r="T102" s="106"/>
    </row>
    <row r="103" spans="1:20" ht="19.5" customHeight="1">
      <c r="A103" s="14">
        <v>41517</v>
      </c>
      <c r="B103" s="23" t="s">
        <v>170</v>
      </c>
      <c r="C103" s="14">
        <v>41517</v>
      </c>
      <c r="D103" s="16" t="s">
        <v>147</v>
      </c>
      <c r="E103" s="37" t="s">
        <v>42</v>
      </c>
      <c r="F103" s="9"/>
      <c r="G103" s="19">
        <v>223448000</v>
      </c>
      <c r="H103" s="5">
        <f t="shared" si="8"/>
        <v>900001900</v>
      </c>
      <c r="I103" s="5">
        <f t="shared" si="9"/>
        <v>0</v>
      </c>
      <c r="J103" s="36">
        <f t="shared" si="7"/>
        <v>8</v>
      </c>
      <c r="K103" s="133" t="s">
        <v>256</v>
      </c>
      <c r="O103" s="104"/>
      <c r="P103" s="91"/>
      <c r="Q103" s="53"/>
      <c r="R103" s="105"/>
      <c r="S103" s="106"/>
      <c r="T103" s="59"/>
    </row>
    <row r="104" spans="1:20" ht="19.5" customHeight="1">
      <c r="A104" s="14">
        <v>41517</v>
      </c>
      <c r="B104" s="23" t="s">
        <v>170</v>
      </c>
      <c r="C104" s="14">
        <v>41517</v>
      </c>
      <c r="D104" s="16" t="s">
        <v>189</v>
      </c>
      <c r="E104" s="37" t="s">
        <v>42</v>
      </c>
      <c r="F104" s="9"/>
      <c r="G104" s="19">
        <v>308646000</v>
      </c>
      <c r="H104" s="5">
        <f t="shared" si="8"/>
        <v>591355900</v>
      </c>
      <c r="I104" s="5">
        <f t="shared" si="9"/>
        <v>0</v>
      </c>
      <c r="J104" s="36">
        <f t="shared" si="7"/>
        <v>8</v>
      </c>
      <c r="K104" s="133" t="s">
        <v>257</v>
      </c>
      <c r="O104" s="104"/>
      <c r="P104" s="91"/>
      <c r="Q104" s="53"/>
      <c r="R104" s="105"/>
      <c r="S104" s="106"/>
      <c r="T104" s="59"/>
    </row>
    <row r="105" spans="1:20" ht="19.5" customHeight="1">
      <c r="A105" s="14">
        <v>41517</v>
      </c>
      <c r="B105" s="23" t="s">
        <v>170</v>
      </c>
      <c r="C105" s="14">
        <v>41517</v>
      </c>
      <c r="D105" s="16" t="s">
        <v>33</v>
      </c>
      <c r="E105" s="37" t="s">
        <v>42</v>
      </c>
      <c r="F105" s="9"/>
      <c r="G105" s="19">
        <v>276871000</v>
      </c>
      <c r="H105" s="5">
        <f t="shared" si="8"/>
        <v>314484900</v>
      </c>
      <c r="I105" s="5">
        <f t="shared" si="9"/>
        <v>0</v>
      </c>
      <c r="J105" s="36">
        <f t="shared" si="7"/>
        <v>8</v>
      </c>
      <c r="K105" s="133" t="s">
        <v>258</v>
      </c>
      <c r="O105" s="104"/>
      <c r="P105" s="91"/>
      <c r="Q105" s="53"/>
      <c r="R105" s="105"/>
      <c r="S105" s="106"/>
      <c r="T105" s="59"/>
    </row>
    <row r="106" spans="1:20" ht="19.5" customHeight="1">
      <c r="A106" s="14">
        <v>41517</v>
      </c>
      <c r="B106" s="23" t="s">
        <v>170</v>
      </c>
      <c r="C106" s="14">
        <v>41517</v>
      </c>
      <c r="D106" s="16" t="s">
        <v>192</v>
      </c>
      <c r="E106" s="37" t="s">
        <v>42</v>
      </c>
      <c r="F106" s="9"/>
      <c r="G106" s="19">
        <v>310795000</v>
      </c>
      <c r="H106" s="5">
        <f t="shared" si="8"/>
        <v>3689900</v>
      </c>
      <c r="I106" s="5">
        <f t="shared" si="9"/>
        <v>0</v>
      </c>
      <c r="J106" s="36">
        <f t="shared" si="7"/>
        <v>8</v>
      </c>
      <c r="K106" s="133" t="s">
        <v>259</v>
      </c>
      <c r="O106" s="104"/>
      <c r="P106" s="91"/>
      <c r="Q106" s="53"/>
      <c r="R106" s="105"/>
      <c r="S106" s="106"/>
      <c r="T106" s="59"/>
    </row>
    <row r="107" spans="1:20" ht="19.5" customHeight="1">
      <c r="A107" s="14">
        <v>41522</v>
      </c>
      <c r="B107" s="23" t="s">
        <v>52</v>
      </c>
      <c r="C107" s="14">
        <v>41522</v>
      </c>
      <c r="D107" s="16" t="s">
        <v>44</v>
      </c>
      <c r="E107" s="97" t="s">
        <v>45</v>
      </c>
      <c r="F107" s="9">
        <v>650000000</v>
      </c>
      <c r="G107" s="19"/>
      <c r="H107" s="5">
        <f t="shared" si="8"/>
        <v>653689900</v>
      </c>
      <c r="I107" s="5">
        <f t="shared" si="9"/>
        <v>0</v>
      </c>
      <c r="J107" s="36">
        <f t="shared" si="7"/>
        <v>9</v>
      </c>
      <c r="O107" s="104"/>
      <c r="P107" s="91"/>
      <c r="Q107" s="53"/>
      <c r="R107" s="105"/>
      <c r="S107" s="106"/>
      <c r="T107" s="59"/>
    </row>
    <row r="108" spans="1:20" ht="19.5" customHeight="1">
      <c r="A108" s="14">
        <v>41531</v>
      </c>
      <c r="B108" s="23" t="s">
        <v>151</v>
      </c>
      <c r="C108" s="14">
        <v>41531</v>
      </c>
      <c r="D108" s="16" t="s">
        <v>44</v>
      </c>
      <c r="E108" s="97" t="s">
        <v>45</v>
      </c>
      <c r="F108" s="9">
        <v>650000000</v>
      </c>
      <c r="G108" s="19"/>
      <c r="H108" s="5">
        <f t="shared" si="8"/>
        <v>1303689900</v>
      </c>
      <c r="I108" s="5">
        <f t="shared" si="9"/>
        <v>0</v>
      </c>
      <c r="J108" s="36">
        <f t="shared" si="7"/>
        <v>9</v>
      </c>
      <c r="O108" s="104"/>
      <c r="P108" s="91"/>
      <c r="Q108" s="53"/>
      <c r="R108" s="105"/>
      <c r="S108" s="106"/>
      <c r="T108" s="59"/>
    </row>
    <row r="109" spans="1:20" ht="19.5" customHeight="1">
      <c r="A109" s="14">
        <v>41544</v>
      </c>
      <c r="B109" s="23" t="s">
        <v>193</v>
      </c>
      <c r="C109" s="14">
        <v>41544</v>
      </c>
      <c r="D109" s="16" t="s">
        <v>44</v>
      </c>
      <c r="E109" s="97" t="s">
        <v>45</v>
      </c>
      <c r="F109" s="9">
        <v>500000000</v>
      </c>
      <c r="G109" s="19"/>
      <c r="H109" s="5">
        <f t="shared" si="8"/>
        <v>1803689900</v>
      </c>
      <c r="I109" s="5">
        <f t="shared" si="9"/>
        <v>0</v>
      </c>
      <c r="J109" s="36">
        <f t="shared" si="7"/>
        <v>9</v>
      </c>
      <c r="O109" s="104"/>
      <c r="P109" s="91"/>
      <c r="Q109" s="53"/>
      <c r="R109" s="105"/>
      <c r="S109" s="106"/>
      <c r="T109" s="59"/>
    </row>
    <row r="110" spans="1:20" ht="19.5" customHeight="1">
      <c r="A110" s="14">
        <v>41547</v>
      </c>
      <c r="B110" s="23" t="s">
        <v>171</v>
      </c>
      <c r="C110" s="14">
        <v>41547</v>
      </c>
      <c r="D110" s="16" t="s">
        <v>139</v>
      </c>
      <c r="E110" s="37" t="s">
        <v>42</v>
      </c>
      <c r="F110" s="9"/>
      <c r="G110" s="19">
        <v>101178000</v>
      </c>
      <c r="H110" s="5">
        <f t="shared" si="8"/>
        <v>1702511900</v>
      </c>
      <c r="I110" s="5">
        <f t="shared" si="9"/>
        <v>0</v>
      </c>
      <c r="J110" s="36">
        <f t="shared" si="7"/>
        <v>9</v>
      </c>
      <c r="K110" s="133" t="s">
        <v>260</v>
      </c>
      <c r="O110" s="104"/>
      <c r="P110" s="91"/>
      <c r="Q110" s="53"/>
      <c r="R110" s="105"/>
      <c r="S110" s="106"/>
      <c r="T110" s="59"/>
    </row>
    <row r="111" spans="1:20" ht="19.5" customHeight="1">
      <c r="A111" s="14">
        <v>41547</v>
      </c>
      <c r="B111" s="23" t="s">
        <v>171</v>
      </c>
      <c r="C111" s="14">
        <v>41547</v>
      </c>
      <c r="D111" s="16" t="s">
        <v>185</v>
      </c>
      <c r="E111" s="37" t="s">
        <v>42</v>
      </c>
      <c r="F111" s="9"/>
      <c r="G111" s="19">
        <v>104202000</v>
      </c>
      <c r="H111" s="5">
        <f t="shared" si="8"/>
        <v>1598309900</v>
      </c>
      <c r="I111" s="5">
        <f t="shared" si="9"/>
        <v>0</v>
      </c>
      <c r="J111" s="36">
        <f t="shared" si="7"/>
        <v>9</v>
      </c>
      <c r="K111" s="133" t="s">
        <v>261</v>
      </c>
      <c r="O111" s="104"/>
      <c r="P111" s="91"/>
      <c r="Q111" s="53"/>
      <c r="R111" s="105"/>
      <c r="S111" s="106"/>
      <c r="T111" s="59"/>
    </row>
    <row r="112" spans="1:20" ht="19.5" customHeight="1">
      <c r="A112" s="14">
        <v>41547</v>
      </c>
      <c r="B112" s="23" t="s">
        <v>171</v>
      </c>
      <c r="C112" s="14">
        <v>41547</v>
      </c>
      <c r="D112" s="16" t="s">
        <v>186</v>
      </c>
      <c r="E112" s="37" t="s">
        <v>42</v>
      </c>
      <c r="F112" s="9"/>
      <c r="G112" s="19">
        <v>103716000</v>
      </c>
      <c r="H112" s="5">
        <f t="shared" si="8"/>
        <v>1494593900</v>
      </c>
      <c r="I112" s="5">
        <f t="shared" si="9"/>
        <v>0</v>
      </c>
      <c r="J112" s="36">
        <f t="shared" si="7"/>
        <v>9</v>
      </c>
      <c r="K112" s="133" t="s">
        <v>262</v>
      </c>
      <c r="O112" s="104"/>
      <c r="P112" s="91"/>
      <c r="Q112" s="53"/>
      <c r="R112" s="105"/>
      <c r="S112" s="106"/>
      <c r="T112" s="59"/>
    </row>
    <row r="113" spans="1:20" ht="19.5" customHeight="1">
      <c r="A113" s="14">
        <v>41547</v>
      </c>
      <c r="B113" s="23" t="s">
        <v>171</v>
      </c>
      <c r="C113" s="14">
        <v>41547</v>
      </c>
      <c r="D113" s="16" t="s">
        <v>31</v>
      </c>
      <c r="E113" s="37" t="s">
        <v>42</v>
      </c>
      <c r="F113" s="9"/>
      <c r="G113" s="19">
        <v>83810000</v>
      </c>
      <c r="H113" s="5">
        <f t="shared" si="8"/>
        <v>1410783900</v>
      </c>
      <c r="I113" s="5">
        <f t="shared" si="9"/>
        <v>0</v>
      </c>
      <c r="J113" s="36">
        <f t="shared" si="7"/>
        <v>9</v>
      </c>
      <c r="K113" s="133" t="s">
        <v>251</v>
      </c>
      <c r="O113" s="104"/>
      <c r="P113" s="91"/>
      <c r="Q113" s="53"/>
      <c r="R113" s="105"/>
      <c r="S113" s="106"/>
      <c r="T113" s="59"/>
    </row>
    <row r="114" spans="1:20" ht="19.5" customHeight="1">
      <c r="A114" s="11">
        <v>41547</v>
      </c>
      <c r="B114" s="17" t="s">
        <v>171</v>
      </c>
      <c r="C114" s="14">
        <v>41547</v>
      </c>
      <c r="D114" s="16" t="s">
        <v>120</v>
      </c>
      <c r="E114" s="37" t="s">
        <v>42</v>
      </c>
      <c r="F114" s="9"/>
      <c r="G114" s="19">
        <v>186874000</v>
      </c>
      <c r="H114" s="5">
        <f t="shared" si="8"/>
        <v>1223909900</v>
      </c>
      <c r="I114" s="5">
        <f t="shared" si="9"/>
        <v>0</v>
      </c>
      <c r="J114" s="36">
        <f t="shared" si="7"/>
        <v>9</v>
      </c>
      <c r="K114" s="133" t="s">
        <v>263</v>
      </c>
      <c r="O114" s="50"/>
      <c r="P114" s="110"/>
      <c r="Q114" s="53"/>
      <c r="R114" s="105"/>
      <c r="S114" s="106"/>
      <c r="T114" s="59"/>
    </row>
    <row r="115" spans="1:20" ht="19.5" customHeight="1">
      <c r="A115" s="11">
        <v>41547</v>
      </c>
      <c r="B115" s="17" t="s">
        <v>171</v>
      </c>
      <c r="C115" s="14">
        <v>41547</v>
      </c>
      <c r="D115" s="16" t="s">
        <v>191</v>
      </c>
      <c r="E115" s="37" t="s">
        <v>42</v>
      </c>
      <c r="F115" s="9"/>
      <c r="G115" s="19">
        <v>74160000</v>
      </c>
      <c r="H115" s="5">
        <f t="shared" si="8"/>
        <v>1149749900</v>
      </c>
      <c r="I115" s="5">
        <f t="shared" si="9"/>
        <v>0</v>
      </c>
      <c r="J115" s="36">
        <f t="shared" si="7"/>
        <v>9</v>
      </c>
      <c r="K115" s="133" t="s">
        <v>264</v>
      </c>
      <c r="O115" s="50"/>
      <c r="P115" s="110"/>
      <c r="Q115" s="53"/>
      <c r="R115" s="105"/>
      <c r="S115" s="106"/>
      <c r="T115" s="59"/>
    </row>
    <row r="116" spans="1:20" ht="19.5" customHeight="1">
      <c r="A116" s="11">
        <v>41547</v>
      </c>
      <c r="B116" s="17" t="s">
        <v>171</v>
      </c>
      <c r="C116" s="14">
        <v>41547</v>
      </c>
      <c r="D116" s="16" t="s">
        <v>131</v>
      </c>
      <c r="E116" s="37" t="s">
        <v>42</v>
      </c>
      <c r="F116" s="9"/>
      <c r="G116" s="19">
        <v>125840000</v>
      </c>
      <c r="H116" s="5">
        <f t="shared" si="8"/>
        <v>1023909900</v>
      </c>
      <c r="I116" s="5">
        <f t="shared" si="9"/>
        <v>0</v>
      </c>
      <c r="J116" s="36">
        <f t="shared" si="7"/>
        <v>9</v>
      </c>
      <c r="K116" s="133" t="s">
        <v>217</v>
      </c>
      <c r="O116" s="50"/>
      <c r="P116" s="110"/>
      <c r="Q116" s="53"/>
      <c r="R116" s="105"/>
      <c r="S116" s="106"/>
      <c r="T116" s="59"/>
    </row>
    <row r="117" spans="1:20" ht="19.5" customHeight="1">
      <c r="A117" s="14">
        <v>41547</v>
      </c>
      <c r="B117" s="23" t="s">
        <v>171</v>
      </c>
      <c r="C117" s="14">
        <v>41547</v>
      </c>
      <c r="D117" s="10" t="s">
        <v>32</v>
      </c>
      <c r="E117" s="37" t="s">
        <v>42</v>
      </c>
      <c r="F117" s="9"/>
      <c r="G117" s="9">
        <v>71638000</v>
      </c>
      <c r="H117" s="5">
        <f t="shared" si="8"/>
        <v>952271900</v>
      </c>
      <c r="I117" s="5">
        <f t="shared" si="9"/>
        <v>0</v>
      </c>
      <c r="J117" s="36">
        <f t="shared" si="7"/>
        <v>9</v>
      </c>
      <c r="K117" s="133" t="s">
        <v>253</v>
      </c>
      <c r="O117" s="104"/>
      <c r="P117" s="91"/>
      <c r="Q117" s="108"/>
      <c r="R117" s="105"/>
      <c r="S117" s="106"/>
      <c r="T117" s="106"/>
    </row>
    <row r="118" spans="1:20" ht="19.5" customHeight="1">
      <c r="A118" s="14">
        <v>41547</v>
      </c>
      <c r="B118" s="23" t="s">
        <v>171</v>
      </c>
      <c r="C118" s="14">
        <v>41547</v>
      </c>
      <c r="D118" s="16" t="s">
        <v>187</v>
      </c>
      <c r="E118" s="37" t="s">
        <v>42</v>
      </c>
      <c r="F118" s="9"/>
      <c r="G118" s="19">
        <v>54128000</v>
      </c>
      <c r="H118" s="5">
        <f t="shared" si="8"/>
        <v>898143900</v>
      </c>
      <c r="I118" s="5">
        <f t="shared" si="9"/>
        <v>0</v>
      </c>
      <c r="J118" s="36">
        <f t="shared" si="7"/>
        <v>9</v>
      </c>
      <c r="K118" s="133" t="s">
        <v>265</v>
      </c>
      <c r="O118" s="104"/>
      <c r="P118" s="91"/>
      <c r="Q118" s="53"/>
      <c r="R118" s="105"/>
      <c r="S118" s="106"/>
      <c r="T118" s="59"/>
    </row>
    <row r="119" spans="1:20" ht="19.5" customHeight="1">
      <c r="A119" s="14">
        <v>41547</v>
      </c>
      <c r="B119" s="23" t="s">
        <v>171</v>
      </c>
      <c r="C119" s="14">
        <v>41547</v>
      </c>
      <c r="D119" s="16" t="s">
        <v>169</v>
      </c>
      <c r="E119" s="37" t="s">
        <v>42</v>
      </c>
      <c r="F119" s="9"/>
      <c r="G119" s="19">
        <v>274672000</v>
      </c>
      <c r="H119" s="5">
        <f t="shared" si="8"/>
        <v>623471900</v>
      </c>
      <c r="I119" s="5">
        <f t="shared" si="9"/>
        <v>0</v>
      </c>
      <c r="J119" s="36">
        <f t="shared" si="7"/>
        <v>9</v>
      </c>
      <c r="K119" s="133" t="s">
        <v>266</v>
      </c>
      <c r="O119" s="104"/>
      <c r="P119" s="91"/>
      <c r="Q119" s="53"/>
      <c r="R119" s="105"/>
      <c r="S119" s="106"/>
      <c r="T119" s="59"/>
    </row>
    <row r="120" spans="1:20" ht="19.5" customHeight="1">
      <c r="A120" s="14">
        <v>41547</v>
      </c>
      <c r="B120" s="23" t="s">
        <v>171</v>
      </c>
      <c r="C120" s="14">
        <v>41547</v>
      </c>
      <c r="D120" s="16" t="s">
        <v>145</v>
      </c>
      <c r="E120" s="37" t="s">
        <v>42</v>
      </c>
      <c r="F120" s="9"/>
      <c r="G120" s="19">
        <v>119592000</v>
      </c>
      <c r="H120" s="5">
        <f t="shared" si="8"/>
        <v>503879900</v>
      </c>
      <c r="I120" s="5">
        <f t="shared" si="9"/>
        <v>0</v>
      </c>
      <c r="J120" s="36">
        <f t="shared" si="7"/>
        <v>9</v>
      </c>
      <c r="K120" s="133" t="s">
        <v>267</v>
      </c>
      <c r="O120" s="104"/>
      <c r="P120" s="91"/>
      <c r="Q120" s="53"/>
      <c r="R120" s="105"/>
      <c r="S120" s="106"/>
      <c r="T120" s="59"/>
    </row>
    <row r="121" spans="1:20" ht="19.5" customHeight="1">
      <c r="A121" s="14">
        <v>41547</v>
      </c>
      <c r="B121" s="23" t="s">
        <v>171</v>
      </c>
      <c r="C121" s="14">
        <v>41547</v>
      </c>
      <c r="D121" s="16" t="s">
        <v>146</v>
      </c>
      <c r="E121" s="37" t="s">
        <v>42</v>
      </c>
      <c r="F121" s="9"/>
      <c r="G121" s="19">
        <v>121880000</v>
      </c>
      <c r="H121" s="5">
        <f t="shared" si="8"/>
        <v>381999900</v>
      </c>
      <c r="I121" s="5">
        <f t="shared" si="9"/>
        <v>0</v>
      </c>
      <c r="J121" s="36">
        <f t="shared" si="7"/>
        <v>9</v>
      </c>
      <c r="K121" s="133" t="s">
        <v>268</v>
      </c>
      <c r="O121" s="104"/>
      <c r="P121" s="91"/>
      <c r="Q121" s="53"/>
      <c r="R121" s="105"/>
      <c r="S121" s="106"/>
      <c r="T121" s="59"/>
    </row>
    <row r="122" spans="1:20" ht="19.5" customHeight="1">
      <c r="A122" s="14">
        <v>41547</v>
      </c>
      <c r="B122" s="23" t="s">
        <v>171</v>
      </c>
      <c r="C122" s="14">
        <v>41547</v>
      </c>
      <c r="D122" s="16" t="s">
        <v>147</v>
      </c>
      <c r="E122" s="37" t="s">
        <v>42</v>
      </c>
      <c r="F122" s="9"/>
      <c r="G122" s="19">
        <v>123860000</v>
      </c>
      <c r="H122" s="5">
        <f t="shared" si="8"/>
        <v>258139900</v>
      </c>
      <c r="I122" s="5">
        <f t="shared" si="9"/>
        <v>0</v>
      </c>
      <c r="J122" s="36">
        <f t="shared" si="7"/>
        <v>9</v>
      </c>
      <c r="K122" s="133" t="s">
        <v>269</v>
      </c>
      <c r="O122" s="104"/>
      <c r="P122" s="91"/>
      <c r="Q122" s="53"/>
      <c r="R122" s="105"/>
      <c r="S122" s="106"/>
      <c r="T122" s="59"/>
    </row>
    <row r="123" spans="1:20" ht="19.5" customHeight="1">
      <c r="A123" s="14">
        <v>41547</v>
      </c>
      <c r="B123" s="23" t="s">
        <v>171</v>
      </c>
      <c r="C123" s="14">
        <v>41547</v>
      </c>
      <c r="D123" s="16" t="s">
        <v>192</v>
      </c>
      <c r="E123" s="37" t="s">
        <v>42</v>
      </c>
      <c r="F123" s="9"/>
      <c r="G123" s="19">
        <v>245168000</v>
      </c>
      <c r="H123" s="5">
        <f t="shared" si="8"/>
        <v>12971900</v>
      </c>
      <c r="I123" s="5">
        <f t="shared" si="9"/>
        <v>0</v>
      </c>
      <c r="J123" s="36">
        <f t="shared" si="7"/>
        <v>9</v>
      </c>
      <c r="K123" s="133" t="s">
        <v>270</v>
      </c>
      <c r="O123" s="104"/>
      <c r="P123" s="91"/>
      <c r="Q123" s="53"/>
      <c r="R123" s="105"/>
      <c r="S123" s="106"/>
      <c r="T123" s="59"/>
    </row>
    <row r="124" spans="1:20" ht="19.5" customHeight="1">
      <c r="A124" s="14">
        <v>41549</v>
      </c>
      <c r="B124" s="23" t="s">
        <v>136</v>
      </c>
      <c r="C124" s="14">
        <v>41549</v>
      </c>
      <c r="D124" s="16" t="s">
        <v>44</v>
      </c>
      <c r="E124" s="97" t="s">
        <v>45</v>
      </c>
      <c r="F124" s="9">
        <v>550000000</v>
      </c>
      <c r="G124" s="19"/>
      <c r="H124" s="5">
        <f t="shared" si="8"/>
        <v>562971900</v>
      </c>
      <c r="I124" s="5">
        <f t="shared" si="9"/>
        <v>0</v>
      </c>
      <c r="J124" s="36">
        <f t="shared" si="7"/>
        <v>10</v>
      </c>
      <c r="O124" s="104"/>
      <c r="P124" s="91"/>
      <c r="Q124" s="53"/>
      <c r="R124" s="105"/>
      <c r="S124" s="106"/>
      <c r="T124" s="59"/>
    </row>
    <row r="125" spans="1:20" ht="19.5" customHeight="1">
      <c r="A125" s="14">
        <v>41576</v>
      </c>
      <c r="B125" s="23" t="s">
        <v>63</v>
      </c>
      <c r="C125" s="14">
        <v>41576</v>
      </c>
      <c r="D125" s="16" t="s">
        <v>44</v>
      </c>
      <c r="E125" s="97" t="s">
        <v>45</v>
      </c>
      <c r="F125" s="9">
        <v>600000000</v>
      </c>
      <c r="G125" s="19"/>
      <c r="H125" s="5">
        <f t="shared" si="8"/>
        <v>1162971900</v>
      </c>
      <c r="I125" s="5">
        <f t="shared" si="9"/>
        <v>0</v>
      </c>
      <c r="J125" s="36">
        <f t="shared" si="7"/>
        <v>10</v>
      </c>
      <c r="O125" s="104"/>
      <c r="P125" s="91"/>
      <c r="Q125" s="53"/>
      <c r="R125" s="105"/>
      <c r="S125" s="106"/>
      <c r="T125" s="59"/>
    </row>
    <row r="126" spans="1:20" ht="19.5" customHeight="1">
      <c r="A126" s="14">
        <v>41578</v>
      </c>
      <c r="B126" s="23" t="s">
        <v>172</v>
      </c>
      <c r="C126" s="14">
        <v>41578</v>
      </c>
      <c r="D126" s="16" t="s">
        <v>139</v>
      </c>
      <c r="E126" s="37" t="s">
        <v>42</v>
      </c>
      <c r="F126" s="9"/>
      <c r="G126" s="19">
        <v>210444000</v>
      </c>
      <c r="H126" s="5">
        <f t="shared" si="8"/>
        <v>952527900</v>
      </c>
      <c r="I126" s="5">
        <f t="shared" si="9"/>
        <v>0</v>
      </c>
      <c r="J126" s="36">
        <f t="shared" si="7"/>
        <v>10</v>
      </c>
      <c r="K126" s="133" t="s">
        <v>271</v>
      </c>
      <c r="O126" s="104"/>
      <c r="P126" s="91"/>
      <c r="Q126" s="53"/>
      <c r="R126" s="105"/>
      <c r="S126" s="106"/>
      <c r="T126" s="59"/>
    </row>
    <row r="127" spans="1:20" ht="19.5" customHeight="1">
      <c r="A127" s="14">
        <v>41578</v>
      </c>
      <c r="B127" s="23" t="s">
        <v>172</v>
      </c>
      <c r="C127" s="14">
        <v>41578</v>
      </c>
      <c r="D127" s="16" t="s">
        <v>184</v>
      </c>
      <c r="E127" s="37" t="s">
        <v>42</v>
      </c>
      <c r="F127" s="9"/>
      <c r="G127" s="19">
        <v>132020000</v>
      </c>
      <c r="H127" s="5">
        <f t="shared" si="8"/>
        <v>820507900</v>
      </c>
      <c r="I127" s="5">
        <f t="shared" si="9"/>
        <v>0</v>
      </c>
      <c r="J127" s="36">
        <f t="shared" si="7"/>
        <v>10</v>
      </c>
      <c r="K127" s="133" t="s">
        <v>265</v>
      </c>
      <c r="O127" s="104"/>
      <c r="P127" s="91"/>
      <c r="Q127" s="53"/>
      <c r="R127" s="105"/>
      <c r="S127" s="106"/>
      <c r="T127" s="59"/>
    </row>
    <row r="128" spans="1:20" ht="19.5" customHeight="1">
      <c r="A128" s="14">
        <v>41578</v>
      </c>
      <c r="B128" s="23" t="s">
        <v>172</v>
      </c>
      <c r="C128" s="14">
        <v>41578</v>
      </c>
      <c r="D128" s="16" t="s">
        <v>120</v>
      </c>
      <c r="E128" s="37" t="s">
        <v>42</v>
      </c>
      <c r="F128" s="9"/>
      <c r="G128" s="19">
        <v>203547000</v>
      </c>
      <c r="H128" s="5">
        <f t="shared" si="8"/>
        <v>616960900</v>
      </c>
      <c r="I128" s="5">
        <f t="shared" si="9"/>
        <v>0</v>
      </c>
      <c r="J128" s="36">
        <f t="shared" si="7"/>
        <v>10</v>
      </c>
      <c r="K128" s="133" t="s">
        <v>272</v>
      </c>
      <c r="O128" s="104"/>
      <c r="P128" s="91"/>
      <c r="Q128" s="53"/>
      <c r="R128" s="105"/>
      <c r="S128" s="106"/>
      <c r="T128" s="59"/>
    </row>
    <row r="129" spans="1:20" ht="19.5" customHeight="1">
      <c r="A129" s="14">
        <v>41578</v>
      </c>
      <c r="B129" s="23" t="s">
        <v>172</v>
      </c>
      <c r="C129" s="14">
        <v>41578</v>
      </c>
      <c r="D129" s="16" t="s">
        <v>191</v>
      </c>
      <c r="E129" s="37" t="s">
        <v>42</v>
      </c>
      <c r="F129" s="9"/>
      <c r="G129" s="19">
        <v>144762000</v>
      </c>
      <c r="H129" s="5">
        <f t="shared" si="8"/>
        <v>472198900</v>
      </c>
      <c r="I129" s="5">
        <f t="shared" si="9"/>
        <v>0</v>
      </c>
      <c r="J129" s="36">
        <f t="shared" si="7"/>
        <v>10</v>
      </c>
      <c r="K129" s="133" t="s">
        <v>273</v>
      </c>
      <c r="O129" s="104"/>
      <c r="P129" s="91"/>
      <c r="Q129" s="53"/>
      <c r="R129" s="105"/>
      <c r="S129" s="106"/>
      <c r="T129" s="59"/>
    </row>
    <row r="130" spans="1:20" ht="19.5" customHeight="1">
      <c r="A130" s="14">
        <v>41578</v>
      </c>
      <c r="B130" s="23" t="s">
        <v>172</v>
      </c>
      <c r="C130" s="14">
        <v>41578</v>
      </c>
      <c r="D130" s="16" t="s">
        <v>131</v>
      </c>
      <c r="E130" s="37" t="s">
        <v>42</v>
      </c>
      <c r="F130" s="9"/>
      <c r="G130" s="19">
        <v>122130000</v>
      </c>
      <c r="H130" s="5">
        <f t="shared" ref="H130:H169" si="10">MAX(H129+F130-I129-G130,0)</f>
        <v>350068900</v>
      </c>
      <c r="I130" s="5">
        <f t="shared" ref="I130:I169" si="11">MAX(I129+G130-H129-F130,0)</f>
        <v>0</v>
      </c>
      <c r="J130" s="36">
        <f t="shared" si="7"/>
        <v>10</v>
      </c>
      <c r="K130" s="133" t="s">
        <v>274</v>
      </c>
      <c r="O130" s="104"/>
      <c r="P130" s="91"/>
      <c r="Q130" s="53"/>
      <c r="R130" s="105"/>
      <c r="S130" s="106"/>
      <c r="T130" s="59"/>
    </row>
    <row r="131" spans="1:20" ht="19.5" customHeight="1">
      <c r="A131" s="14">
        <v>41578</v>
      </c>
      <c r="B131" s="23" t="s">
        <v>172</v>
      </c>
      <c r="C131" s="14">
        <v>41578</v>
      </c>
      <c r="D131" s="16" t="s">
        <v>146</v>
      </c>
      <c r="E131" s="37" t="s">
        <v>42</v>
      </c>
      <c r="F131" s="54"/>
      <c r="G131" s="19">
        <v>94139000</v>
      </c>
      <c r="H131" s="5">
        <f t="shared" si="10"/>
        <v>255929900</v>
      </c>
      <c r="I131" s="5">
        <f t="shared" si="11"/>
        <v>0</v>
      </c>
      <c r="J131" s="36">
        <f t="shared" si="7"/>
        <v>10</v>
      </c>
      <c r="K131" s="133" t="s">
        <v>275</v>
      </c>
      <c r="O131" s="104"/>
      <c r="P131" s="91"/>
      <c r="Q131" s="53"/>
      <c r="R131" s="105"/>
      <c r="S131" s="111"/>
      <c r="T131" s="59"/>
    </row>
    <row r="132" spans="1:20" ht="19.5" customHeight="1">
      <c r="A132" s="14">
        <v>41578</v>
      </c>
      <c r="B132" s="23" t="s">
        <v>172</v>
      </c>
      <c r="C132" s="14">
        <v>41578</v>
      </c>
      <c r="D132" s="16" t="s">
        <v>148</v>
      </c>
      <c r="E132" s="37" t="s">
        <v>42</v>
      </c>
      <c r="F132" s="54"/>
      <c r="G132" s="19">
        <v>125097000</v>
      </c>
      <c r="H132" s="5">
        <f t="shared" si="10"/>
        <v>130832900</v>
      </c>
      <c r="I132" s="5">
        <f t="shared" si="11"/>
        <v>0</v>
      </c>
      <c r="J132" s="36">
        <f t="shared" si="7"/>
        <v>10</v>
      </c>
      <c r="K132" s="133" t="s">
        <v>264</v>
      </c>
      <c r="O132" s="104"/>
      <c r="P132" s="91"/>
      <c r="Q132" s="53"/>
      <c r="R132" s="105"/>
      <c r="S132" s="111"/>
      <c r="T132" s="59"/>
    </row>
    <row r="133" spans="1:20" ht="19.5" customHeight="1">
      <c r="A133" s="14">
        <v>41578</v>
      </c>
      <c r="B133" s="23" t="s">
        <v>172</v>
      </c>
      <c r="C133" s="14">
        <v>41578</v>
      </c>
      <c r="D133" s="16" t="s">
        <v>192</v>
      </c>
      <c r="E133" s="37" t="s">
        <v>42</v>
      </c>
      <c r="F133" s="54"/>
      <c r="G133" s="19">
        <v>124660000</v>
      </c>
      <c r="H133" s="5">
        <f t="shared" si="10"/>
        <v>6172900</v>
      </c>
      <c r="I133" s="5">
        <f t="shared" si="11"/>
        <v>0</v>
      </c>
      <c r="J133" s="36">
        <f t="shared" si="7"/>
        <v>10</v>
      </c>
      <c r="K133" s="133" t="s">
        <v>223</v>
      </c>
      <c r="O133" s="104"/>
      <c r="P133" s="91"/>
      <c r="Q133" s="53"/>
      <c r="R133" s="105"/>
      <c r="S133" s="111"/>
      <c r="T133" s="59"/>
    </row>
    <row r="134" spans="1:20" ht="19.5" customHeight="1">
      <c r="A134" s="14">
        <v>41585</v>
      </c>
      <c r="B134" s="23" t="s">
        <v>123</v>
      </c>
      <c r="C134" s="14">
        <v>41585</v>
      </c>
      <c r="D134" s="16" t="s">
        <v>44</v>
      </c>
      <c r="E134" s="97" t="s">
        <v>45</v>
      </c>
      <c r="F134" s="54">
        <v>600000000</v>
      </c>
      <c r="G134" s="19"/>
      <c r="H134" s="5">
        <f t="shared" si="10"/>
        <v>606172900</v>
      </c>
      <c r="I134" s="5">
        <f t="shared" si="11"/>
        <v>0</v>
      </c>
      <c r="J134" s="36">
        <f t="shared" si="7"/>
        <v>11</v>
      </c>
      <c r="O134" s="104"/>
      <c r="P134" s="91"/>
      <c r="Q134" s="53"/>
      <c r="R134" s="105"/>
      <c r="S134" s="111"/>
      <c r="T134" s="59"/>
    </row>
    <row r="135" spans="1:20" ht="19.5" customHeight="1">
      <c r="A135" s="14">
        <v>41606</v>
      </c>
      <c r="B135" s="23" t="s">
        <v>59</v>
      </c>
      <c r="C135" s="14">
        <v>41606</v>
      </c>
      <c r="D135" s="16" t="s">
        <v>44</v>
      </c>
      <c r="E135" s="97" t="s">
        <v>45</v>
      </c>
      <c r="F135" s="54">
        <v>610000000</v>
      </c>
      <c r="G135" s="19"/>
      <c r="H135" s="5">
        <f t="shared" si="10"/>
        <v>1216172900</v>
      </c>
      <c r="I135" s="5">
        <f t="shared" si="11"/>
        <v>0</v>
      </c>
      <c r="J135" s="36">
        <f t="shared" si="7"/>
        <v>11</v>
      </c>
      <c r="O135" s="104"/>
      <c r="P135" s="91"/>
      <c r="Q135" s="53"/>
      <c r="R135" s="105"/>
      <c r="S135" s="111"/>
      <c r="T135" s="59"/>
    </row>
    <row r="136" spans="1:20" ht="19.5" customHeight="1">
      <c r="A136" s="14">
        <v>41608</v>
      </c>
      <c r="B136" s="23" t="s">
        <v>173</v>
      </c>
      <c r="C136" s="14">
        <v>41608</v>
      </c>
      <c r="D136" s="10" t="s">
        <v>139</v>
      </c>
      <c r="E136" s="37" t="s">
        <v>42</v>
      </c>
      <c r="F136" s="9"/>
      <c r="G136" s="9">
        <v>101711000</v>
      </c>
      <c r="H136" s="5">
        <f t="shared" si="10"/>
        <v>1114461900</v>
      </c>
      <c r="I136" s="5">
        <f t="shared" si="11"/>
        <v>0</v>
      </c>
      <c r="J136" s="36">
        <f t="shared" si="7"/>
        <v>11</v>
      </c>
      <c r="K136" s="133" t="s">
        <v>253</v>
      </c>
      <c r="O136" s="104"/>
      <c r="P136" s="91"/>
      <c r="Q136" s="108"/>
      <c r="R136" s="105"/>
      <c r="S136" s="106"/>
      <c r="T136" s="106"/>
    </row>
    <row r="137" spans="1:20" ht="19.5" customHeight="1">
      <c r="A137" s="14">
        <v>41608</v>
      </c>
      <c r="B137" s="23" t="s">
        <v>173</v>
      </c>
      <c r="C137" s="14">
        <v>41608</v>
      </c>
      <c r="D137" s="10" t="s">
        <v>120</v>
      </c>
      <c r="E137" s="37" t="s">
        <v>42</v>
      </c>
      <c r="F137" s="9"/>
      <c r="G137" s="9">
        <v>79985000</v>
      </c>
      <c r="H137" s="5">
        <f t="shared" si="10"/>
        <v>1034476900</v>
      </c>
      <c r="I137" s="5">
        <f t="shared" si="11"/>
        <v>0</v>
      </c>
      <c r="J137" s="36">
        <f t="shared" si="7"/>
        <v>11</v>
      </c>
      <c r="K137" s="133" t="s">
        <v>251</v>
      </c>
      <c r="O137" s="104"/>
      <c r="P137" s="91"/>
      <c r="Q137" s="108"/>
      <c r="R137" s="105"/>
      <c r="S137" s="106"/>
      <c r="T137" s="106"/>
    </row>
    <row r="138" spans="1:20" ht="19.5" customHeight="1">
      <c r="A138" s="14">
        <v>41608</v>
      </c>
      <c r="B138" s="23" t="s">
        <v>173</v>
      </c>
      <c r="C138" s="14">
        <v>41608</v>
      </c>
      <c r="D138" s="10" t="s">
        <v>145</v>
      </c>
      <c r="E138" s="37" t="s">
        <v>42</v>
      </c>
      <c r="F138" s="9"/>
      <c r="G138" s="9">
        <v>259679000</v>
      </c>
      <c r="H138" s="5">
        <f t="shared" si="10"/>
        <v>774797900</v>
      </c>
      <c r="I138" s="5">
        <f t="shared" si="11"/>
        <v>0</v>
      </c>
      <c r="J138" s="36">
        <f t="shared" si="7"/>
        <v>11</v>
      </c>
      <c r="K138" s="133" t="s">
        <v>276</v>
      </c>
      <c r="O138" s="104"/>
      <c r="P138" s="91"/>
      <c r="Q138" s="108"/>
      <c r="R138" s="105"/>
      <c r="S138" s="106"/>
      <c r="T138" s="106"/>
    </row>
    <row r="139" spans="1:20" ht="19.5" customHeight="1">
      <c r="A139" s="14">
        <v>41608</v>
      </c>
      <c r="B139" s="23" t="s">
        <v>173</v>
      </c>
      <c r="C139" s="14">
        <v>41608</v>
      </c>
      <c r="D139" s="10" t="s">
        <v>146</v>
      </c>
      <c r="E139" s="37" t="s">
        <v>42</v>
      </c>
      <c r="F139" s="9"/>
      <c r="G139" s="9">
        <v>301944000</v>
      </c>
      <c r="H139" s="5">
        <f t="shared" si="10"/>
        <v>472853900</v>
      </c>
      <c r="I139" s="5">
        <f t="shared" si="11"/>
        <v>0</v>
      </c>
      <c r="J139" s="36">
        <f t="shared" si="7"/>
        <v>11</v>
      </c>
      <c r="K139" s="133" t="s">
        <v>277</v>
      </c>
      <c r="O139" s="104"/>
      <c r="P139" s="91"/>
      <c r="Q139" s="108"/>
      <c r="R139" s="105"/>
      <c r="S139" s="106"/>
      <c r="T139" s="106"/>
    </row>
    <row r="140" spans="1:20" ht="19.5" customHeight="1">
      <c r="A140" s="14">
        <v>41608</v>
      </c>
      <c r="B140" s="23" t="s">
        <v>173</v>
      </c>
      <c r="C140" s="14">
        <v>41608</v>
      </c>
      <c r="D140" s="10" t="s">
        <v>147</v>
      </c>
      <c r="E140" s="37" t="s">
        <v>42</v>
      </c>
      <c r="F140" s="9"/>
      <c r="G140" s="9">
        <v>166918500</v>
      </c>
      <c r="H140" s="5">
        <f t="shared" si="10"/>
        <v>305935400</v>
      </c>
      <c r="I140" s="5">
        <f t="shared" si="11"/>
        <v>0</v>
      </c>
      <c r="J140" s="36">
        <f t="shared" si="7"/>
        <v>11</v>
      </c>
      <c r="K140" s="133" t="s">
        <v>278</v>
      </c>
      <c r="O140" s="104"/>
      <c r="P140" s="91"/>
      <c r="Q140" s="108"/>
      <c r="R140" s="105"/>
      <c r="S140" s="106"/>
      <c r="T140" s="106"/>
    </row>
    <row r="141" spans="1:20" ht="19.5" customHeight="1">
      <c r="A141" s="14">
        <v>41608</v>
      </c>
      <c r="B141" s="23" t="s">
        <v>173</v>
      </c>
      <c r="C141" s="14">
        <v>41608</v>
      </c>
      <c r="D141" s="10" t="s">
        <v>33</v>
      </c>
      <c r="E141" s="37" t="s">
        <v>42</v>
      </c>
      <c r="F141" s="9"/>
      <c r="G141" s="9">
        <v>157118500</v>
      </c>
      <c r="H141" s="5">
        <f t="shared" si="10"/>
        <v>148816900</v>
      </c>
      <c r="I141" s="5">
        <f t="shared" si="11"/>
        <v>0</v>
      </c>
      <c r="J141" s="36">
        <f t="shared" si="7"/>
        <v>11</v>
      </c>
      <c r="K141" s="133" t="s">
        <v>269</v>
      </c>
      <c r="O141" s="104"/>
      <c r="P141" s="91"/>
      <c r="Q141" s="108"/>
      <c r="R141" s="105"/>
      <c r="S141" s="106"/>
      <c r="T141" s="106"/>
    </row>
    <row r="142" spans="1:20" ht="19.5" customHeight="1">
      <c r="A142" s="14">
        <v>41608</v>
      </c>
      <c r="B142" s="23" t="s">
        <v>173</v>
      </c>
      <c r="C142" s="14">
        <v>41608</v>
      </c>
      <c r="D142" s="10" t="s">
        <v>192</v>
      </c>
      <c r="E142" s="37" t="s">
        <v>42</v>
      </c>
      <c r="F142" s="9"/>
      <c r="G142" s="9">
        <v>146681500</v>
      </c>
      <c r="H142" s="5">
        <f t="shared" si="10"/>
        <v>2135400</v>
      </c>
      <c r="I142" s="5">
        <f t="shared" si="11"/>
        <v>0</v>
      </c>
      <c r="J142" s="36">
        <f t="shared" si="7"/>
        <v>11</v>
      </c>
      <c r="K142" s="133" t="s">
        <v>267</v>
      </c>
      <c r="O142" s="104"/>
      <c r="P142" s="91"/>
      <c r="Q142" s="108"/>
      <c r="R142" s="105"/>
      <c r="S142" s="106"/>
      <c r="T142" s="106"/>
    </row>
    <row r="143" spans="1:20" ht="19.5" customHeight="1">
      <c r="A143" s="14">
        <v>41611</v>
      </c>
      <c r="B143" s="23" t="s">
        <v>135</v>
      </c>
      <c r="C143" s="14">
        <v>41611</v>
      </c>
      <c r="D143" s="10" t="s">
        <v>44</v>
      </c>
      <c r="E143" s="97" t="s">
        <v>45</v>
      </c>
      <c r="F143" s="9">
        <v>600000000</v>
      </c>
      <c r="G143" s="9"/>
      <c r="H143" s="5">
        <f t="shared" si="10"/>
        <v>602135400</v>
      </c>
      <c r="I143" s="5">
        <f t="shared" si="11"/>
        <v>0</v>
      </c>
      <c r="J143" s="36">
        <f t="shared" si="7"/>
        <v>12</v>
      </c>
      <c r="O143" s="104"/>
      <c r="P143" s="91"/>
      <c r="Q143" s="108"/>
      <c r="R143" s="105"/>
      <c r="S143" s="106"/>
      <c r="T143" s="106"/>
    </row>
    <row r="144" spans="1:20" ht="19.5" customHeight="1">
      <c r="A144" s="14">
        <v>41616</v>
      </c>
      <c r="B144" s="23" t="s">
        <v>122</v>
      </c>
      <c r="C144" s="14">
        <v>41616</v>
      </c>
      <c r="D144" s="10" t="s">
        <v>44</v>
      </c>
      <c r="E144" s="97" t="s">
        <v>45</v>
      </c>
      <c r="F144" s="9">
        <v>600000000</v>
      </c>
      <c r="G144" s="9"/>
      <c r="H144" s="5">
        <f t="shared" si="10"/>
        <v>1202135400</v>
      </c>
      <c r="I144" s="5">
        <f t="shared" si="11"/>
        <v>0</v>
      </c>
      <c r="J144" s="36">
        <f t="shared" ref="J144:J169" si="12">IF(A144&lt;&gt;"",MONTH(A144),"")</f>
        <v>12</v>
      </c>
      <c r="O144" s="104"/>
      <c r="P144" s="91"/>
      <c r="Q144" s="108"/>
      <c r="R144" s="105"/>
      <c r="S144" s="106"/>
      <c r="T144" s="106"/>
    </row>
    <row r="145" spans="1:20" ht="19.5" customHeight="1">
      <c r="A145" s="14">
        <v>41623</v>
      </c>
      <c r="B145" s="23" t="s">
        <v>132</v>
      </c>
      <c r="C145" s="14">
        <v>41623</v>
      </c>
      <c r="D145" s="10" t="s">
        <v>44</v>
      </c>
      <c r="E145" s="97" t="s">
        <v>45</v>
      </c>
      <c r="F145" s="9">
        <v>600000000</v>
      </c>
      <c r="G145" s="9"/>
      <c r="H145" s="5">
        <f t="shared" si="10"/>
        <v>1802135400</v>
      </c>
      <c r="I145" s="5">
        <f t="shared" si="11"/>
        <v>0</v>
      </c>
      <c r="J145" s="36">
        <f t="shared" si="12"/>
        <v>12</v>
      </c>
      <c r="O145" s="104"/>
      <c r="P145" s="91"/>
      <c r="Q145" s="108"/>
      <c r="R145" s="105"/>
      <c r="S145" s="106"/>
      <c r="T145" s="106"/>
    </row>
    <row r="146" spans="1:20" ht="19.5" customHeight="1">
      <c r="A146" s="14">
        <v>41626</v>
      </c>
      <c r="B146" s="23" t="s">
        <v>50</v>
      </c>
      <c r="C146" s="14">
        <v>41626</v>
      </c>
      <c r="D146" s="10" t="s">
        <v>44</v>
      </c>
      <c r="E146" s="97" t="s">
        <v>45</v>
      </c>
      <c r="F146" s="9">
        <v>650000000</v>
      </c>
      <c r="G146" s="9"/>
      <c r="H146" s="5">
        <f t="shared" si="10"/>
        <v>2452135400</v>
      </c>
      <c r="I146" s="5">
        <f t="shared" si="11"/>
        <v>0</v>
      </c>
      <c r="J146" s="36">
        <f t="shared" si="12"/>
        <v>12</v>
      </c>
      <c r="O146" s="104"/>
      <c r="P146" s="91"/>
      <c r="Q146" s="108"/>
      <c r="R146" s="105"/>
      <c r="S146" s="106"/>
      <c r="T146" s="106"/>
    </row>
    <row r="147" spans="1:20" ht="19.5" customHeight="1">
      <c r="A147" s="14">
        <v>41627</v>
      </c>
      <c r="B147" s="23" t="s">
        <v>53</v>
      </c>
      <c r="C147" s="14">
        <v>41627</v>
      </c>
      <c r="D147" s="10" t="s">
        <v>44</v>
      </c>
      <c r="E147" s="97" t="s">
        <v>45</v>
      </c>
      <c r="F147" s="9">
        <v>600000000</v>
      </c>
      <c r="G147" s="9"/>
      <c r="H147" s="5">
        <f t="shared" si="10"/>
        <v>3052135400</v>
      </c>
      <c r="I147" s="5">
        <f t="shared" si="11"/>
        <v>0</v>
      </c>
      <c r="J147" s="36">
        <f t="shared" si="12"/>
        <v>12</v>
      </c>
      <c r="O147" s="104"/>
      <c r="P147" s="91"/>
      <c r="Q147" s="108"/>
      <c r="R147" s="105"/>
      <c r="S147" s="106"/>
      <c r="T147" s="106"/>
    </row>
    <row r="148" spans="1:20" ht="19.5" customHeight="1">
      <c r="A148" s="14">
        <v>41632</v>
      </c>
      <c r="B148" s="23" t="s">
        <v>156</v>
      </c>
      <c r="C148" s="14">
        <v>41632</v>
      </c>
      <c r="D148" s="10" t="s">
        <v>44</v>
      </c>
      <c r="E148" s="97" t="s">
        <v>45</v>
      </c>
      <c r="F148" s="9">
        <v>650000000</v>
      </c>
      <c r="G148" s="9"/>
      <c r="H148" s="5">
        <f t="shared" si="10"/>
        <v>3702135400</v>
      </c>
      <c r="I148" s="5">
        <f t="shared" si="11"/>
        <v>0</v>
      </c>
      <c r="J148" s="36">
        <f t="shared" si="12"/>
        <v>12</v>
      </c>
      <c r="O148" s="104"/>
      <c r="P148" s="91"/>
      <c r="Q148" s="108"/>
      <c r="R148" s="105"/>
      <c r="S148" s="106"/>
      <c r="T148" s="106"/>
    </row>
    <row r="149" spans="1:20" ht="19.5" customHeight="1">
      <c r="A149" s="14">
        <v>41636</v>
      </c>
      <c r="B149" s="23" t="s">
        <v>194</v>
      </c>
      <c r="C149" s="14">
        <v>41636</v>
      </c>
      <c r="D149" s="10" t="s">
        <v>44</v>
      </c>
      <c r="E149" s="97" t="s">
        <v>45</v>
      </c>
      <c r="F149" s="9">
        <v>500000000</v>
      </c>
      <c r="G149" s="9"/>
      <c r="H149" s="5">
        <f t="shared" si="10"/>
        <v>4202135400</v>
      </c>
      <c r="I149" s="5">
        <f t="shared" si="11"/>
        <v>0</v>
      </c>
      <c r="J149" s="36">
        <f t="shared" si="12"/>
        <v>12</v>
      </c>
      <c r="O149" s="104"/>
      <c r="P149" s="91"/>
      <c r="Q149" s="108"/>
      <c r="R149" s="105"/>
      <c r="S149" s="106"/>
      <c r="T149" s="106"/>
    </row>
    <row r="150" spans="1:20" ht="19.5" customHeight="1">
      <c r="A150" s="14">
        <v>41639</v>
      </c>
      <c r="B150" s="23" t="s">
        <v>174</v>
      </c>
      <c r="C150" s="14">
        <v>41639</v>
      </c>
      <c r="D150" s="10" t="s">
        <v>139</v>
      </c>
      <c r="E150" s="37" t="s">
        <v>42</v>
      </c>
      <c r="F150" s="9"/>
      <c r="G150" s="9">
        <v>275360000</v>
      </c>
      <c r="H150" s="5">
        <f t="shared" si="10"/>
        <v>3926775400</v>
      </c>
      <c r="I150" s="5">
        <f t="shared" si="11"/>
        <v>0</v>
      </c>
      <c r="J150" s="36">
        <f t="shared" si="12"/>
        <v>12</v>
      </c>
      <c r="K150" s="133" t="s">
        <v>279</v>
      </c>
      <c r="O150" s="104"/>
      <c r="P150" s="91"/>
      <c r="Q150" s="108"/>
      <c r="R150" s="105"/>
      <c r="S150" s="106"/>
      <c r="T150" s="106"/>
    </row>
    <row r="151" spans="1:20" ht="19.5" customHeight="1">
      <c r="A151" s="14">
        <v>41639</v>
      </c>
      <c r="B151" s="23" t="s">
        <v>174</v>
      </c>
      <c r="C151" s="14">
        <v>41639</v>
      </c>
      <c r="D151" s="10" t="s">
        <v>188</v>
      </c>
      <c r="E151" s="37" t="s">
        <v>42</v>
      </c>
      <c r="F151" s="9"/>
      <c r="G151" s="9">
        <v>223184500</v>
      </c>
      <c r="H151" s="5">
        <f t="shared" si="10"/>
        <v>3703590900</v>
      </c>
      <c r="I151" s="5">
        <f t="shared" si="11"/>
        <v>0</v>
      </c>
      <c r="J151" s="36">
        <f t="shared" si="12"/>
        <v>12</v>
      </c>
      <c r="K151" s="133" t="s">
        <v>280</v>
      </c>
      <c r="O151" s="104"/>
      <c r="P151" s="91"/>
      <c r="Q151" s="108"/>
      <c r="R151" s="105"/>
      <c r="S151" s="106"/>
      <c r="T151" s="106"/>
    </row>
    <row r="152" spans="1:20" ht="19.5" customHeight="1">
      <c r="A152" s="14">
        <v>41639</v>
      </c>
      <c r="B152" s="23" t="s">
        <v>174</v>
      </c>
      <c r="C152" s="14">
        <v>41639</v>
      </c>
      <c r="D152" s="10" t="s">
        <v>184</v>
      </c>
      <c r="E152" s="37" t="s">
        <v>42</v>
      </c>
      <c r="F152" s="9"/>
      <c r="G152" s="9">
        <v>169359500</v>
      </c>
      <c r="H152" s="5">
        <f t="shared" si="10"/>
        <v>3534231400</v>
      </c>
      <c r="I152" s="5">
        <f t="shared" si="11"/>
        <v>0</v>
      </c>
      <c r="J152" s="36">
        <f t="shared" si="12"/>
        <v>12</v>
      </c>
      <c r="K152" s="133" t="s">
        <v>269</v>
      </c>
      <c r="O152" s="104"/>
      <c r="P152" s="91"/>
      <c r="Q152" s="108"/>
      <c r="R152" s="105"/>
      <c r="S152" s="106"/>
      <c r="T152" s="106"/>
    </row>
    <row r="153" spans="1:20" ht="19.5" customHeight="1">
      <c r="A153" s="14">
        <v>41639</v>
      </c>
      <c r="B153" s="23" t="s">
        <v>174</v>
      </c>
      <c r="C153" s="14">
        <v>41639</v>
      </c>
      <c r="D153" s="10" t="s">
        <v>29</v>
      </c>
      <c r="E153" s="37" t="s">
        <v>42</v>
      </c>
      <c r="F153" s="9"/>
      <c r="G153" s="9">
        <v>230700000</v>
      </c>
      <c r="H153" s="5">
        <f t="shared" si="10"/>
        <v>3303531400</v>
      </c>
      <c r="I153" s="5">
        <f t="shared" si="11"/>
        <v>0</v>
      </c>
      <c r="J153" s="36">
        <f t="shared" si="12"/>
        <v>12</v>
      </c>
      <c r="K153" s="133" t="s">
        <v>281</v>
      </c>
      <c r="O153" s="104"/>
      <c r="P153" s="91"/>
      <c r="Q153" s="108"/>
      <c r="R153" s="105"/>
      <c r="S153" s="106"/>
      <c r="T153" s="106"/>
    </row>
    <row r="154" spans="1:20" ht="19.5" customHeight="1">
      <c r="A154" s="14">
        <v>41639</v>
      </c>
      <c r="B154" s="23" t="s">
        <v>174</v>
      </c>
      <c r="C154" s="14">
        <v>41639</v>
      </c>
      <c r="D154" s="10" t="s">
        <v>186</v>
      </c>
      <c r="E154" s="37" t="s">
        <v>42</v>
      </c>
      <c r="F154" s="9"/>
      <c r="G154" s="9">
        <v>107748000</v>
      </c>
      <c r="H154" s="5">
        <f t="shared" si="10"/>
        <v>3195783400</v>
      </c>
      <c r="I154" s="5">
        <f t="shared" si="11"/>
        <v>0</v>
      </c>
      <c r="J154" s="36">
        <f t="shared" si="12"/>
        <v>12</v>
      </c>
      <c r="K154" s="133" t="s">
        <v>282</v>
      </c>
      <c r="O154" s="104"/>
      <c r="P154" s="91"/>
      <c r="Q154" s="108"/>
      <c r="R154" s="105"/>
      <c r="S154" s="106"/>
      <c r="T154" s="106"/>
    </row>
    <row r="155" spans="1:20" ht="19.5" customHeight="1">
      <c r="A155" s="14">
        <v>41639</v>
      </c>
      <c r="B155" s="23" t="s">
        <v>174</v>
      </c>
      <c r="C155" s="14">
        <v>41639</v>
      </c>
      <c r="D155" s="10" t="s">
        <v>31</v>
      </c>
      <c r="E155" s="37" t="s">
        <v>42</v>
      </c>
      <c r="F155" s="9"/>
      <c r="G155" s="9">
        <v>234187500</v>
      </c>
      <c r="H155" s="5">
        <f t="shared" si="10"/>
        <v>2961595900</v>
      </c>
      <c r="I155" s="5">
        <f t="shared" si="11"/>
        <v>0</v>
      </c>
      <c r="J155" s="36">
        <f t="shared" si="12"/>
        <v>12</v>
      </c>
      <c r="K155" s="133" t="s">
        <v>278</v>
      </c>
      <c r="O155" s="104"/>
      <c r="P155" s="91"/>
      <c r="Q155" s="108"/>
      <c r="R155" s="105"/>
      <c r="S155" s="106"/>
      <c r="T155" s="106"/>
    </row>
    <row r="156" spans="1:20" ht="19.5" customHeight="1">
      <c r="A156" s="14">
        <v>41639</v>
      </c>
      <c r="B156" s="23" t="s">
        <v>174</v>
      </c>
      <c r="C156" s="14">
        <v>41639</v>
      </c>
      <c r="D156" s="10" t="s">
        <v>120</v>
      </c>
      <c r="E156" s="37" t="s">
        <v>42</v>
      </c>
      <c r="F156" s="9"/>
      <c r="G156" s="9">
        <v>209978000</v>
      </c>
      <c r="H156" s="5">
        <f t="shared" si="10"/>
        <v>2751617900</v>
      </c>
      <c r="I156" s="5">
        <f t="shared" si="11"/>
        <v>0</v>
      </c>
      <c r="J156" s="36">
        <f t="shared" si="12"/>
        <v>12</v>
      </c>
      <c r="K156" s="133" t="s">
        <v>283</v>
      </c>
      <c r="O156" s="104"/>
      <c r="P156" s="91"/>
      <c r="Q156" s="108"/>
      <c r="R156" s="105"/>
      <c r="S156" s="106"/>
      <c r="T156" s="106"/>
    </row>
    <row r="157" spans="1:20" ht="19.5" customHeight="1">
      <c r="A157" s="14">
        <v>41639</v>
      </c>
      <c r="B157" s="23" t="s">
        <v>174</v>
      </c>
      <c r="C157" s="14">
        <v>41639</v>
      </c>
      <c r="D157" s="10" t="s">
        <v>190</v>
      </c>
      <c r="E157" s="37" t="s">
        <v>42</v>
      </c>
      <c r="F157" s="9"/>
      <c r="G157" s="9">
        <v>225750000</v>
      </c>
      <c r="H157" s="5">
        <f t="shared" si="10"/>
        <v>2525867900</v>
      </c>
      <c r="I157" s="5">
        <f t="shared" si="11"/>
        <v>0</v>
      </c>
      <c r="J157" s="36">
        <f t="shared" si="12"/>
        <v>12</v>
      </c>
      <c r="K157" s="133" t="s">
        <v>262</v>
      </c>
      <c r="O157" s="104"/>
      <c r="P157" s="91"/>
      <c r="Q157" s="108"/>
      <c r="R157" s="105"/>
      <c r="S157" s="106"/>
      <c r="T157" s="106"/>
    </row>
    <row r="158" spans="1:20" ht="19.5" customHeight="1">
      <c r="A158" s="14">
        <v>41639</v>
      </c>
      <c r="B158" s="23" t="s">
        <v>174</v>
      </c>
      <c r="C158" s="14">
        <v>41639</v>
      </c>
      <c r="D158" s="10" t="s">
        <v>131</v>
      </c>
      <c r="E158" s="37" t="s">
        <v>42</v>
      </c>
      <c r="F158" s="9"/>
      <c r="G158" s="9">
        <v>166994500</v>
      </c>
      <c r="H158" s="5">
        <f t="shared" si="10"/>
        <v>2358873400</v>
      </c>
      <c r="I158" s="5">
        <f t="shared" si="11"/>
        <v>0</v>
      </c>
      <c r="J158" s="36">
        <f t="shared" si="12"/>
        <v>12</v>
      </c>
      <c r="K158" s="133" t="s">
        <v>284</v>
      </c>
      <c r="O158" s="104"/>
      <c r="P158" s="91"/>
      <c r="Q158" s="108"/>
      <c r="R158" s="105"/>
      <c r="S158" s="106"/>
      <c r="T158" s="106"/>
    </row>
    <row r="159" spans="1:20" ht="19.5" customHeight="1">
      <c r="A159" s="14">
        <v>41639</v>
      </c>
      <c r="B159" s="23" t="s">
        <v>174</v>
      </c>
      <c r="C159" s="14">
        <v>41639</v>
      </c>
      <c r="D159" s="10" t="s">
        <v>32</v>
      </c>
      <c r="E159" s="37" t="s">
        <v>42</v>
      </c>
      <c r="F159" s="9"/>
      <c r="G159" s="9">
        <v>240862500</v>
      </c>
      <c r="H159" s="5">
        <f t="shared" si="10"/>
        <v>2118010900</v>
      </c>
      <c r="I159" s="5">
        <f t="shared" si="11"/>
        <v>0</v>
      </c>
      <c r="J159" s="36">
        <f t="shared" si="12"/>
        <v>12</v>
      </c>
      <c r="K159" s="133" t="s">
        <v>225</v>
      </c>
      <c r="O159" s="104"/>
      <c r="P159" s="91"/>
      <c r="Q159" s="108"/>
      <c r="R159" s="105"/>
      <c r="S159" s="106"/>
      <c r="T159" s="106"/>
    </row>
    <row r="160" spans="1:20" ht="19.5" customHeight="1">
      <c r="A160" s="14">
        <v>41639</v>
      </c>
      <c r="B160" s="23" t="s">
        <v>174</v>
      </c>
      <c r="C160" s="14">
        <v>41639</v>
      </c>
      <c r="D160" s="10" t="s">
        <v>169</v>
      </c>
      <c r="E160" s="37" t="s">
        <v>42</v>
      </c>
      <c r="F160" s="9"/>
      <c r="G160" s="9">
        <v>86958000</v>
      </c>
      <c r="H160" s="5">
        <f t="shared" si="10"/>
        <v>2031052900</v>
      </c>
      <c r="I160" s="5">
        <f t="shared" si="11"/>
        <v>0</v>
      </c>
      <c r="J160" s="36">
        <f t="shared" si="12"/>
        <v>12</v>
      </c>
      <c r="K160" s="133" t="s">
        <v>264</v>
      </c>
      <c r="O160" s="104"/>
      <c r="P160" s="91"/>
      <c r="Q160" s="108"/>
      <c r="R160" s="105"/>
      <c r="S160" s="106"/>
      <c r="T160" s="106"/>
    </row>
    <row r="161" spans="1:21" ht="19.5" customHeight="1">
      <c r="A161" s="14">
        <v>41639</v>
      </c>
      <c r="B161" s="23" t="s">
        <v>174</v>
      </c>
      <c r="C161" s="14">
        <v>41639</v>
      </c>
      <c r="D161" s="10" t="s">
        <v>145</v>
      </c>
      <c r="E161" s="37" t="s">
        <v>42</v>
      </c>
      <c r="F161" s="9"/>
      <c r="G161" s="9">
        <v>144137000</v>
      </c>
      <c r="H161" s="5">
        <f t="shared" si="10"/>
        <v>1886915900</v>
      </c>
      <c r="I161" s="5">
        <f t="shared" si="11"/>
        <v>0</v>
      </c>
      <c r="J161" s="36">
        <f t="shared" si="12"/>
        <v>12</v>
      </c>
      <c r="K161" s="133" t="s">
        <v>254</v>
      </c>
      <c r="O161" s="104"/>
      <c r="P161" s="91"/>
      <c r="Q161" s="108"/>
      <c r="R161" s="105"/>
      <c r="S161" s="106"/>
      <c r="T161" s="106"/>
    </row>
    <row r="162" spans="1:21" ht="19.5" customHeight="1">
      <c r="A162" s="14">
        <v>41639</v>
      </c>
      <c r="B162" s="23" t="s">
        <v>174</v>
      </c>
      <c r="C162" s="14">
        <v>41639</v>
      </c>
      <c r="D162" s="10" t="s">
        <v>146</v>
      </c>
      <c r="E162" s="37" t="s">
        <v>42</v>
      </c>
      <c r="F162" s="9"/>
      <c r="G162" s="9">
        <v>142013000</v>
      </c>
      <c r="H162" s="5">
        <f t="shared" si="10"/>
        <v>1744902900</v>
      </c>
      <c r="I162" s="5">
        <f t="shared" si="11"/>
        <v>0</v>
      </c>
      <c r="J162" s="36">
        <f t="shared" si="12"/>
        <v>12</v>
      </c>
      <c r="K162" s="133" t="s">
        <v>285</v>
      </c>
      <c r="O162" s="104"/>
      <c r="P162" s="91"/>
      <c r="Q162" s="108"/>
      <c r="R162" s="105"/>
      <c r="S162" s="106"/>
      <c r="T162" s="106"/>
    </row>
    <row r="163" spans="1:21" ht="19.5" customHeight="1">
      <c r="A163" s="14">
        <v>41639</v>
      </c>
      <c r="B163" s="23" t="s">
        <v>174</v>
      </c>
      <c r="C163" s="14">
        <v>41639</v>
      </c>
      <c r="D163" s="10" t="s">
        <v>147</v>
      </c>
      <c r="E163" s="37" t="s">
        <v>42</v>
      </c>
      <c r="F163" s="9"/>
      <c r="G163" s="9">
        <v>250318500</v>
      </c>
      <c r="H163" s="5">
        <f t="shared" si="10"/>
        <v>1494584400</v>
      </c>
      <c r="I163" s="5">
        <f t="shared" si="11"/>
        <v>0</v>
      </c>
      <c r="J163" s="36">
        <f t="shared" si="12"/>
        <v>12</v>
      </c>
      <c r="K163" s="133" t="s">
        <v>286</v>
      </c>
      <c r="O163" s="104"/>
      <c r="P163" s="91"/>
      <c r="Q163" s="108"/>
      <c r="R163" s="105"/>
      <c r="S163" s="106"/>
      <c r="T163" s="106"/>
    </row>
    <row r="164" spans="1:21" ht="19.5" customHeight="1">
      <c r="A164" s="14">
        <v>41639</v>
      </c>
      <c r="B164" s="23" t="s">
        <v>174</v>
      </c>
      <c r="C164" s="14">
        <v>41639</v>
      </c>
      <c r="D164" s="10" t="s">
        <v>148</v>
      </c>
      <c r="E164" s="37" t="s">
        <v>42</v>
      </c>
      <c r="F164" s="9"/>
      <c r="G164" s="9">
        <v>321287000</v>
      </c>
      <c r="H164" s="5">
        <f t="shared" si="10"/>
        <v>1173297400</v>
      </c>
      <c r="I164" s="5">
        <f t="shared" si="11"/>
        <v>0</v>
      </c>
      <c r="J164" s="36">
        <f t="shared" si="12"/>
        <v>12</v>
      </c>
      <c r="K164" s="133" t="s">
        <v>287</v>
      </c>
      <c r="O164" s="104"/>
      <c r="P164" s="91"/>
      <c r="Q164" s="108"/>
      <c r="R164" s="105"/>
      <c r="S164" s="106"/>
      <c r="T164" s="106"/>
    </row>
    <row r="165" spans="1:21" ht="19.5" customHeight="1">
      <c r="A165" s="14">
        <v>41639</v>
      </c>
      <c r="B165" s="23" t="s">
        <v>174</v>
      </c>
      <c r="C165" s="14">
        <v>41639</v>
      </c>
      <c r="D165" s="10" t="s">
        <v>189</v>
      </c>
      <c r="E165" s="37" t="s">
        <v>42</v>
      </c>
      <c r="F165" s="9"/>
      <c r="G165" s="9">
        <v>483937500</v>
      </c>
      <c r="H165" s="5">
        <f t="shared" si="10"/>
        <v>689359900</v>
      </c>
      <c r="I165" s="5">
        <f t="shared" si="11"/>
        <v>0</v>
      </c>
      <c r="J165" s="36">
        <f t="shared" si="12"/>
        <v>12</v>
      </c>
      <c r="K165" s="133" t="s">
        <v>288</v>
      </c>
      <c r="O165" s="104"/>
      <c r="P165" s="91"/>
      <c r="Q165" s="108"/>
      <c r="R165" s="105"/>
      <c r="S165" s="106"/>
      <c r="T165" s="106"/>
    </row>
    <row r="166" spans="1:21" ht="19.5" customHeight="1">
      <c r="A166" s="14">
        <v>41639</v>
      </c>
      <c r="B166" s="23" t="s">
        <v>174</v>
      </c>
      <c r="C166" s="14">
        <v>41639</v>
      </c>
      <c r="D166" s="10" t="s">
        <v>33</v>
      </c>
      <c r="E166" s="37" t="s">
        <v>42</v>
      </c>
      <c r="F166" s="9"/>
      <c r="G166" s="9">
        <v>265731000</v>
      </c>
      <c r="H166" s="5">
        <f t="shared" si="10"/>
        <v>423628900</v>
      </c>
      <c r="I166" s="5">
        <f t="shared" si="11"/>
        <v>0</v>
      </c>
      <c r="J166" s="36">
        <f t="shared" si="12"/>
        <v>12</v>
      </c>
      <c r="K166" s="133" t="s">
        <v>289</v>
      </c>
      <c r="O166" s="104"/>
      <c r="P166" s="91"/>
      <c r="Q166" s="108"/>
      <c r="R166" s="105"/>
      <c r="S166" s="106"/>
      <c r="T166" s="106"/>
    </row>
    <row r="167" spans="1:21" ht="19.5" customHeight="1">
      <c r="A167" s="14">
        <v>41639</v>
      </c>
      <c r="B167" s="23" t="s">
        <v>174</v>
      </c>
      <c r="C167" s="14">
        <v>41639</v>
      </c>
      <c r="D167" s="10" t="s">
        <v>192</v>
      </c>
      <c r="E167" s="37" t="s">
        <v>42</v>
      </c>
      <c r="F167" s="9"/>
      <c r="G167" s="9">
        <v>228743000</v>
      </c>
      <c r="H167" s="5">
        <f t="shared" si="10"/>
        <v>194885900</v>
      </c>
      <c r="I167" s="5">
        <f t="shared" si="11"/>
        <v>0</v>
      </c>
      <c r="J167" s="36">
        <f t="shared" si="12"/>
        <v>12</v>
      </c>
      <c r="K167" s="133" t="s">
        <v>290</v>
      </c>
      <c r="O167" s="104"/>
      <c r="P167" s="91"/>
      <c r="Q167" s="108"/>
      <c r="R167" s="105"/>
      <c r="S167" s="106"/>
      <c r="T167" s="106"/>
    </row>
    <row r="168" spans="1:21" ht="19.5" customHeight="1">
      <c r="A168" s="14">
        <v>41639</v>
      </c>
      <c r="B168" s="23" t="s">
        <v>174</v>
      </c>
      <c r="C168" s="14">
        <v>41639</v>
      </c>
      <c r="D168" s="10" t="s">
        <v>149</v>
      </c>
      <c r="E168" s="37" t="s">
        <v>42</v>
      </c>
      <c r="F168" s="9"/>
      <c r="G168" s="9">
        <v>194302000</v>
      </c>
      <c r="H168" s="5">
        <f t="shared" si="10"/>
        <v>583900</v>
      </c>
      <c r="I168" s="5">
        <f t="shared" si="11"/>
        <v>0</v>
      </c>
      <c r="J168" s="36">
        <f t="shared" si="12"/>
        <v>12</v>
      </c>
      <c r="K168" s="133" t="s">
        <v>291</v>
      </c>
      <c r="O168" s="104"/>
      <c r="P168" s="91"/>
      <c r="Q168" s="108"/>
      <c r="R168" s="105"/>
      <c r="S168" s="106"/>
      <c r="T168" s="106"/>
    </row>
    <row r="169" spans="1:21" ht="19.5" customHeight="1">
      <c r="A169" s="14">
        <v>41639</v>
      </c>
      <c r="B169" s="23" t="s">
        <v>195</v>
      </c>
      <c r="C169" s="14">
        <v>41639</v>
      </c>
      <c r="D169" s="10" t="s">
        <v>196</v>
      </c>
      <c r="E169" s="97" t="s">
        <v>45</v>
      </c>
      <c r="F169" s="9"/>
      <c r="G169" s="9">
        <v>583900</v>
      </c>
      <c r="H169" s="5">
        <f t="shared" si="10"/>
        <v>0</v>
      </c>
      <c r="I169" s="5">
        <f t="shared" si="11"/>
        <v>0</v>
      </c>
      <c r="J169" s="36">
        <f t="shared" si="12"/>
        <v>12</v>
      </c>
      <c r="O169" s="104"/>
      <c r="P169" s="91"/>
      <c r="Q169" s="108"/>
      <c r="R169" s="105"/>
      <c r="S169" s="106"/>
      <c r="T169" s="106"/>
    </row>
    <row r="170" spans="1:21" ht="19.5" customHeight="1">
      <c r="A170" s="11"/>
      <c r="B170" s="38"/>
      <c r="C170" s="11"/>
      <c r="D170" s="16"/>
      <c r="E170" s="25"/>
      <c r="F170" s="4"/>
      <c r="G170" s="5"/>
      <c r="H170" s="5"/>
      <c r="I170" s="5"/>
      <c r="J170" s="36" t="str">
        <f t="shared" ref="J170" si="13">IF(A170&lt;&gt;"",MONTH(A170),"")</f>
        <v/>
      </c>
      <c r="O170" s="50"/>
      <c r="P170" s="101"/>
      <c r="Q170" s="53"/>
      <c r="R170" s="18"/>
      <c r="S170" s="103"/>
      <c r="T170" s="60"/>
    </row>
    <row r="171" spans="1:21" ht="19.5" customHeight="1">
      <c r="A171" s="11"/>
      <c r="B171" s="38"/>
      <c r="C171" s="11"/>
      <c r="D171" s="39" t="s">
        <v>22</v>
      </c>
      <c r="E171" s="25" t="s">
        <v>23</v>
      </c>
      <c r="F171" s="4">
        <f>SUM(F16:F170)</f>
        <v>22260000000</v>
      </c>
      <c r="G171" s="4">
        <f>SUM(G16:G170)</f>
        <v>22268650400</v>
      </c>
      <c r="H171" s="4" t="s">
        <v>23</v>
      </c>
      <c r="I171" s="4" t="s">
        <v>23</v>
      </c>
      <c r="O171" s="50"/>
      <c r="P171" s="101"/>
      <c r="Q171" s="102" t="s">
        <v>22</v>
      </c>
      <c r="R171" s="18" t="s">
        <v>23</v>
      </c>
      <c r="S171" s="103">
        <f ca="1">SUM(S17:S170)</f>
        <v>510000000</v>
      </c>
      <c r="T171" s="103">
        <f ca="1">SUM(T17:T170)</f>
        <v>1060396000</v>
      </c>
    </row>
    <row r="172" spans="1:21" ht="19.5" customHeight="1">
      <c r="A172" s="40"/>
      <c r="B172" s="41"/>
      <c r="C172" s="40"/>
      <c r="D172" s="42" t="s">
        <v>24</v>
      </c>
      <c r="E172" s="43" t="s">
        <v>23</v>
      </c>
      <c r="F172" s="6" t="s">
        <v>23</v>
      </c>
      <c r="G172" s="8" t="s">
        <v>23</v>
      </c>
      <c r="H172" s="8">
        <f>IF(H15-I15+F171-G171&gt;0,H15-I15+F171-G171,0)</f>
        <v>0</v>
      </c>
      <c r="I172" s="8">
        <f>IF(I15-H15+G171-F171&gt;0,I15-H15+G171-F171,0)</f>
        <v>0</v>
      </c>
      <c r="O172" s="50"/>
      <c r="P172" s="101"/>
      <c r="Q172" s="102" t="s">
        <v>24</v>
      </c>
      <c r="R172" s="18" t="s">
        <v>23</v>
      </c>
      <c r="S172" s="103" t="s">
        <v>23</v>
      </c>
      <c r="T172" s="60" t="s">
        <v>23</v>
      </c>
    </row>
    <row r="173" spans="1:21">
      <c r="F173" s="45">
        <f>F171+'141-VV'!F191</f>
        <v>43360000000</v>
      </c>
      <c r="G173" s="44">
        <f>G171+'141-VV'!G191</f>
        <v>43368650400</v>
      </c>
      <c r="I173" s="45"/>
      <c r="K173" s="209"/>
      <c r="O173" s="18"/>
      <c r="P173" s="101"/>
      <c r="Q173" s="53"/>
      <c r="R173" s="18"/>
      <c r="S173" s="18"/>
      <c r="T173" s="60"/>
    </row>
    <row r="174" spans="1:21" s="1" customFormat="1">
      <c r="A174" s="27"/>
      <c r="B174" s="27"/>
      <c r="C174" s="46" t="s">
        <v>48</v>
      </c>
      <c r="D174" s="28"/>
      <c r="E174" s="27"/>
      <c r="F174" s="27"/>
      <c r="G174" s="44"/>
      <c r="H174" s="44"/>
      <c r="I174" s="44"/>
      <c r="J174" s="58"/>
      <c r="K174" s="56">
        <f>H172+'141-VV'!H192</f>
        <v>0</v>
      </c>
      <c r="L174" s="58"/>
      <c r="M174" s="58"/>
      <c r="N174" s="58"/>
      <c r="O174" s="18"/>
      <c r="P174" s="18"/>
      <c r="Q174" s="53"/>
      <c r="R174" s="18"/>
      <c r="S174" s="18"/>
      <c r="T174" s="60"/>
      <c r="U174" s="141"/>
    </row>
    <row r="175" spans="1:21" s="1" customFormat="1">
      <c r="A175" s="27"/>
      <c r="B175" s="27"/>
      <c r="C175" s="46" t="s">
        <v>166</v>
      </c>
      <c r="D175" s="28"/>
      <c r="E175" s="27"/>
      <c r="F175" s="27"/>
      <c r="G175" s="44"/>
      <c r="H175" s="45"/>
      <c r="I175" s="45"/>
      <c r="J175" s="59"/>
      <c r="K175" s="56"/>
      <c r="L175" s="59"/>
      <c r="M175" s="58"/>
      <c r="N175" s="58"/>
      <c r="O175" s="18"/>
      <c r="P175" s="18"/>
      <c r="Q175" s="53"/>
      <c r="R175" s="18"/>
      <c r="S175" s="18"/>
      <c r="T175" s="60"/>
      <c r="U175" s="141"/>
    </row>
    <row r="176" spans="1:21" s="1" customFormat="1">
      <c r="A176" s="27"/>
      <c r="B176" s="27"/>
      <c r="C176" s="27"/>
      <c r="D176" s="28"/>
      <c r="E176" s="285" t="s">
        <v>167</v>
      </c>
      <c r="F176" s="285"/>
      <c r="G176" s="285"/>
      <c r="H176" s="285"/>
      <c r="I176" s="285"/>
      <c r="J176" s="59"/>
      <c r="K176" s="112"/>
      <c r="L176" s="59"/>
      <c r="M176" s="58"/>
      <c r="N176" s="58"/>
      <c r="O176" s="18"/>
      <c r="P176" s="18"/>
      <c r="Q176" s="53"/>
      <c r="R176" s="58"/>
      <c r="S176" s="58"/>
      <c r="T176" s="58"/>
      <c r="U176" s="141"/>
    </row>
    <row r="177" spans="1:21" s="1" customFormat="1">
      <c r="A177" s="285" t="s">
        <v>25</v>
      </c>
      <c r="B177" s="285"/>
      <c r="C177" s="285"/>
      <c r="D177" s="285"/>
      <c r="E177" s="285" t="s">
        <v>26</v>
      </c>
      <c r="F177" s="285"/>
      <c r="G177" s="285"/>
      <c r="H177" s="285"/>
      <c r="I177" s="285"/>
      <c r="J177" s="59"/>
      <c r="K177" s="135"/>
      <c r="L177" s="60"/>
      <c r="M177" s="58"/>
      <c r="N177" s="58"/>
      <c r="O177" s="301" t="s">
        <v>25</v>
      </c>
      <c r="P177" s="301"/>
      <c r="Q177" s="301"/>
      <c r="R177" s="58"/>
      <c r="S177" s="58"/>
      <c r="T177" s="58"/>
      <c r="U177" s="141"/>
    </row>
    <row r="178" spans="1:21" s="1" customFormat="1">
      <c r="A178" s="285" t="s">
        <v>27</v>
      </c>
      <c r="B178" s="285"/>
      <c r="C178" s="285"/>
      <c r="D178" s="285"/>
      <c r="E178" s="285" t="s">
        <v>27</v>
      </c>
      <c r="F178" s="285"/>
      <c r="G178" s="285"/>
      <c r="H178" s="285"/>
      <c r="I178" s="285"/>
      <c r="J178" s="59"/>
      <c r="K178" s="134"/>
      <c r="L178" s="59"/>
      <c r="M178" s="58"/>
      <c r="N178" s="58"/>
      <c r="O178" s="301" t="s">
        <v>27</v>
      </c>
      <c r="P178" s="301"/>
      <c r="Q178" s="301"/>
      <c r="R178" s="58"/>
      <c r="S178" s="58"/>
      <c r="T178" s="58"/>
      <c r="U178" s="141"/>
    </row>
    <row r="179" spans="1:21" s="1" customFormat="1">
      <c r="A179" s="27"/>
      <c r="B179" s="27"/>
      <c r="C179" s="27"/>
      <c r="D179" s="28"/>
      <c r="E179" s="27"/>
      <c r="F179" s="27"/>
      <c r="G179" s="44"/>
      <c r="H179" s="27"/>
      <c r="I179" s="27"/>
      <c r="J179" s="59"/>
      <c r="K179" s="112"/>
      <c r="L179" s="59"/>
      <c r="M179" s="58"/>
      <c r="N179" s="58"/>
      <c r="O179" s="18"/>
      <c r="P179" s="18"/>
      <c r="Q179" s="53"/>
      <c r="R179" s="18"/>
      <c r="S179" s="18"/>
      <c r="T179" s="60"/>
      <c r="U179" s="141"/>
    </row>
    <row r="180" spans="1:21">
      <c r="F180" s="45"/>
      <c r="G180" s="45"/>
      <c r="H180" s="44"/>
      <c r="J180" s="59"/>
      <c r="K180" s="136"/>
      <c r="L180" s="59"/>
      <c r="M180" s="53"/>
      <c r="N180" s="53"/>
      <c r="O180" s="18"/>
      <c r="P180" s="101"/>
      <c r="Q180" s="53"/>
      <c r="R180" s="18"/>
      <c r="S180" s="114"/>
      <c r="T180" s="114"/>
    </row>
    <row r="181" spans="1:21">
      <c r="F181" s="45"/>
      <c r="H181" s="44"/>
      <c r="J181" s="59"/>
      <c r="K181" s="135"/>
      <c r="L181" s="59"/>
      <c r="M181" s="53"/>
      <c r="N181" s="53"/>
      <c r="O181" s="18"/>
      <c r="P181" s="101"/>
      <c r="Q181" s="53"/>
      <c r="R181" s="18"/>
      <c r="S181" s="114"/>
      <c r="T181" s="60"/>
    </row>
    <row r="182" spans="1:21">
      <c r="F182" s="45"/>
      <c r="H182" s="44"/>
      <c r="J182" s="59"/>
      <c r="K182" s="136"/>
      <c r="L182" s="59"/>
      <c r="M182" s="53"/>
      <c r="N182" s="53"/>
      <c r="O182" s="18"/>
      <c r="P182" s="101"/>
      <c r="Q182" s="53"/>
      <c r="R182" s="18"/>
      <c r="S182" s="114"/>
      <c r="T182" s="60"/>
    </row>
    <row r="183" spans="1:21">
      <c r="F183" s="45"/>
      <c r="H183" s="44"/>
      <c r="J183" s="59"/>
      <c r="K183" s="135"/>
      <c r="L183" s="59"/>
      <c r="M183" s="53"/>
      <c r="N183" s="53"/>
      <c r="O183" s="18"/>
      <c r="P183" s="101"/>
      <c r="Q183" s="53"/>
      <c r="R183" s="18"/>
      <c r="S183" s="114"/>
      <c r="T183" s="60"/>
    </row>
    <row r="184" spans="1:21">
      <c r="H184" s="45"/>
      <c r="J184" s="59"/>
      <c r="K184" s="136"/>
      <c r="L184" s="59"/>
      <c r="M184" s="53"/>
      <c r="N184" s="53"/>
      <c r="O184" s="18"/>
      <c r="P184" s="101"/>
      <c r="Q184" s="53"/>
      <c r="R184" s="18"/>
      <c r="S184" s="18"/>
      <c r="T184" s="60"/>
    </row>
    <row r="185" spans="1:21">
      <c r="F185" s="45"/>
      <c r="G185" s="45"/>
      <c r="J185" s="53"/>
      <c r="K185" s="136"/>
      <c r="L185" s="53"/>
      <c r="M185" s="53"/>
      <c r="N185" s="53"/>
      <c r="O185" s="18"/>
      <c r="P185" s="101"/>
      <c r="Q185" s="53"/>
      <c r="R185" s="18"/>
      <c r="S185" s="114"/>
      <c r="T185" s="114"/>
    </row>
    <row r="186" spans="1:21">
      <c r="J186" s="53"/>
      <c r="K186" s="136"/>
      <c r="L186" s="53"/>
      <c r="M186" s="53"/>
      <c r="N186" s="53"/>
      <c r="O186" s="18"/>
      <c r="P186" s="101"/>
      <c r="Q186" s="53"/>
      <c r="R186" s="18"/>
      <c r="S186" s="18"/>
      <c r="T186" s="60"/>
    </row>
    <row r="187" spans="1:21">
      <c r="J187" s="53"/>
      <c r="K187" s="136"/>
      <c r="L187" s="53"/>
      <c r="M187" s="53"/>
      <c r="N187" s="53"/>
      <c r="O187" s="18"/>
      <c r="P187" s="101"/>
      <c r="Q187" s="53"/>
      <c r="R187" s="18"/>
      <c r="S187" s="18"/>
      <c r="T187" s="60"/>
    </row>
    <row r="188" spans="1:21">
      <c r="J188" s="53"/>
      <c r="K188" s="136"/>
      <c r="L188" s="53"/>
      <c r="M188" s="53"/>
      <c r="N188" s="53"/>
      <c r="O188" s="18"/>
      <c r="P188" s="101"/>
      <c r="Q188" s="53"/>
      <c r="R188" s="18"/>
      <c r="S188" s="18"/>
      <c r="T188" s="60"/>
    </row>
    <row r="189" spans="1:21">
      <c r="O189" s="18"/>
      <c r="P189" s="101"/>
      <c r="Q189" s="53"/>
      <c r="R189" s="18"/>
      <c r="S189" s="18"/>
      <c r="T189" s="60"/>
    </row>
    <row r="190" spans="1:21">
      <c r="O190" s="18"/>
      <c r="P190" s="101"/>
      <c r="Q190" s="53"/>
      <c r="R190" s="18"/>
      <c r="S190" s="18"/>
      <c r="T190" s="60"/>
    </row>
    <row r="191" spans="1:21">
      <c r="O191" s="18"/>
      <c r="P191" s="101"/>
      <c r="Q191" s="53"/>
      <c r="R191" s="18"/>
      <c r="S191" s="18"/>
      <c r="T191" s="60"/>
    </row>
    <row r="192" spans="1:21">
      <c r="O192" s="18"/>
      <c r="P192" s="101"/>
      <c r="Q192" s="53"/>
      <c r="R192" s="18"/>
      <c r="S192" s="18"/>
      <c r="T192" s="60"/>
    </row>
    <row r="193" spans="15:20">
      <c r="O193" s="18"/>
      <c r="P193" s="101"/>
      <c r="Q193" s="53"/>
      <c r="R193" s="18"/>
      <c r="S193" s="18"/>
      <c r="T193" s="60"/>
    </row>
    <row r="194" spans="15:20">
      <c r="O194" s="18"/>
      <c r="P194" s="101"/>
      <c r="Q194" s="53"/>
      <c r="R194" s="18"/>
      <c r="S194" s="18"/>
      <c r="T194" s="60"/>
    </row>
    <row r="195" spans="15:20">
      <c r="O195" s="18"/>
      <c r="P195" s="101"/>
      <c r="Q195" s="53"/>
      <c r="R195" s="18"/>
      <c r="S195" s="18"/>
      <c r="T195" s="60"/>
    </row>
    <row r="196" spans="15:20">
      <c r="O196" s="18"/>
      <c r="P196" s="101"/>
      <c r="Q196" s="53"/>
      <c r="R196" s="18"/>
      <c r="S196" s="18"/>
      <c r="T196" s="60"/>
    </row>
    <row r="197" spans="15:20">
      <c r="O197" s="18"/>
      <c r="P197" s="101"/>
      <c r="Q197" s="53"/>
      <c r="R197" s="18"/>
      <c r="S197" s="18"/>
      <c r="T197" s="60"/>
    </row>
    <row r="198" spans="15:20">
      <c r="O198" s="18"/>
      <c r="P198" s="101"/>
      <c r="Q198" s="53"/>
      <c r="R198" s="18"/>
      <c r="S198" s="18"/>
      <c r="T198" s="60"/>
    </row>
    <row r="199" spans="15:20">
      <c r="O199" s="18"/>
      <c r="P199" s="101"/>
      <c r="Q199" s="53"/>
      <c r="R199" s="18"/>
      <c r="S199" s="18"/>
      <c r="T199" s="60"/>
    </row>
    <row r="200" spans="15:20">
      <c r="O200" s="18"/>
      <c r="P200" s="101"/>
      <c r="Q200" s="53"/>
      <c r="R200" s="18"/>
      <c r="S200" s="18"/>
      <c r="T200" s="60"/>
    </row>
    <row r="201" spans="15:20">
      <c r="O201" s="18"/>
      <c r="P201" s="101"/>
      <c r="Q201" s="53"/>
      <c r="R201" s="18"/>
      <c r="S201" s="18"/>
      <c r="T201" s="60"/>
    </row>
    <row r="202" spans="15:20">
      <c r="O202" s="18"/>
      <c r="P202" s="101"/>
      <c r="Q202" s="53"/>
      <c r="R202" s="18"/>
      <c r="S202" s="18"/>
      <c r="T202" s="60"/>
    </row>
    <row r="203" spans="15:20">
      <c r="O203" s="18"/>
      <c r="P203" s="101"/>
      <c r="Q203" s="53"/>
      <c r="R203" s="18"/>
      <c r="S203" s="18"/>
      <c r="T203" s="60"/>
    </row>
    <row r="204" spans="15:20">
      <c r="O204" s="18"/>
      <c r="P204" s="101"/>
      <c r="Q204" s="53"/>
      <c r="R204" s="18"/>
      <c r="S204" s="18"/>
      <c r="T204" s="60"/>
    </row>
    <row r="205" spans="15:20">
      <c r="O205" s="18"/>
      <c r="P205" s="101"/>
      <c r="Q205" s="53"/>
      <c r="R205" s="18"/>
      <c r="S205" s="18"/>
      <c r="T205" s="60"/>
    </row>
    <row r="206" spans="15:20">
      <c r="O206" s="18"/>
      <c r="P206" s="101"/>
      <c r="Q206" s="53"/>
      <c r="R206" s="18"/>
      <c r="S206" s="18"/>
      <c r="T206" s="60"/>
    </row>
    <row r="207" spans="15:20">
      <c r="O207" s="18"/>
      <c r="P207" s="101"/>
      <c r="Q207" s="53"/>
      <c r="R207" s="18"/>
      <c r="S207" s="18"/>
      <c r="T207" s="60"/>
    </row>
    <row r="208" spans="15:20">
      <c r="O208" s="18"/>
      <c r="P208" s="101"/>
      <c r="Q208" s="53"/>
      <c r="R208" s="18"/>
      <c r="S208" s="18"/>
      <c r="T208" s="60"/>
    </row>
    <row r="209" spans="15:20">
      <c r="O209" s="18"/>
      <c r="P209" s="101"/>
      <c r="Q209" s="53"/>
      <c r="R209" s="18"/>
      <c r="S209" s="18"/>
      <c r="T209" s="60"/>
    </row>
    <row r="210" spans="15:20">
      <c r="O210" s="18"/>
      <c r="P210" s="101"/>
      <c r="Q210" s="53"/>
      <c r="R210" s="18"/>
      <c r="S210" s="18"/>
      <c r="T210" s="60"/>
    </row>
    <row r="211" spans="15:20">
      <c r="O211" s="18"/>
      <c r="P211" s="101"/>
      <c r="Q211" s="53"/>
      <c r="R211" s="18"/>
      <c r="S211" s="18"/>
      <c r="T211" s="60"/>
    </row>
    <row r="212" spans="15:20">
      <c r="O212" s="18"/>
      <c r="P212" s="101"/>
      <c r="Q212" s="53"/>
      <c r="R212" s="18"/>
      <c r="S212" s="18"/>
      <c r="T212" s="60"/>
    </row>
    <row r="213" spans="15:20">
      <c r="O213" s="18"/>
      <c r="P213" s="101"/>
      <c r="Q213" s="53"/>
      <c r="R213" s="18"/>
      <c r="S213" s="18"/>
      <c r="T213" s="60"/>
    </row>
    <row r="214" spans="15:20">
      <c r="O214" s="18"/>
      <c r="P214" s="101"/>
      <c r="Q214" s="53"/>
      <c r="R214" s="18"/>
      <c r="S214" s="18"/>
      <c r="T214" s="60"/>
    </row>
    <row r="215" spans="15:20">
      <c r="O215" s="18"/>
      <c r="P215" s="101"/>
      <c r="Q215" s="53"/>
      <c r="R215" s="18"/>
      <c r="S215" s="18"/>
      <c r="T215" s="60"/>
    </row>
    <row r="216" spans="15:20">
      <c r="O216" s="18"/>
      <c r="P216" s="101"/>
      <c r="Q216" s="53"/>
      <c r="R216" s="18"/>
      <c r="S216" s="18"/>
      <c r="T216" s="60"/>
    </row>
    <row r="217" spans="15:20">
      <c r="O217" s="18"/>
      <c r="P217" s="101"/>
      <c r="Q217" s="53"/>
      <c r="R217" s="18"/>
      <c r="S217" s="18"/>
      <c r="T217" s="60"/>
    </row>
    <row r="218" spans="15:20">
      <c r="O218" s="18"/>
      <c r="P218" s="101"/>
      <c r="Q218" s="53"/>
      <c r="R218" s="18"/>
      <c r="S218" s="18"/>
      <c r="T218" s="60"/>
    </row>
    <row r="219" spans="15:20">
      <c r="O219" s="18"/>
      <c r="P219" s="101"/>
      <c r="Q219" s="53"/>
      <c r="R219" s="18"/>
      <c r="S219" s="18"/>
      <c r="T219" s="60"/>
    </row>
    <row r="220" spans="15:20">
      <c r="O220" s="18"/>
      <c r="P220" s="101"/>
      <c r="Q220" s="53"/>
      <c r="R220" s="18"/>
      <c r="S220" s="18"/>
      <c r="T220" s="60"/>
    </row>
    <row r="221" spans="15:20">
      <c r="O221" s="18"/>
      <c r="P221" s="101"/>
      <c r="Q221" s="53"/>
      <c r="R221" s="18"/>
      <c r="S221" s="18"/>
      <c r="T221" s="60"/>
    </row>
    <row r="222" spans="15:20">
      <c r="O222" s="18"/>
      <c r="P222" s="101"/>
      <c r="Q222" s="53"/>
      <c r="R222" s="18"/>
      <c r="S222" s="18"/>
      <c r="T222" s="60"/>
    </row>
    <row r="223" spans="15:20">
      <c r="O223" s="18"/>
      <c r="P223" s="101"/>
      <c r="Q223" s="53"/>
      <c r="R223" s="18"/>
      <c r="S223" s="18"/>
      <c r="T223" s="60"/>
    </row>
    <row r="224" spans="15:20">
      <c r="O224" s="18"/>
      <c r="P224" s="101"/>
      <c r="Q224" s="53"/>
      <c r="R224" s="18"/>
      <c r="S224" s="18"/>
      <c r="T224" s="60"/>
    </row>
    <row r="225" spans="15:20">
      <c r="O225" s="18"/>
      <c r="P225" s="101"/>
      <c r="Q225" s="53"/>
      <c r="R225" s="18"/>
      <c r="S225" s="18"/>
      <c r="T225" s="60"/>
    </row>
    <row r="226" spans="15:20">
      <c r="O226" s="18"/>
      <c r="P226" s="101"/>
      <c r="Q226" s="53"/>
      <c r="R226" s="18"/>
      <c r="S226" s="18"/>
      <c r="T226" s="60"/>
    </row>
    <row r="227" spans="15:20">
      <c r="O227" s="18"/>
      <c r="P227" s="101"/>
      <c r="Q227" s="53"/>
      <c r="R227" s="18"/>
      <c r="S227" s="18"/>
      <c r="T227" s="60"/>
    </row>
    <row r="228" spans="15:20">
      <c r="O228" s="18"/>
      <c r="P228" s="101"/>
      <c r="Q228" s="53"/>
      <c r="R228" s="18"/>
      <c r="S228" s="18"/>
      <c r="T228" s="60"/>
    </row>
    <row r="229" spans="15:20">
      <c r="O229" s="18"/>
      <c r="P229" s="101"/>
      <c r="Q229" s="53"/>
      <c r="R229" s="18"/>
      <c r="S229" s="18"/>
      <c r="T229" s="60"/>
    </row>
    <row r="230" spans="15:20">
      <c r="O230" s="18"/>
      <c r="P230" s="101"/>
      <c r="Q230" s="53"/>
      <c r="R230" s="18"/>
      <c r="S230" s="18"/>
      <c r="T230" s="60"/>
    </row>
    <row r="231" spans="15:20">
      <c r="O231" s="18"/>
      <c r="P231" s="101"/>
      <c r="Q231" s="53"/>
      <c r="R231" s="18"/>
      <c r="S231" s="18"/>
      <c r="T231" s="60"/>
    </row>
    <row r="232" spans="15:20">
      <c r="O232" s="18"/>
      <c r="P232" s="101"/>
      <c r="Q232" s="53"/>
      <c r="R232" s="18"/>
      <c r="S232" s="18"/>
      <c r="T232" s="60"/>
    </row>
    <row r="233" spans="15:20">
      <c r="O233" s="18"/>
      <c r="P233" s="101"/>
      <c r="Q233" s="53"/>
      <c r="R233" s="18"/>
      <c r="S233" s="18"/>
      <c r="T233" s="60"/>
    </row>
    <row r="234" spans="15:20">
      <c r="O234" s="18"/>
      <c r="P234" s="101"/>
      <c r="Q234" s="53"/>
      <c r="R234" s="18"/>
      <c r="S234" s="18"/>
      <c r="T234" s="60"/>
    </row>
    <row r="235" spans="15:20">
      <c r="O235" s="18"/>
      <c r="P235" s="101"/>
      <c r="Q235" s="53"/>
      <c r="R235" s="18"/>
      <c r="S235" s="18"/>
      <c r="T235" s="60"/>
    </row>
    <row r="236" spans="15:20">
      <c r="O236" s="18"/>
      <c r="P236" s="101"/>
      <c r="Q236" s="53"/>
      <c r="R236" s="18"/>
      <c r="S236" s="18"/>
      <c r="T236" s="60"/>
    </row>
    <row r="237" spans="15:20">
      <c r="O237" s="18"/>
      <c r="P237" s="101"/>
      <c r="Q237" s="53"/>
      <c r="R237" s="18"/>
      <c r="S237" s="18"/>
      <c r="T237" s="60"/>
    </row>
    <row r="238" spans="15:20">
      <c r="O238" s="18"/>
      <c r="P238" s="101"/>
      <c r="Q238" s="53"/>
      <c r="R238" s="18"/>
      <c r="S238" s="18"/>
      <c r="T238" s="60"/>
    </row>
    <row r="239" spans="15:20">
      <c r="O239" s="18"/>
      <c r="P239" s="101"/>
      <c r="Q239" s="53"/>
      <c r="R239" s="18"/>
      <c r="S239" s="18"/>
      <c r="T239" s="60"/>
    </row>
    <row r="240" spans="15:20">
      <c r="O240" s="18"/>
      <c r="P240" s="101"/>
      <c r="Q240" s="53"/>
      <c r="R240" s="18"/>
      <c r="S240" s="18"/>
      <c r="T240" s="60"/>
    </row>
    <row r="241" spans="15:20">
      <c r="O241" s="18"/>
      <c r="P241" s="101"/>
      <c r="Q241" s="53"/>
      <c r="R241" s="18"/>
      <c r="S241" s="18"/>
      <c r="T241" s="60"/>
    </row>
    <row r="242" spans="15:20">
      <c r="O242" s="18"/>
      <c r="P242" s="101"/>
      <c r="Q242" s="53"/>
      <c r="R242" s="18"/>
      <c r="S242" s="18"/>
      <c r="T242" s="60"/>
    </row>
    <row r="243" spans="15:20">
      <c r="O243" s="18"/>
      <c r="P243" s="101"/>
      <c r="Q243" s="53"/>
      <c r="R243" s="18"/>
      <c r="S243" s="18"/>
      <c r="T243" s="60"/>
    </row>
    <row r="244" spans="15:20">
      <c r="O244" s="18"/>
      <c r="P244" s="101"/>
      <c r="Q244" s="53"/>
      <c r="R244" s="18"/>
      <c r="S244" s="18"/>
      <c r="T244" s="60"/>
    </row>
    <row r="245" spans="15:20">
      <c r="O245" s="18"/>
      <c r="P245" s="101"/>
      <c r="Q245" s="53"/>
      <c r="R245" s="18"/>
      <c r="S245" s="18"/>
      <c r="T245" s="60"/>
    </row>
    <row r="246" spans="15:20">
      <c r="O246" s="18"/>
      <c r="P246" s="101"/>
      <c r="Q246" s="53"/>
      <c r="R246" s="18"/>
      <c r="S246" s="18"/>
      <c r="T246" s="60"/>
    </row>
    <row r="247" spans="15:20">
      <c r="O247" s="18"/>
      <c r="P247" s="101"/>
      <c r="Q247" s="53"/>
      <c r="R247" s="18"/>
      <c r="S247" s="18"/>
      <c r="T247" s="60"/>
    </row>
    <row r="248" spans="15:20">
      <c r="O248" s="18"/>
      <c r="P248" s="101"/>
      <c r="Q248" s="53"/>
      <c r="R248" s="18"/>
      <c r="S248" s="18"/>
      <c r="T248" s="60"/>
    </row>
    <row r="249" spans="15:20">
      <c r="O249" s="18"/>
      <c r="P249" s="101"/>
      <c r="Q249" s="53"/>
      <c r="R249" s="18"/>
      <c r="S249" s="18"/>
      <c r="T249" s="60"/>
    </row>
    <row r="250" spans="15:20">
      <c r="O250" s="18"/>
      <c r="P250" s="101"/>
      <c r="Q250" s="53"/>
      <c r="R250" s="18"/>
      <c r="S250" s="18"/>
      <c r="T250" s="60"/>
    </row>
    <row r="251" spans="15:20">
      <c r="O251" s="18"/>
      <c r="P251" s="101"/>
      <c r="Q251" s="53"/>
      <c r="R251" s="18"/>
      <c r="S251" s="18"/>
      <c r="T251" s="60"/>
    </row>
    <row r="252" spans="15:20">
      <c r="O252" s="18"/>
      <c r="P252" s="101"/>
      <c r="Q252" s="53"/>
      <c r="R252" s="18"/>
      <c r="S252" s="18"/>
      <c r="T252" s="60"/>
    </row>
    <row r="253" spans="15:20">
      <c r="O253" s="18"/>
      <c r="P253" s="101"/>
      <c r="Q253" s="53"/>
      <c r="R253" s="18"/>
      <c r="S253" s="18"/>
      <c r="T253" s="60"/>
    </row>
    <row r="254" spans="15:20">
      <c r="O254" s="18"/>
      <c r="P254" s="101"/>
      <c r="Q254" s="53"/>
      <c r="R254" s="18"/>
      <c r="S254" s="18"/>
      <c r="T254" s="60"/>
    </row>
    <row r="255" spans="15:20">
      <c r="O255" s="18"/>
      <c r="P255" s="101"/>
      <c r="Q255" s="53"/>
      <c r="R255" s="18"/>
      <c r="S255" s="18"/>
      <c r="T255" s="60"/>
    </row>
    <row r="256" spans="15:20">
      <c r="O256" s="18"/>
      <c r="P256" s="101"/>
      <c r="Q256" s="53"/>
      <c r="R256" s="18"/>
      <c r="S256" s="18"/>
      <c r="T256" s="60"/>
    </row>
    <row r="257" spans="15:20">
      <c r="O257" s="18"/>
      <c r="P257" s="101"/>
      <c r="Q257" s="53"/>
      <c r="R257" s="18"/>
      <c r="S257" s="18"/>
      <c r="T257" s="60"/>
    </row>
    <row r="258" spans="15:20">
      <c r="O258" s="18"/>
      <c r="P258" s="101"/>
      <c r="Q258" s="53"/>
      <c r="R258" s="18"/>
      <c r="S258" s="18"/>
      <c r="T258" s="60"/>
    </row>
    <row r="259" spans="15:20">
      <c r="O259" s="18"/>
      <c r="P259" s="101"/>
      <c r="Q259" s="53"/>
      <c r="R259" s="18"/>
      <c r="S259" s="18"/>
      <c r="T259" s="60"/>
    </row>
    <row r="260" spans="15:20">
      <c r="O260" s="18"/>
      <c r="P260" s="101"/>
      <c r="Q260" s="53"/>
      <c r="R260" s="18"/>
      <c r="S260" s="18"/>
      <c r="T260" s="60"/>
    </row>
  </sheetData>
  <autoFilter ref="A14:N172"/>
  <mergeCells count="34">
    <mergeCell ref="O177:Q177"/>
    <mergeCell ref="O178:Q178"/>
    <mergeCell ref="S11:T11"/>
    <mergeCell ref="P12:P13"/>
    <mergeCell ref="S12:S13"/>
    <mergeCell ref="T12:T13"/>
    <mergeCell ref="O11:O13"/>
    <mergeCell ref="Q11:Q13"/>
    <mergeCell ref="R11:R13"/>
    <mergeCell ref="G2:I2"/>
    <mergeCell ref="G3:I4"/>
    <mergeCell ref="A177:D177"/>
    <mergeCell ref="C12:C13"/>
    <mergeCell ref="D11:D13"/>
    <mergeCell ref="E11:E13"/>
    <mergeCell ref="F11:G11"/>
    <mergeCell ref="H11:I11"/>
    <mergeCell ref="E176:I176"/>
    <mergeCell ref="E177:I177"/>
    <mergeCell ref="A5:I5"/>
    <mergeCell ref="A7:I7"/>
    <mergeCell ref="A8:I8"/>
    <mergeCell ref="A9:I9"/>
    <mergeCell ref="A10:I10"/>
    <mergeCell ref="A6:I6"/>
    <mergeCell ref="A178:D178"/>
    <mergeCell ref="A11:A13"/>
    <mergeCell ref="B11:C11"/>
    <mergeCell ref="B12:B13"/>
    <mergeCell ref="E178:I178"/>
    <mergeCell ref="F12:F13"/>
    <mergeCell ref="G12:G13"/>
    <mergeCell ref="H12:H13"/>
    <mergeCell ref="I12:I13"/>
  </mergeCells>
  <phoneticPr fontId="29" type="noConversion"/>
  <conditionalFormatting sqref="F35 S53">
    <cfRule type="expression" dxfId="0" priority="1" stopIfTrue="1">
      <formula>$C35&lt;&gt;""</formula>
    </cfRule>
  </conditionalFormatting>
  <pageMargins left="0.75" right="0.16" top="0.19" bottom="0.44" header="0.16" footer="0.15"/>
  <pageSetup scale="85" orientation="portrait" verticalDpi="0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>
    <tabColor indexed="12"/>
  </sheetPr>
  <dimension ref="A1:T216"/>
  <sheetViews>
    <sheetView topLeftCell="A11" zoomScale="90" workbookViewId="0">
      <pane ySplit="5" topLeftCell="A166" activePane="bottomLeft" state="frozen"/>
      <selection activeCell="K212" sqref="K212"/>
      <selection pane="bottomLeft" activeCell="J69" sqref="J69"/>
    </sheetView>
  </sheetViews>
  <sheetFormatPr defaultRowHeight="15"/>
  <cols>
    <col min="1" max="1" width="9.140625" style="2"/>
    <col min="2" max="2" width="7" style="2" customWidth="1"/>
    <col min="3" max="3" width="8.85546875" style="2" customWidth="1"/>
    <col min="4" max="4" width="23.7109375" style="1" customWidth="1"/>
    <col min="5" max="5" width="7.140625" style="2" customWidth="1"/>
    <col min="6" max="6" width="16.5703125" style="2" customWidth="1"/>
    <col min="7" max="7" width="16.5703125" style="13" customWidth="1"/>
    <col min="8" max="8" width="14.28515625" style="2" customWidth="1"/>
    <col min="9" max="9" width="13" style="2" customWidth="1"/>
    <col min="10" max="10" width="6.28515625" style="1" customWidth="1"/>
    <col min="11" max="11" width="16.85546875" style="200" customWidth="1"/>
    <col min="12" max="12" width="13.7109375" style="1" customWidth="1"/>
    <col min="13" max="13" width="0" style="1" hidden="1" customWidth="1"/>
    <col min="14" max="14" width="7" style="2" hidden="1" customWidth="1"/>
    <col min="15" max="15" width="8.85546875" style="2" hidden="1" customWidth="1"/>
    <col min="16" max="16" width="23.7109375" style="1" hidden="1" customWidth="1"/>
    <col min="17" max="17" width="7.140625" style="2" hidden="1" customWidth="1"/>
    <col min="18" max="18" width="16.5703125" style="2" hidden="1" customWidth="1"/>
    <col min="19" max="19" width="16.5703125" style="13" hidden="1" customWidth="1"/>
    <col min="20" max="25" width="0" style="1" hidden="1" customWidth="1"/>
    <col min="26" max="16384" width="9.140625" style="1"/>
  </cols>
  <sheetData>
    <row r="1" spans="1:20">
      <c r="A1" s="27"/>
      <c r="B1" s="27"/>
      <c r="C1" s="27"/>
      <c r="D1" s="28"/>
      <c r="E1" s="27"/>
      <c r="F1" s="27"/>
      <c r="G1" s="44"/>
      <c r="H1" s="27"/>
      <c r="I1" s="27"/>
      <c r="N1" s="27"/>
      <c r="O1" s="27"/>
      <c r="P1" s="28"/>
      <c r="Q1" s="27"/>
      <c r="R1" s="27"/>
      <c r="S1" s="44"/>
    </row>
    <row r="2" spans="1:20" ht="15.75" customHeight="1">
      <c r="A2" s="15" t="s">
        <v>0</v>
      </c>
      <c r="B2" s="27"/>
      <c r="C2" s="27"/>
      <c r="D2" s="28"/>
      <c r="E2" s="27"/>
      <c r="F2" s="27"/>
      <c r="G2" s="295" t="s">
        <v>117</v>
      </c>
      <c r="H2" s="295"/>
      <c r="I2" s="295"/>
      <c r="N2" s="27"/>
      <c r="O2" s="27"/>
      <c r="P2" s="28"/>
      <c r="Q2" s="27"/>
      <c r="R2" s="27"/>
      <c r="S2" s="1"/>
    </row>
    <row r="3" spans="1:20" ht="15.75" customHeight="1">
      <c r="A3" s="15" t="s">
        <v>1</v>
      </c>
      <c r="B3" s="27"/>
      <c r="C3" s="27"/>
      <c r="D3" s="28"/>
      <c r="E3" s="27"/>
      <c r="F3" s="27"/>
      <c r="G3" s="296" t="s">
        <v>118</v>
      </c>
      <c r="H3" s="296"/>
      <c r="I3" s="296"/>
      <c r="N3" s="27"/>
      <c r="O3" s="27"/>
      <c r="P3" s="28"/>
      <c r="Q3" s="27"/>
      <c r="R3" s="27"/>
      <c r="S3" s="1"/>
    </row>
    <row r="4" spans="1:20">
      <c r="A4" s="27"/>
      <c r="B4" s="27"/>
      <c r="C4" s="27"/>
      <c r="D4" s="28"/>
      <c r="E4" s="27"/>
      <c r="F4" s="3"/>
      <c r="G4" s="296"/>
      <c r="H4" s="296"/>
      <c r="I4" s="296"/>
      <c r="N4" s="27"/>
      <c r="O4" s="27"/>
      <c r="P4" s="28"/>
      <c r="Q4" s="27"/>
      <c r="R4" s="3"/>
      <c r="S4" s="1"/>
    </row>
    <row r="5" spans="1:20" ht="23.25" customHeight="1">
      <c r="A5" s="298" t="s">
        <v>2</v>
      </c>
      <c r="B5" s="298"/>
      <c r="C5" s="298"/>
      <c r="D5" s="298"/>
      <c r="E5" s="298"/>
      <c r="F5" s="298"/>
      <c r="G5" s="298"/>
      <c r="H5" s="298"/>
      <c r="I5" s="298"/>
      <c r="N5" s="1"/>
      <c r="O5" s="1"/>
      <c r="Q5" s="1"/>
      <c r="R5" s="1"/>
      <c r="S5" s="1"/>
    </row>
    <row r="6" spans="1:20">
      <c r="A6" s="285" t="s">
        <v>3</v>
      </c>
      <c r="B6" s="285"/>
      <c r="C6" s="285"/>
      <c r="D6" s="285"/>
      <c r="E6" s="285"/>
      <c r="F6" s="285"/>
      <c r="G6" s="285"/>
      <c r="H6" s="285"/>
      <c r="I6" s="285"/>
      <c r="N6" s="1"/>
      <c r="O6" s="1"/>
      <c r="Q6" s="1"/>
      <c r="R6" s="1"/>
      <c r="S6" s="1"/>
    </row>
    <row r="7" spans="1:20">
      <c r="A7" s="299" t="s">
        <v>28</v>
      </c>
      <c r="B7" s="285"/>
      <c r="C7" s="285"/>
      <c r="D7" s="285"/>
      <c r="E7" s="285"/>
      <c r="F7" s="285"/>
      <c r="G7" s="285"/>
      <c r="H7" s="285"/>
      <c r="I7" s="285"/>
      <c r="N7" s="1"/>
      <c r="O7" s="1"/>
      <c r="Q7" s="1"/>
      <c r="R7" s="1"/>
      <c r="S7" s="1"/>
    </row>
    <row r="8" spans="1:20">
      <c r="A8" s="285" t="s">
        <v>292</v>
      </c>
      <c r="B8" s="285" t="s">
        <v>4</v>
      </c>
      <c r="C8" s="285"/>
      <c r="D8" s="285"/>
      <c r="E8" s="285"/>
      <c r="F8" s="285"/>
      <c r="G8" s="285"/>
      <c r="H8" s="285"/>
      <c r="I8" s="285"/>
      <c r="N8" s="1"/>
      <c r="O8" s="1"/>
      <c r="Q8" s="1"/>
      <c r="R8" s="1"/>
      <c r="S8" s="1"/>
    </row>
    <row r="9" spans="1:20">
      <c r="A9" s="285" t="s">
        <v>5</v>
      </c>
      <c r="B9" s="299"/>
      <c r="C9" s="299"/>
      <c r="D9" s="299"/>
      <c r="E9" s="299"/>
      <c r="F9" s="299"/>
      <c r="G9" s="299"/>
      <c r="H9" s="299"/>
      <c r="I9" s="299"/>
      <c r="N9" s="1"/>
      <c r="O9" s="1"/>
      <c r="Q9" s="1"/>
      <c r="R9" s="1"/>
      <c r="S9" s="1"/>
    </row>
    <row r="10" spans="1:20" hidden="1">
      <c r="A10" s="27"/>
      <c r="B10" s="27"/>
      <c r="C10" s="302"/>
      <c r="D10" s="302"/>
      <c r="E10" s="302"/>
      <c r="F10" s="302"/>
      <c r="G10" s="302"/>
      <c r="H10" s="302"/>
      <c r="I10" s="302"/>
      <c r="N10" s="27"/>
      <c r="O10" s="1"/>
      <c r="Q10" s="1"/>
      <c r="R10" s="1"/>
      <c r="S10" s="1"/>
    </row>
    <row r="11" spans="1:20" ht="15.75" customHeight="1">
      <c r="A11" s="286" t="s">
        <v>6</v>
      </c>
      <c r="B11" s="287" t="s">
        <v>7</v>
      </c>
      <c r="C11" s="288"/>
      <c r="D11" s="286" t="s">
        <v>8</v>
      </c>
      <c r="E11" s="286" t="s">
        <v>9</v>
      </c>
      <c r="F11" s="287" t="s">
        <v>10</v>
      </c>
      <c r="G11" s="288"/>
      <c r="H11" s="287" t="s">
        <v>11</v>
      </c>
      <c r="I11" s="297"/>
      <c r="N11" s="287" t="s">
        <v>7</v>
      </c>
      <c r="O11" s="288"/>
      <c r="P11" s="286" t="s">
        <v>8</v>
      </c>
      <c r="Q11" s="286" t="s">
        <v>9</v>
      </c>
      <c r="R11" s="287" t="s">
        <v>10</v>
      </c>
      <c r="S11" s="288"/>
    </row>
    <row r="12" spans="1:20" ht="15.75" customHeight="1">
      <c r="A12" s="286"/>
      <c r="B12" s="291" t="s">
        <v>12</v>
      </c>
      <c r="C12" s="291" t="s">
        <v>13</v>
      </c>
      <c r="D12" s="286"/>
      <c r="E12" s="286"/>
      <c r="F12" s="291" t="s">
        <v>14</v>
      </c>
      <c r="G12" s="293" t="s">
        <v>15</v>
      </c>
      <c r="H12" s="291" t="s">
        <v>14</v>
      </c>
      <c r="I12" s="291" t="s">
        <v>15</v>
      </c>
      <c r="N12" s="291" t="s">
        <v>12</v>
      </c>
      <c r="O12" s="291" t="s">
        <v>13</v>
      </c>
      <c r="P12" s="286"/>
      <c r="Q12" s="286"/>
      <c r="R12" s="291" t="s">
        <v>14</v>
      </c>
      <c r="S12" s="293" t="s">
        <v>15</v>
      </c>
    </row>
    <row r="13" spans="1:20" ht="17.25" customHeight="1">
      <c r="A13" s="286"/>
      <c r="B13" s="292"/>
      <c r="C13" s="292"/>
      <c r="D13" s="286"/>
      <c r="E13" s="286"/>
      <c r="F13" s="292"/>
      <c r="G13" s="294"/>
      <c r="H13" s="292"/>
      <c r="I13" s="292"/>
      <c r="N13" s="292"/>
      <c r="O13" s="292"/>
      <c r="P13" s="286"/>
      <c r="Q13" s="286"/>
      <c r="R13" s="292"/>
      <c r="S13" s="294"/>
    </row>
    <row r="14" spans="1:20" s="2" customFormat="1" ht="9.75" customHeight="1">
      <c r="A14" s="29" t="s">
        <v>16</v>
      </c>
      <c r="B14" s="47" t="s">
        <v>17</v>
      </c>
      <c r="C14" s="29" t="s">
        <v>18</v>
      </c>
      <c r="D14" s="29" t="s">
        <v>19</v>
      </c>
      <c r="E14" s="29" t="s">
        <v>20</v>
      </c>
      <c r="F14" s="29">
        <v>1</v>
      </c>
      <c r="G14" s="29">
        <v>2</v>
      </c>
      <c r="H14" s="29">
        <v>3</v>
      </c>
      <c r="I14" s="29">
        <v>4</v>
      </c>
      <c r="K14" s="200"/>
      <c r="N14" s="47" t="s">
        <v>17</v>
      </c>
      <c r="O14" s="29" t="s">
        <v>18</v>
      </c>
      <c r="P14" s="29" t="s">
        <v>19</v>
      </c>
      <c r="Q14" s="29" t="s">
        <v>20</v>
      </c>
      <c r="R14" s="29">
        <v>1</v>
      </c>
      <c r="S14" s="29">
        <v>2</v>
      </c>
    </row>
    <row r="15" spans="1:20" ht="17.25" customHeight="1">
      <c r="A15" s="32"/>
      <c r="B15" s="35"/>
      <c r="C15" s="32"/>
      <c r="D15" s="34" t="s">
        <v>21</v>
      </c>
      <c r="E15" s="35"/>
      <c r="F15" s="21"/>
      <c r="G15" s="20"/>
      <c r="H15" s="21">
        <v>0</v>
      </c>
      <c r="I15" s="21">
        <v>0</v>
      </c>
      <c r="N15" s="35"/>
      <c r="O15" s="32"/>
      <c r="P15" s="34" t="s">
        <v>21</v>
      </c>
      <c r="Q15" s="35"/>
      <c r="R15" s="21"/>
      <c r="S15" s="20"/>
    </row>
    <row r="16" spans="1:20" ht="17.25" customHeight="1">
      <c r="A16" s="14">
        <v>41284</v>
      </c>
      <c r="B16" s="23" t="s">
        <v>136</v>
      </c>
      <c r="C16" s="11">
        <v>41284</v>
      </c>
      <c r="D16" s="16" t="s">
        <v>44</v>
      </c>
      <c r="E16" s="37" t="s">
        <v>45</v>
      </c>
      <c r="F16" s="9">
        <v>400000000</v>
      </c>
      <c r="G16" s="19"/>
      <c r="H16" s="5">
        <f t="shared" ref="H16:H17" si="0">MAX(H15+F16-G16-I15,0)</f>
        <v>400000000</v>
      </c>
      <c r="I16" s="5">
        <f t="shared" ref="I16:I17" si="1">MAX(I15+G16-F16-H15,0)</f>
        <v>0</v>
      </c>
      <c r="J16" s="36">
        <v>4</v>
      </c>
      <c r="K16" s="201"/>
      <c r="N16" s="23" t="str">
        <f ca="1">IF(ROWS($1:1)&gt;COUNT(Dong1),"",OFFSET('141-VV'!B$1,SMALL(Dong1,ROWS($1:1)),))</f>
        <v>C06</v>
      </c>
      <c r="O16" s="143">
        <f ca="1">IF(ROWS($1:1)&gt;COUNT(Dong1),"",OFFSET('141-VV'!C$1,SMALL(Dong1,ROWS($1:1)),))</f>
        <v>41284</v>
      </c>
      <c r="P16" s="23" t="str">
        <f ca="1">IF(ROWS($1:1)&gt;COUNT(Dong1),"",OFFSET('141-VV'!D$1,SMALL(Dong1,ROWS($1:1)),))</f>
        <v>Tạm ứng mua NL</v>
      </c>
      <c r="Q16" s="23" t="str">
        <f ca="1">IF(ROWS($1:1)&gt;COUNT(Dong1),"",OFFSET('141-VV'!E$1,SMALL(Dong1,ROWS($1:1)),))</f>
        <v>111</v>
      </c>
      <c r="R16" s="23">
        <f ca="1">IF(ROWS($1:1)&gt;COUNT(Dong1),"",OFFSET('141-VV'!F$1,SMALL(Dong1,ROWS($1:1)),))</f>
        <v>400000000</v>
      </c>
      <c r="S16" s="23">
        <f ca="1">IF(ROWS($1:1)&gt;COUNT(Dong1),"",OFFSET('141-VV'!G$1,SMALL(Dong1,ROWS($1:1)),))</f>
        <v>0</v>
      </c>
      <c r="T16" s="1" t="str">
        <f ca="1">IF(IF(ROWS($1:1)&gt;COUNT(Dong1),"",OFFSET('141-VV'!K$1,SMALL(Dong1,ROWS($1:1)),))=0,"",IF(ROWS($1:1)&gt;COUNT(Dong1),"",OFFSET('141-VV'!K$1,SMALL(Dong1,ROWS($1:1)),)))</f>
        <v/>
      </c>
    </row>
    <row r="17" spans="1:20" ht="17.25" customHeight="1">
      <c r="A17" s="14">
        <v>41341</v>
      </c>
      <c r="B17" s="23" t="s">
        <v>136</v>
      </c>
      <c r="C17" s="11">
        <v>41341</v>
      </c>
      <c r="D17" s="16" t="s">
        <v>44</v>
      </c>
      <c r="E17" s="37" t="s">
        <v>45</v>
      </c>
      <c r="F17" s="9">
        <v>600000000</v>
      </c>
      <c r="G17" s="19"/>
      <c r="H17" s="5">
        <f t="shared" si="0"/>
        <v>1000000000</v>
      </c>
      <c r="I17" s="5">
        <f t="shared" si="1"/>
        <v>0</v>
      </c>
      <c r="J17" s="36">
        <v>4</v>
      </c>
      <c r="K17" s="201"/>
      <c r="N17" s="23" t="str">
        <f ca="1">IF(ROWS($1:2)&gt;COUNT(Dong1),"",OFFSET('141-VV'!B$1,SMALL(Dong1,ROWS($1:2)),))</f>
        <v>C06</v>
      </c>
      <c r="O17" s="143">
        <f ca="1">IF(ROWS($1:2)&gt;COUNT(Dong1),"",OFFSET('141-VV'!C$1,SMALL(Dong1,ROWS($1:2)),))</f>
        <v>41341</v>
      </c>
      <c r="P17" s="23" t="str">
        <f ca="1">IF(ROWS($1:2)&gt;COUNT(Dong1),"",OFFSET('141-VV'!D$1,SMALL(Dong1,ROWS($1:2)),))</f>
        <v>Tạm ứng mua NL</v>
      </c>
      <c r="Q17" s="23" t="str">
        <f ca="1">IF(ROWS($1:2)&gt;COUNT(Dong1),"",OFFSET('141-VV'!E$1,SMALL(Dong1,ROWS($1:2)),))</f>
        <v>111</v>
      </c>
      <c r="R17" s="23">
        <f ca="1">IF(ROWS($1:2)&gt;COUNT(Dong1),"",OFFSET('141-VV'!F$1,SMALL(Dong1,ROWS($1:2)),))</f>
        <v>600000000</v>
      </c>
      <c r="S17" s="23">
        <f ca="1">IF(ROWS($1:2)&gt;COUNT(Dong1),"",OFFSET('141-VV'!G$1,SMALL(Dong1,ROWS($1:2)),))</f>
        <v>0</v>
      </c>
      <c r="T17" s="1" t="str">
        <f ca="1">IF(IF(ROWS($1:2)&gt;COUNT(Dong1),"",OFFSET('141-VV'!K$1,SMALL(Dong1,ROWS($1:2)),))=0,"",IF(ROWS($1:2)&gt;COUNT(Dong1),"",OFFSET('141-VV'!K$1,SMALL(Dong1,ROWS($1:2)),)))</f>
        <v/>
      </c>
    </row>
    <row r="18" spans="1:20" ht="17.25" customHeight="1">
      <c r="A18" s="14">
        <v>41360</v>
      </c>
      <c r="B18" s="23" t="s">
        <v>56</v>
      </c>
      <c r="C18" s="11">
        <v>41360</v>
      </c>
      <c r="D18" s="16" t="s">
        <v>44</v>
      </c>
      <c r="E18" s="37" t="s">
        <v>45</v>
      </c>
      <c r="F18" s="9">
        <v>600000000</v>
      </c>
      <c r="G18" s="19"/>
      <c r="H18" s="5">
        <f t="shared" ref="H18:H80" si="2">MAX(H17+F18-G18-I17,0)</f>
        <v>1600000000</v>
      </c>
      <c r="I18" s="5">
        <f t="shared" ref="I18:I80" si="3">MAX(I17+G18-F18-H17,0)</f>
        <v>0</v>
      </c>
      <c r="J18" s="36">
        <v>4</v>
      </c>
      <c r="K18" s="201"/>
      <c r="N18" s="23" t="str">
        <f ca="1">IF(ROWS($1:3)&gt;COUNT(Dong1),"",OFFSET('141-VV'!B$1,SMALL(Dong1,ROWS($1:3)),))</f>
        <v>C16</v>
      </c>
      <c r="O18" s="143">
        <f ca="1">IF(ROWS($1:3)&gt;COUNT(Dong1),"",OFFSET('141-VV'!C$1,SMALL(Dong1,ROWS($1:3)),))</f>
        <v>41360</v>
      </c>
      <c r="P18" s="23" t="str">
        <f ca="1">IF(ROWS($1:3)&gt;COUNT(Dong1),"",OFFSET('141-VV'!D$1,SMALL(Dong1,ROWS($1:3)),))</f>
        <v>Tạm ứng mua NL</v>
      </c>
      <c r="Q18" s="23" t="str">
        <f ca="1">IF(ROWS($1:3)&gt;COUNT(Dong1),"",OFFSET('141-VV'!E$1,SMALL(Dong1,ROWS($1:3)),))</f>
        <v>111</v>
      </c>
      <c r="R18" s="23">
        <f ca="1">IF(ROWS($1:3)&gt;COUNT(Dong1),"",OFFSET('141-VV'!F$1,SMALL(Dong1,ROWS($1:3)),))</f>
        <v>600000000</v>
      </c>
      <c r="S18" s="23">
        <f ca="1">IF(ROWS($1:3)&gt;COUNT(Dong1),"",OFFSET('141-VV'!G$1,SMALL(Dong1,ROWS($1:3)),))</f>
        <v>0</v>
      </c>
      <c r="T18" s="1" t="str">
        <f ca="1">IF(IF(ROWS($1:3)&gt;COUNT(Dong1),"",OFFSET('141-VV'!K$1,SMALL(Dong1,ROWS($1:3)),))=0,"",IF(ROWS($1:3)&gt;COUNT(Dong1),"",OFFSET('141-VV'!K$1,SMALL(Dong1,ROWS($1:3)),)))</f>
        <v/>
      </c>
    </row>
    <row r="19" spans="1:20" ht="17.25" customHeight="1">
      <c r="A19" s="14">
        <v>41377</v>
      </c>
      <c r="B19" s="23" t="s">
        <v>123</v>
      </c>
      <c r="C19" s="11">
        <v>41377</v>
      </c>
      <c r="D19" s="16" t="s">
        <v>44</v>
      </c>
      <c r="E19" s="37" t="s">
        <v>45</v>
      </c>
      <c r="F19" s="9">
        <v>600000000</v>
      </c>
      <c r="G19" s="19"/>
      <c r="H19" s="5">
        <f t="shared" si="2"/>
        <v>2200000000</v>
      </c>
      <c r="I19" s="5">
        <f t="shared" si="3"/>
        <v>0</v>
      </c>
      <c r="J19" s="36">
        <v>4</v>
      </c>
      <c r="K19" s="201"/>
      <c r="N19" s="23" t="str">
        <f ca="1">IF(ROWS($1:4)&gt;COUNT(Dong1),"",OFFSET('141-VV'!B$1,SMALL(Dong1,ROWS($1:4)),))</f>
        <v>C10</v>
      </c>
      <c r="O19" s="143">
        <f ca="1">IF(ROWS($1:4)&gt;COUNT(Dong1),"",OFFSET('141-VV'!C$1,SMALL(Dong1,ROWS($1:4)),))</f>
        <v>41377</v>
      </c>
      <c r="P19" s="23" t="str">
        <f ca="1">IF(ROWS($1:4)&gt;COUNT(Dong1),"",OFFSET('141-VV'!D$1,SMALL(Dong1,ROWS($1:4)),))</f>
        <v>Tạm ứng mua NL</v>
      </c>
      <c r="Q19" s="23" t="str">
        <f ca="1">IF(ROWS($1:4)&gt;COUNT(Dong1),"",OFFSET('141-VV'!E$1,SMALL(Dong1,ROWS($1:4)),))</f>
        <v>111</v>
      </c>
      <c r="R19" s="23">
        <f ca="1">IF(ROWS($1:4)&gt;COUNT(Dong1),"",OFFSET('141-VV'!F$1,SMALL(Dong1,ROWS($1:4)),))</f>
        <v>600000000</v>
      </c>
      <c r="S19" s="23">
        <f ca="1">IF(ROWS($1:4)&gt;COUNT(Dong1),"",OFFSET('141-VV'!G$1,SMALL(Dong1,ROWS($1:4)),))</f>
        <v>0</v>
      </c>
      <c r="T19" s="1" t="str">
        <f ca="1">IF(IF(ROWS($1:4)&gt;COUNT(Dong1),"",OFFSET('141-VV'!K$1,SMALL(Dong1,ROWS($1:4)),))=0,"",IF(ROWS($1:4)&gt;COUNT(Dong1),"",OFFSET('141-VV'!K$1,SMALL(Dong1,ROWS($1:4)),)))</f>
        <v/>
      </c>
    </row>
    <row r="20" spans="1:20" ht="17.25" customHeight="1">
      <c r="A20" s="14">
        <v>41381</v>
      </c>
      <c r="B20" s="23" t="s">
        <v>56</v>
      </c>
      <c r="C20" s="11">
        <v>41381</v>
      </c>
      <c r="D20" s="16" t="s">
        <v>44</v>
      </c>
      <c r="E20" s="37" t="s">
        <v>45</v>
      </c>
      <c r="F20" s="9">
        <v>600000000</v>
      </c>
      <c r="G20" s="19"/>
      <c r="H20" s="5">
        <f t="shared" si="2"/>
        <v>2800000000</v>
      </c>
      <c r="I20" s="5">
        <f t="shared" si="3"/>
        <v>0</v>
      </c>
      <c r="J20" s="36">
        <v>4</v>
      </c>
      <c r="K20" s="201"/>
      <c r="N20" s="23" t="str">
        <f ca="1">IF(ROWS($1:5)&gt;COUNT(Dong1),"",OFFSET('141-VV'!B$1,SMALL(Dong1,ROWS($1:5)),))</f>
        <v>C16</v>
      </c>
      <c r="O20" s="143">
        <f ca="1">IF(ROWS($1:5)&gt;COUNT(Dong1),"",OFFSET('141-VV'!C$1,SMALL(Dong1,ROWS($1:5)),))</f>
        <v>41381</v>
      </c>
      <c r="P20" s="23" t="str">
        <f ca="1">IF(ROWS($1:5)&gt;COUNT(Dong1),"",OFFSET('141-VV'!D$1,SMALL(Dong1,ROWS($1:5)),))</f>
        <v>Tạm ứng mua NL</v>
      </c>
      <c r="Q20" s="23" t="str">
        <f ca="1">IF(ROWS($1:5)&gt;COUNT(Dong1),"",OFFSET('141-VV'!E$1,SMALL(Dong1,ROWS($1:5)),))</f>
        <v>111</v>
      </c>
      <c r="R20" s="23">
        <f ca="1">IF(ROWS($1:5)&gt;COUNT(Dong1),"",OFFSET('141-VV'!F$1,SMALL(Dong1,ROWS($1:5)),))</f>
        <v>600000000</v>
      </c>
      <c r="S20" s="23">
        <f ca="1">IF(ROWS($1:5)&gt;COUNT(Dong1),"",OFFSET('141-VV'!G$1,SMALL(Dong1,ROWS($1:5)),))</f>
        <v>0</v>
      </c>
      <c r="T20" s="1" t="str">
        <f ca="1">IF(IF(ROWS($1:5)&gt;COUNT(Dong1),"",OFFSET('141-VV'!K$1,SMALL(Dong1,ROWS($1:5)),))=0,"",IF(ROWS($1:5)&gt;COUNT(Dong1),"",OFFSET('141-VV'!K$1,SMALL(Dong1,ROWS($1:5)),)))</f>
        <v/>
      </c>
    </row>
    <row r="21" spans="1:20" ht="17.25" customHeight="1">
      <c r="A21" s="14">
        <v>41382</v>
      </c>
      <c r="B21" s="23" t="s">
        <v>151</v>
      </c>
      <c r="C21" s="11">
        <v>41382</v>
      </c>
      <c r="D21" s="16" t="s">
        <v>44</v>
      </c>
      <c r="E21" s="12" t="s">
        <v>45</v>
      </c>
      <c r="F21" s="9">
        <v>600000000</v>
      </c>
      <c r="G21" s="9"/>
      <c r="H21" s="5">
        <f t="shared" si="2"/>
        <v>3400000000</v>
      </c>
      <c r="I21" s="5">
        <f t="shared" si="3"/>
        <v>0</v>
      </c>
      <c r="J21" s="36">
        <v>4</v>
      </c>
      <c r="K21" s="202"/>
      <c r="N21" s="23" t="str">
        <f ca="1">IF(ROWS($1:6)&gt;COUNT(Dong1),"",OFFSET('141-VV'!B$1,SMALL(Dong1,ROWS($1:6)),))</f>
        <v>C18</v>
      </c>
      <c r="O21" s="143">
        <f ca="1">IF(ROWS($1:6)&gt;COUNT(Dong1),"",OFFSET('141-VV'!C$1,SMALL(Dong1,ROWS($1:6)),))</f>
        <v>41382</v>
      </c>
      <c r="P21" s="23" t="str">
        <f ca="1">IF(ROWS($1:6)&gt;COUNT(Dong1),"",OFFSET('141-VV'!D$1,SMALL(Dong1,ROWS($1:6)),))</f>
        <v>Tạm ứng mua NL</v>
      </c>
      <c r="Q21" s="23" t="str">
        <f ca="1">IF(ROWS($1:6)&gt;COUNT(Dong1),"",OFFSET('141-VV'!E$1,SMALL(Dong1,ROWS($1:6)),))</f>
        <v>111</v>
      </c>
      <c r="R21" s="23">
        <f ca="1">IF(ROWS($1:6)&gt;COUNT(Dong1),"",OFFSET('141-VV'!F$1,SMALL(Dong1,ROWS($1:6)),))</f>
        <v>600000000</v>
      </c>
      <c r="S21" s="23">
        <f ca="1">IF(ROWS($1:6)&gt;COUNT(Dong1),"",OFFSET('141-VV'!G$1,SMALL(Dong1,ROWS($1:6)),))</f>
        <v>0</v>
      </c>
      <c r="T21" s="1" t="str">
        <f ca="1">IF(IF(ROWS($1:6)&gt;COUNT(Dong1),"",OFFSET('141-VV'!K$1,SMALL(Dong1,ROWS($1:6)),))=0,"",IF(ROWS($1:6)&gt;COUNT(Dong1),"",OFFSET('141-VV'!K$1,SMALL(Dong1,ROWS($1:6)),)))</f>
        <v/>
      </c>
    </row>
    <row r="22" spans="1:20" ht="17.25" customHeight="1">
      <c r="A22" s="14">
        <v>41385</v>
      </c>
      <c r="B22" s="23" t="s">
        <v>155</v>
      </c>
      <c r="C22" s="11">
        <v>41385</v>
      </c>
      <c r="D22" s="16" t="s">
        <v>44</v>
      </c>
      <c r="E22" s="12" t="s">
        <v>45</v>
      </c>
      <c r="F22" s="9">
        <v>460000000</v>
      </c>
      <c r="G22" s="19"/>
      <c r="H22" s="5">
        <f t="shared" si="2"/>
        <v>3860000000</v>
      </c>
      <c r="I22" s="5">
        <f t="shared" si="3"/>
        <v>0</v>
      </c>
      <c r="J22" s="36">
        <v>4</v>
      </c>
      <c r="K22" s="201"/>
      <c r="N22" s="23" t="str">
        <f ca="1">IF(ROWS($1:7)&gt;COUNT(Dong1),"",OFFSET('141-VV'!B$1,SMALL(Dong1,ROWS($1:7)),))</f>
        <v>C21</v>
      </c>
      <c r="O22" s="143">
        <f ca="1">IF(ROWS($1:7)&gt;COUNT(Dong1),"",OFFSET('141-VV'!C$1,SMALL(Dong1,ROWS($1:7)),))</f>
        <v>41385</v>
      </c>
      <c r="P22" s="23" t="str">
        <f ca="1">IF(ROWS($1:7)&gt;COUNT(Dong1),"",OFFSET('141-VV'!D$1,SMALL(Dong1,ROWS($1:7)),))</f>
        <v>Tạm ứng mua NL</v>
      </c>
      <c r="Q22" s="23" t="str">
        <f ca="1">IF(ROWS($1:7)&gt;COUNT(Dong1),"",OFFSET('141-VV'!E$1,SMALL(Dong1,ROWS($1:7)),))</f>
        <v>111</v>
      </c>
      <c r="R22" s="23">
        <f ca="1">IF(ROWS($1:7)&gt;COUNT(Dong1),"",OFFSET('141-VV'!F$1,SMALL(Dong1,ROWS($1:7)),))</f>
        <v>460000000</v>
      </c>
      <c r="S22" s="23">
        <f ca="1">IF(ROWS($1:7)&gt;COUNT(Dong1),"",OFFSET('141-VV'!G$1,SMALL(Dong1,ROWS($1:7)),))</f>
        <v>0</v>
      </c>
      <c r="T22" s="1" t="str">
        <f ca="1">IF(IF(ROWS($1:7)&gt;COUNT(Dong1),"",OFFSET('141-VV'!K$1,SMALL(Dong1,ROWS($1:7)),))=0,"",IF(ROWS($1:7)&gt;COUNT(Dong1),"",OFFSET('141-VV'!K$1,SMALL(Dong1,ROWS($1:7)),)))</f>
        <v/>
      </c>
    </row>
    <row r="23" spans="1:20" ht="17.25" customHeight="1">
      <c r="A23" s="14">
        <v>41393</v>
      </c>
      <c r="B23" s="23" t="s">
        <v>66</v>
      </c>
      <c r="C23" s="11">
        <v>41393</v>
      </c>
      <c r="D23" s="16" t="s">
        <v>41</v>
      </c>
      <c r="E23" s="12" t="s">
        <v>42</v>
      </c>
      <c r="F23" s="9"/>
      <c r="G23" s="19">
        <v>119168000</v>
      </c>
      <c r="H23" s="5">
        <f t="shared" si="2"/>
        <v>3740832000</v>
      </c>
      <c r="I23" s="5">
        <f t="shared" si="3"/>
        <v>0</v>
      </c>
      <c r="J23" s="36">
        <v>4</v>
      </c>
      <c r="K23" s="201" t="s">
        <v>310</v>
      </c>
      <c r="N23" s="23" t="str">
        <f ca="1">IF(ROWS($1:8)&gt;COUNT(Dong1),"",OFFSET('141-VV'!B$1,SMALL(Dong1,ROWS($1:8)),))</f>
        <v>TU02</v>
      </c>
      <c r="O23" s="143">
        <f ca="1">IF(ROWS($1:8)&gt;COUNT(Dong1),"",OFFSET('141-VV'!C$1,SMALL(Dong1,ROWS($1:8)),))</f>
        <v>41393</v>
      </c>
      <c r="P23" s="23" t="str">
        <f ca="1">IF(ROWS($1:8)&gt;COUNT(Dong1),"",OFFSET('141-VV'!D$1,SMALL(Dong1,ROWS($1:8)),))</f>
        <v>Đỗ Thị Hoàng Mai</v>
      </c>
      <c r="Q23" s="23" t="str">
        <f ca="1">IF(ROWS($1:8)&gt;COUNT(Dong1),"",OFFSET('141-VV'!E$1,SMALL(Dong1,ROWS($1:8)),))</f>
        <v>331</v>
      </c>
      <c r="R23" s="23">
        <f ca="1">IF(ROWS($1:8)&gt;COUNT(Dong1),"",OFFSET('141-VV'!F$1,SMALL(Dong1,ROWS($1:8)),))</f>
        <v>0</v>
      </c>
      <c r="S23" s="23">
        <f ca="1">IF(ROWS($1:8)&gt;COUNT(Dong1),"",OFFSET('141-VV'!G$1,SMALL(Dong1,ROWS($1:8)),))</f>
        <v>119168000</v>
      </c>
      <c r="T23" s="1" t="str">
        <f ca="1">IF(IF(ROWS($1:8)&gt;COUNT(Dong1),"",OFFSET('141-VV'!K$1,SMALL(Dong1,ROWS($1:8)),))=0,"",IF(ROWS($1:8)&gt;COUNT(Dong1),"",OFFSET('141-VV'!K$1,SMALL(Dong1,ROWS($1:8)),)))</f>
        <v>NL52</v>
      </c>
    </row>
    <row r="24" spans="1:20" ht="17.25" customHeight="1">
      <c r="A24" s="14">
        <v>41393</v>
      </c>
      <c r="B24" s="23" t="s">
        <v>66</v>
      </c>
      <c r="C24" s="11">
        <v>41393</v>
      </c>
      <c r="D24" s="16" t="s">
        <v>293</v>
      </c>
      <c r="E24" s="12" t="s">
        <v>42</v>
      </c>
      <c r="F24" s="9"/>
      <c r="G24" s="19">
        <v>151232000</v>
      </c>
      <c r="H24" s="5">
        <f t="shared" si="2"/>
        <v>3589600000</v>
      </c>
      <c r="I24" s="5">
        <f t="shared" si="3"/>
        <v>0</v>
      </c>
      <c r="J24" s="36">
        <v>4</v>
      </c>
      <c r="K24" s="201" t="s">
        <v>311</v>
      </c>
      <c r="N24" s="23" t="str">
        <f ca="1">IF(ROWS($1:9)&gt;COUNT(Dong1),"",OFFSET('141-VV'!B$1,SMALL(Dong1,ROWS($1:9)),))</f>
        <v>TU02</v>
      </c>
      <c r="O24" s="143">
        <f ca="1">IF(ROWS($1:9)&gt;COUNT(Dong1),"",OFFSET('141-VV'!C$1,SMALL(Dong1,ROWS($1:9)),))</f>
        <v>41393</v>
      </c>
      <c r="P24" s="23" t="str">
        <f ca="1">IF(ROWS($1:9)&gt;COUNT(Dong1),"",OFFSET('141-VV'!D$1,SMALL(Dong1,ROWS($1:9)),))</f>
        <v>Đỗ Tư</v>
      </c>
      <c r="Q24" s="23" t="str">
        <f ca="1">IF(ROWS($1:9)&gt;COUNT(Dong1),"",OFFSET('141-VV'!E$1,SMALL(Dong1,ROWS($1:9)),))</f>
        <v>331</v>
      </c>
      <c r="R24" s="23">
        <f ca="1">IF(ROWS($1:9)&gt;COUNT(Dong1),"",OFFSET('141-VV'!F$1,SMALL(Dong1,ROWS($1:9)),))</f>
        <v>0</v>
      </c>
      <c r="S24" s="23">
        <f ca="1">IF(ROWS($1:9)&gt;COUNT(Dong1),"",OFFSET('141-VV'!G$1,SMALL(Dong1,ROWS($1:9)),))</f>
        <v>151232000</v>
      </c>
      <c r="T24" s="1" t="str">
        <f ca="1">IF(IF(ROWS($1:9)&gt;COUNT(Dong1),"",OFFSET('141-VV'!K$1,SMALL(Dong1,ROWS($1:9)),))=0,"",IF(ROWS($1:9)&gt;COUNT(Dong1),"",OFFSET('141-VV'!K$1,SMALL(Dong1,ROWS($1:9)),)))</f>
        <v>NL17 &amp; NL26</v>
      </c>
    </row>
    <row r="25" spans="1:20" ht="17.25" customHeight="1">
      <c r="A25" s="14">
        <v>41393</v>
      </c>
      <c r="B25" s="23" t="s">
        <v>66</v>
      </c>
      <c r="C25" s="11">
        <v>41393</v>
      </c>
      <c r="D25" s="16" t="s">
        <v>140</v>
      </c>
      <c r="E25" s="12" t="s">
        <v>42</v>
      </c>
      <c r="F25" s="9"/>
      <c r="G25" s="19">
        <v>92191000</v>
      </c>
      <c r="H25" s="5">
        <f t="shared" si="2"/>
        <v>3497409000</v>
      </c>
      <c r="I25" s="5">
        <f t="shared" si="3"/>
        <v>0</v>
      </c>
      <c r="J25" s="36">
        <v>4</v>
      </c>
      <c r="K25" s="201" t="s">
        <v>223</v>
      </c>
      <c r="N25" s="23" t="str">
        <f ca="1">IF(ROWS($1:10)&gt;COUNT(Dong1),"",OFFSET('141-VV'!B$1,SMALL(Dong1,ROWS($1:10)),))</f>
        <v>TU02</v>
      </c>
      <c r="O25" s="143">
        <f ca="1">IF(ROWS($1:10)&gt;COUNT(Dong1),"",OFFSET('141-VV'!C$1,SMALL(Dong1,ROWS($1:10)),))</f>
        <v>41393</v>
      </c>
      <c r="P25" s="23" t="str">
        <f ca="1">IF(ROWS($1:10)&gt;COUNT(Dong1),"",OFFSET('141-VV'!D$1,SMALL(Dong1,ROWS($1:10)),))</f>
        <v>Đỗ Văn Tâm</v>
      </c>
      <c r="Q25" s="23" t="str">
        <f ca="1">IF(ROWS($1:10)&gt;COUNT(Dong1),"",OFFSET('141-VV'!E$1,SMALL(Dong1,ROWS($1:10)),))</f>
        <v>331</v>
      </c>
      <c r="R25" s="23">
        <f ca="1">IF(ROWS($1:10)&gt;COUNT(Dong1),"",OFFSET('141-VV'!F$1,SMALL(Dong1,ROWS($1:10)),))</f>
        <v>0</v>
      </c>
      <c r="S25" s="23">
        <f ca="1">IF(ROWS($1:10)&gt;COUNT(Dong1),"",OFFSET('141-VV'!G$1,SMALL(Dong1,ROWS($1:10)),))</f>
        <v>92191000</v>
      </c>
      <c r="T25" s="1" t="str">
        <f ca="1">IF(IF(ROWS($1:10)&gt;COUNT(Dong1),"",OFFSET('141-VV'!K$1,SMALL(Dong1,ROWS($1:10)),))=0,"",IF(ROWS($1:10)&gt;COUNT(Dong1),"",OFFSET('141-VV'!K$1,SMALL(Dong1,ROWS($1:10)),)))</f>
        <v>NL18</v>
      </c>
    </row>
    <row r="26" spans="1:20" ht="17.25" customHeight="1">
      <c r="A26" s="14">
        <v>41393</v>
      </c>
      <c r="B26" s="23" t="s">
        <v>66</v>
      </c>
      <c r="C26" s="11">
        <v>41393</v>
      </c>
      <c r="D26" s="16" t="s">
        <v>143</v>
      </c>
      <c r="E26" s="12" t="s">
        <v>42</v>
      </c>
      <c r="F26" s="9"/>
      <c r="G26" s="19">
        <v>139507500</v>
      </c>
      <c r="H26" s="5">
        <f t="shared" si="2"/>
        <v>3357901500</v>
      </c>
      <c r="I26" s="5">
        <f t="shared" si="3"/>
        <v>0</v>
      </c>
      <c r="J26" s="36">
        <v>4</v>
      </c>
      <c r="K26" s="201" t="s">
        <v>250</v>
      </c>
      <c r="N26" s="23" t="str">
        <f ca="1">IF(ROWS($1:11)&gt;COUNT(Dong1),"",OFFSET('141-VV'!B$1,SMALL(Dong1,ROWS($1:11)),))</f>
        <v>TU02</v>
      </c>
      <c r="O26" s="143">
        <f ca="1">IF(ROWS($1:11)&gt;COUNT(Dong1),"",OFFSET('141-VV'!C$1,SMALL(Dong1,ROWS($1:11)),))</f>
        <v>41393</v>
      </c>
      <c r="P26" s="23" t="str">
        <f ca="1">IF(ROWS($1:11)&gt;COUNT(Dong1),"",OFFSET('141-VV'!D$1,SMALL(Dong1,ROWS($1:11)),))</f>
        <v>Lê Thị Diễm</v>
      </c>
      <c r="Q26" s="23" t="str">
        <f ca="1">IF(ROWS($1:11)&gt;COUNT(Dong1),"",OFFSET('141-VV'!E$1,SMALL(Dong1,ROWS($1:11)),))</f>
        <v>331</v>
      </c>
      <c r="R26" s="23">
        <f ca="1">IF(ROWS($1:11)&gt;COUNT(Dong1),"",OFFSET('141-VV'!F$1,SMALL(Dong1,ROWS($1:11)),))</f>
        <v>0</v>
      </c>
      <c r="S26" s="23">
        <f ca="1">IF(ROWS($1:11)&gt;COUNT(Dong1),"",OFFSET('141-VV'!G$1,SMALL(Dong1,ROWS($1:11)),))</f>
        <v>139507500</v>
      </c>
      <c r="T26" s="1" t="str">
        <f ca="1">IF(IF(ROWS($1:11)&gt;COUNT(Dong1),"",OFFSET('141-VV'!K$1,SMALL(Dong1,ROWS($1:11)),))=0,"",IF(ROWS($1:11)&gt;COUNT(Dong1),"",OFFSET('141-VV'!K$1,SMALL(Dong1,ROWS($1:11)),)))</f>
        <v>NL40</v>
      </c>
    </row>
    <row r="27" spans="1:20" ht="17.25" customHeight="1">
      <c r="A27" s="14">
        <v>41393</v>
      </c>
      <c r="B27" s="23" t="s">
        <v>66</v>
      </c>
      <c r="C27" s="11">
        <v>41393</v>
      </c>
      <c r="D27" s="16" t="s">
        <v>34</v>
      </c>
      <c r="E27" s="12" t="s">
        <v>42</v>
      </c>
      <c r="F27" s="9"/>
      <c r="G27" s="19">
        <v>231205000</v>
      </c>
      <c r="H27" s="5">
        <f t="shared" si="2"/>
        <v>3126696500</v>
      </c>
      <c r="I27" s="5">
        <f t="shared" si="3"/>
        <v>0</v>
      </c>
      <c r="J27" s="36">
        <v>4</v>
      </c>
      <c r="K27" s="201" t="s">
        <v>312</v>
      </c>
      <c r="N27" s="23" t="str">
        <f ca="1">IF(ROWS($1:12)&gt;COUNT(Dong1),"",OFFSET('141-VV'!B$1,SMALL(Dong1,ROWS($1:12)),))</f>
        <v>TU02</v>
      </c>
      <c r="O27" s="143">
        <f ca="1">IF(ROWS($1:12)&gt;COUNT(Dong1),"",OFFSET('141-VV'!C$1,SMALL(Dong1,ROWS($1:12)),))</f>
        <v>41393</v>
      </c>
      <c r="P27" s="23" t="str">
        <f ca="1">IF(ROWS($1:12)&gt;COUNT(Dong1),"",OFFSET('141-VV'!D$1,SMALL(Dong1,ROWS($1:12)),))</f>
        <v>Lê Thị Kim Liên</v>
      </c>
      <c r="Q27" s="23" t="str">
        <f ca="1">IF(ROWS($1:12)&gt;COUNT(Dong1),"",OFFSET('141-VV'!E$1,SMALL(Dong1,ROWS($1:12)),))</f>
        <v>331</v>
      </c>
      <c r="R27" s="23">
        <f ca="1">IF(ROWS($1:12)&gt;COUNT(Dong1),"",OFFSET('141-VV'!F$1,SMALL(Dong1,ROWS($1:12)),))</f>
        <v>0</v>
      </c>
      <c r="S27" s="23">
        <f ca="1">IF(ROWS($1:12)&gt;COUNT(Dong1),"",OFFSET('141-VV'!G$1,SMALL(Dong1,ROWS($1:12)),))</f>
        <v>231205000</v>
      </c>
      <c r="T27" s="1" t="str">
        <f ca="1">IF(IF(ROWS($1:12)&gt;COUNT(Dong1),"",OFFSET('141-VV'!K$1,SMALL(Dong1,ROWS($1:12)),))=0,"",IF(ROWS($1:12)&gt;COUNT(Dong1),"",OFFSET('141-VV'!K$1,SMALL(Dong1,ROWS($1:12)),)))</f>
        <v>NL27 &amp; NL57</v>
      </c>
    </row>
    <row r="28" spans="1:20" ht="17.25" customHeight="1">
      <c r="A28" s="14">
        <v>41393</v>
      </c>
      <c r="B28" s="23" t="s">
        <v>66</v>
      </c>
      <c r="C28" s="11">
        <v>41393</v>
      </c>
      <c r="D28" s="16" t="s">
        <v>39</v>
      </c>
      <c r="E28" s="12" t="s">
        <v>42</v>
      </c>
      <c r="F28" s="9"/>
      <c r="G28" s="19">
        <v>352218000</v>
      </c>
      <c r="H28" s="5">
        <f t="shared" si="2"/>
        <v>2774478500</v>
      </c>
      <c r="I28" s="5">
        <f t="shared" si="3"/>
        <v>0</v>
      </c>
      <c r="J28" s="36">
        <v>4</v>
      </c>
      <c r="K28" s="201" t="s">
        <v>313</v>
      </c>
      <c r="N28" s="23" t="str">
        <f ca="1">IF(ROWS($1:13)&gt;COUNT(Dong1),"",OFFSET('141-VV'!B$1,SMALL(Dong1,ROWS($1:13)),))</f>
        <v>TU02</v>
      </c>
      <c r="O28" s="143">
        <f ca="1">IF(ROWS($1:13)&gt;COUNT(Dong1),"",OFFSET('141-VV'!C$1,SMALL(Dong1,ROWS($1:13)),))</f>
        <v>41393</v>
      </c>
      <c r="P28" s="23" t="str">
        <f ca="1">IF(ROWS($1:13)&gt;COUNT(Dong1),"",OFFSET('141-VV'!D$1,SMALL(Dong1,ROWS($1:13)),))</f>
        <v>Lê Thị Kim Thanh</v>
      </c>
      <c r="Q28" s="23" t="str">
        <f ca="1">IF(ROWS($1:13)&gt;COUNT(Dong1),"",OFFSET('141-VV'!E$1,SMALL(Dong1,ROWS($1:13)),))</f>
        <v>331</v>
      </c>
      <c r="R28" s="23">
        <f ca="1">IF(ROWS($1:13)&gt;COUNT(Dong1),"",OFFSET('141-VV'!F$1,SMALL(Dong1,ROWS($1:13)),))</f>
        <v>0</v>
      </c>
      <c r="S28" s="23">
        <f ca="1">IF(ROWS($1:13)&gt;COUNT(Dong1),"",OFFSET('141-VV'!G$1,SMALL(Dong1,ROWS($1:13)),))</f>
        <v>352218000</v>
      </c>
      <c r="T28" s="1" t="str">
        <f ca="1">IF(IF(ROWS($1:13)&gt;COUNT(Dong1),"",OFFSET('141-VV'!K$1,SMALL(Dong1,ROWS($1:13)),))=0,"",IF(ROWS($1:13)&gt;COUNT(Dong1),"",OFFSET('141-VV'!K$1,SMALL(Dong1,ROWS($1:13)),)))</f>
        <v>NL28 &amp; NL38 &amp; NL58</v>
      </c>
    </row>
    <row r="29" spans="1:20" ht="17.25" customHeight="1">
      <c r="A29" s="14">
        <v>41393</v>
      </c>
      <c r="B29" s="23" t="s">
        <v>66</v>
      </c>
      <c r="C29" s="11">
        <v>41393</v>
      </c>
      <c r="D29" s="16" t="s">
        <v>35</v>
      </c>
      <c r="E29" s="12" t="s">
        <v>42</v>
      </c>
      <c r="F29" s="9"/>
      <c r="G29" s="19">
        <v>151848000</v>
      </c>
      <c r="H29" s="5">
        <f t="shared" si="2"/>
        <v>2622630500</v>
      </c>
      <c r="I29" s="5">
        <f t="shared" si="3"/>
        <v>0</v>
      </c>
      <c r="J29" s="36">
        <v>4</v>
      </c>
      <c r="K29" s="201" t="s">
        <v>314</v>
      </c>
      <c r="N29" s="23" t="str">
        <f ca="1">IF(ROWS($1:14)&gt;COUNT(Dong1),"",OFFSET('141-VV'!B$1,SMALL(Dong1,ROWS($1:14)),))</f>
        <v>TU02</v>
      </c>
      <c r="O29" s="143">
        <f ca="1">IF(ROWS($1:14)&gt;COUNT(Dong1),"",OFFSET('141-VV'!C$1,SMALL(Dong1,ROWS($1:14)),))</f>
        <v>41393</v>
      </c>
      <c r="P29" s="23" t="str">
        <f ca="1">IF(ROWS($1:14)&gt;COUNT(Dong1),"",OFFSET('141-VV'!D$1,SMALL(Dong1,ROWS($1:14)),))</f>
        <v>Lê Văn Thành</v>
      </c>
      <c r="Q29" s="23" t="str">
        <f ca="1">IF(ROWS($1:14)&gt;COUNT(Dong1),"",OFFSET('141-VV'!E$1,SMALL(Dong1,ROWS($1:14)),))</f>
        <v>331</v>
      </c>
      <c r="R29" s="23">
        <f ca="1">IF(ROWS($1:14)&gt;COUNT(Dong1),"",OFFSET('141-VV'!F$1,SMALL(Dong1,ROWS($1:14)),))</f>
        <v>0</v>
      </c>
      <c r="S29" s="23">
        <f ca="1">IF(ROWS($1:14)&gt;COUNT(Dong1),"",OFFSET('141-VV'!G$1,SMALL(Dong1,ROWS($1:14)),))</f>
        <v>151848000</v>
      </c>
      <c r="T29" s="1" t="str">
        <f ca="1">IF(IF(ROWS($1:14)&gt;COUNT(Dong1),"",OFFSET('141-VV'!K$1,SMALL(Dong1,ROWS($1:14)),))=0,"",IF(ROWS($1:14)&gt;COUNT(Dong1),"",OFFSET('141-VV'!K$1,SMALL(Dong1,ROWS($1:14)),)))</f>
        <v>NL50</v>
      </c>
    </row>
    <row r="30" spans="1:20" ht="17.25" customHeight="1">
      <c r="A30" s="14">
        <v>41393</v>
      </c>
      <c r="B30" s="23" t="s">
        <v>66</v>
      </c>
      <c r="C30" s="11">
        <v>41393</v>
      </c>
      <c r="D30" s="16" t="s">
        <v>294</v>
      </c>
      <c r="E30" s="12" t="s">
        <v>42</v>
      </c>
      <c r="F30" s="9"/>
      <c r="G30" s="19">
        <v>458524000</v>
      </c>
      <c r="H30" s="5">
        <f t="shared" si="2"/>
        <v>2164106500</v>
      </c>
      <c r="I30" s="5">
        <f t="shared" si="3"/>
        <v>0</v>
      </c>
      <c r="J30" s="36">
        <v>4</v>
      </c>
      <c r="K30" s="201" t="s">
        <v>315</v>
      </c>
      <c r="N30" s="23" t="str">
        <f ca="1">IF(ROWS($1:15)&gt;COUNT(Dong1),"",OFFSET('141-VV'!B$1,SMALL(Dong1,ROWS($1:15)),))</f>
        <v>TU02</v>
      </c>
      <c r="O30" s="143">
        <f ca="1">IF(ROWS($1:15)&gt;COUNT(Dong1),"",OFFSET('141-VV'!C$1,SMALL(Dong1,ROWS($1:15)),))</f>
        <v>41393</v>
      </c>
      <c r="P30" s="23" t="str">
        <f ca="1">IF(ROWS($1:15)&gt;COUNT(Dong1),"",OFFSET('141-VV'!D$1,SMALL(Dong1,ROWS($1:15)),))</f>
        <v>Nguyễn Đức Tiến</v>
      </c>
      <c r="Q30" s="23" t="str">
        <f ca="1">IF(ROWS($1:15)&gt;COUNT(Dong1),"",OFFSET('141-VV'!E$1,SMALL(Dong1,ROWS($1:15)),))</f>
        <v>331</v>
      </c>
      <c r="R30" s="23">
        <f ca="1">IF(ROWS($1:15)&gt;COUNT(Dong1),"",OFFSET('141-VV'!F$1,SMALL(Dong1,ROWS($1:15)),))</f>
        <v>0</v>
      </c>
      <c r="S30" s="23">
        <f ca="1">IF(ROWS($1:15)&gt;COUNT(Dong1),"",OFFSET('141-VV'!G$1,SMALL(Dong1,ROWS($1:15)),))</f>
        <v>458524000</v>
      </c>
      <c r="T30" s="1" t="str">
        <f ca="1">IF(IF(ROWS($1:15)&gt;COUNT(Dong1),"",OFFSET('141-VV'!K$1,SMALL(Dong1,ROWS($1:15)),))=0,"",IF(ROWS($1:15)&gt;COUNT(Dong1),"",OFFSET('141-VV'!K$1,SMALL(Dong1,ROWS($1:15)),)))</f>
        <v>NL03 &amp; NL10 &amp; NL15 &amp; NL19 &amp; NL24</v>
      </c>
    </row>
    <row r="31" spans="1:20" ht="17.25" customHeight="1">
      <c r="A31" s="14">
        <v>41393</v>
      </c>
      <c r="B31" s="23" t="s">
        <v>66</v>
      </c>
      <c r="C31" s="11">
        <v>41393</v>
      </c>
      <c r="D31" s="16" t="s">
        <v>295</v>
      </c>
      <c r="E31" s="12" t="s">
        <v>42</v>
      </c>
      <c r="F31" s="9"/>
      <c r="G31" s="19">
        <v>272918000</v>
      </c>
      <c r="H31" s="5">
        <f t="shared" si="2"/>
        <v>1891188500</v>
      </c>
      <c r="I31" s="5">
        <f t="shared" si="3"/>
        <v>0</v>
      </c>
      <c r="J31" s="36">
        <v>4</v>
      </c>
      <c r="K31" s="200" t="s">
        <v>316</v>
      </c>
      <c r="N31" s="23" t="str">
        <f ca="1">IF(ROWS($1:16)&gt;COUNT(Dong1),"",OFFSET('141-VV'!B$1,SMALL(Dong1,ROWS($1:16)),))</f>
        <v>TU02</v>
      </c>
      <c r="O31" s="143">
        <f ca="1">IF(ROWS($1:16)&gt;COUNT(Dong1),"",OFFSET('141-VV'!C$1,SMALL(Dong1,ROWS($1:16)),))</f>
        <v>41393</v>
      </c>
      <c r="P31" s="23" t="str">
        <f ca="1">IF(ROWS($1:16)&gt;COUNT(Dong1),"",OFFSET('141-VV'!D$1,SMALL(Dong1,ROWS($1:16)),))</f>
        <v>Nguyễn Hành</v>
      </c>
      <c r="Q31" s="23" t="str">
        <f ca="1">IF(ROWS($1:16)&gt;COUNT(Dong1),"",OFFSET('141-VV'!E$1,SMALL(Dong1,ROWS($1:16)),))</f>
        <v>331</v>
      </c>
      <c r="R31" s="23">
        <f ca="1">IF(ROWS($1:16)&gt;COUNT(Dong1),"",OFFSET('141-VV'!F$1,SMALL(Dong1,ROWS($1:16)),))</f>
        <v>0</v>
      </c>
      <c r="S31" s="23">
        <f ca="1">IF(ROWS($1:16)&gt;COUNT(Dong1),"",OFFSET('141-VV'!G$1,SMALL(Dong1,ROWS($1:16)),))</f>
        <v>272918000</v>
      </c>
      <c r="T31" s="1" t="str">
        <f ca="1">IF(IF(ROWS($1:16)&gt;COUNT(Dong1),"",OFFSET('141-VV'!K$1,SMALL(Dong1,ROWS($1:16)),))=0,"",IF(ROWS($1:16)&gt;COUNT(Dong1),"",OFFSET('141-VV'!K$1,SMALL(Dong1,ROWS($1:16)),)))</f>
        <v>NL04 &amp; NL16 &amp; NL25</v>
      </c>
    </row>
    <row r="32" spans="1:20" ht="17.25" customHeight="1">
      <c r="A32" s="14">
        <v>41393</v>
      </c>
      <c r="B32" s="23" t="s">
        <v>66</v>
      </c>
      <c r="C32" s="11">
        <v>41393</v>
      </c>
      <c r="D32" s="16" t="s">
        <v>296</v>
      </c>
      <c r="E32" s="12" t="s">
        <v>42</v>
      </c>
      <c r="F32" s="9"/>
      <c r="G32" s="19">
        <v>289918000</v>
      </c>
      <c r="H32" s="5">
        <f t="shared" si="2"/>
        <v>1601270500</v>
      </c>
      <c r="I32" s="5">
        <f t="shared" si="3"/>
        <v>0</v>
      </c>
      <c r="J32" s="36">
        <v>4</v>
      </c>
      <c r="K32" s="200" t="s">
        <v>317</v>
      </c>
      <c r="N32" s="23" t="str">
        <f ca="1">IF(ROWS($1:17)&gt;COUNT(Dong1),"",OFFSET('141-VV'!B$1,SMALL(Dong1,ROWS($1:17)),))</f>
        <v>TU02</v>
      </c>
      <c r="O32" s="143">
        <f ca="1">IF(ROWS($1:17)&gt;COUNT(Dong1),"",OFFSET('141-VV'!C$1,SMALL(Dong1,ROWS($1:17)),))</f>
        <v>41393</v>
      </c>
      <c r="P32" s="23" t="str">
        <f ca="1">IF(ROWS($1:17)&gt;COUNT(Dong1),"",OFFSET('141-VV'!D$1,SMALL(Dong1,ROWS($1:17)),))</f>
        <v>Nguyễn Thanh Vinh</v>
      </c>
      <c r="Q32" s="23" t="str">
        <f ca="1">IF(ROWS($1:17)&gt;COUNT(Dong1),"",OFFSET('141-VV'!E$1,SMALL(Dong1,ROWS($1:17)),))</f>
        <v>331</v>
      </c>
      <c r="R32" s="23">
        <f ca="1">IF(ROWS($1:17)&gt;COUNT(Dong1),"",OFFSET('141-VV'!F$1,SMALL(Dong1,ROWS($1:17)),))</f>
        <v>0</v>
      </c>
      <c r="S32" s="23">
        <f ca="1">IF(ROWS($1:17)&gt;COUNT(Dong1),"",OFFSET('141-VV'!G$1,SMALL(Dong1,ROWS($1:17)),))</f>
        <v>289918000</v>
      </c>
      <c r="T32" s="1" t="str">
        <f ca="1">IF(IF(ROWS($1:17)&gt;COUNT(Dong1),"",OFFSET('141-VV'!K$1,SMALL(Dong1,ROWS($1:17)),))=0,"",IF(ROWS($1:17)&gt;COUNT(Dong1),"",OFFSET('141-VV'!K$1,SMALL(Dong1,ROWS($1:17)),)))</f>
        <v>NL07 &amp; NL12 &amp; NL21</v>
      </c>
    </row>
    <row r="33" spans="1:20" ht="17.25" customHeight="1">
      <c r="A33" s="14">
        <v>41393</v>
      </c>
      <c r="B33" s="23" t="s">
        <v>66</v>
      </c>
      <c r="C33" s="11">
        <v>41393</v>
      </c>
      <c r="D33" s="16" t="s">
        <v>297</v>
      </c>
      <c r="E33" s="12" t="s">
        <v>42</v>
      </c>
      <c r="F33" s="9"/>
      <c r="G33" s="19">
        <v>158536000</v>
      </c>
      <c r="H33" s="5">
        <f t="shared" si="2"/>
        <v>1442734500</v>
      </c>
      <c r="I33" s="5">
        <f t="shared" si="3"/>
        <v>0</v>
      </c>
      <c r="J33" s="36">
        <v>4</v>
      </c>
      <c r="K33" s="200" t="s">
        <v>318</v>
      </c>
      <c r="N33" s="23" t="str">
        <f ca="1">IF(ROWS($1:18)&gt;COUNT(Dong1),"",OFFSET('141-VV'!B$1,SMALL(Dong1,ROWS($1:18)),))</f>
        <v>TU02</v>
      </c>
      <c r="O33" s="143">
        <f ca="1">IF(ROWS($1:18)&gt;COUNT(Dong1),"",OFFSET('141-VV'!C$1,SMALL(Dong1,ROWS($1:18)),))</f>
        <v>41393</v>
      </c>
      <c r="P33" s="23" t="str">
        <f ca="1">IF(ROWS($1:18)&gt;COUNT(Dong1),"",OFFSET('141-VV'!D$1,SMALL(Dong1,ROWS($1:18)),))</f>
        <v>Nguyễn Thị Loan</v>
      </c>
      <c r="Q33" s="23" t="str">
        <f ca="1">IF(ROWS($1:18)&gt;COUNT(Dong1),"",OFFSET('141-VV'!E$1,SMALL(Dong1,ROWS($1:18)),))</f>
        <v>331</v>
      </c>
      <c r="R33" s="23">
        <f ca="1">IF(ROWS($1:18)&gt;COUNT(Dong1),"",OFFSET('141-VV'!F$1,SMALL(Dong1,ROWS($1:18)),))</f>
        <v>0</v>
      </c>
      <c r="S33" s="23">
        <f ca="1">IF(ROWS($1:18)&gt;COUNT(Dong1),"",OFFSET('141-VV'!G$1,SMALL(Dong1,ROWS($1:18)),))</f>
        <v>158536000</v>
      </c>
      <c r="T33" s="1" t="str">
        <f ca="1">IF(IF(ROWS($1:18)&gt;COUNT(Dong1),"",OFFSET('141-VV'!K$1,SMALL(Dong1,ROWS($1:18)),))=0,"",IF(ROWS($1:18)&gt;COUNT(Dong1),"",OFFSET('141-VV'!K$1,SMALL(Dong1,ROWS($1:18)),)))</f>
        <v>NL42</v>
      </c>
    </row>
    <row r="34" spans="1:20" ht="17.25" customHeight="1">
      <c r="A34" s="14">
        <v>41393</v>
      </c>
      <c r="B34" s="23" t="s">
        <v>66</v>
      </c>
      <c r="C34" s="11">
        <v>41393</v>
      </c>
      <c r="D34" s="16" t="s">
        <v>40</v>
      </c>
      <c r="E34" s="12" t="s">
        <v>42</v>
      </c>
      <c r="F34" s="9"/>
      <c r="G34" s="9">
        <v>14250000</v>
      </c>
      <c r="H34" s="5">
        <f t="shared" si="2"/>
        <v>1428484500</v>
      </c>
      <c r="I34" s="5">
        <f t="shared" si="3"/>
        <v>0</v>
      </c>
      <c r="J34" s="36">
        <v>4</v>
      </c>
      <c r="K34" s="200" t="s">
        <v>260</v>
      </c>
      <c r="N34" s="23" t="str">
        <f ca="1">IF(ROWS($1:19)&gt;COUNT(Dong1),"",OFFSET('141-VV'!B$1,SMALL(Dong1,ROWS($1:19)),))</f>
        <v>TU02</v>
      </c>
      <c r="O34" s="143">
        <f ca="1">IF(ROWS($1:19)&gt;COUNT(Dong1),"",OFFSET('141-VV'!C$1,SMALL(Dong1,ROWS($1:19)),))</f>
        <v>41393</v>
      </c>
      <c r="P34" s="23" t="str">
        <f ca="1">IF(ROWS($1:19)&gt;COUNT(Dong1),"",OFFSET('141-VV'!D$1,SMALL(Dong1,ROWS($1:19)),))</f>
        <v>Nguyễn Thị Mộng Tuyền</v>
      </c>
      <c r="Q34" s="23" t="str">
        <f ca="1">IF(ROWS($1:19)&gt;COUNT(Dong1),"",OFFSET('141-VV'!E$1,SMALL(Dong1,ROWS($1:19)),))</f>
        <v>331</v>
      </c>
      <c r="R34" s="23">
        <f ca="1">IF(ROWS($1:19)&gt;COUNT(Dong1),"",OFFSET('141-VV'!F$1,SMALL(Dong1,ROWS($1:19)),))</f>
        <v>0</v>
      </c>
      <c r="S34" s="23">
        <f ca="1">IF(ROWS($1:19)&gt;COUNT(Dong1),"",OFFSET('141-VV'!G$1,SMALL(Dong1,ROWS($1:19)),))</f>
        <v>14250000</v>
      </c>
      <c r="T34" s="1" t="str">
        <f ca="1">IF(IF(ROWS($1:19)&gt;COUNT(Dong1),"",OFFSET('141-VV'!K$1,SMALL(Dong1,ROWS($1:19)),))=0,"",IF(ROWS($1:19)&gt;COUNT(Dong1),"",OFFSET('141-VV'!K$1,SMALL(Dong1,ROWS($1:19)),)))</f>
        <v>NL35</v>
      </c>
    </row>
    <row r="35" spans="1:20" ht="17.25" customHeight="1">
      <c r="A35" s="14">
        <v>41393</v>
      </c>
      <c r="B35" s="23" t="s">
        <v>66</v>
      </c>
      <c r="C35" s="11">
        <v>41393</v>
      </c>
      <c r="D35" s="16" t="s">
        <v>168</v>
      </c>
      <c r="E35" s="37" t="s">
        <v>42</v>
      </c>
      <c r="F35" s="9"/>
      <c r="G35" s="19">
        <v>294049000</v>
      </c>
      <c r="H35" s="5">
        <f t="shared" si="2"/>
        <v>1134435500</v>
      </c>
      <c r="I35" s="5">
        <f t="shared" si="3"/>
        <v>0</v>
      </c>
      <c r="J35" s="36">
        <v>4</v>
      </c>
      <c r="K35" s="201" t="s">
        <v>319</v>
      </c>
      <c r="N35" s="23" t="str">
        <f ca="1">IF(ROWS($1:20)&gt;COUNT(Dong1),"",OFFSET('141-VV'!B$1,SMALL(Dong1,ROWS($1:20)),))</f>
        <v>TU02</v>
      </c>
      <c r="O35" s="143">
        <f ca="1">IF(ROWS($1:20)&gt;COUNT(Dong1),"",OFFSET('141-VV'!C$1,SMALL(Dong1,ROWS($1:20)),))</f>
        <v>41393</v>
      </c>
      <c r="P35" s="23" t="str">
        <f ca="1">IF(ROWS($1:20)&gt;COUNT(Dong1),"",OFFSET('141-VV'!D$1,SMALL(Dong1,ROWS($1:20)),))</f>
        <v>Nguyễn Văn Đức</v>
      </c>
      <c r="Q35" s="23" t="str">
        <f ca="1">IF(ROWS($1:20)&gt;COUNT(Dong1),"",OFFSET('141-VV'!E$1,SMALL(Dong1,ROWS($1:20)),))</f>
        <v>331</v>
      </c>
      <c r="R35" s="23">
        <f ca="1">IF(ROWS($1:20)&gt;COUNT(Dong1),"",OFFSET('141-VV'!F$1,SMALL(Dong1,ROWS($1:20)),))</f>
        <v>0</v>
      </c>
      <c r="S35" s="23">
        <f ca="1">IF(ROWS($1:20)&gt;COUNT(Dong1),"",OFFSET('141-VV'!G$1,SMALL(Dong1,ROWS($1:20)),))</f>
        <v>294049000</v>
      </c>
      <c r="T35" s="1" t="str">
        <f ca="1">IF(IF(ROWS($1:20)&gt;COUNT(Dong1),"",OFFSET('141-VV'!K$1,SMALL(Dong1,ROWS($1:20)),))=0,"",IF(ROWS($1:20)&gt;COUNT(Dong1),"",OFFSET('141-VV'!K$1,SMALL(Dong1,ROWS($1:20)),)))</f>
        <v>NL08 &amp; NL13 &amp; NL22</v>
      </c>
    </row>
    <row r="36" spans="1:20" ht="17.25" customHeight="1">
      <c r="A36" s="14">
        <v>41393</v>
      </c>
      <c r="B36" s="23" t="s">
        <v>66</v>
      </c>
      <c r="C36" s="11">
        <v>41393</v>
      </c>
      <c r="D36" s="16" t="s">
        <v>36</v>
      </c>
      <c r="E36" s="37" t="s">
        <v>42</v>
      </c>
      <c r="F36" s="9"/>
      <c r="G36" s="19">
        <v>141008000</v>
      </c>
      <c r="H36" s="5">
        <f t="shared" si="2"/>
        <v>993427500</v>
      </c>
      <c r="I36" s="5">
        <f t="shared" si="3"/>
        <v>0</v>
      </c>
      <c r="J36" s="36">
        <v>4</v>
      </c>
      <c r="K36" s="201" t="s">
        <v>320</v>
      </c>
      <c r="N36" s="23" t="str">
        <f ca="1">IF(ROWS($1:21)&gt;COUNT(Dong1),"",OFFSET('141-VV'!B$1,SMALL(Dong1,ROWS($1:21)),))</f>
        <v>TU02</v>
      </c>
      <c r="O36" s="143">
        <f ca="1">IF(ROWS($1:21)&gt;COUNT(Dong1),"",OFFSET('141-VV'!C$1,SMALL(Dong1,ROWS($1:21)),))</f>
        <v>41393</v>
      </c>
      <c r="P36" s="23" t="str">
        <f ca="1">IF(ROWS($1:21)&gt;COUNT(Dong1),"",OFFSET('141-VV'!D$1,SMALL(Dong1,ROWS($1:21)),))</f>
        <v>Nguyễn Văn Lắm</v>
      </c>
      <c r="Q36" s="23" t="str">
        <f ca="1">IF(ROWS($1:21)&gt;COUNT(Dong1),"",OFFSET('141-VV'!E$1,SMALL(Dong1,ROWS($1:21)),))</f>
        <v>331</v>
      </c>
      <c r="R36" s="23">
        <f ca="1">IF(ROWS($1:21)&gt;COUNT(Dong1),"",OFFSET('141-VV'!F$1,SMALL(Dong1,ROWS($1:21)),))</f>
        <v>0</v>
      </c>
      <c r="S36" s="23">
        <f ca="1">IF(ROWS($1:21)&gt;COUNT(Dong1),"",OFFSET('141-VV'!G$1,SMALL(Dong1,ROWS($1:21)),))</f>
        <v>141008000</v>
      </c>
      <c r="T36" s="1" t="str">
        <f ca="1">IF(IF(ROWS($1:21)&gt;COUNT(Dong1),"",OFFSET('141-VV'!K$1,SMALL(Dong1,ROWS($1:21)),))=0,"",IF(ROWS($1:21)&gt;COUNT(Dong1),"",OFFSET('141-VV'!K$1,SMALL(Dong1,ROWS($1:21)),)))</f>
        <v>NL51</v>
      </c>
    </row>
    <row r="37" spans="1:20" ht="17.25" customHeight="1">
      <c r="A37" s="14">
        <v>41393</v>
      </c>
      <c r="B37" s="23" t="s">
        <v>66</v>
      </c>
      <c r="C37" s="11">
        <v>41393</v>
      </c>
      <c r="D37" s="16" t="s">
        <v>298</v>
      </c>
      <c r="E37" s="37" t="s">
        <v>42</v>
      </c>
      <c r="F37" s="9"/>
      <c r="G37" s="19">
        <v>381482000</v>
      </c>
      <c r="H37" s="5">
        <f t="shared" si="2"/>
        <v>611945500</v>
      </c>
      <c r="I37" s="5">
        <f t="shared" si="3"/>
        <v>0</v>
      </c>
      <c r="J37" s="36">
        <v>4</v>
      </c>
      <c r="K37" s="201" t="s">
        <v>321</v>
      </c>
      <c r="N37" s="23" t="str">
        <f ca="1">IF(ROWS($1:22)&gt;COUNT(Dong1),"",OFFSET('141-VV'!B$1,SMALL(Dong1,ROWS($1:22)),))</f>
        <v>TU02</v>
      </c>
      <c r="O37" s="143">
        <f ca="1">IF(ROWS($1:22)&gt;COUNT(Dong1),"",OFFSET('141-VV'!C$1,SMALL(Dong1,ROWS($1:22)),))</f>
        <v>41393</v>
      </c>
      <c r="P37" s="23" t="str">
        <f ca="1">IF(ROWS($1:22)&gt;COUNT(Dong1),"",OFFSET('141-VV'!D$1,SMALL(Dong1,ROWS($1:22)),))</f>
        <v>Quang Minh</v>
      </c>
      <c r="Q37" s="23" t="str">
        <f ca="1">IF(ROWS($1:22)&gt;COUNT(Dong1),"",OFFSET('141-VV'!E$1,SMALL(Dong1,ROWS($1:22)),))</f>
        <v>331</v>
      </c>
      <c r="R37" s="23">
        <f ca="1">IF(ROWS($1:22)&gt;COUNT(Dong1),"",OFFSET('141-VV'!F$1,SMALL(Dong1,ROWS($1:22)),))</f>
        <v>0</v>
      </c>
      <c r="S37" s="23">
        <f ca="1">IF(ROWS($1:22)&gt;COUNT(Dong1),"",OFFSET('141-VV'!G$1,SMALL(Dong1,ROWS($1:22)),))</f>
        <v>381482000</v>
      </c>
      <c r="T37" s="1" t="str">
        <f ca="1">IF(IF(ROWS($1:22)&gt;COUNT(Dong1),"",OFFSET('141-VV'!K$1,SMALL(Dong1,ROWS($1:22)),))=0,"",IF(ROWS($1:22)&gt;COUNT(Dong1),"",OFFSET('141-VV'!K$1,SMALL(Dong1,ROWS($1:22)),)))</f>
        <v>NL29 &amp; NL37 &amp; NL47 &amp; &amp; NL59</v>
      </c>
    </row>
    <row r="38" spans="1:20" ht="17.25" customHeight="1">
      <c r="A38" s="14">
        <v>41393</v>
      </c>
      <c r="B38" s="23" t="s">
        <v>66</v>
      </c>
      <c r="C38" s="11">
        <v>41393</v>
      </c>
      <c r="D38" s="16" t="s">
        <v>38</v>
      </c>
      <c r="E38" s="37" t="s">
        <v>42</v>
      </c>
      <c r="F38" s="9"/>
      <c r="G38" s="19">
        <v>276178000</v>
      </c>
      <c r="H38" s="5">
        <f t="shared" si="2"/>
        <v>335767500</v>
      </c>
      <c r="I38" s="5">
        <f t="shared" si="3"/>
        <v>0</v>
      </c>
      <c r="J38" s="36">
        <v>4</v>
      </c>
      <c r="K38" s="201" t="s">
        <v>322</v>
      </c>
      <c r="N38" s="23" t="str">
        <f ca="1">IF(ROWS($1:23)&gt;COUNT(Dong1),"",OFFSET('141-VV'!B$1,SMALL(Dong1,ROWS($1:23)),))</f>
        <v>TU02</v>
      </c>
      <c r="O38" s="143">
        <f ca="1">IF(ROWS($1:23)&gt;COUNT(Dong1),"",OFFSET('141-VV'!C$1,SMALL(Dong1,ROWS($1:23)),))</f>
        <v>41393</v>
      </c>
      <c r="P38" s="23" t="str">
        <f ca="1">IF(ROWS($1:23)&gt;COUNT(Dong1),"",OFFSET('141-VV'!D$1,SMALL(Dong1,ROWS($1:23)),))</f>
        <v>Trần Thị Lang</v>
      </c>
      <c r="Q38" s="23" t="str">
        <f ca="1">IF(ROWS($1:23)&gt;COUNT(Dong1),"",OFFSET('141-VV'!E$1,SMALL(Dong1,ROWS($1:23)),))</f>
        <v>331</v>
      </c>
      <c r="R38" s="23">
        <f ca="1">IF(ROWS($1:23)&gt;COUNT(Dong1),"",OFFSET('141-VV'!F$1,SMALL(Dong1,ROWS($1:23)),))</f>
        <v>0</v>
      </c>
      <c r="S38" s="23">
        <f ca="1">IF(ROWS($1:23)&gt;COUNT(Dong1),"",OFFSET('141-VV'!G$1,SMALL(Dong1,ROWS($1:23)),))</f>
        <v>276178000</v>
      </c>
      <c r="T38" s="1" t="str">
        <f ca="1">IF(IF(ROWS($1:23)&gt;COUNT(Dong1),"",OFFSET('141-VV'!K$1,SMALL(Dong1,ROWS($1:23)),))=0,"",IF(ROWS($1:23)&gt;COUNT(Dong1),"",OFFSET('141-VV'!K$1,SMALL(Dong1,ROWS($1:23)),)))</f>
        <v>NL36 &amp; NL49</v>
      </c>
    </row>
    <row r="39" spans="1:20" ht="17.25" customHeight="1">
      <c r="A39" s="14">
        <v>41393</v>
      </c>
      <c r="B39" s="23" t="s">
        <v>66</v>
      </c>
      <c r="C39" s="11">
        <v>41393</v>
      </c>
      <c r="D39" s="16" t="s">
        <v>299</v>
      </c>
      <c r="E39" s="12" t="s">
        <v>42</v>
      </c>
      <c r="F39" s="9"/>
      <c r="G39" s="19">
        <v>166953000</v>
      </c>
      <c r="H39" s="5">
        <f t="shared" si="2"/>
        <v>168814500</v>
      </c>
      <c r="I39" s="5">
        <f t="shared" si="3"/>
        <v>0</v>
      </c>
      <c r="J39" s="36">
        <v>4</v>
      </c>
      <c r="K39" s="201" t="s">
        <v>323</v>
      </c>
      <c r="N39" s="23" t="str">
        <f ca="1">IF(ROWS($1:24)&gt;COUNT(Dong1),"",OFFSET('141-VV'!B$1,SMALL(Dong1,ROWS($1:24)),))</f>
        <v>TU02</v>
      </c>
      <c r="O39" s="143">
        <f ca="1">IF(ROWS($1:24)&gt;COUNT(Dong1),"",OFFSET('141-VV'!C$1,SMALL(Dong1,ROWS($1:24)),))</f>
        <v>41393</v>
      </c>
      <c r="P39" s="23" t="str">
        <f ca="1">IF(ROWS($1:24)&gt;COUNT(Dong1),"",OFFSET('141-VV'!D$1,SMALL(Dong1,ROWS($1:24)),))</f>
        <v>Trần Thị Nê</v>
      </c>
      <c r="Q39" s="23" t="str">
        <f ca="1">IF(ROWS($1:24)&gt;COUNT(Dong1),"",OFFSET('141-VV'!E$1,SMALL(Dong1,ROWS($1:24)),))</f>
        <v>331</v>
      </c>
      <c r="R39" s="23">
        <f ca="1">IF(ROWS($1:24)&gt;COUNT(Dong1),"",OFFSET('141-VV'!F$1,SMALL(Dong1,ROWS($1:24)),))</f>
        <v>0</v>
      </c>
      <c r="S39" s="23">
        <f ca="1">IF(ROWS($1:24)&gt;COUNT(Dong1),"",OFFSET('141-VV'!G$1,SMALL(Dong1,ROWS($1:24)),))</f>
        <v>166953000</v>
      </c>
      <c r="T39" s="1" t="str">
        <f ca="1">IF(IF(ROWS($1:24)&gt;COUNT(Dong1),"",OFFSET('141-VV'!K$1,SMALL(Dong1,ROWS($1:24)),))=0,"",IF(ROWS($1:24)&gt;COUNT(Dong1),"",OFFSET('141-VV'!K$1,SMALL(Dong1,ROWS($1:24)),)))</f>
        <v>NL41</v>
      </c>
    </row>
    <row r="40" spans="1:20" ht="17.25" customHeight="1">
      <c r="A40" s="14">
        <v>41393</v>
      </c>
      <c r="B40" s="23" t="s">
        <v>66</v>
      </c>
      <c r="C40" s="11">
        <v>41393</v>
      </c>
      <c r="D40" s="16" t="s">
        <v>300</v>
      </c>
      <c r="E40" s="12" t="s">
        <v>42</v>
      </c>
      <c r="F40" s="9"/>
      <c r="G40" s="19">
        <v>159201000</v>
      </c>
      <c r="H40" s="5">
        <f t="shared" si="2"/>
        <v>9613500</v>
      </c>
      <c r="I40" s="5">
        <f t="shared" si="3"/>
        <v>0</v>
      </c>
      <c r="J40" s="36">
        <v>4</v>
      </c>
      <c r="K40" s="201" t="s">
        <v>324</v>
      </c>
      <c r="N40" s="23" t="str">
        <f ca="1">IF(ROWS($1:25)&gt;COUNT(Dong1),"",OFFSET('141-VV'!B$1,SMALL(Dong1,ROWS($1:25)),))</f>
        <v>TU02</v>
      </c>
      <c r="O40" s="143">
        <f ca="1">IF(ROWS($1:25)&gt;COUNT(Dong1),"",OFFSET('141-VV'!C$1,SMALL(Dong1,ROWS($1:25)),))</f>
        <v>41393</v>
      </c>
      <c r="P40" s="23" t="str">
        <f ca="1">IF(ROWS($1:25)&gt;COUNT(Dong1),"",OFFSET('141-VV'!D$1,SMALL(Dong1,ROWS($1:25)),))</f>
        <v>Trương Thị Mỉm</v>
      </c>
      <c r="Q40" s="23" t="str">
        <f ca="1">IF(ROWS($1:25)&gt;COUNT(Dong1),"",OFFSET('141-VV'!E$1,SMALL(Dong1,ROWS($1:25)),))</f>
        <v>331</v>
      </c>
      <c r="R40" s="23">
        <f ca="1">IF(ROWS($1:25)&gt;COUNT(Dong1),"",OFFSET('141-VV'!F$1,SMALL(Dong1,ROWS($1:25)),))</f>
        <v>0</v>
      </c>
      <c r="S40" s="23">
        <f ca="1">IF(ROWS($1:25)&gt;COUNT(Dong1),"",OFFSET('141-VV'!G$1,SMALL(Dong1,ROWS($1:25)),))</f>
        <v>159201000</v>
      </c>
      <c r="T40" s="1" t="str">
        <f ca="1">IF(IF(ROWS($1:25)&gt;COUNT(Dong1),"",OFFSET('141-VV'!K$1,SMALL(Dong1,ROWS($1:25)),))=0,"",IF(ROWS($1:25)&gt;COUNT(Dong1),"",OFFSET('141-VV'!K$1,SMALL(Dong1,ROWS($1:25)),)))</f>
        <v>NL39</v>
      </c>
    </row>
    <row r="41" spans="1:20" ht="17.25" customHeight="1">
      <c r="A41" s="14">
        <v>41403</v>
      </c>
      <c r="B41" s="23" t="s">
        <v>52</v>
      </c>
      <c r="C41" s="11">
        <v>41403</v>
      </c>
      <c r="D41" s="16" t="s">
        <v>44</v>
      </c>
      <c r="E41" s="12" t="s">
        <v>45</v>
      </c>
      <c r="F41" s="9">
        <v>450000000</v>
      </c>
      <c r="G41" s="19"/>
      <c r="H41" s="5">
        <f t="shared" si="2"/>
        <v>459613500</v>
      </c>
      <c r="I41" s="5">
        <f t="shared" si="3"/>
        <v>0</v>
      </c>
      <c r="J41" s="36">
        <f t="shared" ref="J41:J47" si="4">IF(A41&lt;&gt;"",MONTH(A41),"")</f>
        <v>5</v>
      </c>
      <c r="K41" s="201"/>
      <c r="N41" s="23" t="str">
        <f ca="1">IF(ROWS($1:26)&gt;COUNT(Dong1),"",OFFSET('141-VV'!B$1,SMALL(Dong1,ROWS($1:26)),))</f>
        <v/>
      </c>
      <c r="O41" s="143" t="str">
        <f ca="1">IF(ROWS($1:26)&gt;COUNT(Dong1),"",OFFSET('141-VV'!C$1,SMALL(Dong1,ROWS($1:26)),))</f>
        <v/>
      </c>
      <c r="P41" s="23" t="str">
        <f ca="1">IF(ROWS($1:26)&gt;COUNT(Dong1),"",OFFSET('141-VV'!D$1,SMALL(Dong1,ROWS($1:26)),))</f>
        <v/>
      </c>
      <c r="Q41" s="23" t="str">
        <f ca="1">IF(ROWS($1:26)&gt;COUNT(Dong1),"",OFFSET('141-VV'!E$1,SMALL(Dong1,ROWS($1:26)),))</f>
        <v/>
      </c>
      <c r="R41" s="23" t="str">
        <f ca="1">IF(ROWS($1:26)&gt;COUNT(Dong1),"",OFFSET('141-VV'!F$1,SMALL(Dong1,ROWS($1:26)),))</f>
        <v/>
      </c>
      <c r="S41" s="23" t="str">
        <f ca="1">IF(ROWS($1:26)&gt;COUNT(Dong1),"",OFFSET('141-VV'!G$1,SMALL(Dong1,ROWS($1:26)),))</f>
        <v/>
      </c>
      <c r="T41" s="1" t="str">
        <f ca="1">IF(IF(ROWS($1:26)&gt;COUNT(Dong1),"",OFFSET('141-VV'!K$1,SMALL(Dong1,ROWS($1:26)),))=0,"",IF(ROWS($1:26)&gt;COUNT(Dong1),"",OFFSET('141-VV'!K$1,SMALL(Dong1,ROWS($1:26)),)))</f>
        <v/>
      </c>
    </row>
    <row r="42" spans="1:20" ht="17.25" customHeight="1">
      <c r="A42" s="14">
        <v>41404</v>
      </c>
      <c r="B42" s="23" t="s">
        <v>122</v>
      </c>
      <c r="C42" s="11">
        <v>41404</v>
      </c>
      <c r="D42" s="16" t="s">
        <v>44</v>
      </c>
      <c r="E42" s="12" t="s">
        <v>45</v>
      </c>
      <c r="F42" s="9">
        <v>360000000</v>
      </c>
      <c r="G42" s="19"/>
      <c r="H42" s="5">
        <f t="shared" si="2"/>
        <v>819613500</v>
      </c>
      <c r="I42" s="5">
        <f t="shared" si="3"/>
        <v>0</v>
      </c>
      <c r="J42" s="36">
        <f t="shared" si="4"/>
        <v>5</v>
      </c>
      <c r="K42" s="201"/>
      <c r="N42" s="23" t="str">
        <f ca="1">IF(ROWS($1:27)&gt;COUNT(Dong1),"",OFFSET('141-VV'!B$1,SMALL(Dong1,ROWS($1:27)),))</f>
        <v/>
      </c>
      <c r="O42" s="143" t="str">
        <f ca="1">IF(ROWS($1:27)&gt;COUNT(Dong1),"",OFFSET('141-VV'!C$1,SMALL(Dong1,ROWS($1:27)),))</f>
        <v/>
      </c>
      <c r="P42" s="23" t="str">
        <f ca="1">IF(ROWS($1:27)&gt;COUNT(Dong1),"",OFFSET('141-VV'!D$1,SMALL(Dong1,ROWS($1:27)),))</f>
        <v/>
      </c>
      <c r="Q42" s="23" t="str">
        <f ca="1">IF(ROWS($1:27)&gt;COUNT(Dong1),"",OFFSET('141-VV'!E$1,SMALL(Dong1,ROWS($1:27)),))</f>
        <v/>
      </c>
      <c r="R42" s="23" t="str">
        <f ca="1">IF(ROWS($1:27)&gt;COUNT(Dong1),"",OFFSET('141-VV'!F$1,SMALL(Dong1,ROWS($1:27)),))</f>
        <v/>
      </c>
      <c r="S42" s="23" t="str">
        <f ca="1">IF(ROWS($1:27)&gt;COUNT(Dong1),"",OFFSET('141-VV'!G$1,SMALL(Dong1,ROWS($1:27)),))</f>
        <v/>
      </c>
      <c r="T42" s="1" t="str">
        <f ca="1">IF(IF(ROWS($1:27)&gt;COUNT(Dong1),"",OFFSET('141-VV'!K$1,SMALL(Dong1,ROWS($1:27)),))=0,"",IF(ROWS($1:27)&gt;COUNT(Dong1),"",OFFSET('141-VV'!K$1,SMALL(Dong1,ROWS($1:27)),)))</f>
        <v/>
      </c>
    </row>
    <row r="43" spans="1:20" ht="17.25" customHeight="1">
      <c r="A43" s="14">
        <v>41414</v>
      </c>
      <c r="B43" s="23" t="s">
        <v>67</v>
      </c>
      <c r="C43" s="11">
        <v>41414</v>
      </c>
      <c r="D43" s="16" t="s">
        <v>41</v>
      </c>
      <c r="E43" s="12" t="s">
        <v>42</v>
      </c>
      <c r="F43" s="9"/>
      <c r="G43" s="9">
        <v>90576000</v>
      </c>
      <c r="H43" s="5">
        <f t="shared" si="2"/>
        <v>729037500</v>
      </c>
      <c r="I43" s="5">
        <f t="shared" si="3"/>
        <v>0</v>
      </c>
      <c r="J43" s="36">
        <f t="shared" si="4"/>
        <v>5</v>
      </c>
      <c r="K43" s="201" t="s">
        <v>268</v>
      </c>
      <c r="N43" s="23" t="str">
        <f ca="1">IF(ROWS($1:28)&gt;COUNT(Dong1),"",OFFSET('141-VV'!B$1,SMALL(Dong1,ROWS($1:28)),))</f>
        <v/>
      </c>
      <c r="O43" s="143" t="str">
        <f ca="1">IF(ROWS($1:28)&gt;COUNT(Dong1),"",OFFSET('141-VV'!C$1,SMALL(Dong1,ROWS($1:28)),))</f>
        <v/>
      </c>
      <c r="P43" s="23" t="str">
        <f ca="1">IF(ROWS($1:28)&gt;COUNT(Dong1),"",OFFSET('141-VV'!D$1,SMALL(Dong1,ROWS($1:28)),))</f>
        <v/>
      </c>
      <c r="Q43" s="23" t="str">
        <f ca="1">IF(ROWS($1:28)&gt;COUNT(Dong1),"",OFFSET('141-VV'!E$1,SMALL(Dong1,ROWS($1:28)),))</f>
        <v/>
      </c>
      <c r="R43" s="23" t="str">
        <f ca="1">IF(ROWS($1:28)&gt;COUNT(Dong1),"",OFFSET('141-VV'!F$1,SMALL(Dong1,ROWS($1:28)),))</f>
        <v/>
      </c>
      <c r="S43" s="23" t="str">
        <f ca="1">IF(ROWS($1:28)&gt;COUNT(Dong1),"",OFFSET('141-VV'!G$1,SMALL(Dong1,ROWS($1:28)),))</f>
        <v/>
      </c>
      <c r="T43" s="1" t="str">
        <f ca="1">IF(IF(ROWS($1:28)&gt;COUNT(Dong1),"",OFFSET('141-VV'!K$1,SMALL(Dong1,ROWS($1:28)),))=0,"",IF(ROWS($1:28)&gt;COUNT(Dong1),"",OFFSET('141-VV'!K$1,SMALL(Dong1,ROWS($1:28)),)))</f>
        <v/>
      </c>
    </row>
    <row r="44" spans="1:20" ht="17.25" customHeight="1">
      <c r="A44" s="14">
        <v>41414</v>
      </c>
      <c r="B44" s="23" t="s">
        <v>67</v>
      </c>
      <c r="C44" s="11">
        <v>41414</v>
      </c>
      <c r="D44" s="16" t="s">
        <v>34</v>
      </c>
      <c r="E44" s="12" t="s">
        <v>42</v>
      </c>
      <c r="F44" s="9"/>
      <c r="G44" s="19">
        <v>101422000</v>
      </c>
      <c r="H44" s="5">
        <f t="shared" si="2"/>
        <v>627615500</v>
      </c>
      <c r="I44" s="5">
        <f t="shared" si="3"/>
        <v>0</v>
      </c>
      <c r="J44" s="36">
        <f t="shared" si="4"/>
        <v>5</v>
      </c>
      <c r="K44" s="201" t="s">
        <v>264</v>
      </c>
      <c r="N44" s="23" t="str">
        <f ca="1">IF(ROWS($1:29)&gt;COUNT(Dong1),"",OFFSET('141-VV'!B$1,SMALL(Dong1,ROWS($1:29)),))</f>
        <v/>
      </c>
      <c r="O44" s="143" t="str">
        <f ca="1">IF(ROWS($1:29)&gt;COUNT(Dong1),"",OFFSET('141-VV'!C$1,SMALL(Dong1,ROWS($1:29)),))</f>
        <v/>
      </c>
      <c r="P44" s="23" t="str">
        <f ca="1">IF(ROWS($1:29)&gt;COUNT(Dong1),"",OFFSET('141-VV'!D$1,SMALL(Dong1,ROWS($1:29)),))</f>
        <v/>
      </c>
      <c r="Q44" s="23" t="str">
        <f ca="1">IF(ROWS($1:29)&gt;COUNT(Dong1),"",OFFSET('141-VV'!E$1,SMALL(Dong1,ROWS($1:29)),))</f>
        <v/>
      </c>
      <c r="R44" s="23" t="str">
        <f ca="1">IF(ROWS($1:29)&gt;COUNT(Dong1),"",OFFSET('141-VV'!F$1,SMALL(Dong1,ROWS($1:29)),))</f>
        <v/>
      </c>
      <c r="S44" s="23" t="str">
        <f ca="1">IF(ROWS($1:29)&gt;COUNT(Dong1),"",OFFSET('141-VV'!G$1,SMALL(Dong1,ROWS($1:29)),))</f>
        <v/>
      </c>
      <c r="T44" s="1" t="str">
        <f ca="1">IF(IF(ROWS($1:29)&gt;COUNT(Dong1),"",OFFSET('141-VV'!K$1,SMALL(Dong1,ROWS($1:29)),))=0,"",IF(ROWS($1:29)&gt;COUNT(Dong1),"",OFFSET('141-VV'!K$1,SMALL(Dong1,ROWS($1:29)),)))</f>
        <v/>
      </c>
    </row>
    <row r="45" spans="1:20" ht="17.25" customHeight="1">
      <c r="A45" s="14">
        <v>41414</v>
      </c>
      <c r="B45" s="23" t="s">
        <v>67</v>
      </c>
      <c r="C45" s="11">
        <v>41414</v>
      </c>
      <c r="D45" s="16" t="s">
        <v>39</v>
      </c>
      <c r="E45" s="12" t="s">
        <v>42</v>
      </c>
      <c r="F45" s="9"/>
      <c r="G45" s="19">
        <v>57681000</v>
      </c>
      <c r="H45" s="5">
        <f t="shared" si="2"/>
        <v>569934500</v>
      </c>
      <c r="I45" s="5">
        <f t="shared" si="3"/>
        <v>0</v>
      </c>
      <c r="J45" s="36">
        <f t="shared" si="4"/>
        <v>5</v>
      </c>
      <c r="K45" s="129" t="s">
        <v>223</v>
      </c>
      <c r="N45" s="23" t="str">
        <f ca="1">IF(ROWS($1:30)&gt;COUNT(Dong1),"",OFFSET('141-VV'!B$1,SMALL(Dong1,ROWS($1:30)),))</f>
        <v/>
      </c>
      <c r="O45" s="143" t="str">
        <f ca="1">IF(ROWS($1:30)&gt;COUNT(Dong1),"",OFFSET('141-VV'!C$1,SMALL(Dong1,ROWS($1:30)),))</f>
        <v/>
      </c>
      <c r="P45" s="23" t="str">
        <f ca="1">IF(ROWS($1:30)&gt;COUNT(Dong1),"",OFFSET('141-VV'!D$1,SMALL(Dong1,ROWS($1:30)),))</f>
        <v/>
      </c>
      <c r="Q45" s="23" t="str">
        <f ca="1">IF(ROWS($1:30)&gt;COUNT(Dong1),"",OFFSET('141-VV'!E$1,SMALL(Dong1,ROWS($1:30)),))</f>
        <v/>
      </c>
      <c r="R45" s="23" t="str">
        <f ca="1">IF(ROWS($1:30)&gt;COUNT(Dong1),"",OFFSET('141-VV'!F$1,SMALL(Dong1,ROWS($1:30)),))</f>
        <v/>
      </c>
      <c r="S45" s="23" t="str">
        <f ca="1">IF(ROWS($1:30)&gt;COUNT(Dong1),"",OFFSET('141-VV'!G$1,SMALL(Dong1,ROWS($1:30)),))</f>
        <v/>
      </c>
      <c r="T45" s="1" t="str">
        <f ca="1">IF(IF(ROWS($1:30)&gt;COUNT(Dong1),"",OFFSET('141-VV'!K$1,SMALL(Dong1,ROWS($1:30)),))=0,"",IF(ROWS($1:30)&gt;COUNT(Dong1),"",OFFSET('141-VV'!K$1,SMALL(Dong1,ROWS($1:30)),)))</f>
        <v/>
      </c>
    </row>
    <row r="46" spans="1:20" ht="17.25" customHeight="1">
      <c r="A46" s="14">
        <v>41414</v>
      </c>
      <c r="B46" s="23" t="s">
        <v>67</v>
      </c>
      <c r="C46" s="11">
        <v>41414</v>
      </c>
      <c r="D46" s="16" t="s">
        <v>35</v>
      </c>
      <c r="E46" s="12" t="s">
        <v>42</v>
      </c>
      <c r="F46" s="9"/>
      <c r="G46" s="19">
        <v>99654000</v>
      </c>
      <c r="H46" s="5">
        <f t="shared" si="2"/>
        <v>470280500</v>
      </c>
      <c r="I46" s="5">
        <f t="shared" si="3"/>
        <v>0</v>
      </c>
      <c r="J46" s="36">
        <f t="shared" si="4"/>
        <v>5</v>
      </c>
      <c r="K46" s="129" t="s">
        <v>253</v>
      </c>
      <c r="N46" s="23" t="str">
        <f ca="1">IF(ROWS($1:31)&gt;COUNT(Dong1),"",OFFSET('141-VV'!B$1,SMALL(Dong1,ROWS($1:31)),))</f>
        <v/>
      </c>
      <c r="O46" s="143" t="str">
        <f ca="1">IF(ROWS($1:31)&gt;COUNT(Dong1),"",OFFSET('141-VV'!C$1,SMALL(Dong1,ROWS($1:31)),))</f>
        <v/>
      </c>
      <c r="P46" s="23" t="str">
        <f ca="1">IF(ROWS($1:31)&gt;COUNT(Dong1),"",OFFSET('141-VV'!D$1,SMALL(Dong1,ROWS($1:31)),))</f>
        <v/>
      </c>
      <c r="Q46" s="23" t="str">
        <f ca="1">IF(ROWS($1:31)&gt;COUNT(Dong1),"",OFFSET('141-VV'!E$1,SMALL(Dong1,ROWS($1:31)),))</f>
        <v/>
      </c>
      <c r="R46" s="23" t="str">
        <f ca="1">IF(ROWS($1:31)&gt;COUNT(Dong1),"",OFFSET('141-VV'!F$1,SMALL(Dong1,ROWS($1:31)),))</f>
        <v/>
      </c>
      <c r="S46" s="23" t="str">
        <f ca="1">IF(ROWS($1:31)&gt;COUNT(Dong1),"",OFFSET('141-VV'!G$1,SMALL(Dong1,ROWS($1:31)),))</f>
        <v/>
      </c>
      <c r="T46" s="1" t="str">
        <f ca="1">IF(IF(ROWS($1:31)&gt;COUNT(Dong1),"",OFFSET('141-VV'!K$1,SMALL(Dong1,ROWS($1:31)),))=0,"",IF(ROWS($1:31)&gt;COUNT(Dong1),"",OFFSET('141-VV'!K$1,SMALL(Dong1,ROWS($1:31)),)))</f>
        <v/>
      </c>
    </row>
    <row r="47" spans="1:20" ht="17.25" customHeight="1">
      <c r="A47" s="14">
        <v>41414</v>
      </c>
      <c r="B47" s="23" t="s">
        <v>67</v>
      </c>
      <c r="C47" s="11">
        <v>41414</v>
      </c>
      <c r="D47" s="16" t="s">
        <v>36</v>
      </c>
      <c r="E47" s="12" t="s">
        <v>42</v>
      </c>
      <c r="F47" s="9"/>
      <c r="G47" s="19">
        <v>94656000</v>
      </c>
      <c r="H47" s="5">
        <f t="shared" si="2"/>
        <v>375624500</v>
      </c>
      <c r="I47" s="5">
        <f t="shared" si="3"/>
        <v>0</v>
      </c>
      <c r="J47" s="36">
        <f t="shared" si="4"/>
        <v>5</v>
      </c>
      <c r="K47" s="129" t="s">
        <v>217</v>
      </c>
      <c r="N47" s="23" t="str">
        <f ca="1">IF(ROWS($1:32)&gt;COUNT(Dong1),"",OFFSET('141-VV'!B$1,SMALL(Dong1,ROWS($1:32)),))</f>
        <v/>
      </c>
      <c r="O47" s="143" t="str">
        <f ca="1">IF(ROWS($1:32)&gt;COUNT(Dong1),"",OFFSET('141-VV'!C$1,SMALL(Dong1,ROWS($1:32)),))</f>
        <v/>
      </c>
      <c r="P47" s="23" t="str">
        <f ca="1">IF(ROWS($1:32)&gt;COUNT(Dong1),"",OFFSET('141-VV'!D$1,SMALL(Dong1,ROWS($1:32)),))</f>
        <v/>
      </c>
      <c r="Q47" s="23" t="str">
        <f ca="1">IF(ROWS($1:32)&gt;COUNT(Dong1),"",OFFSET('141-VV'!E$1,SMALL(Dong1,ROWS($1:32)),))</f>
        <v/>
      </c>
      <c r="R47" s="23" t="str">
        <f ca="1">IF(ROWS($1:32)&gt;COUNT(Dong1),"",OFFSET('141-VV'!F$1,SMALL(Dong1,ROWS($1:32)),))</f>
        <v/>
      </c>
      <c r="S47" s="23" t="str">
        <f ca="1">IF(ROWS($1:32)&gt;COUNT(Dong1),"",OFFSET('141-VV'!G$1,SMALL(Dong1,ROWS($1:32)),))</f>
        <v/>
      </c>
      <c r="T47" s="1" t="str">
        <f ca="1">IF(IF(ROWS($1:32)&gt;COUNT(Dong1),"",OFFSET('141-VV'!K$1,SMALL(Dong1,ROWS($1:32)),))=0,"",IF(ROWS($1:32)&gt;COUNT(Dong1),"",OFFSET('141-VV'!K$1,SMALL(Dong1,ROWS($1:32)),)))</f>
        <v/>
      </c>
    </row>
    <row r="48" spans="1:20" ht="17.25" customHeight="1">
      <c r="A48" s="14">
        <v>41414</v>
      </c>
      <c r="B48" s="23" t="s">
        <v>67</v>
      </c>
      <c r="C48" s="11">
        <v>41414</v>
      </c>
      <c r="D48" s="16" t="s">
        <v>37</v>
      </c>
      <c r="E48" s="12" t="s">
        <v>42</v>
      </c>
      <c r="F48" s="9"/>
      <c r="G48" s="19">
        <v>96152000</v>
      </c>
      <c r="H48" s="5">
        <f t="shared" si="2"/>
        <v>279472500</v>
      </c>
      <c r="I48" s="5">
        <f t="shared" si="3"/>
        <v>0</v>
      </c>
      <c r="J48" s="36">
        <f t="shared" ref="J48:J67" si="5">IF(A48&lt;&gt;"",MONTH(A48),"")</f>
        <v>5</v>
      </c>
      <c r="K48" s="129" t="s">
        <v>265</v>
      </c>
      <c r="N48" s="23" t="str">
        <f ca="1">IF(ROWS($1:33)&gt;COUNT(Dong1),"",OFFSET('141-VV'!B$1,SMALL(Dong1,ROWS($1:33)),))</f>
        <v/>
      </c>
      <c r="O48" s="143" t="str">
        <f ca="1">IF(ROWS($1:33)&gt;COUNT(Dong1),"",OFFSET('141-VV'!C$1,SMALL(Dong1,ROWS($1:33)),))</f>
        <v/>
      </c>
      <c r="P48" s="23" t="str">
        <f ca="1">IF(ROWS($1:33)&gt;COUNT(Dong1),"",OFFSET('141-VV'!D$1,SMALL(Dong1,ROWS($1:33)),))</f>
        <v/>
      </c>
      <c r="Q48" s="23" t="str">
        <f ca="1">IF(ROWS($1:33)&gt;COUNT(Dong1),"",OFFSET('141-VV'!E$1,SMALL(Dong1,ROWS($1:33)),))</f>
        <v/>
      </c>
      <c r="R48" s="23" t="str">
        <f ca="1">IF(ROWS($1:33)&gt;COUNT(Dong1),"",OFFSET('141-VV'!F$1,SMALL(Dong1,ROWS($1:33)),))</f>
        <v/>
      </c>
      <c r="S48" s="23" t="str">
        <f ca="1">IF(ROWS($1:33)&gt;COUNT(Dong1),"",OFFSET('141-VV'!G$1,SMALL(Dong1,ROWS($1:33)),))</f>
        <v/>
      </c>
      <c r="T48" s="1" t="str">
        <f ca="1">IF(IF(ROWS($1:33)&gt;COUNT(Dong1),"",OFFSET('141-VV'!K$1,SMALL(Dong1,ROWS($1:33)),))=0,"",IF(ROWS($1:33)&gt;COUNT(Dong1),"",OFFSET('141-VV'!K$1,SMALL(Dong1,ROWS($1:33)),)))</f>
        <v/>
      </c>
    </row>
    <row r="49" spans="1:19" ht="17.25" customHeight="1">
      <c r="A49" s="14">
        <v>41414</v>
      </c>
      <c r="B49" s="23" t="s">
        <v>67</v>
      </c>
      <c r="C49" s="11">
        <v>41414</v>
      </c>
      <c r="D49" s="16" t="s">
        <v>298</v>
      </c>
      <c r="E49" s="37" t="s">
        <v>42</v>
      </c>
      <c r="F49" s="9"/>
      <c r="G49" s="19">
        <v>183385000</v>
      </c>
      <c r="H49" s="5">
        <f t="shared" si="2"/>
        <v>96087500</v>
      </c>
      <c r="I49" s="5">
        <f t="shared" si="3"/>
        <v>0</v>
      </c>
      <c r="J49" s="36">
        <f t="shared" si="5"/>
        <v>5</v>
      </c>
      <c r="K49" s="201" t="s">
        <v>325</v>
      </c>
      <c r="N49" s="91"/>
      <c r="O49" s="144"/>
      <c r="P49" s="91"/>
      <c r="Q49" s="91"/>
      <c r="R49" s="91"/>
      <c r="S49" s="91"/>
    </row>
    <row r="50" spans="1:19" ht="17.25" customHeight="1">
      <c r="A50" s="14">
        <v>41414</v>
      </c>
      <c r="B50" s="23" t="s">
        <v>67</v>
      </c>
      <c r="C50" s="11">
        <v>41414</v>
      </c>
      <c r="D50" s="16" t="s">
        <v>38</v>
      </c>
      <c r="E50" s="37" t="s">
        <v>42</v>
      </c>
      <c r="F50" s="9"/>
      <c r="G50" s="19">
        <v>85612000</v>
      </c>
      <c r="H50" s="5">
        <f t="shared" si="2"/>
        <v>10475500</v>
      </c>
      <c r="I50" s="5">
        <f t="shared" si="3"/>
        <v>0</v>
      </c>
      <c r="J50" s="36">
        <f t="shared" si="5"/>
        <v>5</v>
      </c>
      <c r="K50" s="201" t="s">
        <v>267</v>
      </c>
      <c r="N50" s="91"/>
      <c r="O50" s="144"/>
      <c r="P50" s="91"/>
      <c r="Q50" s="91"/>
      <c r="R50" s="91"/>
      <c r="S50" s="91"/>
    </row>
    <row r="51" spans="1:19" ht="17.25" customHeight="1">
      <c r="A51" s="14">
        <v>41414</v>
      </c>
      <c r="B51" s="23" t="s">
        <v>161</v>
      </c>
      <c r="C51" s="11">
        <v>41414</v>
      </c>
      <c r="D51" s="16" t="s">
        <v>44</v>
      </c>
      <c r="E51" s="37" t="s">
        <v>45</v>
      </c>
      <c r="F51" s="9">
        <v>500000000</v>
      </c>
      <c r="G51" s="19"/>
      <c r="H51" s="5">
        <f t="shared" si="2"/>
        <v>510475500</v>
      </c>
      <c r="I51" s="5">
        <f t="shared" si="3"/>
        <v>0</v>
      </c>
      <c r="J51" s="36">
        <v>6</v>
      </c>
      <c r="K51" s="201"/>
      <c r="N51" s="91"/>
      <c r="O51" s="144"/>
      <c r="P51" s="91"/>
      <c r="Q51" s="91"/>
      <c r="R51" s="91"/>
      <c r="S51" s="91"/>
    </row>
    <row r="52" spans="1:19" ht="17.25" customHeight="1">
      <c r="A52" s="14">
        <v>41429</v>
      </c>
      <c r="B52" s="23" t="s">
        <v>301</v>
      </c>
      <c r="C52" s="11">
        <v>41429</v>
      </c>
      <c r="D52" s="16" t="s">
        <v>44</v>
      </c>
      <c r="E52" s="37" t="s">
        <v>45</v>
      </c>
      <c r="F52" s="9">
        <v>650000000</v>
      </c>
      <c r="G52" s="19"/>
      <c r="H52" s="5">
        <f t="shared" si="2"/>
        <v>1160475500</v>
      </c>
      <c r="I52" s="5">
        <f t="shared" si="3"/>
        <v>0</v>
      </c>
      <c r="J52" s="36">
        <f t="shared" si="5"/>
        <v>6</v>
      </c>
      <c r="K52" s="201"/>
      <c r="N52" s="91"/>
      <c r="O52" s="144"/>
      <c r="P52" s="91"/>
      <c r="Q52" s="91"/>
      <c r="R52" s="91"/>
      <c r="S52" s="91"/>
    </row>
    <row r="53" spans="1:19" ht="17.25" customHeight="1">
      <c r="A53" s="14">
        <v>41436</v>
      </c>
      <c r="B53" s="23" t="s">
        <v>122</v>
      </c>
      <c r="C53" s="14">
        <v>41436</v>
      </c>
      <c r="D53" s="16" t="s">
        <v>44</v>
      </c>
      <c r="E53" s="12" t="s">
        <v>45</v>
      </c>
      <c r="F53" s="9">
        <v>590000000</v>
      </c>
      <c r="G53" s="19"/>
      <c r="H53" s="5">
        <f t="shared" si="2"/>
        <v>1750475500</v>
      </c>
      <c r="I53" s="5">
        <f t="shared" si="3"/>
        <v>0</v>
      </c>
      <c r="J53" s="36">
        <f t="shared" si="5"/>
        <v>6</v>
      </c>
      <c r="K53" s="205"/>
      <c r="N53" s="91"/>
      <c r="O53" s="144"/>
      <c r="P53" s="91"/>
      <c r="Q53" s="91"/>
      <c r="R53" s="91"/>
      <c r="S53" s="91"/>
    </row>
    <row r="54" spans="1:19" ht="17.25" customHeight="1">
      <c r="A54" s="14">
        <v>41447</v>
      </c>
      <c r="B54" s="23" t="s">
        <v>129</v>
      </c>
      <c r="C54" s="14">
        <v>41447</v>
      </c>
      <c r="D54" s="16" t="s">
        <v>34</v>
      </c>
      <c r="E54" s="12" t="s">
        <v>42</v>
      </c>
      <c r="F54" s="9"/>
      <c r="G54" s="19">
        <v>125396000</v>
      </c>
      <c r="H54" s="5">
        <f t="shared" si="2"/>
        <v>1625079500</v>
      </c>
      <c r="I54" s="5">
        <f t="shared" si="3"/>
        <v>0</v>
      </c>
      <c r="J54" s="36">
        <f t="shared" si="5"/>
        <v>6</v>
      </c>
      <c r="K54" s="205" t="s">
        <v>200</v>
      </c>
      <c r="N54" s="91"/>
      <c r="O54" s="144"/>
      <c r="P54" s="91"/>
      <c r="Q54" s="91"/>
      <c r="R54" s="91"/>
      <c r="S54" s="91"/>
    </row>
    <row r="55" spans="1:19" ht="17.25" customHeight="1">
      <c r="A55" s="14">
        <v>41447</v>
      </c>
      <c r="B55" s="23" t="s">
        <v>129</v>
      </c>
      <c r="C55" s="14">
        <v>41447</v>
      </c>
      <c r="D55" s="16" t="s">
        <v>39</v>
      </c>
      <c r="E55" s="12" t="s">
        <v>42</v>
      </c>
      <c r="F55" s="9"/>
      <c r="G55" s="19">
        <v>259394000</v>
      </c>
      <c r="H55" s="5">
        <f t="shared" si="2"/>
        <v>1365685500</v>
      </c>
      <c r="I55" s="5">
        <f t="shared" si="3"/>
        <v>0</v>
      </c>
      <c r="J55" s="36">
        <f t="shared" si="5"/>
        <v>6</v>
      </c>
      <c r="K55" s="205" t="s">
        <v>326</v>
      </c>
      <c r="N55" s="91"/>
      <c r="O55" s="144"/>
      <c r="P55" s="91"/>
      <c r="Q55" s="91"/>
      <c r="R55" s="91"/>
      <c r="S55" s="91"/>
    </row>
    <row r="56" spans="1:19" ht="17.25" customHeight="1">
      <c r="A56" s="14">
        <v>41447</v>
      </c>
      <c r="B56" s="23" t="s">
        <v>129</v>
      </c>
      <c r="C56" s="14">
        <v>41447</v>
      </c>
      <c r="D56" s="16" t="s">
        <v>35</v>
      </c>
      <c r="E56" s="12" t="s">
        <v>42</v>
      </c>
      <c r="F56" s="9"/>
      <c r="G56" s="19">
        <v>99200000</v>
      </c>
      <c r="H56" s="5">
        <f t="shared" si="2"/>
        <v>1266485500</v>
      </c>
      <c r="I56" s="5">
        <f t="shared" si="3"/>
        <v>0</v>
      </c>
      <c r="J56" s="36">
        <f t="shared" si="5"/>
        <v>6</v>
      </c>
      <c r="K56" s="205" t="s">
        <v>251</v>
      </c>
      <c r="N56" s="91"/>
      <c r="O56" s="144"/>
      <c r="P56" s="91"/>
      <c r="Q56" s="91"/>
      <c r="R56" s="91"/>
      <c r="S56" s="91"/>
    </row>
    <row r="57" spans="1:19" ht="17.25" customHeight="1">
      <c r="A57" s="14">
        <v>41447</v>
      </c>
      <c r="B57" s="23" t="s">
        <v>129</v>
      </c>
      <c r="C57" s="14">
        <v>41447</v>
      </c>
      <c r="D57" s="16" t="s">
        <v>40</v>
      </c>
      <c r="E57" s="12" t="s">
        <v>42</v>
      </c>
      <c r="F57" s="9"/>
      <c r="G57" s="9">
        <v>221185000</v>
      </c>
      <c r="H57" s="5">
        <f t="shared" si="2"/>
        <v>1045300500</v>
      </c>
      <c r="I57" s="5">
        <f t="shared" si="3"/>
        <v>0</v>
      </c>
      <c r="J57" s="36">
        <f t="shared" si="5"/>
        <v>6</v>
      </c>
      <c r="K57" s="205" t="s">
        <v>327</v>
      </c>
      <c r="N57" s="91"/>
      <c r="O57" s="144"/>
      <c r="P57" s="91"/>
      <c r="Q57" s="91"/>
      <c r="R57" s="91"/>
      <c r="S57" s="91"/>
    </row>
    <row r="58" spans="1:19" ht="17.25" customHeight="1">
      <c r="A58" s="14">
        <v>41447</v>
      </c>
      <c r="B58" s="23" t="s">
        <v>129</v>
      </c>
      <c r="C58" s="14">
        <v>41447</v>
      </c>
      <c r="D58" s="16" t="s">
        <v>41</v>
      </c>
      <c r="E58" s="12" t="s">
        <v>42</v>
      </c>
      <c r="F58" s="9"/>
      <c r="G58" s="24">
        <v>86000000</v>
      </c>
      <c r="H58" s="5">
        <f t="shared" si="2"/>
        <v>959300500</v>
      </c>
      <c r="I58" s="5">
        <f t="shared" si="3"/>
        <v>0</v>
      </c>
      <c r="J58" s="36">
        <f t="shared" si="5"/>
        <v>6</v>
      </c>
      <c r="K58" s="205" t="s">
        <v>328</v>
      </c>
      <c r="N58" s="91"/>
      <c r="O58" s="144"/>
      <c r="P58" s="91"/>
      <c r="Q58" s="91"/>
      <c r="R58" s="91"/>
      <c r="S58" s="91"/>
    </row>
    <row r="59" spans="1:19" ht="17.25" customHeight="1">
      <c r="A59" s="14">
        <v>41447</v>
      </c>
      <c r="B59" s="23" t="s">
        <v>129</v>
      </c>
      <c r="C59" s="14">
        <v>41447</v>
      </c>
      <c r="D59" s="16" t="s">
        <v>38</v>
      </c>
      <c r="E59" s="12" t="s">
        <v>42</v>
      </c>
      <c r="F59" s="9"/>
      <c r="G59" s="19">
        <v>92600000</v>
      </c>
      <c r="H59" s="5">
        <f t="shared" si="2"/>
        <v>866700500</v>
      </c>
      <c r="I59" s="5">
        <f t="shared" si="3"/>
        <v>0</v>
      </c>
      <c r="J59" s="36">
        <f t="shared" si="5"/>
        <v>6</v>
      </c>
      <c r="K59" s="201" t="s">
        <v>282</v>
      </c>
      <c r="N59" s="91"/>
      <c r="O59" s="144"/>
      <c r="P59" s="91"/>
      <c r="Q59" s="91"/>
      <c r="R59" s="91"/>
      <c r="S59" s="91"/>
    </row>
    <row r="60" spans="1:19" ht="17.25" customHeight="1">
      <c r="A60" s="14">
        <v>41447</v>
      </c>
      <c r="B60" s="23" t="s">
        <v>129</v>
      </c>
      <c r="C60" s="14">
        <v>41447</v>
      </c>
      <c r="D60" s="16" t="s">
        <v>34</v>
      </c>
      <c r="E60" s="12" t="s">
        <v>42</v>
      </c>
      <c r="F60" s="9"/>
      <c r="G60" s="19">
        <v>131112000</v>
      </c>
      <c r="H60" s="5">
        <f t="shared" si="2"/>
        <v>735588500</v>
      </c>
      <c r="I60" s="5">
        <f t="shared" si="3"/>
        <v>0</v>
      </c>
      <c r="J60" s="36">
        <f t="shared" si="5"/>
        <v>6</v>
      </c>
      <c r="K60" s="205" t="s">
        <v>278</v>
      </c>
      <c r="N60" s="91"/>
      <c r="O60" s="144"/>
      <c r="P60" s="91"/>
      <c r="Q60" s="91"/>
      <c r="R60" s="91"/>
      <c r="S60" s="91"/>
    </row>
    <row r="61" spans="1:19" ht="17.25" customHeight="1">
      <c r="A61" s="14">
        <v>41447</v>
      </c>
      <c r="B61" s="23" t="s">
        <v>129</v>
      </c>
      <c r="C61" s="14">
        <v>41447</v>
      </c>
      <c r="D61" s="16" t="s">
        <v>294</v>
      </c>
      <c r="E61" s="12" t="s">
        <v>42</v>
      </c>
      <c r="F61" s="9"/>
      <c r="G61" s="19">
        <v>61028000</v>
      </c>
      <c r="H61" s="5">
        <f t="shared" si="2"/>
        <v>674560500</v>
      </c>
      <c r="I61" s="5">
        <f t="shared" si="3"/>
        <v>0</v>
      </c>
      <c r="J61" s="36">
        <f t="shared" si="5"/>
        <v>6</v>
      </c>
      <c r="K61" s="205" t="s">
        <v>274</v>
      </c>
      <c r="N61" s="91"/>
      <c r="O61" s="144"/>
      <c r="P61" s="91"/>
      <c r="Q61" s="91"/>
      <c r="R61" s="91"/>
      <c r="S61" s="91"/>
    </row>
    <row r="62" spans="1:19" ht="17.25" customHeight="1">
      <c r="A62" s="14">
        <v>41447</v>
      </c>
      <c r="B62" s="23" t="s">
        <v>129</v>
      </c>
      <c r="C62" s="14">
        <v>41447</v>
      </c>
      <c r="D62" s="16" t="s">
        <v>302</v>
      </c>
      <c r="E62" s="12" t="s">
        <v>42</v>
      </c>
      <c r="F62" s="9"/>
      <c r="G62" s="19">
        <v>67320000</v>
      </c>
      <c r="H62" s="5">
        <f t="shared" si="2"/>
        <v>607240500</v>
      </c>
      <c r="I62" s="5">
        <f t="shared" si="3"/>
        <v>0</v>
      </c>
      <c r="J62" s="36">
        <f t="shared" si="5"/>
        <v>6</v>
      </c>
      <c r="K62" s="205" t="s">
        <v>253</v>
      </c>
      <c r="N62" s="91"/>
      <c r="O62" s="144"/>
      <c r="P62" s="91"/>
      <c r="Q62" s="91"/>
      <c r="R62" s="91"/>
      <c r="S62" s="91"/>
    </row>
    <row r="63" spans="1:19" ht="17.25" customHeight="1">
      <c r="A63" s="14">
        <v>41447</v>
      </c>
      <c r="B63" s="23" t="s">
        <v>129</v>
      </c>
      <c r="C63" s="14">
        <v>41447</v>
      </c>
      <c r="D63" s="16" t="s">
        <v>40</v>
      </c>
      <c r="E63" s="12" t="s">
        <v>42</v>
      </c>
      <c r="F63" s="9"/>
      <c r="G63" s="19">
        <v>157437000</v>
      </c>
      <c r="H63" s="5">
        <f t="shared" si="2"/>
        <v>449803500</v>
      </c>
      <c r="I63" s="5">
        <f t="shared" si="3"/>
        <v>0</v>
      </c>
      <c r="J63" s="36">
        <f t="shared" si="5"/>
        <v>6</v>
      </c>
      <c r="K63" s="205" t="s">
        <v>264</v>
      </c>
      <c r="N63" s="91"/>
      <c r="O63" s="144"/>
      <c r="P63" s="91"/>
      <c r="Q63" s="91"/>
      <c r="R63" s="91"/>
      <c r="S63" s="91"/>
    </row>
    <row r="64" spans="1:19" ht="17.25" customHeight="1">
      <c r="A64" s="14">
        <v>41447</v>
      </c>
      <c r="B64" s="23" t="s">
        <v>129</v>
      </c>
      <c r="C64" s="11">
        <v>41447</v>
      </c>
      <c r="D64" s="16" t="s">
        <v>46</v>
      </c>
      <c r="E64" s="37" t="s">
        <v>42</v>
      </c>
      <c r="F64" s="9"/>
      <c r="G64" s="9">
        <v>105678000</v>
      </c>
      <c r="H64" s="5">
        <f t="shared" si="2"/>
        <v>344125500</v>
      </c>
      <c r="I64" s="5">
        <f t="shared" si="3"/>
        <v>0</v>
      </c>
      <c r="J64" s="36">
        <f t="shared" si="5"/>
        <v>6</v>
      </c>
      <c r="K64" s="129" t="s">
        <v>329</v>
      </c>
      <c r="N64" s="91"/>
      <c r="O64" s="144"/>
      <c r="P64" s="91"/>
      <c r="Q64" s="91"/>
      <c r="R64" s="91"/>
      <c r="S64" s="91"/>
    </row>
    <row r="65" spans="1:19" ht="17.25" customHeight="1">
      <c r="A65" s="14">
        <v>41447</v>
      </c>
      <c r="B65" s="23" t="s">
        <v>129</v>
      </c>
      <c r="C65" s="11">
        <v>41447</v>
      </c>
      <c r="D65" s="16" t="s">
        <v>41</v>
      </c>
      <c r="E65" s="37" t="s">
        <v>42</v>
      </c>
      <c r="F65" s="9"/>
      <c r="G65" s="19">
        <v>161757000</v>
      </c>
      <c r="H65" s="5">
        <f t="shared" si="2"/>
        <v>182368500</v>
      </c>
      <c r="I65" s="5">
        <f t="shared" si="3"/>
        <v>0</v>
      </c>
      <c r="J65" s="36">
        <f t="shared" si="5"/>
        <v>6</v>
      </c>
      <c r="K65" s="207" t="s">
        <v>265</v>
      </c>
      <c r="N65" s="91"/>
      <c r="O65" s="144"/>
      <c r="P65" s="91"/>
      <c r="Q65" s="91"/>
      <c r="R65" s="91"/>
      <c r="S65" s="91"/>
    </row>
    <row r="66" spans="1:19" ht="17.25" customHeight="1">
      <c r="A66" s="14">
        <v>41447</v>
      </c>
      <c r="B66" s="23" t="s">
        <v>129</v>
      </c>
      <c r="C66" s="11">
        <v>41447</v>
      </c>
      <c r="D66" s="16" t="s">
        <v>140</v>
      </c>
      <c r="E66" s="12" t="s">
        <v>42</v>
      </c>
      <c r="F66" s="9"/>
      <c r="G66" s="19">
        <v>105697000</v>
      </c>
      <c r="H66" s="5">
        <f t="shared" si="2"/>
        <v>76671500</v>
      </c>
      <c r="I66" s="5">
        <f t="shared" si="3"/>
        <v>0</v>
      </c>
      <c r="J66" s="36">
        <f t="shared" si="5"/>
        <v>6</v>
      </c>
      <c r="K66" s="208" t="s">
        <v>330</v>
      </c>
      <c r="N66" s="91"/>
      <c r="O66" s="144"/>
      <c r="P66" s="91"/>
      <c r="Q66" s="91"/>
      <c r="R66" s="91"/>
      <c r="S66" s="91"/>
    </row>
    <row r="67" spans="1:19" ht="17.25" customHeight="1">
      <c r="A67" s="14">
        <v>41447</v>
      </c>
      <c r="B67" s="23" t="s">
        <v>129</v>
      </c>
      <c r="C67" s="11">
        <v>41447</v>
      </c>
      <c r="D67" s="16" t="s">
        <v>141</v>
      </c>
      <c r="E67" s="12" t="s">
        <v>42</v>
      </c>
      <c r="F67" s="9"/>
      <c r="G67" s="19">
        <v>67490000</v>
      </c>
      <c r="H67" s="5">
        <f t="shared" si="2"/>
        <v>9181500</v>
      </c>
      <c r="I67" s="5">
        <f t="shared" si="3"/>
        <v>0</v>
      </c>
      <c r="J67" s="36">
        <f t="shared" si="5"/>
        <v>6</v>
      </c>
      <c r="K67" s="201" t="s">
        <v>218</v>
      </c>
      <c r="N67" s="91"/>
      <c r="O67" s="144"/>
      <c r="P67" s="91"/>
      <c r="Q67" s="91"/>
      <c r="R67" s="91"/>
      <c r="S67" s="91"/>
    </row>
    <row r="68" spans="1:19" ht="17.25" customHeight="1">
      <c r="A68" s="14">
        <v>41447</v>
      </c>
      <c r="B68" s="23" t="s">
        <v>132</v>
      </c>
      <c r="C68" s="11">
        <v>41447</v>
      </c>
      <c r="D68" s="16" t="s">
        <v>44</v>
      </c>
      <c r="E68" s="12" t="s">
        <v>45</v>
      </c>
      <c r="F68" s="9">
        <v>650000000</v>
      </c>
      <c r="G68" s="19"/>
      <c r="H68" s="5">
        <f t="shared" si="2"/>
        <v>659181500</v>
      </c>
      <c r="I68" s="5">
        <f t="shared" si="3"/>
        <v>0</v>
      </c>
      <c r="J68" s="36">
        <v>7</v>
      </c>
      <c r="K68" s="201"/>
      <c r="N68" s="91"/>
      <c r="O68" s="144"/>
      <c r="P68" s="91"/>
      <c r="Q68" s="91"/>
      <c r="R68" s="91"/>
      <c r="S68" s="91"/>
    </row>
    <row r="69" spans="1:19" ht="17.25" customHeight="1">
      <c r="A69" s="14">
        <v>41456</v>
      </c>
      <c r="B69" s="23" t="s">
        <v>135</v>
      </c>
      <c r="C69" s="11">
        <v>41456</v>
      </c>
      <c r="D69" s="16" t="s">
        <v>44</v>
      </c>
      <c r="E69" s="12" t="s">
        <v>45</v>
      </c>
      <c r="F69" s="9">
        <v>650000000</v>
      </c>
      <c r="G69" s="24"/>
      <c r="H69" s="5">
        <f t="shared" si="2"/>
        <v>1309181500</v>
      </c>
      <c r="I69" s="5">
        <f t="shared" si="3"/>
        <v>0</v>
      </c>
      <c r="J69" s="36">
        <f t="shared" ref="J69:J98" si="6">IF(A69&lt;&gt;"",MONTH(A69),"")</f>
        <v>7</v>
      </c>
      <c r="K69" s="201"/>
      <c r="N69" s="91"/>
      <c r="O69" s="144"/>
      <c r="P69" s="91"/>
      <c r="Q69" s="91"/>
      <c r="R69" s="91"/>
      <c r="S69" s="91"/>
    </row>
    <row r="70" spans="1:19" ht="17.25" customHeight="1">
      <c r="A70" s="14">
        <v>41458</v>
      </c>
      <c r="B70" s="23" t="s">
        <v>60</v>
      </c>
      <c r="C70" s="11">
        <v>41458</v>
      </c>
      <c r="D70" s="16" t="s">
        <v>44</v>
      </c>
      <c r="E70" s="12" t="s">
        <v>45</v>
      </c>
      <c r="F70" s="9">
        <v>650000000</v>
      </c>
      <c r="G70" s="24"/>
      <c r="H70" s="5">
        <f t="shared" si="2"/>
        <v>1959181500</v>
      </c>
      <c r="I70" s="5">
        <f t="shared" si="3"/>
        <v>0</v>
      </c>
      <c r="J70" s="36">
        <f t="shared" si="6"/>
        <v>7</v>
      </c>
      <c r="N70" s="91"/>
      <c r="O70" s="144"/>
      <c r="P70" s="91"/>
      <c r="Q70" s="91"/>
      <c r="R70" s="91"/>
      <c r="S70" s="91"/>
    </row>
    <row r="71" spans="1:19" ht="17.25" customHeight="1">
      <c r="A71" s="14">
        <v>41460</v>
      </c>
      <c r="B71" s="23" t="s">
        <v>150</v>
      </c>
      <c r="C71" s="11">
        <v>41460</v>
      </c>
      <c r="D71" s="16" t="s">
        <v>44</v>
      </c>
      <c r="E71" s="12" t="s">
        <v>45</v>
      </c>
      <c r="F71" s="9">
        <v>550000000</v>
      </c>
      <c r="G71" s="24"/>
      <c r="H71" s="5">
        <f t="shared" si="2"/>
        <v>2509181500</v>
      </c>
      <c r="I71" s="5">
        <f t="shared" si="3"/>
        <v>0</v>
      </c>
      <c r="J71" s="36">
        <f t="shared" si="6"/>
        <v>7</v>
      </c>
      <c r="N71" s="91"/>
      <c r="O71" s="144"/>
      <c r="P71" s="91"/>
      <c r="Q71" s="91"/>
      <c r="R71" s="91"/>
      <c r="S71" s="91"/>
    </row>
    <row r="72" spans="1:19" ht="17.25" customHeight="1">
      <c r="A72" s="14">
        <v>41464</v>
      </c>
      <c r="B72" s="23" t="s">
        <v>54</v>
      </c>
      <c r="C72" s="11">
        <v>41464</v>
      </c>
      <c r="D72" s="16" t="s">
        <v>44</v>
      </c>
      <c r="E72" s="37" t="s">
        <v>45</v>
      </c>
      <c r="F72" s="9">
        <v>420000000</v>
      </c>
      <c r="G72" s="57"/>
      <c r="H72" s="5">
        <f t="shared" si="2"/>
        <v>2929181500</v>
      </c>
      <c r="I72" s="5">
        <f t="shared" si="3"/>
        <v>0</v>
      </c>
      <c r="J72" s="36">
        <f t="shared" si="6"/>
        <v>7</v>
      </c>
      <c r="K72" s="202"/>
      <c r="N72" s="91"/>
      <c r="O72" s="144"/>
      <c r="P72" s="91"/>
      <c r="Q72" s="91"/>
      <c r="R72" s="91"/>
      <c r="S72" s="91"/>
    </row>
    <row r="73" spans="1:19" ht="17.25" customHeight="1">
      <c r="A73" s="14">
        <v>41466</v>
      </c>
      <c r="B73" s="23" t="s">
        <v>134</v>
      </c>
      <c r="C73" s="11">
        <v>41466</v>
      </c>
      <c r="D73" s="16" t="s">
        <v>303</v>
      </c>
      <c r="E73" s="37" t="s">
        <v>42</v>
      </c>
      <c r="F73" s="9"/>
      <c r="G73" s="57">
        <v>226937500</v>
      </c>
      <c r="H73" s="5">
        <f t="shared" si="2"/>
        <v>2702244000</v>
      </c>
      <c r="I73" s="5">
        <f t="shared" si="3"/>
        <v>0</v>
      </c>
      <c r="J73" s="36">
        <f t="shared" si="6"/>
        <v>7</v>
      </c>
      <c r="K73" s="203" t="s">
        <v>331</v>
      </c>
      <c r="N73" s="91"/>
      <c r="O73" s="144"/>
      <c r="P73" s="91"/>
      <c r="Q73" s="91"/>
      <c r="R73" s="91"/>
      <c r="S73" s="91"/>
    </row>
    <row r="74" spans="1:19" ht="17.25" customHeight="1">
      <c r="A74" s="14">
        <v>41466</v>
      </c>
      <c r="B74" s="23" t="s">
        <v>134</v>
      </c>
      <c r="C74" s="11">
        <v>41466</v>
      </c>
      <c r="D74" s="16" t="s">
        <v>34</v>
      </c>
      <c r="E74" s="12" t="s">
        <v>42</v>
      </c>
      <c r="F74" s="9"/>
      <c r="G74" s="24">
        <v>209193000</v>
      </c>
      <c r="H74" s="5">
        <f t="shared" si="2"/>
        <v>2493051000</v>
      </c>
      <c r="I74" s="5">
        <f t="shared" si="3"/>
        <v>0</v>
      </c>
      <c r="J74" s="36">
        <f t="shared" si="6"/>
        <v>7</v>
      </c>
      <c r="K74" s="201" t="s">
        <v>332</v>
      </c>
      <c r="N74" s="91"/>
      <c r="O74" s="50"/>
      <c r="P74" s="53"/>
      <c r="Q74" s="142"/>
      <c r="R74" s="106"/>
      <c r="S74" s="59"/>
    </row>
    <row r="75" spans="1:19" ht="17.25" customHeight="1">
      <c r="A75" s="14">
        <v>41466</v>
      </c>
      <c r="B75" s="23" t="s">
        <v>134</v>
      </c>
      <c r="C75" s="11">
        <v>41466</v>
      </c>
      <c r="D75" s="16" t="s">
        <v>39</v>
      </c>
      <c r="E75" s="12" t="s">
        <v>42</v>
      </c>
      <c r="F75" s="9"/>
      <c r="G75" s="24">
        <v>240617000</v>
      </c>
      <c r="H75" s="5">
        <f t="shared" si="2"/>
        <v>2252434000</v>
      </c>
      <c r="I75" s="5">
        <f t="shared" si="3"/>
        <v>0</v>
      </c>
      <c r="J75" s="36">
        <f t="shared" si="6"/>
        <v>7</v>
      </c>
      <c r="K75" s="201" t="s">
        <v>333</v>
      </c>
      <c r="N75" s="91"/>
      <c r="O75" s="50"/>
      <c r="P75" s="53"/>
      <c r="Q75" s="142"/>
      <c r="R75" s="106"/>
      <c r="S75" s="59"/>
    </row>
    <row r="76" spans="1:19" ht="17.25" customHeight="1">
      <c r="A76" s="14">
        <v>41466</v>
      </c>
      <c r="B76" s="23" t="s">
        <v>134</v>
      </c>
      <c r="C76" s="11">
        <v>41466</v>
      </c>
      <c r="D76" s="16" t="s">
        <v>40</v>
      </c>
      <c r="E76" s="12" t="s">
        <v>42</v>
      </c>
      <c r="F76" s="9"/>
      <c r="G76" s="19">
        <v>244518000</v>
      </c>
      <c r="H76" s="5">
        <f t="shared" si="2"/>
        <v>2007916000</v>
      </c>
      <c r="I76" s="5">
        <f t="shared" si="3"/>
        <v>0</v>
      </c>
      <c r="J76" s="36">
        <f t="shared" si="6"/>
        <v>7</v>
      </c>
      <c r="K76" s="201" t="s">
        <v>334</v>
      </c>
      <c r="N76" s="91"/>
      <c r="O76" s="50"/>
      <c r="P76" s="53"/>
      <c r="Q76" s="142"/>
      <c r="R76" s="106"/>
      <c r="S76" s="59"/>
    </row>
    <row r="77" spans="1:19" ht="17.25" customHeight="1">
      <c r="A77" s="14">
        <v>41466</v>
      </c>
      <c r="B77" s="23" t="s">
        <v>134</v>
      </c>
      <c r="C77" s="11">
        <v>41466</v>
      </c>
      <c r="D77" s="16" t="s">
        <v>41</v>
      </c>
      <c r="E77" s="12" t="s">
        <v>42</v>
      </c>
      <c r="F77" s="9"/>
      <c r="G77" s="19">
        <v>242111000</v>
      </c>
      <c r="H77" s="5">
        <f t="shared" si="2"/>
        <v>1765805000</v>
      </c>
      <c r="I77" s="5">
        <f t="shared" si="3"/>
        <v>0</v>
      </c>
      <c r="J77" s="36">
        <f t="shared" si="6"/>
        <v>7</v>
      </c>
      <c r="K77" s="201" t="s">
        <v>335</v>
      </c>
      <c r="N77" s="91"/>
      <c r="O77" s="50"/>
      <c r="P77" s="53"/>
      <c r="Q77" s="142"/>
      <c r="R77" s="106"/>
      <c r="S77" s="59"/>
    </row>
    <row r="78" spans="1:19" ht="17.25" customHeight="1">
      <c r="A78" s="14">
        <v>41466</v>
      </c>
      <c r="B78" s="23" t="s">
        <v>134</v>
      </c>
      <c r="C78" s="11">
        <v>41466</v>
      </c>
      <c r="D78" s="16" t="s">
        <v>37</v>
      </c>
      <c r="E78" s="12" t="s">
        <v>42</v>
      </c>
      <c r="F78" s="9"/>
      <c r="G78" s="19">
        <v>245786000</v>
      </c>
      <c r="H78" s="5">
        <f t="shared" si="2"/>
        <v>1520019000</v>
      </c>
      <c r="I78" s="5">
        <f t="shared" si="3"/>
        <v>0</v>
      </c>
      <c r="J78" s="36">
        <f t="shared" si="6"/>
        <v>7</v>
      </c>
      <c r="K78" s="201" t="s">
        <v>336</v>
      </c>
      <c r="N78" s="91"/>
      <c r="O78" s="50"/>
      <c r="P78" s="53"/>
      <c r="Q78" s="142"/>
      <c r="R78" s="106"/>
      <c r="S78" s="59"/>
    </row>
    <row r="79" spans="1:19" ht="17.25" customHeight="1">
      <c r="A79" s="14">
        <v>41466</v>
      </c>
      <c r="B79" s="23" t="s">
        <v>134</v>
      </c>
      <c r="C79" s="11">
        <v>41466</v>
      </c>
      <c r="D79" s="16" t="s">
        <v>303</v>
      </c>
      <c r="E79" s="12" t="s">
        <v>42</v>
      </c>
      <c r="F79" s="9"/>
      <c r="G79" s="19">
        <v>156060000</v>
      </c>
      <c r="H79" s="5">
        <f t="shared" si="2"/>
        <v>1363959000</v>
      </c>
      <c r="I79" s="5">
        <f t="shared" si="3"/>
        <v>0</v>
      </c>
      <c r="J79" s="36">
        <f t="shared" si="6"/>
        <v>7</v>
      </c>
      <c r="K79" s="201" t="s">
        <v>200</v>
      </c>
      <c r="N79" s="91"/>
      <c r="O79" s="50"/>
      <c r="P79" s="53"/>
      <c r="Q79" s="142"/>
      <c r="R79" s="106"/>
      <c r="S79" s="59"/>
    </row>
    <row r="80" spans="1:19" ht="17.25" customHeight="1">
      <c r="A80" s="14">
        <v>41466</v>
      </c>
      <c r="B80" s="23" t="s">
        <v>134</v>
      </c>
      <c r="C80" s="11">
        <v>41466</v>
      </c>
      <c r="D80" s="16" t="s">
        <v>34</v>
      </c>
      <c r="E80" s="12" t="s">
        <v>42</v>
      </c>
      <c r="F80" s="9"/>
      <c r="G80" s="19">
        <v>284076000</v>
      </c>
      <c r="H80" s="5">
        <f t="shared" si="2"/>
        <v>1079883000</v>
      </c>
      <c r="I80" s="5">
        <f t="shared" si="3"/>
        <v>0</v>
      </c>
      <c r="J80" s="36">
        <f t="shared" si="6"/>
        <v>7</v>
      </c>
      <c r="K80" s="205" t="s">
        <v>337</v>
      </c>
      <c r="N80" s="91"/>
      <c r="O80" s="50"/>
      <c r="P80" s="53"/>
      <c r="Q80" s="105"/>
      <c r="R80" s="106"/>
      <c r="S80" s="59"/>
    </row>
    <row r="81" spans="1:19" ht="17.25" customHeight="1">
      <c r="A81" s="14">
        <v>41466</v>
      </c>
      <c r="B81" s="23" t="s">
        <v>134</v>
      </c>
      <c r="C81" s="11">
        <v>41466</v>
      </c>
      <c r="D81" s="16" t="s">
        <v>39</v>
      </c>
      <c r="E81" s="12" t="s">
        <v>42</v>
      </c>
      <c r="F81" s="9"/>
      <c r="G81" s="19">
        <v>276282000</v>
      </c>
      <c r="H81" s="5">
        <f t="shared" ref="H81:H85" si="7">MAX(H80+F81-G81-I80,0)</f>
        <v>803601000</v>
      </c>
      <c r="I81" s="5">
        <f t="shared" ref="I81:I85" si="8">MAX(I80+G81-F81-H80,0)</f>
        <v>0</v>
      </c>
      <c r="J81" s="36">
        <f t="shared" si="6"/>
        <v>7</v>
      </c>
      <c r="K81" s="205" t="s">
        <v>338</v>
      </c>
      <c r="N81" s="91"/>
      <c r="O81" s="50"/>
      <c r="P81" s="53"/>
      <c r="Q81" s="105"/>
      <c r="R81" s="106"/>
      <c r="S81" s="59"/>
    </row>
    <row r="82" spans="1:19" ht="17.25" customHeight="1">
      <c r="A82" s="14">
        <v>41466</v>
      </c>
      <c r="B82" s="23" t="s">
        <v>134</v>
      </c>
      <c r="C82" s="11">
        <v>41466</v>
      </c>
      <c r="D82" s="16" t="s">
        <v>35</v>
      </c>
      <c r="E82" s="12" t="s">
        <v>42</v>
      </c>
      <c r="F82" s="9"/>
      <c r="G82" s="19">
        <v>108262000</v>
      </c>
      <c r="H82" s="5">
        <f t="shared" si="7"/>
        <v>695339000</v>
      </c>
      <c r="I82" s="5">
        <f t="shared" si="8"/>
        <v>0</v>
      </c>
      <c r="J82" s="36">
        <f t="shared" si="6"/>
        <v>7</v>
      </c>
      <c r="K82" s="205" t="s">
        <v>330</v>
      </c>
      <c r="N82" s="91"/>
      <c r="O82" s="50"/>
      <c r="P82" s="53"/>
      <c r="Q82" s="105"/>
      <c r="R82" s="106"/>
      <c r="S82" s="59"/>
    </row>
    <row r="83" spans="1:19" ht="17.25" customHeight="1">
      <c r="A83" s="14">
        <v>41466</v>
      </c>
      <c r="B83" s="23" t="s">
        <v>134</v>
      </c>
      <c r="C83" s="11">
        <v>41466</v>
      </c>
      <c r="D83" s="16" t="s">
        <v>40</v>
      </c>
      <c r="E83" s="37" t="s">
        <v>42</v>
      </c>
      <c r="F83" s="9"/>
      <c r="G83" s="9">
        <v>138707000</v>
      </c>
      <c r="H83" s="5">
        <f t="shared" si="7"/>
        <v>556632000</v>
      </c>
      <c r="I83" s="5">
        <f t="shared" si="8"/>
        <v>0</v>
      </c>
      <c r="J83" s="36">
        <f t="shared" si="6"/>
        <v>7</v>
      </c>
      <c r="K83" s="202" t="s">
        <v>253</v>
      </c>
      <c r="N83" s="91"/>
      <c r="O83" s="50"/>
      <c r="P83" s="53"/>
      <c r="Q83" s="142"/>
      <c r="R83" s="106"/>
      <c r="S83" s="106"/>
    </row>
    <row r="84" spans="1:19" ht="17.25" customHeight="1">
      <c r="A84" s="14">
        <v>41466</v>
      </c>
      <c r="B84" s="23" t="s">
        <v>134</v>
      </c>
      <c r="C84" s="11">
        <v>41466</v>
      </c>
      <c r="D84" s="16" t="s">
        <v>41</v>
      </c>
      <c r="E84" s="37" t="s">
        <v>42</v>
      </c>
      <c r="F84" s="9"/>
      <c r="G84" s="19">
        <v>142477000</v>
      </c>
      <c r="H84" s="5">
        <f t="shared" si="7"/>
        <v>414155000</v>
      </c>
      <c r="I84" s="5">
        <f t="shared" si="8"/>
        <v>0</v>
      </c>
      <c r="J84" s="36">
        <f t="shared" si="6"/>
        <v>7</v>
      </c>
      <c r="K84" s="201" t="s">
        <v>281</v>
      </c>
      <c r="N84" s="91"/>
      <c r="O84" s="50"/>
      <c r="P84" s="53"/>
      <c r="Q84" s="142"/>
      <c r="R84" s="106"/>
      <c r="S84" s="59"/>
    </row>
    <row r="85" spans="1:19" ht="17.25" customHeight="1">
      <c r="A85" s="14">
        <v>41466</v>
      </c>
      <c r="B85" s="23" t="s">
        <v>134</v>
      </c>
      <c r="C85" s="11">
        <v>41466</v>
      </c>
      <c r="D85" s="16" t="s">
        <v>37</v>
      </c>
      <c r="E85" s="37" t="s">
        <v>42</v>
      </c>
      <c r="F85" s="9"/>
      <c r="G85" s="9">
        <v>280807000</v>
      </c>
      <c r="H85" s="5">
        <f t="shared" si="7"/>
        <v>133348000</v>
      </c>
      <c r="I85" s="5">
        <f t="shared" si="8"/>
        <v>0</v>
      </c>
      <c r="J85" s="36">
        <f t="shared" ref="J85" si="9">IF(A85&lt;&gt;"",MONTH(A85),"")</f>
        <v>7</v>
      </c>
      <c r="K85" s="202" t="s">
        <v>339</v>
      </c>
      <c r="N85" s="91"/>
      <c r="O85" s="50"/>
      <c r="P85" s="53"/>
      <c r="Q85" s="142"/>
      <c r="R85" s="106"/>
      <c r="S85" s="106"/>
    </row>
    <row r="86" spans="1:19" ht="17.25" customHeight="1">
      <c r="A86" s="14">
        <v>41466</v>
      </c>
      <c r="B86" s="23" t="s">
        <v>134</v>
      </c>
      <c r="C86" s="11">
        <v>41466</v>
      </c>
      <c r="D86" s="16" t="s">
        <v>38</v>
      </c>
      <c r="E86" s="12" t="s">
        <v>42</v>
      </c>
      <c r="F86" s="9"/>
      <c r="G86" s="19">
        <v>126742000</v>
      </c>
      <c r="H86" s="5">
        <f t="shared" ref="H86:H100" si="10">MAX(H85+F86-G86-I85,0)</f>
        <v>6606000</v>
      </c>
      <c r="I86" s="5">
        <f t="shared" ref="I86:I100" si="11">MAX(I85+G86-F86-H85,0)</f>
        <v>0</v>
      </c>
      <c r="J86" s="36">
        <f t="shared" si="6"/>
        <v>7</v>
      </c>
      <c r="K86" s="201" t="s">
        <v>329</v>
      </c>
      <c r="N86" s="91"/>
      <c r="O86" s="50"/>
      <c r="P86" s="53"/>
      <c r="Q86" s="142"/>
      <c r="R86" s="106"/>
      <c r="S86" s="59"/>
    </row>
    <row r="87" spans="1:19" ht="17.25" customHeight="1">
      <c r="A87" s="14">
        <v>41466</v>
      </c>
      <c r="B87" s="23" t="s">
        <v>57</v>
      </c>
      <c r="C87" s="11">
        <v>41466</v>
      </c>
      <c r="D87" s="16" t="s">
        <v>44</v>
      </c>
      <c r="E87" s="12" t="s">
        <v>45</v>
      </c>
      <c r="F87" s="9">
        <v>600000000</v>
      </c>
      <c r="G87" s="19"/>
      <c r="H87" s="5">
        <f t="shared" si="10"/>
        <v>606606000</v>
      </c>
      <c r="I87" s="5">
        <f t="shared" si="11"/>
        <v>0</v>
      </c>
      <c r="J87" s="36">
        <f t="shared" si="6"/>
        <v>7</v>
      </c>
      <c r="K87" s="201"/>
      <c r="N87" s="91"/>
      <c r="O87" s="50"/>
      <c r="P87" s="53"/>
      <c r="Q87" s="142"/>
      <c r="R87" s="106"/>
      <c r="S87" s="59"/>
    </row>
    <row r="88" spans="1:19" ht="17.25" customHeight="1">
      <c r="A88" s="14">
        <v>41472</v>
      </c>
      <c r="B88" s="23" t="s">
        <v>58</v>
      </c>
      <c r="C88" s="11">
        <v>41472</v>
      </c>
      <c r="D88" s="16" t="s">
        <v>44</v>
      </c>
      <c r="E88" s="12" t="s">
        <v>45</v>
      </c>
      <c r="F88" s="9">
        <v>500000000</v>
      </c>
      <c r="G88" s="19"/>
      <c r="H88" s="5">
        <f t="shared" si="10"/>
        <v>1106606000</v>
      </c>
      <c r="I88" s="5">
        <f t="shared" si="11"/>
        <v>0</v>
      </c>
      <c r="J88" s="36">
        <f t="shared" si="6"/>
        <v>7</v>
      </c>
      <c r="K88" s="201"/>
      <c r="N88" s="91"/>
      <c r="O88" s="50"/>
      <c r="P88" s="53"/>
      <c r="Q88" s="142"/>
      <c r="R88" s="106"/>
      <c r="S88" s="59"/>
    </row>
    <row r="89" spans="1:19" ht="17.25" customHeight="1">
      <c r="A89" s="14">
        <v>41473</v>
      </c>
      <c r="B89" s="23" t="s">
        <v>62</v>
      </c>
      <c r="C89" s="11">
        <v>41473</v>
      </c>
      <c r="D89" s="16" t="s">
        <v>44</v>
      </c>
      <c r="E89" s="12" t="s">
        <v>45</v>
      </c>
      <c r="F89" s="9">
        <v>600000000</v>
      </c>
      <c r="G89" s="19"/>
      <c r="H89" s="5">
        <f t="shared" si="10"/>
        <v>1706606000</v>
      </c>
      <c r="I89" s="5">
        <f t="shared" si="11"/>
        <v>0</v>
      </c>
      <c r="J89" s="36">
        <f t="shared" si="6"/>
        <v>7</v>
      </c>
      <c r="K89" s="201"/>
      <c r="N89" s="91"/>
      <c r="O89" s="50"/>
      <c r="P89" s="53"/>
      <c r="Q89" s="142"/>
      <c r="R89" s="106"/>
      <c r="S89" s="59"/>
    </row>
    <row r="90" spans="1:19" ht="17.25" customHeight="1">
      <c r="A90" s="14">
        <v>41486</v>
      </c>
      <c r="B90" s="23" t="s">
        <v>137</v>
      </c>
      <c r="C90" s="11">
        <v>41486</v>
      </c>
      <c r="D90" s="16" t="s">
        <v>302</v>
      </c>
      <c r="E90" s="12" t="s">
        <v>42</v>
      </c>
      <c r="F90" s="9"/>
      <c r="G90" s="19">
        <v>205252306</v>
      </c>
      <c r="H90" s="5">
        <f t="shared" si="10"/>
        <v>1501353694</v>
      </c>
      <c r="I90" s="5">
        <f t="shared" si="11"/>
        <v>0</v>
      </c>
      <c r="J90" s="36">
        <f t="shared" si="6"/>
        <v>7</v>
      </c>
      <c r="K90" s="206" t="s">
        <v>340</v>
      </c>
      <c r="N90" s="91"/>
      <c r="O90" s="50"/>
      <c r="P90" s="53"/>
      <c r="Q90" s="105"/>
      <c r="R90" s="106"/>
      <c r="S90" s="59"/>
    </row>
    <row r="91" spans="1:19" ht="17.25" customHeight="1">
      <c r="A91" s="14">
        <v>41486</v>
      </c>
      <c r="B91" s="23" t="s">
        <v>137</v>
      </c>
      <c r="C91" s="11">
        <v>41486</v>
      </c>
      <c r="D91" s="16" t="s">
        <v>144</v>
      </c>
      <c r="E91" s="12" t="s">
        <v>42</v>
      </c>
      <c r="F91" s="9"/>
      <c r="G91" s="19">
        <v>109908500</v>
      </c>
      <c r="H91" s="5">
        <f t="shared" si="10"/>
        <v>1391445194</v>
      </c>
      <c r="I91" s="5">
        <f t="shared" si="11"/>
        <v>0</v>
      </c>
      <c r="J91" s="36">
        <f t="shared" si="6"/>
        <v>7</v>
      </c>
      <c r="K91" s="206" t="s">
        <v>275</v>
      </c>
      <c r="N91" s="91"/>
      <c r="O91" s="50"/>
      <c r="P91" s="53"/>
      <c r="Q91" s="105"/>
      <c r="R91" s="106"/>
      <c r="S91" s="59"/>
    </row>
    <row r="92" spans="1:19" ht="17.25" customHeight="1">
      <c r="A92" s="14">
        <v>41486</v>
      </c>
      <c r="B92" s="23" t="s">
        <v>137</v>
      </c>
      <c r="C92" s="11">
        <v>41486</v>
      </c>
      <c r="D92" s="16" t="s">
        <v>157</v>
      </c>
      <c r="E92" s="12" t="s">
        <v>42</v>
      </c>
      <c r="F92" s="9"/>
      <c r="G92" s="19">
        <v>211333488</v>
      </c>
      <c r="H92" s="5">
        <f t="shared" si="10"/>
        <v>1180111706</v>
      </c>
      <c r="I92" s="5">
        <f t="shared" si="11"/>
        <v>0</v>
      </c>
      <c r="J92" s="36">
        <f t="shared" si="6"/>
        <v>7</v>
      </c>
      <c r="K92" s="206" t="s">
        <v>341</v>
      </c>
      <c r="N92" s="91"/>
      <c r="O92" s="50"/>
      <c r="P92" s="53"/>
      <c r="Q92" s="105"/>
      <c r="R92" s="106"/>
      <c r="S92" s="59"/>
    </row>
    <row r="93" spans="1:19" ht="17.25" customHeight="1">
      <c r="A93" s="14">
        <v>41486</v>
      </c>
      <c r="B93" s="23" t="s">
        <v>137</v>
      </c>
      <c r="C93" s="11">
        <v>41486</v>
      </c>
      <c r="D93" s="16" t="s">
        <v>141</v>
      </c>
      <c r="E93" s="12" t="s">
        <v>42</v>
      </c>
      <c r="F93" s="9"/>
      <c r="G93" s="19">
        <v>316896000</v>
      </c>
      <c r="H93" s="5">
        <f t="shared" si="10"/>
        <v>863215706</v>
      </c>
      <c r="I93" s="5">
        <f t="shared" si="11"/>
        <v>0</v>
      </c>
      <c r="J93" s="36">
        <f t="shared" si="6"/>
        <v>7</v>
      </c>
      <c r="K93" s="206" t="s">
        <v>342</v>
      </c>
      <c r="N93" s="91"/>
      <c r="O93" s="50"/>
      <c r="P93" s="53"/>
      <c r="Q93" s="105"/>
      <c r="R93" s="106"/>
      <c r="S93" s="59"/>
    </row>
    <row r="94" spans="1:19" ht="17.25" customHeight="1">
      <c r="A94" s="14">
        <v>41486</v>
      </c>
      <c r="B94" s="23" t="s">
        <v>137</v>
      </c>
      <c r="C94" s="11">
        <v>41486</v>
      </c>
      <c r="D94" s="16" t="s">
        <v>302</v>
      </c>
      <c r="E94" s="12" t="s">
        <v>42</v>
      </c>
      <c r="F94" s="9"/>
      <c r="G94" s="19">
        <v>95680000</v>
      </c>
      <c r="H94" s="5">
        <f t="shared" si="10"/>
        <v>767535706</v>
      </c>
      <c r="I94" s="5">
        <f t="shared" si="11"/>
        <v>0</v>
      </c>
      <c r="J94" s="36">
        <f t="shared" si="6"/>
        <v>7</v>
      </c>
      <c r="K94" s="201" t="s">
        <v>251</v>
      </c>
      <c r="N94" s="91"/>
      <c r="O94" s="50"/>
      <c r="P94" s="53"/>
      <c r="Q94" s="142"/>
      <c r="R94" s="106"/>
      <c r="S94" s="59"/>
    </row>
    <row r="95" spans="1:19" ht="17.25" customHeight="1">
      <c r="A95" s="14">
        <v>41486</v>
      </c>
      <c r="B95" s="23" t="s">
        <v>137</v>
      </c>
      <c r="C95" s="11">
        <v>41486</v>
      </c>
      <c r="D95" s="16" t="s">
        <v>144</v>
      </c>
      <c r="E95" s="12" t="s">
        <v>42</v>
      </c>
      <c r="F95" s="9"/>
      <c r="G95" s="19">
        <v>188480000</v>
      </c>
      <c r="H95" s="5">
        <f t="shared" si="10"/>
        <v>579055706</v>
      </c>
      <c r="I95" s="5">
        <f t="shared" si="11"/>
        <v>0</v>
      </c>
      <c r="J95" s="36">
        <f t="shared" si="6"/>
        <v>7</v>
      </c>
      <c r="K95" s="201" t="s">
        <v>343</v>
      </c>
      <c r="N95" s="91"/>
      <c r="O95" s="50"/>
      <c r="P95" s="53"/>
      <c r="Q95" s="142"/>
      <c r="R95" s="106"/>
      <c r="S95" s="59"/>
    </row>
    <row r="96" spans="1:19" ht="17.25" customHeight="1">
      <c r="A96" s="14">
        <v>41486</v>
      </c>
      <c r="B96" s="23" t="s">
        <v>137</v>
      </c>
      <c r="C96" s="11">
        <v>41486</v>
      </c>
      <c r="D96" s="16" t="s">
        <v>157</v>
      </c>
      <c r="E96" s="12" t="s">
        <v>42</v>
      </c>
      <c r="F96" s="9"/>
      <c r="G96" s="19">
        <v>289792000</v>
      </c>
      <c r="H96" s="5">
        <f t="shared" si="10"/>
        <v>289263706</v>
      </c>
      <c r="I96" s="5">
        <f t="shared" si="11"/>
        <v>0</v>
      </c>
      <c r="J96" s="36">
        <f t="shared" si="6"/>
        <v>7</v>
      </c>
      <c r="K96" s="201" t="s">
        <v>344</v>
      </c>
      <c r="N96" s="91"/>
      <c r="O96" s="50"/>
      <c r="P96" s="53"/>
      <c r="Q96" s="142"/>
      <c r="R96" s="106"/>
      <c r="S96" s="59"/>
    </row>
    <row r="97" spans="1:19" ht="17.25" customHeight="1">
      <c r="A97" s="11">
        <v>41486</v>
      </c>
      <c r="B97" s="17" t="s">
        <v>137</v>
      </c>
      <c r="C97" s="11">
        <v>41486</v>
      </c>
      <c r="D97" s="16" t="s">
        <v>141</v>
      </c>
      <c r="E97" s="37" t="s">
        <v>42</v>
      </c>
      <c r="F97" s="9"/>
      <c r="G97" s="19">
        <v>281296000</v>
      </c>
      <c r="H97" s="5">
        <f t="shared" si="10"/>
        <v>7967706</v>
      </c>
      <c r="I97" s="5">
        <f t="shared" si="11"/>
        <v>0</v>
      </c>
      <c r="J97" s="36">
        <f t="shared" si="6"/>
        <v>7</v>
      </c>
      <c r="K97" s="205" t="s">
        <v>345</v>
      </c>
      <c r="N97" s="110"/>
      <c r="O97" s="50"/>
      <c r="P97" s="53"/>
      <c r="Q97" s="105"/>
      <c r="R97" s="106"/>
      <c r="S97" s="59"/>
    </row>
    <row r="98" spans="1:19" ht="17.25" customHeight="1">
      <c r="A98" s="14">
        <v>41498</v>
      </c>
      <c r="B98" s="23" t="s">
        <v>150</v>
      </c>
      <c r="C98" s="11">
        <v>41498</v>
      </c>
      <c r="D98" s="16" t="s">
        <v>44</v>
      </c>
      <c r="E98" s="12" t="s">
        <v>45</v>
      </c>
      <c r="F98" s="9">
        <v>600000000</v>
      </c>
      <c r="G98" s="9"/>
      <c r="H98" s="5">
        <f t="shared" si="10"/>
        <v>607967706</v>
      </c>
      <c r="I98" s="5">
        <f t="shared" si="11"/>
        <v>0</v>
      </c>
      <c r="J98" s="36">
        <f t="shared" si="6"/>
        <v>8</v>
      </c>
      <c r="K98" s="203"/>
      <c r="N98" s="91"/>
      <c r="O98" s="50"/>
      <c r="P98" s="53"/>
      <c r="Q98" s="142"/>
      <c r="R98" s="106"/>
      <c r="S98" s="106"/>
    </row>
    <row r="99" spans="1:19" ht="17.25" customHeight="1">
      <c r="A99" s="14">
        <v>41499</v>
      </c>
      <c r="B99" s="23" t="s">
        <v>158</v>
      </c>
      <c r="C99" s="11">
        <v>41499</v>
      </c>
      <c r="D99" s="16" t="s">
        <v>44</v>
      </c>
      <c r="E99" s="12" t="s">
        <v>45</v>
      </c>
      <c r="F99" s="9">
        <v>550000000</v>
      </c>
      <c r="G99" s="19"/>
      <c r="H99" s="5">
        <f t="shared" si="10"/>
        <v>1157967706</v>
      </c>
      <c r="I99" s="5">
        <f t="shared" si="11"/>
        <v>0</v>
      </c>
      <c r="J99" s="36">
        <f t="shared" ref="J99:J149" si="12">IF(A99&lt;&gt;"",MONTH(A99),"")</f>
        <v>8</v>
      </c>
      <c r="K99" s="201"/>
      <c r="N99" s="91"/>
      <c r="O99" s="50"/>
      <c r="P99" s="53"/>
      <c r="Q99" s="142"/>
      <c r="R99" s="106"/>
      <c r="S99" s="59"/>
    </row>
    <row r="100" spans="1:19" ht="17.25" customHeight="1">
      <c r="A100" s="14">
        <v>41501</v>
      </c>
      <c r="B100" s="23" t="s">
        <v>61</v>
      </c>
      <c r="C100" s="11">
        <v>41501</v>
      </c>
      <c r="D100" s="16" t="s">
        <v>44</v>
      </c>
      <c r="E100" s="12" t="s">
        <v>45</v>
      </c>
      <c r="F100" s="9">
        <v>550000000</v>
      </c>
      <c r="G100" s="19"/>
      <c r="H100" s="5">
        <f t="shared" si="10"/>
        <v>1707967706</v>
      </c>
      <c r="I100" s="5">
        <f t="shared" si="11"/>
        <v>0</v>
      </c>
      <c r="J100" s="36">
        <f t="shared" si="12"/>
        <v>8</v>
      </c>
      <c r="K100" s="201"/>
      <c r="N100" s="91"/>
      <c r="O100" s="50"/>
      <c r="P100" s="53"/>
      <c r="Q100" s="142"/>
      <c r="R100" s="106"/>
      <c r="S100" s="59"/>
    </row>
    <row r="101" spans="1:19" ht="17.25" customHeight="1">
      <c r="A101" s="14">
        <v>41514</v>
      </c>
      <c r="B101" s="23" t="s">
        <v>193</v>
      </c>
      <c r="C101" s="11">
        <v>41514</v>
      </c>
      <c r="D101" s="16" t="s">
        <v>44</v>
      </c>
      <c r="E101" s="12" t="s">
        <v>45</v>
      </c>
      <c r="F101" s="9">
        <v>450000000</v>
      </c>
      <c r="G101" s="19"/>
      <c r="H101" s="5">
        <f t="shared" ref="H101:H149" si="13">MAX(H100+F101-G101-I100,0)</f>
        <v>2157967706</v>
      </c>
      <c r="I101" s="5">
        <f t="shared" ref="I101:I149" si="14">MAX(I100+G101-F101-H100,0)</f>
        <v>0</v>
      </c>
      <c r="J101" s="36">
        <f t="shared" si="12"/>
        <v>8</v>
      </c>
      <c r="K101" s="201"/>
      <c r="N101" s="91"/>
      <c r="O101" s="50"/>
      <c r="P101" s="53"/>
      <c r="Q101" s="142"/>
      <c r="R101" s="106"/>
      <c r="S101" s="59"/>
    </row>
    <row r="102" spans="1:19" ht="17.25" customHeight="1">
      <c r="A102" s="14">
        <v>41515</v>
      </c>
      <c r="B102" s="23" t="s">
        <v>165</v>
      </c>
      <c r="C102" s="11">
        <v>41515</v>
      </c>
      <c r="D102" s="16" t="s">
        <v>44</v>
      </c>
      <c r="E102" s="12" t="s">
        <v>45</v>
      </c>
      <c r="F102" s="9">
        <v>350000000</v>
      </c>
      <c r="G102" s="19"/>
      <c r="H102" s="5">
        <f t="shared" si="13"/>
        <v>2507967706</v>
      </c>
      <c r="I102" s="5">
        <f t="shared" si="14"/>
        <v>0</v>
      </c>
      <c r="J102" s="36">
        <f t="shared" si="12"/>
        <v>8</v>
      </c>
      <c r="K102" s="201"/>
      <c r="N102" s="91"/>
      <c r="O102" s="50"/>
      <c r="P102" s="53"/>
      <c r="Q102" s="142"/>
      <c r="R102" s="106"/>
      <c r="S102" s="59"/>
    </row>
    <row r="103" spans="1:19" ht="17.25" customHeight="1">
      <c r="A103" s="14">
        <v>41517</v>
      </c>
      <c r="B103" s="23" t="s">
        <v>159</v>
      </c>
      <c r="C103" s="11">
        <v>41517</v>
      </c>
      <c r="D103" s="16" t="s">
        <v>303</v>
      </c>
      <c r="E103" s="12" t="s">
        <v>42</v>
      </c>
      <c r="F103" s="9"/>
      <c r="G103" s="19">
        <v>104310000</v>
      </c>
      <c r="H103" s="5">
        <f t="shared" si="13"/>
        <v>2403657706</v>
      </c>
      <c r="I103" s="5">
        <f t="shared" si="14"/>
        <v>0</v>
      </c>
      <c r="J103" s="36">
        <f t="shared" si="12"/>
        <v>8</v>
      </c>
      <c r="K103" s="201" t="s">
        <v>282</v>
      </c>
      <c r="N103" s="91"/>
      <c r="O103" s="50"/>
      <c r="P103" s="53"/>
      <c r="Q103" s="142"/>
      <c r="R103" s="106"/>
      <c r="S103" s="59"/>
    </row>
    <row r="104" spans="1:19" ht="17.25" customHeight="1">
      <c r="A104" s="14">
        <v>41517</v>
      </c>
      <c r="B104" s="23" t="s">
        <v>159</v>
      </c>
      <c r="C104" s="11">
        <v>41517</v>
      </c>
      <c r="D104" s="16" t="s">
        <v>39</v>
      </c>
      <c r="E104" s="12" t="s">
        <v>42</v>
      </c>
      <c r="F104" s="9"/>
      <c r="G104" s="19">
        <v>93823000</v>
      </c>
      <c r="H104" s="5">
        <f t="shared" si="13"/>
        <v>2309834706</v>
      </c>
      <c r="I104" s="5">
        <f t="shared" si="14"/>
        <v>0</v>
      </c>
      <c r="J104" s="36">
        <f t="shared" si="12"/>
        <v>8</v>
      </c>
      <c r="K104" s="201" t="s">
        <v>260</v>
      </c>
      <c r="N104" s="91"/>
      <c r="O104" s="50"/>
      <c r="P104" s="53"/>
      <c r="Q104" s="142"/>
      <c r="R104" s="106"/>
      <c r="S104" s="59"/>
    </row>
    <row r="105" spans="1:19" ht="17.25" customHeight="1">
      <c r="A105" s="14">
        <v>41517</v>
      </c>
      <c r="B105" s="23" t="s">
        <v>159</v>
      </c>
      <c r="C105" s="11">
        <v>41517</v>
      </c>
      <c r="D105" s="16" t="s">
        <v>35</v>
      </c>
      <c r="E105" s="12" t="s">
        <v>42</v>
      </c>
      <c r="F105" s="9"/>
      <c r="G105" s="19">
        <v>109004000</v>
      </c>
      <c r="H105" s="5">
        <f t="shared" si="13"/>
        <v>2200830706</v>
      </c>
      <c r="I105" s="5">
        <f t="shared" si="14"/>
        <v>0</v>
      </c>
      <c r="J105" s="36">
        <f t="shared" si="12"/>
        <v>8</v>
      </c>
      <c r="K105" s="201" t="s">
        <v>224</v>
      </c>
      <c r="N105" s="91"/>
      <c r="O105" s="50"/>
      <c r="P105" s="53"/>
      <c r="Q105" s="142"/>
      <c r="R105" s="106"/>
      <c r="S105" s="59"/>
    </row>
    <row r="106" spans="1:19" ht="17.25" customHeight="1">
      <c r="A106" s="14">
        <v>41517</v>
      </c>
      <c r="B106" s="23" t="s">
        <v>159</v>
      </c>
      <c r="C106" s="11">
        <v>41517</v>
      </c>
      <c r="D106" s="16" t="s">
        <v>294</v>
      </c>
      <c r="E106" s="12" t="s">
        <v>42</v>
      </c>
      <c r="F106" s="9"/>
      <c r="G106" s="19">
        <v>105696000</v>
      </c>
      <c r="H106" s="5">
        <f t="shared" si="13"/>
        <v>2095134706</v>
      </c>
      <c r="I106" s="5">
        <f t="shared" si="14"/>
        <v>0</v>
      </c>
      <c r="J106" s="36">
        <f t="shared" si="12"/>
        <v>8</v>
      </c>
      <c r="K106" s="201" t="s">
        <v>281</v>
      </c>
      <c r="N106" s="91"/>
      <c r="O106" s="50"/>
      <c r="P106" s="53"/>
      <c r="Q106" s="142"/>
      <c r="R106" s="106"/>
      <c r="S106" s="59"/>
    </row>
    <row r="107" spans="1:19" ht="17.25" customHeight="1">
      <c r="A107" s="14">
        <v>41517</v>
      </c>
      <c r="B107" s="23" t="s">
        <v>159</v>
      </c>
      <c r="C107" s="11">
        <v>41517</v>
      </c>
      <c r="D107" s="16" t="s">
        <v>302</v>
      </c>
      <c r="E107" s="12" t="s">
        <v>42</v>
      </c>
      <c r="F107" s="9"/>
      <c r="G107" s="19">
        <v>68832000</v>
      </c>
      <c r="H107" s="5">
        <f t="shared" si="13"/>
        <v>2026302706</v>
      </c>
      <c r="I107" s="5">
        <f t="shared" si="14"/>
        <v>0</v>
      </c>
      <c r="J107" s="36">
        <f t="shared" si="12"/>
        <v>8</v>
      </c>
      <c r="K107" s="201" t="s">
        <v>200</v>
      </c>
      <c r="N107" s="91"/>
      <c r="O107" s="50"/>
      <c r="P107" s="53"/>
      <c r="Q107" s="142"/>
      <c r="R107" s="106"/>
      <c r="S107" s="59"/>
    </row>
    <row r="108" spans="1:19" ht="17.25" customHeight="1">
      <c r="A108" s="14">
        <v>41517</v>
      </c>
      <c r="B108" s="23" t="s">
        <v>159</v>
      </c>
      <c r="C108" s="11">
        <v>41517</v>
      </c>
      <c r="D108" s="16" t="s">
        <v>296</v>
      </c>
      <c r="E108" s="12" t="s">
        <v>42</v>
      </c>
      <c r="F108" s="9"/>
      <c r="G108" s="19">
        <v>167868000</v>
      </c>
      <c r="H108" s="5">
        <f t="shared" si="13"/>
        <v>1858434706</v>
      </c>
      <c r="I108" s="5">
        <f t="shared" si="14"/>
        <v>0</v>
      </c>
      <c r="J108" s="36">
        <f t="shared" si="12"/>
        <v>8</v>
      </c>
      <c r="K108" s="201" t="s">
        <v>346</v>
      </c>
      <c r="N108" s="91"/>
      <c r="O108" s="50"/>
      <c r="P108" s="53"/>
      <c r="Q108" s="142"/>
      <c r="R108" s="106"/>
      <c r="S108" s="59"/>
    </row>
    <row r="109" spans="1:19" ht="17.25" customHeight="1">
      <c r="A109" s="14">
        <v>41517</v>
      </c>
      <c r="B109" s="23" t="s">
        <v>159</v>
      </c>
      <c r="C109" s="11">
        <v>41517</v>
      </c>
      <c r="D109" s="16" t="s">
        <v>304</v>
      </c>
      <c r="E109" s="12" t="s">
        <v>42</v>
      </c>
      <c r="F109" s="9"/>
      <c r="G109" s="19">
        <v>101677000</v>
      </c>
      <c r="H109" s="5">
        <f t="shared" si="13"/>
        <v>1756757706</v>
      </c>
      <c r="I109" s="5">
        <f t="shared" si="14"/>
        <v>0</v>
      </c>
      <c r="J109" s="36">
        <f t="shared" si="12"/>
        <v>8</v>
      </c>
      <c r="K109" s="201" t="s">
        <v>347</v>
      </c>
      <c r="N109" s="91"/>
      <c r="O109" s="50"/>
      <c r="P109" s="53"/>
      <c r="Q109" s="142"/>
      <c r="R109" s="106"/>
      <c r="S109" s="59"/>
    </row>
    <row r="110" spans="1:19" ht="17.25" customHeight="1">
      <c r="A110" s="14">
        <v>41517</v>
      </c>
      <c r="B110" s="23" t="s">
        <v>159</v>
      </c>
      <c r="C110" s="11">
        <v>41517</v>
      </c>
      <c r="D110" s="16" t="s">
        <v>305</v>
      </c>
      <c r="E110" s="12" t="s">
        <v>42</v>
      </c>
      <c r="F110" s="9"/>
      <c r="G110" s="19">
        <v>98821000</v>
      </c>
      <c r="H110" s="5">
        <f t="shared" si="13"/>
        <v>1657936706</v>
      </c>
      <c r="I110" s="5">
        <f t="shared" si="14"/>
        <v>0</v>
      </c>
      <c r="J110" s="36">
        <f t="shared" si="12"/>
        <v>8</v>
      </c>
      <c r="K110" s="201" t="s">
        <v>348</v>
      </c>
      <c r="N110" s="91"/>
      <c r="O110" s="50"/>
      <c r="P110" s="53"/>
      <c r="Q110" s="142"/>
      <c r="R110" s="106"/>
      <c r="S110" s="59"/>
    </row>
    <row r="111" spans="1:19" ht="17.25" customHeight="1">
      <c r="A111" s="14">
        <v>41517</v>
      </c>
      <c r="B111" s="23" t="s">
        <v>159</v>
      </c>
      <c r="C111" s="11">
        <v>41517</v>
      </c>
      <c r="D111" s="16" t="s">
        <v>306</v>
      </c>
      <c r="E111" s="12" t="s">
        <v>42</v>
      </c>
      <c r="F111" s="9"/>
      <c r="G111" s="19">
        <v>99558000</v>
      </c>
      <c r="H111" s="5">
        <f t="shared" si="13"/>
        <v>1558378706</v>
      </c>
      <c r="I111" s="5">
        <f t="shared" si="14"/>
        <v>0</v>
      </c>
      <c r="J111" s="36">
        <f t="shared" si="12"/>
        <v>8</v>
      </c>
      <c r="K111" s="201" t="s">
        <v>349</v>
      </c>
      <c r="N111" s="91"/>
      <c r="O111" s="50"/>
      <c r="P111" s="53"/>
      <c r="Q111" s="142"/>
      <c r="R111" s="106"/>
      <c r="S111" s="59"/>
    </row>
    <row r="112" spans="1:19" ht="17.25" customHeight="1">
      <c r="A112" s="14">
        <v>41517</v>
      </c>
      <c r="B112" s="23" t="s">
        <v>159</v>
      </c>
      <c r="C112" s="11">
        <v>41517</v>
      </c>
      <c r="D112" s="16" t="s">
        <v>40</v>
      </c>
      <c r="E112" s="12" t="s">
        <v>42</v>
      </c>
      <c r="F112" s="9"/>
      <c r="G112" s="19">
        <v>97580000</v>
      </c>
      <c r="H112" s="5">
        <f t="shared" si="13"/>
        <v>1460798706</v>
      </c>
      <c r="I112" s="5">
        <f t="shared" si="14"/>
        <v>0</v>
      </c>
      <c r="J112" s="36">
        <f t="shared" si="12"/>
        <v>8</v>
      </c>
      <c r="K112" s="201" t="s">
        <v>350</v>
      </c>
      <c r="N112" s="91"/>
      <c r="O112" s="50"/>
      <c r="P112" s="53"/>
      <c r="Q112" s="142"/>
      <c r="R112" s="106"/>
      <c r="S112" s="59"/>
    </row>
    <row r="113" spans="1:19" ht="17.25" customHeight="1">
      <c r="A113" s="14">
        <v>41517</v>
      </c>
      <c r="B113" s="23" t="s">
        <v>159</v>
      </c>
      <c r="C113" s="11">
        <v>41517</v>
      </c>
      <c r="D113" s="16" t="s">
        <v>46</v>
      </c>
      <c r="E113" s="12" t="s">
        <v>42</v>
      </c>
      <c r="F113" s="9"/>
      <c r="G113" s="19">
        <v>77112000</v>
      </c>
      <c r="H113" s="5">
        <f t="shared" si="13"/>
        <v>1383686706</v>
      </c>
      <c r="I113" s="5">
        <f t="shared" si="14"/>
        <v>0</v>
      </c>
      <c r="J113" s="36">
        <f t="shared" si="12"/>
        <v>8</v>
      </c>
      <c r="K113" s="201" t="s">
        <v>323</v>
      </c>
      <c r="N113" s="91"/>
      <c r="O113" s="50"/>
      <c r="P113" s="53"/>
      <c r="Q113" s="142"/>
      <c r="R113" s="106"/>
      <c r="S113" s="59"/>
    </row>
    <row r="114" spans="1:19" ht="17.25" customHeight="1">
      <c r="A114" s="14">
        <v>41517</v>
      </c>
      <c r="B114" s="23" t="s">
        <v>159</v>
      </c>
      <c r="C114" s="11">
        <v>41517</v>
      </c>
      <c r="D114" s="16" t="s">
        <v>144</v>
      </c>
      <c r="E114" s="12" t="s">
        <v>42</v>
      </c>
      <c r="F114" s="9"/>
      <c r="G114" s="19">
        <v>104482000</v>
      </c>
      <c r="H114" s="5">
        <f t="shared" si="13"/>
        <v>1279204706</v>
      </c>
      <c r="I114" s="5">
        <f t="shared" si="14"/>
        <v>0</v>
      </c>
      <c r="J114" s="36">
        <f t="shared" si="12"/>
        <v>8</v>
      </c>
      <c r="K114" s="201" t="s">
        <v>351</v>
      </c>
      <c r="N114" s="91"/>
      <c r="O114" s="50"/>
      <c r="P114" s="53"/>
      <c r="Q114" s="142"/>
      <c r="R114" s="106"/>
      <c r="S114" s="59"/>
    </row>
    <row r="115" spans="1:19" ht="17.25" customHeight="1">
      <c r="A115" s="14">
        <v>41517</v>
      </c>
      <c r="B115" s="23" t="s">
        <v>159</v>
      </c>
      <c r="C115" s="11">
        <v>41517</v>
      </c>
      <c r="D115" s="16" t="s">
        <v>36</v>
      </c>
      <c r="E115" s="12" t="s">
        <v>42</v>
      </c>
      <c r="F115" s="9"/>
      <c r="G115" s="19">
        <v>101966000</v>
      </c>
      <c r="H115" s="5">
        <f t="shared" si="13"/>
        <v>1177238706</v>
      </c>
      <c r="I115" s="5">
        <f t="shared" si="14"/>
        <v>0</v>
      </c>
      <c r="J115" s="36">
        <f t="shared" si="12"/>
        <v>8</v>
      </c>
      <c r="K115" s="201" t="s">
        <v>262</v>
      </c>
      <c r="N115" s="91"/>
      <c r="O115" s="50"/>
      <c r="P115" s="53"/>
      <c r="Q115" s="142"/>
      <c r="R115" s="106"/>
      <c r="S115" s="59"/>
    </row>
    <row r="116" spans="1:19" ht="17.25" customHeight="1">
      <c r="A116" s="14">
        <v>41517</v>
      </c>
      <c r="B116" s="23" t="s">
        <v>159</v>
      </c>
      <c r="C116" s="11">
        <v>41517</v>
      </c>
      <c r="D116" s="16" t="s">
        <v>47</v>
      </c>
      <c r="E116" s="12" t="s">
        <v>42</v>
      </c>
      <c r="F116" s="9"/>
      <c r="G116" s="19">
        <v>109191000</v>
      </c>
      <c r="H116" s="5">
        <f t="shared" si="13"/>
        <v>1068047706</v>
      </c>
      <c r="I116" s="5">
        <f t="shared" si="14"/>
        <v>0</v>
      </c>
      <c r="J116" s="36">
        <f t="shared" si="12"/>
        <v>8</v>
      </c>
      <c r="K116" s="201" t="s">
        <v>352</v>
      </c>
      <c r="N116" s="91"/>
      <c r="O116" s="50"/>
      <c r="P116" s="53"/>
      <c r="Q116" s="142"/>
      <c r="R116" s="106"/>
      <c r="S116" s="59"/>
    </row>
    <row r="117" spans="1:19" ht="17.25" customHeight="1">
      <c r="A117" s="14">
        <v>41517</v>
      </c>
      <c r="B117" s="23" t="s">
        <v>159</v>
      </c>
      <c r="C117" s="11">
        <v>41517</v>
      </c>
      <c r="D117" s="16" t="s">
        <v>142</v>
      </c>
      <c r="E117" s="12" t="s">
        <v>42</v>
      </c>
      <c r="F117" s="9"/>
      <c r="G117" s="19">
        <v>163927500</v>
      </c>
      <c r="H117" s="5">
        <f t="shared" si="13"/>
        <v>904120206</v>
      </c>
      <c r="I117" s="5">
        <f t="shared" si="14"/>
        <v>0</v>
      </c>
      <c r="J117" s="36">
        <f t="shared" si="12"/>
        <v>8</v>
      </c>
      <c r="K117" s="201" t="s">
        <v>353</v>
      </c>
      <c r="N117" s="91"/>
      <c r="O117" s="50"/>
      <c r="P117" s="53"/>
      <c r="Q117" s="142"/>
      <c r="R117" s="106"/>
      <c r="S117" s="59"/>
    </row>
    <row r="118" spans="1:19" ht="17.25" customHeight="1">
      <c r="A118" s="14">
        <v>41517</v>
      </c>
      <c r="B118" s="23" t="s">
        <v>159</v>
      </c>
      <c r="C118" s="11">
        <v>41517</v>
      </c>
      <c r="D118" s="16" t="s">
        <v>41</v>
      </c>
      <c r="E118" s="12" t="s">
        <v>42</v>
      </c>
      <c r="F118" s="9"/>
      <c r="G118" s="19">
        <v>100759000</v>
      </c>
      <c r="H118" s="5">
        <f t="shared" si="13"/>
        <v>803361206</v>
      </c>
      <c r="I118" s="5">
        <f t="shared" si="14"/>
        <v>0</v>
      </c>
      <c r="J118" s="36">
        <f t="shared" si="12"/>
        <v>8</v>
      </c>
      <c r="K118" s="201" t="s">
        <v>354</v>
      </c>
      <c r="N118" s="91"/>
      <c r="O118" s="50"/>
      <c r="P118" s="53"/>
      <c r="Q118" s="142"/>
      <c r="R118" s="106"/>
      <c r="S118" s="59"/>
    </row>
    <row r="119" spans="1:19" ht="17.25" customHeight="1">
      <c r="A119" s="14">
        <v>41517</v>
      </c>
      <c r="B119" s="23" t="s">
        <v>159</v>
      </c>
      <c r="C119" s="11">
        <v>41517</v>
      </c>
      <c r="D119" s="16" t="s">
        <v>140</v>
      </c>
      <c r="E119" s="12" t="s">
        <v>42</v>
      </c>
      <c r="F119" s="9"/>
      <c r="G119" s="19">
        <v>100728000</v>
      </c>
      <c r="H119" s="5">
        <f t="shared" si="13"/>
        <v>702633206</v>
      </c>
      <c r="I119" s="5">
        <f t="shared" si="14"/>
        <v>0</v>
      </c>
      <c r="J119" s="36">
        <f t="shared" si="12"/>
        <v>8</v>
      </c>
      <c r="K119" s="201" t="s">
        <v>222</v>
      </c>
      <c r="N119" s="91"/>
      <c r="O119" s="50"/>
      <c r="P119" s="53"/>
      <c r="Q119" s="142"/>
      <c r="R119" s="106"/>
      <c r="S119" s="59"/>
    </row>
    <row r="120" spans="1:19" ht="17.25" customHeight="1">
      <c r="A120" s="14">
        <v>41517</v>
      </c>
      <c r="B120" s="23" t="s">
        <v>159</v>
      </c>
      <c r="C120" s="11">
        <v>41517</v>
      </c>
      <c r="D120" s="16" t="s">
        <v>37</v>
      </c>
      <c r="E120" s="12" t="s">
        <v>42</v>
      </c>
      <c r="F120" s="9"/>
      <c r="G120" s="19">
        <v>114665000</v>
      </c>
      <c r="H120" s="5">
        <f t="shared" si="13"/>
        <v>587968206</v>
      </c>
      <c r="I120" s="5">
        <f t="shared" si="14"/>
        <v>0</v>
      </c>
      <c r="J120" s="36">
        <f t="shared" si="12"/>
        <v>8</v>
      </c>
      <c r="K120" s="201" t="s">
        <v>324</v>
      </c>
      <c r="N120" s="91"/>
      <c r="O120" s="50"/>
      <c r="P120" s="53"/>
      <c r="Q120" s="142"/>
      <c r="R120" s="106"/>
      <c r="S120" s="59"/>
    </row>
    <row r="121" spans="1:19" ht="17.25" customHeight="1">
      <c r="A121" s="14">
        <v>41517</v>
      </c>
      <c r="B121" s="23" t="s">
        <v>159</v>
      </c>
      <c r="C121" s="11">
        <v>41517</v>
      </c>
      <c r="D121" s="16" t="s">
        <v>38</v>
      </c>
      <c r="E121" s="12" t="s">
        <v>42</v>
      </c>
      <c r="F121" s="9"/>
      <c r="G121" s="19">
        <v>101490000</v>
      </c>
      <c r="H121" s="5">
        <f t="shared" si="13"/>
        <v>486478206</v>
      </c>
      <c r="I121" s="5">
        <f t="shared" si="14"/>
        <v>0</v>
      </c>
      <c r="J121" s="36">
        <f t="shared" si="12"/>
        <v>8</v>
      </c>
      <c r="K121" s="201" t="s">
        <v>226</v>
      </c>
      <c r="N121" s="91"/>
      <c r="O121" s="50"/>
      <c r="P121" s="53"/>
      <c r="Q121" s="142"/>
      <c r="R121" s="106"/>
      <c r="S121" s="59"/>
    </row>
    <row r="122" spans="1:19" ht="17.25" customHeight="1">
      <c r="A122" s="14">
        <v>41517</v>
      </c>
      <c r="B122" s="23" t="s">
        <v>159</v>
      </c>
      <c r="C122" s="11">
        <v>41517</v>
      </c>
      <c r="D122" s="16" t="s">
        <v>157</v>
      </c>
      <c r="E122" s="12" t="s">
        <v>42</v>
      </c>
      <c r="F122" s="9"/>
      <c r="G122" s="19">
        <v>142743000</v>
      </c>
      <c r="H122" s="5">
        <f t="shared" si="13"/>
        <v>343735206</v>
      </c>
      <c r="I122" s="5">
        <f t="shared" si="14"/>
        <v>0</v>
      </c>
      <c r="J122" s="36">
        <f t="shared" si="12"/>
        <v>8</v>
      </c>
      <c r="K122" s="201" t="s">
        <v>355</v>
      </c>
      <c r="N122" s="91"/>
      <c r="O122" s="50"/>
      <c r="P122" s="53"/>
      <c r="Q122" s="142"/>
      <c r="R122" s="106"/>
      <c r="S122" s="59"/>
    </row>
    <row r="123" spans="1:19" ht="17.25" customHeight="1">
      <c r="A123" s="14">
        <v>41517</v>
      </c>
      <c r="B123" s="23" t="s">
        <v>159</v>
      </c>
      <c r="C123" s="11">
        <v>41517</v>
      </c>
      <c r="D123" s="16" t="s">
        <v>121</v>
      </c>
      <c r="E123" s="12" t="s">
        <v>42</v>
      </c>
      <c r="F123" s="9"/>
      <c r="G123" s="19">
        <v>107298000</v>
      </c>
      <c r="H123" s="5">
        <f t="shared" si="13"/>
        <v>236437206</v>
      </c>
      <c r="I123" s="5">
        <f t="shared" si="14"/>
        <v>0</v>
      </c>
      <c r="J123" s="36">
        <f t="shared" si="12"/>
        <v>8</v>
      </c>
      <c r="K123" s="201" t="s">
        <v>244</v>
      </c>
      <c r="N123" s="91"/>
      <c r="O123" s="50"/>
      <c r="P123" s="53"/>
      <c r="Q123" s="142"/>
      <c r="R123" s="106"/>
      <c r="S123" s="59"/>
    </row>
    <row r="124" spans="1:19" ht="17.25" customHeight="1">
      <c r="A124" s="14">
        <v>41517</v>
      </c>
      <c r="B124" s="23" t="s">
        <v>159</v>
      </c>
      <c r="C124" s="11">
        <v>41517</v>
      </c>
      <c r="D124" s="16" t="s">
        <v>307</v>
      </c>
      <c r="E124" s="12" t="s">
        <v>42</v>
      </c>
      <c r="F124" s="9"/>
      <c r="G124" s="19">
        <v>105966000</v>
      </c>
      <c r="H124" s="5">
        <f t="shared" si="13"/>
        <v>130471206</v>
      </c>
      <c r="I124" s="5">
        <f t="shared" si="14"/>
        <v>0</v>
      </c>
      <c r="J124" s="36">
        <f t="shared" si="12"/>
        <v>8</v>
      </c>
      <c r="K124" s="201" t="s">
        <v>218</v>
      </c>
      <c r="N124" s="91"/>
      <c r="O124" s="50"/>
      <c r="P124" s="53"/>
      <c r="Q124" s="142"/>
      <c r="R124" s="106"/>
      <c r="S124" s="59"/>
    </row>
    <row r="125" spans="1:19" ht="17.25" customHeight="1">
      <c r="A125" s="14">
        <v>41517</v>
      </c>
      <c r="B125" s="23" t="s">
        <v>159</v>
      </c>
      <c r="C125" s="11">
        <v>41517</v>
      </c>
      <c r="D125" s="16" t="s">
        <v>141</v>
      </c>
      <c r="E125" s="12" t="s">
        <v>42</v>
      </c>
      <c r="F125" s="9"/>
      <c r="G125" s="19">
        <v>111072500</v>
      </c>
      <c r="H125" s="5">
        <f t="shared" si="13"/>
        <v>19398706</v>
      </c>
      <c r="I125" s="5">
        <f t="shared" si="14"/>
        <v>0</v>
      </c>
      <c r="J125" s="36">
        <f t="shared" si="12"/>
        <v>8</v>
      </c>
      <c r="K125" s="201" t="s">
        <v>225</v>
      </c>
      <c r="N125" s="91"/>
      <c r="O125" s="50"/>
      <c r="P125" s="53"/>
      <c r="Q125" s="142"/>
      <c r="R125" s="106"/>
      <c r="S125" s="59"/>
    </row>
    <row r="126" spans="1:19" ht="17.25" customHeight="1">
      <c r="A126" s="14">
        <v>41522</v>
      </c>
      <c r="B126" s="23" t="s">
        <v>123</v>
      </c>
      <c r="C126" s="11">
        <v>41522</v>
      </c>
      <c r="D126" s="16" t="s">
        <v>44</v>
      </c>
      <c r="E126" s="12" t="s">
        <v>45</v>
      </c>
      <c r="F126" s="9">
        <v>600000000</v>
      </c>
      <c r="G126" s="19"/>
      <c r="H126" s="5">
        <f t="shared" si="13"/>
        <v>619398706</v>
      </c>
      <c r="I126" s="5">
        <f t="shared" si="14"/>
        <v>0</v>
      </c>
      <c r="J126" s="36">
        <f t="shared" si="12"/>
        <v>9</v>
      </c>
      <c r="K126" s="201"/>
      <c r="N126" s="91"/>
      <c r="O126" s="50"/>
      <c r="P126" s="53"/>
      <c r="Q126" s="142"/>
      <c r="R126" s="106"/>
      <c r="S126" s="59"/>
    </row>
    <row r="127" spans="1:19" ht="17.25" customHeight="1">
      <c r="A127" s="14">
        <v>41524</v>
      </c>
      <c r="B127" s="23" t="s">
        <v>158</v>
      </c>
      <c r="C127" s="11">
        <v>41524</v>
      </c>
      <c r="D127" s="16" t="s">
        <v>44</v>
      </c>
      <c r="E127" s="12" t="s">
        <v>45</v>
      </c>
      <c r="F127" s="9">
        <v>550000000</v>
      </c>
      <c r="G127" s="19"/>
      <c r="H127" s="5">
        <f t="shared" si="13"/>
        <v>1169398706</v>
      </c>
      <c r="I127" s="5">
        <f t="shared" si="14"/>
        <v>0</v>
      </c>
      <c r="J127" s="36">
        <f t="shared" si="12"/>
        <v>9</v>
      </c>
      <c r="K127" s="201"/>
      <c r="N127" s="91"/>
      <c r="O127" s="50"/>
      <c r="P127" s="53"/>
      <c r="Q127" s="142"/>
      <c r="R127" s="106"/>
      <c r="S127" s="59"/>
    </row>
    <row r="128" spans="1:19" ht="17.25" customHeight="1">
      <c r="A128" s="14">
        <v>41531</v>
      </c>
      <c r="B128" s="23" t="s">
        <v>61</v>
      </c>
      <c r="C128" s="11">
        <v>41531</v>
      </c>
      <c r="D128" s="16" t="s">
        <v>44</v>
      </c>
      <c r="E128" s="12" t="s">
        <v>45</v>
      </c>
      <c r="F128" s="9">
        <v>500000000</v>
      </c>
      <c r="G128" s="19"/>
      <c r="H128" s="5">
        <f t="shared" si="13"/>
        <v>1669398706</v>
      </c>
      <c r="I128" s="5">
        <f t="shared" si="14"/>
        <v>0</v>
      </c>
      <c r="J128" s="36">
        <f t="shared" si="12"/>
        <v>9</v>
      </c>
      <c r="K128" s="201"/>
      <c r="N128" s="91"/>
      <c r="O128" s="50"/>
      <c r="P128" s="53"/>
      <c r="Q128" s="142"/>
      <c r="R128" s="106"/>
      <c r="S128" s="59"/>
    </row>
    <row r="129" spans="1:19" ht="17.25" customHeight="1">
      <c r="A129" s="14">
        <v>41544</v>
      </c>
      <c r="B129" s="23" t="s">
        <v>62</v>
      </c>
      <c r="C129" s="11">
        <v>41544</v>
      </c>
      <c r="D129" s="16" t="s">
        <v>44</v>
      </c>
      <c r="E129" s="12" t="s">
        <v>45</v>
      </c>
      <c r="F129" s="9">
        <v>400000000</v>
      </c>
      <c r="G129" s="19"/>
      <c r="H129" s="5">
        <f t="shared" si="13"/>
        <v>2069398706</v>
      </c>
      <c r="I129" s="5">
        <f t="shared" si="14"/>
        <v>0</v>
      </c>
      <c r="J129" s="36">
        <f t="shared" si="12"/>
        <v>9</v>
      </c>
      <c r="K129" s="201"/>
      <c r="N129" s="91"/>
      <c r="O129" s="50"/>
      <c r="P129" s="53"/>
      <c r="Q129" s="142"/>
      <c r="R129" s="106"/>
      <c r="S129" s="59"/>
    </row>
    <row r="130" spans="1:19" ht="17.25" customHeight="1">
      <c r="A130" s="14">
        <v>41547</v>
      </c>
      <c r="B130" s="23" t="s">
        <v>160</v>
      </c>
      <c r="C130" s="11">
        <v>41547</v>
      </c>
      <c r="D130" s="16" t="s">
        <v>295</v>
      </c>
      <c r="E130" s="12" t="s">
        <v>42</v>
      </c>
      <c r="F130" s="9"/>
      <c r="G130" s="19">
        <v>99378000</v>
      </c>
      <c r="H130" s="5">
        <f t="shared" si="13"/>
        <v>1970020706</v>
      </c>
      <c r="I130" s="5">
        <f t="shared" si="14"/>
        <v>0</v>
      </c>
      <c r="J130" s="36">
        <f t="shared" si="12"/>
        <v>9</v>
      </c>
      <c r="K130" s="201" t="s">
        <v>354</v>
      </c>
      <c r="N130" s="91"/>
      <c r="O130" s="50"/>
      <c r="P130" s="53"/>
      <c r="Q130" s="142"/>
      <c r="R130" s="106"/>
      <c r="S130" s="59"/>
    </row>
    <row r="131" spans="1:19" ht="17.25" customHeight="1">
      <c r="A131" s="14">
        <v>41547</v>
      </c>
      <c r="B131" s="23" t="s">
        <v>160</v>
      </c>
      <c r="C131" s="11">
        <v>41547</v>
      </c>
      <c r="D131" s="16" t="s">
        <v>302</v>
      </c>
      <c r="E131" s="12" t="s">
        <v>42</v>
      </c>
      <c r="F131" s="9"/>
      <c r="G131" s="19">
        <v>77580000</v>
      </c>
      <c r="H131" s="5">
        <f t="shared" si="13"/>
        <v>1892440706</v>
      </c>
      <c r="I131" s="5">
        <f t="shared" si="14"/>
        <v>0</v>
      </c>
      <c r="J131" s="36">
        <f t="shared" si="12"/>
        <v>9</v>
      </c>
      <c r="K131" s="201" t="s">
        <v>281</v>
      </c>
      <c r="N131" s="91"/>
      <c r="O131" s="50"/>
      <c r="P131" s="53"/>
      <c r="Q131" s="142"/>
      <c r="R131" s="106"/>
      <c r="S131" s="59"/>
    </row>
    <row r="132" spans="1:19" ht="17.25" customHeight="1">
      <c r="A132" s="14">
        <v>41547</v>
      </c>
      <c r="B132" s="23" t="s">
        <v>160</v>
      </c>
      <c r="C132" s="11">
        <v>41547</v>
      </c>
      <c r="D132" s="16" t="s">
        <v>296</v>
      </c>
      <c r="E132" s="12" t="s">
        <v>42</v>
      </c>
      <c r="F132" s="9"/>
      <c r="G132" s="19">
        <v>289780000</v>
      </c>
      <c r="H132" s="5">
        <f t="shared" si="13"/>
        <v>1602660706</v>
      </c>
      <c r="I132" s="5">
        <f t="shared" si="14"/>
        <v>0</v>
      </c>
      <c r="J132" s="36">
        <f t="shared" si="12"/>
        <v>9</v>
      </c>
      <c r="K132" s="201" t="s">
        <v>356</v>
      </c>
      <c r="N132" s="91"/>
      <c r="O132" s="50"/>
      <c r="P132" s="53"/>
      <c r="Q132" s="142"/>
      <c r="R132" s="106"/>
      <c r="S132" s="59"/>
    </row>
    <row r="133" spans="1:19" ht="17.25" customHeight="1">
      <c r="A133" s="14">
        <v>41547</v>
      </c>
      <c r="B133" s="23" t="s">
        <v>160</v>
      </c>
      <c r="C133" s="11">
        <v>41547</v>
      </c>
      <c r="D133" s="16" t="s">
        <v>304</v>
      </c>
      <c r="E133" s="12" t="s">
        <v>42</v>
      </c>
      <c r="F133" s="9"/>
      <c r="G133" s="19">
        <v>119658000</v>
      </c>
      <c r="H133" s="5">
        <f t="shared" si="13"/>
        <v>1483002706</v>
      </c>
      <c r="I133" s="5">
        <f t="shared" si="14"/>
        <v>0</v>
      </c>
      <c r="J133" s="36">
        <f t="shared" si="12"/>
        <v>9</v>
      </c>
      <c r="K133" s="201" t="s">
        <v>200</v>
      </c>
      <c r="N133" s="91"/>
      <c r="O133" s="50"/>
      <c r="P133" s="53"/>
      <c r="Q133" s="142"/>
      <c r="R133" s="106"/>
      <c r="S133" s="59"/>
    </row>
    <row r="134" spans="1:19" ht="17.25" customHeight="1">
      <c r="A134" s="14">
        <v>41547</v>
      </c>
      <c r="B134" s="23" t="s">
        <v>160</v>
      </c>
      <c r="C134" s="11">
        <v>41547</v>
      </c>
      <c r="D134" s="16" t="s">
        <v>305</v>
      </c>
      <c r="E134" s="12" t="s">
        <v>42</v>
      </c>
      <c r="F134" s="9"/>
      <c r="G134" s="19">
        <v>126280000</v>
      </c>
      <c r="H134" s="5">
        <f t="shared" si="13"/>
        <v>1356722706</v>
      </c>
      <c r="I134" s="5">
        <f t="shared" si="14"/>
        <v>0</v>
      </c>
      <c r="J134" s="36">
        <f t="shared" si="12"/>
        <v>9</v>
      </c>
      <c r="K134" s="201" t="s">
        <v>275</v>
      </c>
      <c r="N134" s="91"/>
      <c r="O134" s="50"/>
      <c r="P134" s="53"/>
      <c r="Q134" s="142"/>
      <c r="R134" s="106"/>
      <c r="S134" s="59"/>
    </row>
    <row r="135" spans="1:19" ht="17.25" customHeight="1">
      <c r="A135" s="14">
        <v>41547</v>
      </c>
      <c r="B135" s="23" t="s">
        <v>160</v>
      </c>
      <c r="C135" s="11">
        <v>41547</v>
      </c>
      <c r="D135" s="16" t="s">
        <v>306</v>
      </c>
      <c r="E135" s="12" t="s">
        <v>42</v>
      </c>
      <c r="F135" s="9"/>
      <c r="G135" s="19">
        <v>99558000</v>
      </c>
      <c r="H135" s="5">
        <f t="shared" si="13"/>
        <v>1257164706</v>
      </c>
      <c r="I135" s="5">
        <f t="shared" si="14"/>
        <v>0</v>
      </c>
      <c r="J135" s="36">
        <f t="shared" si="12"/>
        <v>9</v>
      </c>
      <c r="K135" s="201" t="s">
        <v>222</v>
      </c>
      <c r="N135" s="91"/>
      <c r="O135" s="50"/>
      <c r="P135" s="53"/>
      <c r="Q135" s="142"/>
      <c r="R135" s="106"/>
      <c r="S135" s="59"/>
    </row>
    <row r="136" spans="1:19" ht="17.25" customHeight="1">
      <c r="A136" s="14">
        <v>41547</v>
      </c>
      <c r="B136" s="23" t="s">
        <v>160</v>
      </c>
      <c r="C136" s="11">
        <v>41547</v>
      </c>
      <c r="D136" s="16" t="s">
        <v>46</v>
      </c>
      <c r="E136" s="12" t="s">
        <v>42</v>
      </c>
      <c r="F136" s="9"/>
      <c r="G136" s="19">
        <v>206564000</v>
      </c>
      <c r="H136" s="5">
        <f t="shared" si="13"/>
        <v>1050600706</v>
      </c>
      <c r="I136" s="5">
        <f t="shared" si="14"/>
        <v>0</v>
      </c>
      <c r="J136" s="36">
        <f t="shared" si="12"/>
        <v>9</v>
      </c>
      <c r="K136" s="201" t="s">
        <v>357</v>
      </c>
      <c r="N136" s="91"/>
      <c r="O136" s="50"/>
      <c r="P136" s="53"/>
      <c r="Q136" s="142"/>
      <c r="R136" s="106"/>
      <c r="S136" s="59"/>
    </row>
    <row r="137" spans="1:19" ht="17.25" customHeight="1">
      <c r="A137" s="14">
        <v>41547</v>
      </c>
      <c r="B137" s="23" t="s">
        <v>160</v>
      </c>
      <c r="C137" s="11">
        <v>41547</v>
      </c>
      <c r="D137" s="16" t="s">
        <v>144</v>
      </c>
      <c r="E137" s="12" t="s">
        <v>42</v>
      </c>
      <c r="F137" s="9"/>
      <c r="G137" s="19">
        <v>70470000</v>
      </c>
      <c r="H137" s="5">
        <f t="shared" si="13"/>
        <v>980130706</v>
      </c>
      <c r="I137" s="5">
        <f t="shared" si="14"/>
        <v>0</v>
      </c>
      <c r="J137" s="36">
        <f t="shared" si="12"/>
        <v>9</v>
      </c>
      <c r="K137" s="201" t="s">
        <v>224</v>
      </c>
      <c r="N137" s="91"/>
      <c r="O137" s="50"/>
      <c r="P137" s="53"/>
      <c r="Q137" s="142"/>
      <c r="R137" s="106"/>
      <c r="S137" s="59"/>
    </row>
    <row r="138" spans="1:19" ht="17.25" customHeight="1">
      <c r="A138" s="14">
        <v>41547</v>
      </c>
      <c r="B138" s="23" t="s">
        <v>160</v>
      </c>
      <c r="C138" s="11">
        <v>41547</v>
      </c>
      <c r="D138" s="16" t="s">
        <v>168</v>
      </c>
      <c r="E138" s="12" t="s">
        <v>42</v>
      </c>
      <c r="F138" s="9"/>
      <c r="G138" s="19">
        <v>268351000</v>
      </c>
      <c r="H138" s="5">
        <f t="shared" si="13"/>
        <v>711779706</v>
      </c>
      <c r="I138" s="5">
        <f t="shared" si="14"/>
        <v>0</v>
      </c>
      <c r="J138" s="36">
        <f t="shared" si="12"/>
        <v>9</v>
      </c>
      <c r="K138" s="201" t="s">
        <v>358</v>
      </c>
      <c r="N138" s="91"/>
      <c r="O138" s="50"/>
      <c r="P138" s="53"/>
      <c r="Q138" s="142"/>
      <c r="R138" s="106"/>
      <c r="S138" s="59"/>
    </row>
    <row r="139" spans="1:19" ht="17.25" customHeight="1">
      <c r="A139" s="14">
        <v>41547</v>
      </c>
      <c r="B139" s="23" t="s">
        <v>160</v>
      </c>
      <c r="C139" s="11">
        <v>41547</v>
      </c>
      <c r="D139" s="16" t="s">
        <v>47</v>
      </c>
      <c r="E139" s="12" t="s">
        <v>42</v>
      </c>
      <c r="F139" s="9"/>
      <c r="G139" s="19">
        <v>119240000</v>
      </c>
      <c r="H139" s="5">
        <f t="shared" si="13"/>
        <v>592539706</v>
      </c>
      <c r="I139" s="5">
        <f t="shared" si="14"/>
        <v>0</v>
      </c>
      <c r="J139" s="36">
        <f t="shared" si="12"/>
        <v>9</v>
      </c>
      <c r="K139" s="201" t="s">
        <v>244</v>
      </c>
      <c r="N139" s="91"/>
      <c r="O139" s="50"/>
      <c r="P139" s="53"/>
      <c r="Q139" s="142"/>
      <c r="R139" s="106"/>
      <c r="S139" s="59"/>
    </row>
    <row r="140" spans="1:19" ht="17.25" customHeight="1">
      <c r="A140" s="14">
        <v>41547</v>
      </c>
      <c r="B140" s="23" t="s">
        <v>160</v>
      </c>
      <c r="C140" s="11">
        <v>41547</v>
      </c>
      <c r="D140" s="16" t="s">
        <v>38</v>
      </c>
      <c r="E140" s="12" t="s">
        <v>42</v>
      </c>
      <c r="F140" s="9"/>
      <c r="G140" s="19">
        <v>90200000</v>
      </c>
      <c r="H140" s="5">
        <f t="shared" si="13"/>
        <v>502339706</v>
      </c>
      <c r="I140" s="5">
        <f t="shared" si="14"/>
        <v>0</v>
      </c>
      <c r="J140" s="36">
        <f t="shared" si="12"/>
        <v>9</v>
      </c>
      <c r="K140" s="201" t="s">
        <v>274</v>
      </c>
      <c r="N140" s="91"/>
      <c r="O140" s="50"/>
      <c r="P140" s="53"/>
      <c r="Q140" s="142"/>
      <c r="R140" s="106"/>
      <c r="S140" s="59"/>
    </row>
    <row r="141" spans="1:19" ht="17.25" customHeight="1">
      <c r="A141" s="14">
        <v>41547</v>
      </c>
      <c r="B141" s="23" t="s">
        <v>160</v>
      </c>
      <c r="C141" s="11">
        <v>41547</v>
      </c>
      <c r="D141" s="16" t="s">
        <v>157</v>
      </c>
      <c r="E141" s="12" t="s">
        <v>42</v>
      </c>
      <c r="F141" s="9"/>
      <c r="G141" s="19">
        <v>72450000</v>
      </c>
      <c r="H141" s="5">
        <f t="shared" si="13"/>
        <v>429889706</v>
      </c>
      <c r="I141" s="5">
        <f t="shared" si="14"/>
        <v>0</v>
      </c>
      <c r="J141" s="36">
        <f t="shared" si="12"/>
        <v>9</v>
      </c>
      <c r="K141" s="201" t="s">
        <v>223</v>
      </c>
      <c r="N141" s="91"/>
      <c r="O141" s="50"/>
      <c r="P141" s="53"/>
      <c r="Q141" s="142"/>
      <c r="R141" s="106"/>
      <c r="S141" s="59"/>
    </row>
    <row r="142" spans="1:19" ht="17.25" customHeight="1">
      <c r="A142" s="14">
        <v>41547</v>
      </c>
      <c r="B142" s="23" t="s">
        <v>160</v>
      </c>
      <c r="C142" s="11">
        <v>41547</v>
      </c>
      <c r="D142" s="16" t="s">
        <v>121</v>
      </c>
      <c r="E142" s="12" t="s">
        <v>42</v>
      </c>
      <c r="F142" s="9"/>
      <c r="G142" s="19">
        <v>193350000</v>
      </c>
      <c r="H142" s="5">
        <f t="shared" si="13"/>
        <v>236539706</v>
      </c>
      <c r="I142" s="5">
        <f t="shared" si="14"/>
        <v>0</v>
      </c>
      <c r="J142" s="36">
        <f t="shared" si="12"/>
        <v>9</v>
      </c>
      <c r="K142" s="201" t="s">
        <v>359</v>
      </c>
      <c r="N142" s="91"/>
      <c r="O142" s="50"/>
      <c r="P142" s="53"/>
      <c r="Q142" s="142"/>
      <c r="R142" s="106"/>
      <c r="S142" s="59"/>
    </row>
    <row r="143" spans="1:19" ht="17.25" customHeight="1">
      <c r="A143" s="14">
        <v>41547</v>
      </c>
      <c r="B143" s="23" t="s">
        <v>160</v>
      </c>
      <c r="C143" s="11">
        <v>41547</v>
      </c>
      <c r="D143" s="16" t="s">
        <v>307</v>
      </c>
      <c r="E143" s="12" t="s">
        <v>42</v>
      </c>
      <c r="F143" s="9"/>
      <c r="G143" s="19">
        <v>206973000</v>
      </c>
      <c r="H143" s="5">
        <f t="shared" si="13"/>
        <v>29566706</v>
      </c>
      <c r="I143" s="5">
        <f t="shared" si="14"/>
        <v>0</v>
      </c>
      <c r="J143" s="36">
        <f t="shared" si="12"/>
        <v>9</v>
      </c>
      <c r="K143" s="201" t="s">
        <v>360</v>
      </c>
      <c r="N143" s="91"/>
      <c r="O143" s="50"/>
      <c r="P143" s="53"/>
      <c r="Q143" s="142"/>
      <c r="R143" s="106"/>
      <c r="S143" s="59"/>
    </row>
    <row r="144" spans="1:19" ht="17.25" customHeight="1">
      <c r="A144" s="14">
        <v>41549</v>
      </c>
      <c r="B144" s="23" t="s">
        <v>60</v>
      </c>
      <c r="C144" s="11">
        <v>41549</v>
      </c>
      <c r="D144" s="16" t="s">
        <v>44</v>
      </c>
      <c r="E144" s="12" t="s">
        <v>45</v>
      </c>
      <c r="F144" s="9">
        <v>650000000</v>
      </c>
      <c r="G144" s="19"/>
      <c r="H144" s="5">
        <f t="shared" si="13"/>
        <v>679566706</v>
      </c>
      <c r="I144" s="5">
        <f t="shared" si="14"/>
        <v>0</v>
      </c>
      <c r="J144" s="36">
        <f t="shared" si="12"/>
        <v>10</v>
      </c>
      <c r="K144" s="201"/>
      <c r="N144" s="91"/>
      <c r="O144" s="50"/>
      <c r="P144" s="53"/>
      <c r="Q144" s="142"/>
      <c r="R144" s="106"/>
      <c r="S144" s="59"/>
    </row>
    <row r="145" spans="1:19" ht="17.25" customHeight="1">
      <c r="A145" s="14">
        <v>41559</v>
      </c>
      <c r="B145" s="23" t="s">
        <v>56</v>
      </c>
      <c r="C145" s="11">
        <v>41559</v>
      </c>
      <c r="D145" s="16" t="s">
        <v>44</v>
      </c>
      <c r="E145" s="12" t="s">
        <v>45</v>
      </c>
      <c r="F145" s="9">
        <v>600000000</v>
      </c>
      <c r="G145" s="19"/>
      <c r="H145" s="5">
        <f t="shared" si="13"/>
        <v>1279566706</v>
      </c>
      <c r="I145" s="5">
        <f t="shared" si="14"/>
        <v>0</v>
      </c>
      <c r="J145" s="36">
        <f t="shared" si="12"/>
        <v>10</v>
      </c>
      <c r="K145" s="201"/>
      <c r="N145" s="91"/>
      <c r="O145" s="50"/>
      <c r="P145" s="53"/>
      <c r="Q145" s="142"/>
      <c r="R145" s="106"/>
      <c r="S145" s="59"/>
    </row>
    <row r="146" spans="1:19" ht="17.25" customHeight="1">
      <c r="A146" s="14">
        <v>41576</v>
      </c>
      <c r="B146" s="23" t="s">
        <v>51</v>
      </c>
      <c r="C146" s="11">
        <v>41576</v>
      </c>
      <c r="D146" s="16" t="s">
        <v>44</v>
      </c>
      <c r="E146" s="12" t="s">
        <v>45</v>
      </c>
      <c r="F146" s="9">
        <v>550000000</v>
      </c>
      <c r="G146" s="19"/>
      <c r="H146" s="5">
        <f t="shared" si="13"/>
        <v>1829566706</v>
      </c>
      <c r="I146" s="5">
        <f t="shared" si="14"/>
        <v>0</v>
      </c>
      <c r="J146" s="36">
        <f t="shared" si="12"/>
        <v>10</v>
      </c>
      <c r="K146" s="201"/>
      <c r="N146" s="91"/>
      <c r="O146" s="50"/>
      <c r="P146" s="53"/>
      <c r="Q146" s="142"/>
      <c r="R146" s="106"/>
      <c r="S146" s="59"/>
    </row>
    <row r="147" spans="1:19" ht="17.25" customHeight="1">
      <c r="A147" s="14">
        <v>41578</v>
      </c>
      <c r="B147" s="23" t="s">
        <v>162</v>
      </c>
      <c r="C147" s="11">
        <v>41578</v>
      </c>
      <c r="D147" s="16" t="s">
        <v>34</v>
      </c>
      <c r="E147" s="12" t="s">
        <v>42</v>
      </c>
      <c r="F147" s="9"/>
      <c r="G147" s="19">
        <v>211066000</v>
      </c>
      <c r="H147" s="5">
        <f t="shared" si="13"/>
        <v>1618500706</v>
      </c>
      <c r="I147" s="5">
        <f t="shared" si="14"/>
        <v>0</v>
      </c>
      <c r="J147" s="36">
        <f t="shared" si="12"/>
        <v>10</v>
      </c>
      <c r="K147" s="201" t="s">
        <v>361</v>
      </c>
      <c r="N147" s="91"/>
      <c r="O147" s="50"/>
      <c r="P147" s="53"/>
      <c r="Q147" s="142"/>
      <c r="R147" s="106"/>
      <c r="S147" s="59"/>
    </row>
    <row r="148" spans="1:19" ht="17.25" customHeight="1">
      <c r="A148" s="14">
        <v>41578</v>
      </c>
      <c r="B148" s="23" t="s">
        <v>162</v>
      </c>
      <c r="C148" s="11">
        <v>41578</v>
      </c>
      <c r="D148" s="16" t="s">
        <v>39</v>
      </c>
      <c r="E148" s="12" t="s">
        <v>42</v>
      </c>
      <c r="F148" s="9"/>
      <c r="G148" s="19">
        <v>227914000</v>
      </c>
      <c r="H148" s="5">
        <f t="shared" si="13"/>
        <v>1390586706</v>
      </c>
      <c r="I148" s="5">
        <f t="shared" si="14"/>
        <v>0</v>
      </c>
      <c r="J148" s="36">
        <f t="shared" si="12"/>
        <v>10</v>
      </c>
      <c r="K148" s="201" t="s">
        <v>362</v>
      </c>
      <c r="N148" s="91"/>
      <c r="O148" s="50"/>
      <c r="P148" s="53"/>
      <c r="Q148" s="142"/>
      <c r="R148" s="106"/>
      <c r="S148" s="59"/>
    </row>
    <row r="149" spans="1:19" ht="17.25" customHeight="1">
      <c r="A149" s="14">
        <v>41578</v>
      </c>
      <c r="B149" s="23" t="s">
        <v>162</v>
      </c>
      <c r="C149" s="11">
        <v>41578</v>
      </c>
      <c r="D149" s="16" t="s">
        <v>294</v>
      </c>
      <c r="E149" s="12" t="s">
        <v>42</v>
      </c>
      <c r="F149" s="9"/>
      <c r="G149" s="19">
        <v>111625000</v>
      </c>
      <c r="H149" s="5">
        <f t="shared" si="13"/>
        <v>1278961706</v>
      </c>
      <c r="I149" s="5">
        <f t="shared" si="14"/>
        <v>0</v>
      </c>
      <c r="J149" s="36">
        <f t="shared" si="12"/>
        <v>10</v>
      </c>
      <c r="K149" s="201" t="s">
        <v>222</v>
      </c>
      <c r="N149" s="91"/>
      <c r="O149" s="50"/>
      <c r="P149" s="53"/>
      <c r="Q149" s="142"/>
      <c r="R149" s="106"/>
      <c r="S149" s="59"/>
    </row>
    <row r="150" spans="1:19" ht="17.25" customHeight="1">
      <c r="A150" s="14">
        <v>41578</v>
      </c>
      <c r="B150" s="23" t="s">
        <v>162</v>
      </c>
      <c r="C150" s="11">
        <v>41578</v>
      </c>
      <c r="D150" s="16" t="s">
        <v>296</v>
      </c>
      <c r="E150" s="12" t="s">
        <v>42</v>
      </c>
      <c r="F150" s="9"/>
      <c r="G150" s="19">
        <v>188974000</v>
      </c>
      <c r="H150" s="5">
        <f t="shared" ref="H150:H189" si="15">MAX(H149+F150-G150-I149,0)</f>
        <v>1089987706</v>
      </c>
      <c r="I150" s="5">
        <f t="shared" ref="I150:I189" si="16">MAX(I149+G150-F150-H149,0)</f>
        <v>0</v>
      </c>
      <c r="J150" s="36">
        <f t="shared" ref="J150:J189" si="17">IF(A150&lt;&gt;"",MONTH(A150),"")</f>
        <v>10</v>
      </c>
      <c r="K150" s="201" t="s">
        <v>363</v>
      </c>
      <c r="N150" s="91"/>
      <c r="O150" s="50"/>
      <c r="P150" s="53"/>
      <c r="Q150" s="142"/>
      <c r="R150" s="106"/>
      <c r="S150" s="59"/>
    </row>
    <row r="151" spans="1:19" ht="17.25" customHeight="1">
      <c r="A151" s="14">
        <v>41578</v>
      </c>
      <c r="B151" s="23" t="s">
        <v>162</v>
      </c>
      <c r="C151" s="11">
        <v>41578</v>
      </c>
      <c r="D151" s="16" t="s">
        <v>306</v>
      </c>
      <c r="E151" s="12" t="s">
        <v>42</v>
      </c>
      <c r="F151" s="9"/>
      <c r="G151" s="19">
        <v>158539000</v>
      </c>
      <c r="H151" s="5">
        <f t="shared" si="15"/>
        <v>931448706</v>
      </c>
      <c r="I151" s="5">
        <f t="shared" si="16"/>
        <v>0</v>
      </c>
      <c r="J151" s="36">
        <f t="shared" si="17"/>
        <v>10</v>
      </c>
      <c r="K151" s="201" t="s">
        <v>364</v>
      </c>
      <c r="N151" s="91"/>
      <c r="O151" s="50"/>
      <c r="P151" s="53"/>
      <c r="Q151" s="142"/>
      <c r="R151" s="106"/>
      <c r="S151" s="59"/>
    </row>
    <row r="152" spans="1:19" ht="17.25" customHeight="1">
      <c r="A152" s="14">
        <v>41578</v>
      </c>
      <c r="B152" s="23" t="s">
        <v>162</v>
      </c>
      <c r="C152" s="11">
        <v>41578</v>
      </c>
      <c r="D152" s="16" t="s">
        <v>40</v>
      </c>
      <c r="E152" s="12" t="s">
        <v>42</v>
      </c>
      <c r="F152" s="9"/>
      <c r="G152" s="19">
        <v>125028000</v>
      </c>
      <c r="H152" s="5">
        <f t="shared" si="15"/>
        <v>806420706</v>
      </c>
      <c r="I152" s="5">
        <f t="shared" si="16"/>
        <v>0</v>
      </c>
      <c r="J152" s="36">
        <f t="shared" si="17"/>
        <v>10</v>
      </c>
      <c r="K152" s="201" t="s">
        <v>220</v>
      </c>
      <c r="N152" s="91"/>
      <c r="O152" s="50"/>
      <c r="P152" s="53"/>
      <c r="Q152" s="142"/>
      <c r="R152" s="106"/>
      <c r="S152" s="59"/>
    </row>
    <row r="153" spans="1:19" ht="17.25" customHeight="1">
      <c r="A153" s="14">
        <v>41578</v>
      </c>
      <c r="B153" s="23" t="s">
        <v>162</v>
      </c>
      <c r="C153" s="11">
        <v>41578</v>
      </c>
      <c r="D153" s="16" t="s">
        <v>168</v>
      </c>
      <c r="E153" s="12" t="s">
        <v>42</v>
      </c>
      <c r="F153" s="9"/>
      <c r="G153" s="19">
        <v>109478000</v>
      </c>
      <c r="H153" s="5">
        <f t="shared" si="15"/>
        <v>696942706</v>
      </c>
      <c r="I153" s="5">
        <f t="shared" si="16"/>
        <v>0</v>
      </c>
      <c r="J153" s="36">
        <f t="shared" si="17"/>
        <v>10</v>
      </c>
      <c r="K153" s="201" t="s">
        <v>244</v>
      </c>
      <c r="N153" s="91"/>
      <c r="O153" s="50"/>
      <c r="P153" s="53"/>
      <c r="Q153" s="142"/>
      <c r="R153" s="106"/>
      <c r="S153" s="59"/>
    </row>
    <row r="154" spans="1:19" ht="17.25" customHeight="1">
      <c r="A154" s="14">
        <v>41578</v>
      </c>
      <c r="B154" s="23" t="s">
        <v>162</v>
      </c>
      <c r="C154" s="11">
        <v>41578</v>
      </c>
      <c r="D154" s="16" t="s">
        <v>140</v>
      </c>
      <c r="E154" s="12" t="s">
        <v>42</v>
      </c>
      <c r="F154" s="9"/>
      <c r="G154" s="19">
        <v>112043000</v>
      </c>
      <c r="H154" s="5">
        <f t="shared" si="15"/>
        <v>584899706</v>
      </c>
      <c r="I154" s="5">
        <f t="shared" si="16"/>
        <v>0</v>
      </c>
      <c r="J154" s="36">
        <f t="shared" si="17"/>
        <v>10</v>
      </c>
      <c r="K154" s="201" t="s">
        <v>269</v>
      </c>
      <c r="N154" s="91"/>
      <c r="O154" s="50"/>
      <c r="P154" s="53"/>
      <c r="Q154" s="142"/>
      <c r="R154" s="106"/>
      <c r="S154" s="59"/>
    </row>
    <row r="155" spans="1:19" ht="17.25" customHeight="1">
      <c r="A155" s="14">
        <v>41578</v>
      </c>
      <c r="B155" s="23" t="s">
        <v>162</v>
      </c>
      <c r="C155" s="11">
        <v>41578</v>
      </c>
      <c r="D155" s="16" t="s">
        <v>38</v>
      </c>
      <c r="E155" s="12" t="s">
        <v>42</v>
      </c>
      <c r="F155" s="9"/>
      <c r="G155" s="19">
        <v>133285000</v>
      </c>
      <c r="H155" s="5">
        <f t="shared" si="15"/>
        <v>451614706</v>
      </c>
      <c r="I155" s="5">
        <f t="shared" si="16"/>
        <v>0</v>
      </c>
      <c r="J155" s="36">
        <f t="shared" si="17"/>
        <v>10</v>
      </c>
      <c r="K155" s="201" t="s">
        <v>278</v>
      </c>
      <c r="N155" s="91"/>
      <c r="O155" s="50"/>
      <c r="P155" s="53"/>
      <c r="Q155" s="142"/>
      <c r="R155" s="106"/>
      <c r="S155" s="59"/>
    </row>
    <row r="156" spans="1:19" ht="17.25" customHeight="1">
      <c r="A156" s="14">
        <v>41578</v>
      </c>
      <c r="B156" s="23" t="s">
        <v>162</v>
      </c>
      <c r="C156" s="11">
        <v>41578</v>
      </c>
      <c r="D156" s="16" t="s">
        <v>121</v>
      </c>
      <c r="E156" s="12" t="s">
        <v>42</v>
      </c>
      <c r="F156" s="9"/>
      <c r="G156" s="19">
        <v>211698000</v>
      </c>
      <c r="H156" s="5">
        <f t="shared" si="15"/>
        <v>239916706</v>
      </c>
      <c r="I156" s="5">
        <f t="shared" si="16"/>
        <v>0</v>
      </c>
      <c r="J156" s="36">
        <f t="shared" si="17"/>
        <v>10</v>
      </c>
      <c r="K156" s="201" t="s">
        <v>365</v>
      </c>
      <c r="N156" s="91"/>
      <c r="O156" s="50"/>
      <c r="P156" s="53"/>
      <c r="Q156" s="142"/>
      <c r="R156" s="106"/>
      <c r="S156" s="59"/>
    </row>
    <row r="157" spans="1:19" ht="17.25" customHeight="1">
      <c r="A157" s="14">
        <v>41578</v>
      </c>
      <c r="B157" s="23" t="s">
        <v>162</v>
      </c>
      <c r="C157" s="11">
        <v>41578</v>
      </c>
      <c r="D157" s="16" t="s">
        <v>307</v>
      </c>
      <c r="E157" s="12" t="s">
        <v>42</v>
      </c>
      <c r="F157" s="9"/>
      <c r="G157" s="19">
        <v>220191000</v>
      </c>
      <c r="H157" s="5">
        <f t="shared" si="15"/>
        <v>19725706</v>
      </c>
      <c r="I157" s="5">
        <f t="shared" si="16"/>
        <v>0</v>
      </c>
      <c r="J157" s="36">
        <f t="shared" si="17"/>
        <v>10</v>
      </c>
      <c r="K157" s="201" t="s">
        <v>366</v>
      </c>
      <c r="N157" s="91"/>
      <c r="O157" s="50"/>
      <c r="P157" s="53"/>
      <c r="Q157" s="142"/>
      <c r="R157" s="106"/>
      <c r="S157" s="59"/>
    </row>
    <row r="158" spans="1:19" ht="17.25" customHeight="1">
      <c r="A158" s="14">
        <v>41585</v>
      </c>
      <c r="B158" s="23" t="s">
        <v>150</v>
      </c>
      <c r="C158" s="11">
        <v>41585</v>
      </c>
      <c r="D158" s="16" t="s">
        <v>44</v>
      </c>
      <c r="E158" s="12" t="s">
        <v>45</v>
      </c>
      <c r="F158" s="9">
        <v>350000000</v>
      </c>
      <c r="G158" s="19"/>
      <c r="H158" s="5">
        <f t="shared" si="15"/>
        <v>369725706</v>
      </c>
      <c r="I158" s="5">
        <f t="shared" si="16"/>
        <v>0</v>
      </c>
      <c r="J158" s="36">
        <f t="shared" si="17"/>
        <v>11</v>
      </c>
      <c r="K158" s="201"/>
      <c r="N158" s="91"/>
      <c r="O158" s="50"/>
      <c r="P158" s="53"/>
      <c r="Q158" s="142"/>
      <c r="R158" s="106"/>
      <c r="S158" s="59"/>
    </row>
    <row r="159" spans="1:19" ht="17.25" customHeight="1">
      <c r="A159" s="14">
        <v>41606</v>
      </c>
      <c r="B159" s="23" t="s">
        <v>154</v>
      </c>
      <c r="C159" s="11">
        <v>41606</v>
      </c>
      <c r="D159" s="16" t="s">
        <v>44</v>
      </c>
      <c r="E159" s="12" t="s">
        <v>45</v>
      </c>
      <c r="F159" s="9">
        <v>420000000</v>
      </c>
      <c r="G159" s="19"/>
      <c r="H159" s="5">
        <f t="shared" si="15"/>
        <v>789725706</v>
      </c>
      <c r="I159" s="5">
        <f t="shared" si="16"/>
        <v>0</v>
      </c>
      <c r="J159" s="36">
        <f t="shared" si="17"/>
        <v>11</v>
      </c>
      <c r="K159" s="201"/>
      <c r="N159" s="91"/>
      <c r="O159" s="50"/>
      <c r="P159" s="53"/>
      <c r="Q159" s="142"/>
      <c r="R159" s="106"/>
      <c r="S159" s="59"/>
    </row>
    <row r="160" spans="1:19" ht="17.25" customHeight="1">
      <c r="A160" s="14">
        <v>41608</v>
      </c>
      <c r="B160" s="23" t="s">
        <v>163</v>
      </c>
      <c r="C160" s="11">
        <v>41608</v>
      </c>
      <c r="D160" s="16" t="s">
        <v>308</v>
      </c>
      <c r="E160" s="12" t="s">
        <v>42</v>
      </c>
      <c r="F160" s="9"/>
      <c r="G160" s="19">
        <v>109217500</v>
      </c>
      <c r="H160" s="5">
        <f t="shared" si="15"/>
        <v>680508206</v>
      </c>
      <c r="I160" s="5">
        <f t="shared" si="16"/>
        <v>0</v>
      </c>
      <c r="J160" s="36">
        <f t="shared" si="17"/>
        <v>11</v>
      </c>
      <c r="K160" s="201" t="s">
        <v>200</v>
      </c>
      <c r="N160" s="91"/>
      <c r="O160" s="50"/>
      <c r="P160" s="53"/>
      <c r="Q160" s="142"/>
      <c r="R160" s="106"/>
      <c r="S160" s="59"/>
    </row>
    <row r="161" spans="1:19" ht="17.25" customHeight="1">
      <c r="A161" s="14">
        <v>41608</v>
      </c>
      <c r="B161" s="23" t="s">
        <v>163</v>
      </c>
      <c r="C161" s="11">
        <v>41608</v>
      </c>
      <c r="D161" s="16" t="s">
        <v>296</v>
      </c>
      <c r="E161" s="12" t="s">
        <v>42</v>
      </c>
      <c r="F161" s="9"/>
      <c r="G161" s="19">
        <v>100657000</v>
      </c>
      <c r="H161" s="5">
        <f t="shared" si="15"/>
        <v>579851206</v>
      </c>
      <c r="I161" s="5">
        <f t="shared" si="16"/>
        <v>0</v>
      </c>
      <c r="J161" s="36">
        <f t="shared" si="17"/>
        <v>11</v>
      </c>
      <c r="K161" s="201" t="s">
        <v>217</v>
      </c>
      <c r="N161" s="91"/>
      <c r="O161" s="50"/>
      <c r="P161" s="53"/>
      <c r="Q161" s="142"/>
      <c r="R161" s="106"/>
      <c r="S161" s="59"/>
    </row>
    <row r="162" spans="1:19" ht="17.25" customHeight="1">
      <c r="A162" s="14">
        <v>41608</v>
      </c>
      <c r="B162" s="23" t="s">
        <v>163</v>
      </c>
      <c r="C162" s="11">
        <v>41608</v>
      </c>
      <c r="D162" s="16" t="s">
        <v>144</v>
      </c>
      <c r="E162" s="12" t="s">
        <v>42</v>
      </c>
      <c r="F162" s="9"/>
      <c r="G162" s="19">
        <v>153933500</v>
      </c>
      <c r="H162" s="5">
        <f t="shared" si="15"/>
        <v>425917706</v>
      </c>
      <c r="I162" s="5">
        <f t="shared" si="16"/>
        <v>0</v>
      </c>
      <c r="J162" s="36">
        <f t="shared" si="17"/>
        <v>11</v>
      </c>
      <c r="K162" s="201" t="s">
        <v>222</v>
      </c>
      <c r="N162" s="91"/>
      <c r="O162" s="50"/>
      <c r="P162" s="53"/>
      <c r="Q162" s="142"/>
      <c r="R162" s="106"/>
      <c r="S162" s="59"/>
    </row>
    <row r="163" spans="1:19" ht="17.25" customHeight="1">
      <c r="A163" s="14">
        <v>41608</v>
      </c>
      <c r="B163" s="23" t="s">
        <v>163</v>
      </c>
      <c r="C163" s="11">
        <v>41608</v>
      </c>
      <c r="D163" s="16" t="s">
        <v>142</v>
      </c>
      <c r="E163" s="12" t="s">
        <v>42</v>
      </c>
      <c r="F163" s="9"/>
      <c r="G163" s="19">
        <v>119175000</v>
      </c>
      <c r="H163" s="5">
        <f t="shared" si="15"/>
        <v>306742706</v>
      </c>
      <c r="I163" s="5">
        <f t="shared" si="16"/>
        <v>0</v>
      </c>
      <c r="J163" s="36">
        <f t="shared" si="17"/>
        <v>11</v>
      </c>
      <c r="K163" s="201" t="s">
        <v>328</v>
      </c>
      <c r="N163" s="91"/>
      <c r="O163" s="50"/>
      <c r="P163" s="53"/>
      <c r="Q163" s="142"/>
      <c r="R163" s="106"/>
      <c r="S163" s="59"/>
    </row>
    <row r="164" spans="1:19" ht="17.25" customHeight="1">
      <c r="A164" s="14">
        <v>41608</v>
      </c>
      <c r="B164" s="23" t="s">
        <v>163</v>
      </c>
      <c r="C164" s="11">
        <v>41608</v>
      </c>
      <c r="D164" s="16" t="s">
        <v>140</v>
      </c>
      <c r="E164" s="12" t="s">
        <v>42</v>
      </c>
      <c r="F164" s="9"/>
      <c r="G164" s="19">
        <v>101762000</v>
      </c>
      <c r="H164" s="5">
        <f t="shared" si="15"/>
        <v>204980706</v>
      </c>
      <c r="I164" s="5">
        <f t="shared" si="16"/>
        <v>0</v>
      </c>
      <c r="J164" s="36">
        <f t="shared" si="17"/>
        <v>11</v>
      </c>
      <c r="K164" s="201" t="s">
        <v>268</v>
      </c>
      <c r="N164" s="91"/>
      <c r="O164" s="50"/>
      <c r="P164" s="53"/>
      <c r="Q164" s="142"/>
      <c r="R164" s="106"/>
      <c r="S164" s="59"/>
    </row>
    <row r="165" spans="1:19" ht="17.25" customHeight="1">
      <c r="A165" s="14">
        <v>41608</v>
      </c>
      <c r="B165" s="23" t="s">
        <v>163</v>
      </c>
      <c r="C165" s="11">
        <v>41608</v>
      </c>
      <c r="D165" s="16" t="s">
        <v>307</v>
      </c>
      <c r="E165" s="12" t="s">
        <v>42</v>
      </c>
      <c r="F165" s="9"/>
      <c r="G165" s="19">
        <v>81515000</v>
      </c>
      <c r="H165" s="5">
        <f t="shared" si="15"/>
        <v>123465706</v>
      </c>
      <c r="I165" s="5">
        <f t="shared" si="16"/>
        <v>0</v>
      </c>
      <c r="J165" s="36">
        <f t="shared" si="17"/>
        <v>11</v>
      </c>
      <c r="K165" s="201" t="s">
        <v>282</v>
      </c>
      <c r="N165" s="91"/>
      <c r="O165" s="50"/>
      <c r="P165" s="53"/>
      <c r="Q165" s="142"/>
      <c r="R165" s="106"/>
      <c r="S165" s="59"/>
    </row>
    <row r="166" spans="1:19" ht="17.25" customHeight="1">
      <c r="A166" s="14">
        <v>41608</v>
      </c>
      <c r="B166" s="23" t="s">
        <v>163</v>
      </c>
      <c r="C166" s="11">
        <v>41608</v>
      </c>
      <c r="D166" s="16" t="s">
        <v>141</v>
      </c>
      <c r="E166" s="12" t="s">
        <v>42</v>
      </c>
      <c r="F166" s="9"/>
      <c r="G166" s="19">
        <v>104107500</v>
      </c>
      <c r="H166" s="5">
        <f t="shared" si="15"/>
        <v>19358206</v>
      </c>
      <c r="I166" s="5">
        <f t="shared" si="16"/>
        <v>0</v>
      </c>
      <c r="J166" s="36">
        <f t="shared" si="17"/>
        <v>11</v>
      </c>
      <c r="K166" s="201" t="s">
        <v>275</v>
      </c>
      <c r="N166" s="91"/>
      <c r="O166" s="50"/>
      <c r="P166" s="53"/>
      <c r="Q166" s="142"/>
      <c r="R166" s="106"/>
      <c r="S166" s="59"/>
    </row>
    <row r="167" spans="1:19" ht="17.25" customHeight="1">
      <c r="A167" s="14">
        <v>41623</v>
      </c>
      <c r="B167" s="23" t="s">
        <v>155</v>
      </c>
      <c r="C167" s="11">
        <v>41623</v>
      </c>
      <c r="D167" s="16" t="s">
        <v>44</v>
      </c>
      <c r="E167" s="12" t="s">
        <v>45</v>
      </c>
      <c r="F167" s="9">
        <v>600000000</v>
      </c>
      <c r="G167" s="19"/>
      <c r="H167" s="5">
        <f t="shared" si="15"/>
        <v>619358206</v>
      </c>
      <c r="I167" s="5">
        <f t="shared" si="16"/>
        <v>0</v>
      </c>
      <c r="J167" s="36">
        <f t="shared" si="17"/>
        <v>12</v>
      </c>
      <c r="K167" s="201"/>
      <c r="N167" s="91"/>
      <c r="O167" s="50"/>
      <c r="P167" s="53"/>
      <c r="Q167" s="142"/>
      <c r="R167" s="106"/>
      <c r="S167" s="59"/>
    </row>
    <row r="168" spans="1:19" ht="17.25" customHeight="1">
      <c r="A168" s="14">
        <v>41626</v>
      </c>
      <c r="B168" s="23" t="s">
        <v>58</v>
      </c>
      <c r="C168" s="11">
        <v>41626</v>
      </c>
      <c r="D168" s="16" t="s">
        <v>44</v>
      </c>
      <c r="E168" s="12" t="s">
        <v>45</v>
      </c>
      <c r="F168" s="9">
        <v>600000000</v>
      </c>
      <c r="G168" s="19"/>
      <c r="H168" s="5">
        <f t="shared" si="15"/>
        <v>1219358206</v>
      </c>
      <c r="I168" s="5">
        <f t="shared" si="16"/>
        <v>0</v>
      </c>
      <c r="J168" s="36">
        <f t="shared" si="17"/>
        <v>12</v>
      </c>
      <c r="K168" s="201"/>
      <c r="N168" s="91"/>
      <c r="O168" s="50"/>
      <c r="P168" s="53"/>
      <c r="Q168" s="142"/>
      <c r="R168" s="106"/>
      <c r="S168" s="59"/>
    </row>
    <row r="169" spans="1:19" ht="17.25" customHeight="1">
      <c r="A169" s="14">
        <v>41627</v>
      </c>
      <c r="B169" s="23" t="s">
        <v>55</v>
      </c>
      <c r="C169" s="11">
        <v>41627</v>
      </c>
      <c r="D169" s="16" t="s">
        <v>44</v>
      </c>
      <c r="E169" s="12" t="s">
        <v>45</v>
      </c>
      <c r="F169" s="9">
        <v>600000000</v>
      </c>
      <c r="G169" s="19"/>
      <c r="H169" s="5">
        <f t="shared" si="15"/>
        <v>1819358206</v>
      </c>
      <c r="I169" s="5">
        <f t="shared" si="16"/>
        <v>0</v>
      </c>
      <c r="J169" s="36">
        <f t="shared" si="17"/>
        <v>12</v>
      </c>
      <c r="K169" s="201"/>
      <c r="N169" s="91"/>
      <c r="O169" s="50"/>
      <c r="P169" s="53"/>
      <c r="Q169" s="142"/>
      <c r="R169" s="106"/>
      <c r="S169" s="59"/>
    </row>
    <row r="170" spans="1:19" ht="17.25" customHeight="1">
      <c r="A170" s="14">
        <v>41632</v>
      </c>
      <c r="B170" s="23" t="s">
        <v>165</v>
      </c>
      <c r="C170" s="11">
        <v>41632</v>
      </c>
      <c r="D170" s="16" t="s">
        <v>44</v>
      </c>
      <c r="E170" s="12" t="s">
        <v>45</v>
      </c>
      <c r="F170" s="9">
        <v>600000000</v>
      </c>
      <c r="G170" s="19"/>
      <c r="H170" s="5">
        <f t="shared" si="15"/>
        <v>2419358206</v>
      </c>
      <c r="I170" s="5">
        <f t="shared" si="16"/>
        <v>0</v>
      </c>
      <c r="J170" s="36">
        <f t="shared" si="17"/>
        <v>12</v>
      </c>
      <c r="K170" s="201"/>
      <c r="N170" s="91"/>
      <c r="O170" s="50"/>
      <c r="P170" s="53"/>
      <c r="Q170" s="142"/>
      <c r="R170" s="106"/>
      <c r="S170" s="59"/>
    </row>
    <row r="171" spans="1:19" ht="17.25" customHeight="1">
      <c r="A171" s="14">
        <v>41636</v>
      </c>
      <c r="B171" s="23" t="s">
        <v>64</v>
      </c>
      <c r="C171" s="11">
        <v>41636</v>
      </c>
      <c r="D171" s="16" t="s">
        <v>44</v>
      </c>
      <c r="E171" s="12" t="s">
        <v>45</v>
      </c>
      <c r="F171" s="9">
        <v>550000000</v>
      </c>
      <c r="G171" s="19"/>
      <c r="H171" s="5">
        <f t="shared" si="15"/>
        <v>2969358206</v>
      </c>
      <c r="I171" s="5">
        <f t="shared" si="16"/>
        <v>0</v>
      </c>
      <c r="J171" s="36">
        <f t="shared" si="17"/>
        <v>12</v>
      </c>
      <c r="K171" s="201"/>
      <c r="N171" s="91"/>
      <c r="O171" s="50"/>
      <c r="P171" s="53"/>
      <c r="Q171" s="142"/>
      <c r="R171" s="106"/>
      <c r="S171" s="59"/>
    </row>
    <row r="172" spans="1:19" ht="17.25" customHeight="1">
      <c r="A172" s="14">
        <v>41639</v>
      </c>
      <c r="B172" s="23" t="s">
        <v>164</v>
      </c>
      <c r="C172" s="11">
        <v>41639</v>
      </c>
      <c r="D172" s="16" t="s">
        <v>303</v>
      </c>
      <c r="E172" s="12" t="s">
        <v>42</v>
      </c>
      <c r="F172" s="9"/>
      <c r="G172" s="19">
        <v>43792000</v>
      </c>
      <c r="H172" s="5">
        <f t="shared" si="15"/>
        <v>2925566206</v>
      </c>
      <c r="I172" s="5">
        <f t="shared" si="16"/>
        <v>0</v>
      </c>
      <c r="J172" s="36">
        <f t="shared" si="17"/>
        <v>12</v>
      </c>
      <c r="K172" s="201" t="s">
        <v>367</v>
      </c>
      <c r="N172" s="91"/>
      <c r="O172" s="50"/>
      <c r="P172" s="53"/>
      <c r="Q172" s="142"/>
      <c r="R172" s="106"/>
      <c r="S172" s="59"/>
    </row>
    <row r="173" spans="1:19" ht="17.25" customHeight="1">
      <c r="A173" s="14">
        <v>41639</v>
      </c>
      <c r="B173" s="23" t="s">
        <v>164</v>
      </c>
      <c r="C173" s="11">
        <v>41639</v>
      </c>
      <c r="D173" s="16" t="s">
        <v>34</v>
      </c>
      <c r="E173" s="12" t="s">
        <v>42</v>
      </c>
      <c r="F173" s="9"/>
      <c r="G173" s="19">
        <v>48970000</v>
      </c>
      <c r="H173" s="5">
        <f t="shared" si="15"/>
        <v>2876596206</v>
      </c>
      <c r="I173" s="5">
        <f t="shared" si="16"/>
        <v>0</v>
      </c>
      <c r="J173" s="36">
        <f t="shared" si="17"/>
        <v>12</v>
      </c>
      <c r="K173" s="201" t="s">
        <v>207</v>
      </c>
      <c r="N173" s="91"/>
      <c r="O173" s="50"/>
      <c r="P173" s="53"/>
      <c r="Q173" s="142"/>
      <c r="R173" s="106"/>
      <c r="S173" s="59"/>
    </row>
    <row r="174" spans="1:19" ht="17.25" customHeight="1">
      <c r="A174" s="14">
        <v>41639</v>
      </c>
      <c r="B174" s="23" t="s">
        <v>164</v>
      </c>
      <c r="C174" s="11">
        <v>41639</v>
      </c>
      <c r="D174" s="16" t="s">
        <v>39</v>
      </c>
      <c r="E174" s="12" t="s">
        <v>42</v>
      </c>
      <c r="F174" s="9"/>
      <c r="G174" s="19">
        <v>138414000</v>
      </c>
      <c r="H174" s="5">
        <f t="shared" si="15"/>
        <v>2738182206</v>
      </c>
      <c r="I174" s="5">
        <f t="shared" si="16"/>
        <v>0</v>
      </c>
      <c r="J174" s="36">
        <f t="shared" si="17"/>
        <v>12</v>
      </c>
      <c r="K174" s="201" t="s">
        <v>318</v>
      </c>
      <c r="N174" s="91"/>
      <c r="O174" s="50"/>
      <c r="P174" s="53"/>
      <c r="Q174" s="142"/>
      <c r="R174" s="106"/>
      <c r="S174" s="59"/>
    </row>
    <row r="175" spans="1:19" ht="17.25" customHeight="1">
      <c r="A175" s="14">
        <v>41639</v>
      </c>
      <c r="B175" s="23" t="s">
        <v>164</v>
      </c>
      <c r="C175" s="11">
        <v>41639</v>
      </c>
      <c r="D175" s="16" t="s">
        <v>35</v>
      </c>
      <c r="E175" s="12" t="s">
        <v>42</v>
      </c>
      <c r="F175" s="9"/>
      <c r="G175" s="19">
        <v>170800000</v>
      </c>
      <c r="H175" s="5">
        <f t="shared" si="15"/>
        <v>2567382206</v>
      </c>
      <c r="I175" s="5">
        <f t="shared" si="16"/>
        <v>0</v>
      </c>
      <c r="J175" s="36">
        <f t="shared" si="17"/>
        <v>12</v>
      </c>
      <c r="K175" s="201" t="s">
        <v>368</v>
      </c>
      <c r="N175" s="91"/>
      <c r="O175" s="50"/>
      <c r="P175" s="53"/>
      <c r="Q175" s="142"/>
      <c r="R175" s="106"/>
      <c r="S175" s="59"/>
    </row>
    <row r="176" spans="1:19" ht="17.25" customHeight="1">
      <c r="A176" s="14">
        <v>41639</v>
      </c>
      <c r="B176" s="23" t="s">
        <v>164</v>
      </c>
      <c r="C176" s="11">
        <v>41639</v>
      </c>
      <c r="D176" s="16" t="s">
        <v>295</v>
      </c>
      <c r="E176" s="12" t="s">
        <v>42</v>
      </c>
      <c r="F176" s="9"/>
      <c r="G176" s="19">
        <v>206838000</v>
      </c>
      <c r="H176" s="5">
        <f t="shared" si="15"/>
        <v>2360544206</v>
      </c>
      <c r="I176" s="5">
        <f t="shared" si="16"/>
        <v>0</v>
      </c>
      <c r="J176" s="36">
        <f t="shared" si="17"/>
        <v>12</v>
      </c>
      <c r="K176" s="201" t="s">
        <v>369</v>
      </c>
      <c r="N176" s="91"/>
      <c r="O176" s="50"/>
      <c r="P176" s="53"/>
      <c r="Q176" s="142"/>
      <c r="R176" s="106"/>
      <c r="S176" s="59"/>
    </row>
    <row r="177" spans="1:19" ht="17.25" customHeight="1">
      <c r="A177" s="14">
        <v>41639</v>
      </c>
      <c r="B177" s="23" t="s">
        <v>164</v>
      </c>
      <c r="C177" s="11">
        <v>41639</v>
      </c>
      <c r="D177" s="16" t="s">
        <v>294</v>
      </c>
      <c r="E177" s="12" t="s">
        <v>42</v>
      </c>
      <c r="F177" s="9"/>
      <c r="G177" s="19">
        <v>217476000</v>
      </c>
      <c r="H177" s="5">
        <f t="shared" si="15"/>
        <v>2143068206</v>
      </c>
      <c r="I177" s="5">
        <f t="shared" si="16"/>
        <v>0</v>
      </c>
      <c r="J177" s="36">
        <f t="shared" si="17"/>
        <v>12</v>
      </c>
      <c r="K177" s="201" t="s">
        <v>370</v>
      </c>
      <c r="N177" s="91"/>
      <c r="O177" s="50"/>
      <c r="P177" s="53"/>
      <c r="Q177" s="142"/>
      <c r="R177" s="106"/>
      <c r="S177" s="59"/>
    </row>
    <row r="178" spans="1:19" ht="17.25" customHeight="1">
      <c r="A178" s="14">
        <v>41639</v>
      </c>
      <c r="B178" s="23" t="s">
        <v>164</v>
      </c>
      <c r="C178" s="11">
        <v>41639</v>
      </c>
      <c r="D178" s="16" t="s">
        <v>296</v>
      </c>
      <c r="E178" s="12" t="s">
        <v>42</v>
      </c>
      <c r="F178" s="9"/>
      <c r="G178" s="19">
        <v>208540000</v>
      </c>
      <c r="H178" s="5">
        <f t="shared" si="15"/>
        <v>1934528206</v>
      </c>
      <c r="I178" s="5">
        <f t="shared" si="16"/>
        <v>0</v>
      </c>
      <c r="J178" s="36">
        <f t="shared" si="17"/>
        <v>12</v>
      </c>
      <c r="K178" s="201" t="s">
        <v>371</v>
      </c>
      <c r="N178" s="91"/>
      <c r="O178" s="50"/>
      <c r="P178" s="53"/>
      <c r="Q178" s="142"/>
      <c r="R178" s="106"/>
      <c r="S178" s="59"/>
    </row>
    <row r="179" spans="1:19" ht="17.25" customHeight="1">
      <c r="A179" s="14">
        <v>41639</v>
      </c>
      <c r="B179" s="23" t="s">
        <v>164</v>
      </c>
      <c r="C179" s="11">
        <v>41639</v>
      </c>
      <c r="D179" s="16" t="s">
        <v>306</v>
      </c>
      <c r="E179" s="12" t="s">
        <v>42</v>
      </c>
      <c r="F179" s="9"/>
      <c r="G179" s="19">
        <v>115200000</v>
      </c>
      <c r="H179" s="5">
        <f t="shared" si="15"/>
        <v>1819328206</v>
      </c>
      <c r="I179" s="5">
        <f t="shared" si="16"/>
        <v>0</v>
      </c>
      <c r="J179" s="36">
        <f t="shared" si="17"/>
        <v>12</v>
      </c>
      <c r="K179" s="201" t="s">
        <v>372</v>
      </c>
      <c r="N179" s="91"/>
      <c r="O179" s="50"/>
      <c r="P179" s="53"/>
      <c r="Q179" s="142"/>
      <c r="R179" s="106"/>
      <c r="S179" s="59"/>
    </row>
    <row r="180" spans="1:19" ht="17.25" customHeight="1">
      <c r="A180" s="14">
        <v>41639</v>
      </c>
      <c r="B180" s="23" t="s">
        <v>164</v>
      </c>
      <c r="C180" s="11">
        <v>41639</v>
      </c>
      <c r="D180" s="16" t="s">
        <v>40</v>
      </c>
      <c r="E180" s="12" t="s">
        <v>42</v>
      </c>
      <c r="F180" s="9"/>
      <c r="G180" s="19">
        <v>159890000</v>
      </c>
      <c r="H180" s="5">
        <f t="shared" si="15"/>
        <v>1659438206</v>
      </c>
      <c r="I180" s="5">
        <f t="shared" si="16"/>
        <v>0</v>
      </c>
      <c r="J180" s="36">
        <f t="shared" si="17"/>
        <v>12</v>
      </c>
      <c r="K180" s="201" t="s">
        <v>353</v>
      </c>
      <c r="N180" s="91"/>
      <c r="O180" s="50"/>
      <c r="P180" s="53"/>
      <c r="Q180" s="142"/>
      <c r="R180" s="106"/>
      <c r="S180" s="59"/>
    </row>
    <row r="181" spans="1:19" ht="17.25" customHeight="1">
      <c r="A181" s="14">
        <v>41639</v>
      </c>
      <c r="B181" s="23" t="s">
        <v>164</v>
      </c>
      <c r="C181" s="11">
        <v>41639</v>
      </c>
      <c r="D181" s="16" t="s">
        <v>36</v>
      </c>
      <c r="E181" s="12" t="s">
        <v>42</v>
      </c>
      <c r="F181" s="9"/>
      <c r="G181" s="19">
        <v>149550000</v>
      </c>
      <c r="H181" s="5">
        <f t="shared" si="15"/>
        <v>1509888206</v>
      </c>
      <c r="I181" s="5">
        <f t="shared" si="16"/>
        <v>0</v>
      </c>
      <c r="J181" s="36">
        <f t="shared" si="17"/>
        <v>12</v>
      </c>
      <c r="K181" s="201" t="s">
        <v>373</v>
      </c>
      <c r="N181" s="91"/>
      <c r="O181" s="50"/>
      <c r="P181" s="53"/>
      <c r="Q181" s="142"/>
      <c r="R181" s="106"/>
      <c r="S181" s="59"/>
    </row>
    <row r="182" spans="1:19" ht="17.25" customHeight="1">
      <c r="A182" s="14">
        <v>41639</v>
      </c>
      <c r="B182" s="23" t="s">
        <v>164</v>
      </c>
      <c r="C182" s="11">
        <v>41639</v>
      </c>
      <c r="D182" s="16" t="s">
        <v>168</v>
      </c>
      <c r="E182" s="12" t="s">
        <v>42</v>
      </c>
      <c r="F182" s="9"/>
      <c r="G182" s="19">
        <v>200902000</v>
      </c>
      <c r="H182" s="5">
        <f t="shared" si="15"/>
        <v>1308986206</v>
      </c>
      <c r="I182" s="5">
        <f t="shared" si="16"/>
        <v>0</v>
      </c>
      <c r="J182" s="36">
        <f t="shared" si="17"/>
        <v>12</v>
      </c>
      <c r="K182" s="201" t="s">
        <v>374</v>
      </c>
      <c r="N182" s="91"/>
      <c r="O182" s="50"/>
      <c r="P182" s="53"/>
      <c r="Q182" s="142"/>
      <c r="R182" s="106"/>
      <c r="S182" s="59"/>
    </row>
    <row r="183" spans="1:19" ht="17.25" customHeight="1">
      <c r="A183" s="14">
        <v>41639</v>
      </c>
      <c r="B183" s="23" t="s">
        <v>164</v>
      </c>
      <c r="C183" s="11">
        <v>41639</v>
      </c>
      <c r="D183" s="16" t="s">
        <v>41</v>
      </c>
      <c r="E183" s="12" t="s">
        <v>42</v>
      </c>
      <c r="F183" s="9"/>
      <c r="G183" s="19">
        <v>145169500</v>
      </c>
      <c r="H183" s="5">
        <f t="shared" si="15"/>
        <v>1163816706</v>
      </c>
      <c r="I183" s="5">
        <f t="shared" si="16"/>
        <v>0</v>
      </c>
      <c r="J183" s="36">
        <f t="shared" si="17"/>
        <v>12</v>
      </c>
      <c r="K183" s="201" t="s">
        <v>375</v>
      </c>
      <c r="N183" s="91"/>
      <c r="O183" s="50"/>
      <c r="P183" s="53"/>
      <c r="Q183" s="142"/>
      <c r="R183" s="106"/>
      <c r="S183" s="59"/>
    </row>
    <row r="184" spans="1:19" ht="17.25" customHeight="1">
      <c r="A184" s="14">
        <v>41639</v>
      </c>
      <c r="B184" s="23" t="s">
        <v>164</v>
      </c>
      <c r="C184" s="11">
        <v>41639</v>
      </c>
      <c r="D184" s="16" t="s">
        <v>140</v>
      </c>
      <c r="E184" s="12" t="s">
        <v>42</v>
      </c>
      <c r="F184" s="9"/>
      <c r="G184" s="19">
        <v>135600000</v>
      </c>
      <c r="H184" s="5">
        <f t="shared" si="15"/>
        <v>1028216706</v>
      </c>
      <c r="I184" s="5">
        <f t="shared" si="16"/>
        <v>0</v>
      </c>
      <c r="J184" s="36">
        <f t="shared" si="17"/>
        <v>12</v>
      </c>
      <c r="K184" s="201" t="s">
        <v>218</v>
      </c>
      <c r="N184" s="91"/>
      <c r="O184" s="50"/>
      <c r="P184" s="53"/>
      <c r="Q184" s="142"/>
      <c r="R184" s="106"/>
      <c r="S184" s="59"/>
    </row>
    <row r="185" spans="1:19" ht="17.25" customHeight="1">
      <c r="A185" s="14">
        <v>41639</v>
      </c>
      <c r="B185" s="23" t="s">
        <v>164</v>
      </c>
      <c r="C185" s="11">
        <v>41639</v>
      </c>
      <c r="D185" s="16" t="s">
        <v>37</v>
      </c>
      <c r="E185" s="12" t="s">
        <v>42</v>
      </c>
      <c r="F185" s="9"/>
      <c r="G185" s="19">
        <v>133546500</v>
      </c>
      <c r="H185" s="5">
        <f t="shared" si="15"/>
        <v>894670206</v>
      </c>
      <c r="I185" s="5">
        <f t="shared" si="16"/>
        <v>0</v>
      </c>
      <c r="J185" s="36">
        <f t="shared" si="17"/>
        <v>12</v>
      </c>
      <c r="K185" s="201" t="s">
        <v>347</v>
      </c>
      <c r="N185" s="91"/>
      <c r="O185" s="50"/>
      <c r="P185" s="53"/>
      <c r="Q185" s="142"/>
      <c r="R185" s="106"/>
      <c r="S185" s="59"/>
    </row>
    <row r="186" spans="1:19" ht="17.25" customHeight="1">
      <c r="A186" s="14">
        <v>41639</v>
      </c>
      <c r="B186" s="23" t="s">
        <v>164</v>
      </c>
      <c r="C186" s="11">
        <v>41639</v>
      </c>
      <c r="D186" s="16" t="s">
        <v>38</v>
      </c>
      <c r="E186" s="12" t="s">
        <v>42</v>
      </c>
      <c r="F186" s="9"/>
      <c r="G186" s="19">
        <v>367505000</v>
      </c>
      <c r="H186" s="5">
        <f t="shared" si="15"/>
        <v>527165206</v>
      </c>
      <c r="I186" s="5">
        <f t="shared" si="16"/>
        <v>0</v>
      </c>
      <c r="J186" s="36">
        <f t="shared" si="17"/>
        <v>12</v>
      </c>
      <c r="K186" s="201" t="s">
        <v>376</v>
      </c>
      <c r="N186" s="91"/>
      <c r="O186" s="50"/>
      <c r="P186" s="53"/>
      <c r="Q186" s="142"/>
      <c r="R186" s="106"/>
      <c r="S186" s="59"/>
    </row>
    <row r="187" spans="1:19" ht="17.25" customHeight="1">
      <c r="A187" s="14">
        <v>41639</v>
      </c>
      <c r="B187" s="23" t="s">
        <v>164</v>
      </c>
      <c r="C187" s="11">
        <v>41639</v>
      </c>
      <c r="D187" s="16" t="s">
        <v>121</v>
      </c>
      <c r="E187" s="12" t="s">
        <v>42</v>
      </c>
      <c r="F187" s="9"/>
      <c r="G187" s="19">
        <v>316434000</v>
      </c>
      <c r="H187" s="5">
        <f t="shared" si="15"/>
        <v>210731206</v>
      </c>
      <c r="I187" s="5">
        <f t="shared" si="16"/>
        <v>0</v>
      </c>
      <c r="J187" s="36">
        <f t="shared" si="17"/>
        <v>12</v>
      </c>
      <c r="K187" s="201" t="s">
        <v>377</v>
      </c>
      <c r="N187" s="91"/>
      <c r="O187" s="50"/>
      <c r="P187" s="53"/>
      <c r="Q187" s="142"/>
      <c r="R187" s="106"/>
      <c r="S187" s="59"/>
    </row>
    <row r="188" spans="1:19" ht="17.25" customHeight="1">
      <c r="A188" s="14">
        <v>41639</v>
      </c>
      <c r="B188" s="23" t="s">
        <v>164</v>
      </c>
      <c r="C188" s="11">
        <v>41639</v>
      </c>
      <c r="D188" s="16" t="s">
        <v>307</v>
      </c>
      <c r="E188" s="12" t="s">
        <v>42</v>
      </c>
      <c r="F188" s="9"/>
      <c r="G188" s="19">
        <v>205146000</v>
      </c>
      <c r="H188" s="5">
        <f t="shared" si="15"/>
        <v>5585206</v>
      </c>
      <c r="I188" s="5">
        <f t="shared" si="16"/>
        <v>0</v>
      </c>
      <c r="J188" s="36">
        <f t="shared" si="17"/>
        <v>12</v>
      </c>
      <c r="K188" s="201" t="s">
        <v>378</v>
      </c>
      <c r="N188" s="91"/>
      <c r="O188" s="50"/>
      <c r="P188" s="53"/>
      <c r="Q188" s="142"/>
      <c r="R188" s="106"/>
      <c r="S188" s="59"/>
    </row>
    <row r="189" spans="1:19" ht="17.25" customHeight="1">
      <c r="A189" s="14">
        <v>41639</v>
      </c>
      <c r="B189" s="23" t="s">
        <v>309</v>
      </c>
      <c r="C189" s="11">
        <v>41639</v>
      </c>
      <c r="D189" s="16" t="s">
        <v>196</v>
      </c>
      <c r="E189" s="12" t="s">
        <v>45</v>
      </c>
      <c r="F189" s="9"/>
      <c r="G189" s="19">
        <v>5585206</v>
      </c>
      <c r="H189" s="5">
        <f t="shared" si="15"/>
        <v>0</v>
      </c>
      <c r="I189" s="5">
        <f t="shared" si="16"/>
        <v>0</v>
      </c>
      <c r="J189" s="36">
        <f t="shared" si="17"/>
        <v>12</v>
      </c>
      <c r="K189" s="201"/>
      <c r="N189" s="91"/>
      <c r="O189" s="50"/>
      <c r="P189" s="53"/>
      <c r="Q189" s="142"/>
      <c r="R189" s="106"/>
      <c r="S189" s="59"/>
    </row>
    <row r="190" spans="1:19" ht="17.25" customHeight="1">
      <c r="A190" s="11"/>
      <c r="B190" s="25"/>
      <c r="C190" s="11"/>
      <c r="D190" s="16"/>
      <c r="E190" s="25"/>
      <c r="F190" s="4"/>
      <c r="G190" s="5"/>
      <c r="H190" s="5"/>
      <c r="I190" s="5"/>
      <c r="J190" s="36" t="str">
        <f t="shared" ref="J190:J192" si="18">IF(A190&lt;&gt;"",MONTH(A190),"")</f>
        <v/>
      </c>
      <c r="N190" s="18"/>
      <c r="O190" s="50"/>
      <c r="P190" s="53"/>
      <c r="Q190" s="18"/>
      <c r="R190" s="103"/>
      <c r="S190" s="60"/>
    </row>
    <row r="191" spans="1:19" ht="17.25" customHeight="1">
      <c r="A191" s="11"/>
      <c r="B191" s="25"/>
      <c r="C191" s="11"/>
      <c r="D191" s="48" t="s">
        <v>22</v>
      </c>
      <c r="E191" s="49" t="s">
        <v>23</v>
      </c>
      <c r="F191" s="7">
        <f>SUM(F16:F190)</f>
        <v>21100000000</v>
      </c>
      <c r="G191" s="7">
        <f>SUM(G16:G190)</f>
        <v>21100000000</v>
      </c>
      <c r="H191" s="7" t="s">
        <v>23</v>
      </c>
      <c r="I191" s="7" t="s">
        <v>23</v>
      </c>
      <c r="J191" s="36" t="str">
        <f t="shared" si="18"/>
        <v/>
      </c>
      <c r="N191" s="18"/>
      <c r="O191" s="50"/>
      <c r="P191" s="102"/>
      <c r="Q191" s="18"/>
      <c r="R191" s="103"/>
      <c r="S191" s="103"/>
    </row>
    <row r="192" spans="1:19" ht="17.25" customHeight="1">
      <c r="A192" s="40"/>
      <c r="B192" s="43"/>
      <c r="C192" s="40"/>
      <c r="D192" s="42" t="s">
        <v>24</v>
      </c>
      <c r="E192" s="43" t="s">
        <v>23</v>
      </c>
      <c r="F192" s="6" t="s">
        <v>23</v>
      </c>
      <c r="G192" s="8" t="s">
        <v>23</v>
      </c>
      <c r="H192" s="8">
        <f>IF(H15-I15+F191-G191&gt;0,H15-I15+F191-G191,0)</f>
        <v>0</v>
      </c>
      <c r="I192" s="8">
        <f>IF(I15-H15+G191-F191&gt;0,I15-H15+G191-F191,0)</f>
        <v>0</v>
      </c>
      <c r="J192" s="36" t="str">
        <f t="shared" si="18"/>
        <v/>
      </c>
      <c r="N192" s="18"/>
      <c r="O192" s="50"/>
      <c r="P192" s="102"/>
      <c r="Q192" s="18"/>
      <c r="R192" s="103"/>
      <c r="S192" s="60"/>
    </row>
    <row r="193" spans="1:19">
      <c r="A193" s="27"/>
      <c r="B193" s="27"/>
      <c r="C193" s="27"/>
      <c r="D193" s="28"/>
      <c r="E193" s="27"/>
      <c r="F193" s="27"/>
      <c r="G193" s="44"/>
      <c r="H193" s="56"/>
      <c r="I193" s="45"/>
      <c r="N193" s="18"/>
      <c r="O193" s="18"/>
      <c r="P193" s="53"/>
      <c r="Q193" s="18"/>
      <c r="R193" s="18"/>
      <c r="S193" s="60"/>
    </row>
    <row r="194" spans="1:19">
      <c r="A194" s="27"/>
      <c r="B194" s="27"/>
      <c r="C194" s="46" t="s">
        <v>48</v>
      </c>
      <c r="D194" s="28"/>
      <c r="E194" s="27"/>
      <c r="F194" s="27"/>
      <c r="G194" s="44"/>
      <c r="H194" s="55"/>
      <c r="I194" s="44"/>
      <c r="N194" s="18"/>
      <c r="O194" s="113"/>
      <c r="P194" s="53"/>
      <c r="Q194" s="18"/>
      <c r="R194" s="18"/>
      <c r="S194" s="60"/>
    </row>
    <row r="195" spans="1:19">
      <c r="A195" s="27"/>
      <c r="B195" s="27"/>
      <c r="C195" s="46" t="s">
        <v>166</v>
      </c>
      <c r="D195" s="28"/>
      <c r="E195" s="27"/>
      <c r="F195" s="27"/>
      <c r="G195" s="44"/>
      <c r="H195" s="27"/>
      <c r="I195" s="45"/>
      <c r="J195" s="22"/>
      <c r="N195" s="18"/>
      <c r="O195" s="113"/>
      <c r="P195" s="53"/>
      <c r="Q195" s="18"/>
      <c r="R195" s="18"/>
      <c r="S195" s="60"/>
    </row>
    <row r="196" spans="1:19">
      <c r="A196" s="27"/>
      <c r="B196" s="27"/>
      <c r="C196" s="27"/>
      <c r="D196" s="28"/>
      <c r="E196" s="285" t="s">
        <v>119</v>
      </c>
      <c r="F196" s="285"/>
      <c r="G196" s="285"/>
      <c r="H196" s="285"/>
      <c r="I196" s="285"/>
      <c r="J196" s="50"/>
      <c r="L196" s="58"/>
      <c r="M196" s="58"/>
      <c r="N196" s="18"/>
      <c r="O196" s="18"/>
      <c r="P196" s="53"/>
      <c r="Q196" s="112"/>
      <c r="R196" s="58"/>
      <c r="S196" s="58"/>
    </row>
    <row r="197" spans="1:19">
      <c r="A197" s="285" t="s">
        <v>25</v>
      </c>
      <c r="B197" s="285"/>
      <c r="C197" s="285"/>
      <c r="D197" s="285"/>
      <c r="E197" s="285" t="s">
        <v>26</v>
      </c>
      <c r="F197" s="285"/>
      <c r="G197" s="285"/>
      <c r="H197" s="285"/>
      <c r="I197" s="285"/>
      <c r="J197" s="50"/>
      <c r="L197" s="58"/>
      <c r="M197" s="58"/>
      <c r="N197" s="58"/>
      <c r="O197" s="58"/>
      <c r="P197" s="58"/>
      <c r="Q197" s="112"/>
      <c r="R197" s="58"/>
      <c r="S197" s="58"/>
    </row>
    <row r="198" spans="1:19">
      <c r="A198" s="285" t="s">
        <v>27</v>
      </c>
      <c r="B198" s="285"/>
      <c r="C198" s="285"/>
      <c r="D198" s="285"/>
      <c r="E198" s="285" t="s">
        <v>27</v>
      </c>
      <c r="F198" s="285"/>
      <c r="G198" s="285"/>
      <c r="H198" s="285"/>
      <c r="I198" s="285"/>
      <c r="J198" s="59"/>
      <c r="K198" s="201"/>
      <c r="L198" s="59"/>
      <c r="M198" s="58"/>
      <c r="N198" s="58"/>
      <c r="O198" s="58"/>
      <c r="P198" s="58"/>
      <c r="Q198" s="112"/>
      <c r="R198" s="58"/>
      <c r="S198" s="58"/>
    </row>
    <row r="199" spans="1:19">
      <c r="A199" s="27"/>
      <c r="B199" s="27"/>
      <c r="C199" s="27"/>
      <c r="D199" s="28"/>
      <c r="E199" s="27"/>
      <c r="F199" s="27"/>
      <c r="G199" s="44"/>
      <c r="H199" s="27"/>
      <c r="I199" s="27"/>
      <c r="J199" s="59"/>
      <c r="L199" s="59"/>
      <c r="M199" s="58"/>
      <c r="N199" s="27"/>
      <c r="O199" s="27"/>
      <c r="P199" s="28"/>
      <c r="Q199" s="27"/>
      <c r="R199" s="27"/>
      <c r="S199" s="44"/>
    </row>
    <row r="200" spans="1:19">
      <c r="J200" s="59"/>
      <c r="L200" s="59"/>
      <c r="M200" s="58"/>
    </row>
    <row r="201" spans="1:19">
      <c r="C201" s="51"/>
      <c r="F201" s="13"/>
      <c r="J201" s="59"/>
      <c r="L201" s="59"/>
      <c r="M201" s="58"/>
      <c r="O201" s="51"/>
      <c r="R201" s="13"/>
    </row>
    <row r="202" spans="1:19">
      <c r="C202" s="51"/>
      <c r="F202" s="13"/>
      <c r="J202" s="59"/>
      <c r="K202" s="204"/>
      <c r="L202" s="59"/>
      <c r="M202" s="58"/>
      <c r="O202" s="51"/>
      <c r="R202" s="13"/>
    </row>
    <row r="203" spans="1:19">
      <c r="C203" s="51"/>
      <c r="F203" s="13"/>
      <c r="J203" s="59"/>
      <c r="K203" s="204"/>
      <c r="L203" s="59"/>
      <c r="M203" s="58"/>
      <c r="O203" s="51"/>
      <c r="R203" s="13"/>
    </row>
    <row r="204" spans="1:19">
      <c r="C204" s="51"/>
      <c r="F204" s="13"/>
      <c r="J204" s="59"/>
      <c r="K204" s="204"/>
      <c r="L204" s="59"/>
      <c r="M204" s="58"/>
      <c r="O204" s="51"/>
      <c r="R204" s="13"/>
    </row>
    <row r="205" spans="1:19">
      <c r="C205" s="51"/>
      <c r="F205" s="13"/>
      <c r="J205" s="59"/>
      <c r="K205" s="204"/>
      <c r="L205" s="59"/>
      <c r="M205" s="58"/>
      <c r="O205" s="51"/>
      <c r="R205" s="13"/>
    </row>
    <row r="206" spans="1:19">
      <c r="C206" s="51"/>
      <c r="F206" s="13"/>
      <c r="J206" s="59"/>
      <c r="K206" s="204"/>
      <c r="L206" s="60"/>
      <c r="M206" s="58"/>
      <c r="O206" s="51"/>
      <c r="R206" s="13"/>
    </row>
    <row r="207" spans="1:19">
      <c r="C207" s="51"/>
      <c r="F207" s="13"/>
      <c r="J207" s="58"/>
      <c r="K207" s="205"/>
      <c r="L207" s="58"/>
      <c r="M207" s="58"/>
      <c r="O207" s="51"/>
      <c r="R207" s="13"/>
    </row>
    <row r="208" spans="1:19">
      <c r="C208" s="51"/>
      <c r="F208" s="13"/>
      <c r="J208" s="58"/>
      <c r="K208" s="205"/>
      <c r="L208" s="58"/>
      <c r="M208" s="58"/>
      <c r="O208" s="51"/>
      <c r="R208" s="13"/>
    </row>
    <row r="209" spans="3:18">
      <c r="C209" s="51"/>
      <c r="F209" s="13"/>
      <c r="J209" s="58"/>
      <c r="K209" s="205"/>
      <c r="L209" s="58"/>
      <c r="M209" s="58"/>
      <c r="O209" s="51"/>
      <c r="R209" s="13"/>
    </row>
    <row r="210" spans="3:18">
      <c r="K210" s="205"/>
    </row>
    <row r="211" spans="3:18">
      <c r="K211" s="205"/>
    </row>
    <row r="212" spans="3:18">
      <c r="K212" s="205"/>
    </row>
    <row r="213" spans="3:18">
      <c r="K213" s="205"/>
    </row>
    <row r="214" spans="3:18">
      <c r="K214" s="205"/>
    </row>
    <row r="215" spans="3:18">
      <c r="K215" s="205"/>
    </row>
    <row r="216" spans="3:18">
      <c r="K216" s="205"/>
    </row>
  </sheetData>
  <autoFilter ref="A14:Q151"/>
  <mergeCells count="33">
    <mergeCell ref="G2:I2"/>
    <mergeCell ref="G3:I4"/>
    <mergeCell ref="N11:O11"/>
    <mergeCell ref="P11:P13"/>
    <mergeCell ref="Q11:Q13"/>
    <mergeCell ref="A7:I7"/>
    <mergeCell ref="A8:I8"/>
    <mergeCell ref="A9:I9"/>
    <mergeCell ref="C10:I10"/>
    <mergeCell ref="A5:I5"/>
    <mergeCell ref="A6:I6"/>
    <mergeCell ref="H11:I11"/>
    <mergeCell ref="B11:C11"/>
    <mergeCell ref="B12:B13"/>
    <mergeCell ref="C12:C13"/>
    <mergeCell ref="A11:A13"/>
    <mergeCell ref="R11:S11"/>
    <mergeCell ref="N12:N13"/>
    <mergeCell ref="O12:O13"/>
    <mergeCell ref="R12:R13"/>
    <mergeCell ref="S12:S13"/>
    <mergeCell ref="A198:D198"/>
    <mergeCell ref="E198:I198"/>
    <mergeCell ref="E196:I196"/>
    <mergeCell ref="G12:G13"/>
    <mergeCell ref="H12:H13"/>
    <mergeCell ref="I12:I13"/>
    <mergeCell ref="F12:F13"/>
    <mergeCell ref="D11:D13"/>
    <mergeCell ref="E11:E13"/>
    <mergeCell ref="F11:G11"/>
    <mergeCell ref="A197:D197"/>
    <mergeCell ref="E197:I197"/>
  </mergeCells>
  <phoneticPr fontId="29" type="noConversion"/>
  <pageMargins left="0.7" right="0.13" top="0.16" bottom="0.39" header="0.16" footer="0.15"/>
  <pageSetup scale="85" orientation="portrait" verticalDpi="0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G115"/>
  <sheetViews>
    <sheetView topLeftCell="A2" workbookViewId="0">
      <pane ySplit="11" topLeftCell="A13" activePane="bottomLeft" state="frozen"/>
      <selection activeCell="A2" sqref="A2"/>
      <selection pane="bottomLeft" activeCell="D4" sqref="D4"/>
    </sheetView>
  </sheetViews>
  <sheetFormatPr defaultRowHeight="16.5"/>
  <cols>
    <col min="1" max="1" width="83.28515625" style="65" customWidth="1"/>
    <col min="2" max="2" width="18.42578125" style="65" customWidth="1"/>
    <col min="3" max="3" width="9.140625" style="120"/>
    <col min="4" max="4" width="10.5703125" style="120" customWidth="1"/>
    <col min="5" max="5" width="5.5703125" style="120" customWidth="1"/>
    <col min="6" max="6" width="4.85546875" style="120" customWidth="1"/>
    <col min="7" max="7" width="9.140625" style="120"/>
    <col min="8" max="16384" width="9.140625" style="65"/>
  </cols>
  <sheetData>
    <row r="1" spans="1:7" s="63" customFormat="1" ht="12.75" customHeight="1">
      <c r="A1" s="15" t="s">
        <v>0</v>
      </c>
      <c r="B1" s="62"/>
      <c r="C1" s="116"/>
      <c r="D1" s="116"/>
      <c r="E1" s="117"/>
      <c r="F1" s="118"/>
      <c r="G1" s="118"/>
    </row>
    <row r="2" spans="1:7" s="63" customFormat="1" ht="12.75" customHeight="1">
      <c r="A2" s="15" t="s">
        <v>1</v>
      </c>
      <c r="B2" s="64"/>
      <c r="C2" s="116"/>
      <c r="D2" s="119" t="s">
        <v>88</v>
      </c>
      <c r="E2" s="117"/>
      <c r="F2" s="118"/>
      <c r="G2" s="118"/>
    </row>
    <row r="3" spans="1:7" ht="24" customHeight="1">
      <c r="A3" s="303" t="s">
        <v>69</v>
      </c>
      <c r="B3" s="303"/>
      <c r="D3" s="92">
        <v>5</v>
      </c>
    </row>
    <row r="4" spans="1:7" ht="12" customHeight="1">
      <c r="A4" s="285" t="str">
        <f ca="1">IF(ROWS($1:1)&gt;COUNT(Dong02),"","Ngày  "&amp;DAY(OFFSET('141-BH'!O$1,SMALL(Dong02,ROWS($1:1)),))&amp;"  tháng  "&amp;MONTH(OFFSET('141-BH'!O$1,SMALL(Dong02,ROWS($1:1)),))&amp;"   năm   "&amp;YEAR(OFFSET('141-BH'!O$1,SMALL(Dong02,ROWS($1:1)),)))</f>
        <v>Ngày  29  tháng  5   năm   2013</v>
      </c>
      <c r="B4" s="285"/>
      <c r="C4" s="53"/>
      <c r="D4" s="53"/>
    </row>
    <row r="5" spans="1:7" ht="12" customHeight="1">
      <c r="A5" s="304"/>
      <c r="B5" s="66" t="str">
        <f ca="1">IF(ROWS($1:1)&gt;COUNT(Dong02),"","Số:   "&amp;OFFSET('141-BH'!P$1,SMALL(Dong02,ROWS($1:1)),))</f>
        <v>Số:   TU04</v>
      </c>
    </row>
    <row r="6" spans="1:7" ht="12" customHeight="1">
      <c r="A6" s="304"/>
      <c r="B6" s="66" t="s">
        <v>70</v>
      </c>
    </row>
    <row r="7" spans="1:7" ht="12" customHeight="1">
      <c r="A7" s="304"/>
      <c r="B7" s="66" t="s">
        <v>71</v>
      </c>
    </row>
    <row r="8" spans="1:7" ht="13.5" customHeight="1">
      <c r="A8" s="67" t="s">
        <v>72</v>
      </c>
    </row>
    <row r="9" spans="1:7" ht="13.5" customHeight="1">
      <c r="A9" s="67" t="s">
        <v>73</v>
      </c>
    </row>
    <row r="10" spans="1:7" ht="13.5" customHeight="1">
      <c r="A10" s="68" t="s">
        <v>74</v>
      </c>
    </row>
    <row r="11" spans="1:7" s="70" customFormat="1" ht="19.5" customHeight="1">
      <c r="A11" s="69" t="s">
        <v>8</v>
      </c>
      <c r="B11" s="69" t="s">
        <v>75</v>
      </c>
      <c r="C11" s="80"/>
      <c r="D11" s="80"/>
      <c r="E11" s="80"/>
      <c r="F11" s="80"/>
      <c r="G11" s="80"/>
    </row>
    <row r="12" spans="1:7" ht="12.75" customHeight="1">
      <c r="A12" s="71" t="s">
        <v>16</v>
      </c>
      <c r="B12" s="71" t="s">
        <v>76</v>
      </c>
    </row>
    <row r="13" spans="1:7" s="70" customFormat="1" ht="18.75" customHeight="1">
      <c r="A13" s="72" t="s">
        <v>77</v>
      </c>
      <c r="B13" s="73">
        <f ca="1">B14+B15</f>
        <v>1062072400</v>
      </c>
      <c r="C13" s="80"/>
      <c r="D13" s="80"/>
      <c r="E13" s="80"/>
      <c r="F13" s="80"/>
      <c r="G13" s="80"/>
    </row>
    <row r="14" spans="1:7" ht="18.75" customHeight="1">
      <c r="A14" s="74" t="s">
        <v>78</v>
      </c>
      <c r="B14" s="75">
        <f ca="1">IF(ROWS($1:1)&gt;COUNT(Dau),0,OFFSET('141-BH'!H$1,SMALL(Dau,COUNT(Dau)),))</f>
        <v>2072400</v>
      </c>
    </row>
    <row r="15" spans="1:7" ht="18.75" customHeight="1">
      <c r="A15" s="74" t="s">
        <v>79</v>
      </c>
      <c r="B15" s="75">
        <f ca="1">SUM(B16:B22)</f>
        <v>1060000000</v>
      </c>
    </row>
    <row r="16" spans="1:7" s="79" customFormat="1" ht="18.75" customHeight="1">
      <c r="A16" s="76" t="str">
        <f ca="1">IF(ROWS($1:1)&gt;COUNT(Dong01),"","- Phiếu chi số: ........"&amp;OFFSET('141-BH'!P$1,SMALL(Dong01,ROWS($1:1)),)&amp;".....ngày...."&amp;DAY(OFFSET('141-BH'!O$1,SMALL(Dong01,ROWS($1:1)),))&amp;"/"&amp;MONTH(OFFSET('141-BH'!O$1,SMALL(Dong01,ROWS($1:1)),))&amp;"/"&amp;YEAR(OFFSET('141-BH'!O$1,SMALL(Dong01,ROWS($1:1)),)))</f>
        <v>- Phiếu chi số: ........C10.....ngày....9/5/2013</v>
      </c>
      <c r="B16" s="77">
        <f ca="1">IF(ROWS($1:1)&gt;COUNT(Dong01),"",OFFSET('141-BH'!S$1,SMALL(Dong01,ROWS($1:1)),))</f>
        <v>550000000</v>
      </c>
      <c r="C16" s="121"/>
      <c r="D16" s="122"/>
      <c r="E16" s="78"/>
      <c r="F16" s="123"/>
      <c r="G16" s="124"/>
    </row>
    <row r="17" spans="1:7" s="79" customFormat="1" ht="18.75" customHeight="1">
      <c r="A17" s="76" t="str">
        <f ca="1">IF(ROWS($1:2)&gt;COUNT(Dong01),"","- Phiếu chi số: ........"&amp;OFFSET('141-BH'!P$1,SMALL(Dong01,ROWS($1:2)),)&amp;".....ngày...."&amp;DAY(OFFSET('141-BH'!O$1,SMALL(Dong01,ROWS($1:2)),))&amp;"/"&amp;MONTH(OFFSET('141-BH'!O$1,SMALL(Dong01,ROWS($1:2)),))&amp;"/"&amp;YEAR(OFFSET('141-BH'!O$1,SMALL(Dong01,ROWS($1:2)),)))</f>
        <v>- Phiếu chi số: ........C13.....ngày....10/5/2013</v>
      </c>
      <c r="B17" s="77">
        <f ca="1">IF(ROWS($1:2)&gt;COUNT(Dong01),"",OFFSET('141-BH'!S$1,SMALL(Dong01,ROWS($1:2)),))</f>
        <v>510000000</v>
      </c>
      <c r="C17" s="121"/>
      <c r="D17" s="122"/>
      <c r="E17" s="78"/>
      <c r="F17" s="123"/>
      <c r="G17" s="124"/>
    </row>
    <row r="18" spans="1:7" s="79" customFormat="1" ht="18.75" customHeight="1">
      <c r="A18" s="76" t="str">
        <f ca="1">IF(ROWS($1:3)&gt;COUNT(Dong01),"","- Phiếu chi số: ........"&amp;OFFSET('141-BH'!P$1,SMALL(Dong01,ROWS($1:3)),)&amp;".....ngày...."&amp;DAY(OFFSET('141-BH'!O$1,SMALL(Dong01,ROWS($1:3)),))&amp;"/"&amp;MONTH(OFFSET('141-BH'!O$1,SMALL(Dong01,ROWS($1:3)),))&amp;"/"&amp;YEAR(OFFSET('141-BH'!O$1,SMALL(Dong01,ROWS($1:3)),)))</f>
        <v/>
      </c>
      <c r="B18" s="77" t="str">
        <f ca="1">IF(ROWS($1:3)&gt;COUNT(Dong01),"",OFFSET('141-BH'!S$1,SMALL(Dong01,ROWS($1:3)),))</f>
        <v/>
      </c>
      <c r="C18" s="121"/>
      <c r="D18" s="122"/>
      <c r="E18" s="78"/>
      <c r="F18" s="123"/>
      <c r="G18" s="124"/>
    </row>
    <row r="19" spans="1:7" s="79" customFormat="1" ht="18.75" customHeight="1">
      <c r="A19" s="76" t="str">
        <f ca="1">IF(ROWS($1:4)&gt;COUNT(Dong01),"","- Phiếu chi số: ........"&amp;OFFSET('141-BH'!P$1,SMALL(Dong01,ROWS($1:4)),)&amp;".....ngày...."&amp;DAY(OFFSET('141-BH'!O$1,SMALL(Dong01,ROWS($1:4)),))&amp;"/"&amp;MONTH(OFFSET('141-BH'!O$1,SMALL(Dong01,ROWS($1:4)),))&amp;"/"&amp;YEAR(OFFSET('141-BH'!O$1,SMALL(Dong01,ROWS($1:4)),)))</f>
        <v/>
      </c>
      <c r="B19" s="77" t="str">
        <f ca="1">IF(ROWS($1:4)&gt;COUNT(Dong01),"",OFFSET('141-BH'!S$1,SMALL(Dong01,ROWS($1:4)),))</f>
        <v/>
      </c>
      <c r="C19" s="121"/>
      <c r="D19" s="122"/>
      <c r="E19" s="78"/>
      <c r="F19" s="123"/>
      <c r="G19" s="124"/>
    </row>
    <row r="20" spans="1:7" s="79" customFormat="1" ht="18.75" customHeight="1">
      <c r="A20" s="76" t="str">
        <f ca="1">IF(ROWS($1:5)&gt;COUNT(Dong01),"","- Phiếu chi số: ........"&amp;OFFSET('141-BH'!P$1,SMALL(Dong01,ROWS($1:5)),)&amp;".....ngày...."&amp;DAY(OFFSET('141-BH'!O$1,SMALL(Dong01,ROWS($1:5)),))&amp;"/"&amp;MONTH(OFFSET('141-BH'!O$1,SMALL(Dong01,ROWS($1:5)),))&amp;"/"&amp;YEAR(OFFSET('141-BH'!O$1,SMALL(Dong01,ROWS($1:5)),)))</f>
        <v/>
      </c>
      <c r="B20" s="77" t="str">
        <f ca="1">IF(ROWS($1:5)&gt;COUNT(Dong01),"",OFFSET('141-BH'!S$1,SMALL(Dong01,ROWS($1:5)),))</f>
        <v/>
      </c>
      <c r="C20" s="121"/>
      <c r="D20" s="122"/>
      <c r="E20" s="78"/>
      <c r="F20" s="123"/>
      <c r="G20" s="124"/>
    </row>
    <row r="21" spans="1:7" s="79" customFormat="1" ht="18.75" customHeight="1">
      <c r="A21" s="76" t="str">
        <f ca="1">IF(ROWS($1:6)&gt;COUNT(Dong01),"","- Phiếu chi số: ........"&amp;OFFSET('141-BH'!P$1,SMALL(Dong01,ROWS($1:6)),)&amp;".....ngày...."&amp;DAY(OFFSET('141-BH'!O$1,SMALL(Dong01,ROWS($1:6)),))&amp;"/"&amp;MONTH(OFFSET('141-BH'!O$1,SMALL(Dong01,ROWS($1:6)),))&amp;"/"&amp;YEAR(OFFSET('141-BH'!O$1,SMALL(Dong01,ROWS($1:6)),)))</f>
        <v/>
      </c>
      <c r="B21" s="77" t="str">
        <f ca="1">IF(ROWS($1:6)&gt;COUNT(Dong01),"",OFFSET('141-BH'!S$1,SMALL(Dong01,ROWS($1:6)),))</f>
        <v/>
      </c>
      <c r="C21" s="121"/>
      <c r="D21" s="122"/>
      <c r="E21" s="78"/>
      <c r="F21" s="123"/>
      <c r="G21" s="124"/>
    </row>
    <row r="22" spans="1:7" s="79" customFormat="1" ht="18.75" customHeight="1">
      <c r="A22" s="76" t="str">
        <f ca="1">IF(ROWS($1:7)&gt;COUNT(Dong01),"","- Phiếu chi số: ........"&amp;OFFSET('141-BH'!P$1,SMALL(Dong01,ROWS($1:7)),)&amp;".....ngày...."&amp;DAY(OFFSET('141-BH'!O$1,SMALL(Dong01,ROWS($1:7)),))&amp;"/"&amp;MONTH(OFFSET('141-BH'!O$1,SMALL(Dong01,ROWS($1:7)),))&amp;"/"&amp;YEAR(OFFSET('141-BH'!O$1,SMALL(Dong01,ROWS($1:7)),)))</f>
        <v/>
      </c>
      <c r="B22" s="77" t="str">
        <f ca="1">IF(ROWS($1:7)&gt;COUNT(Dong01),"",OFFSET('141-BH'!S$1,SMALL(Dong01,ROWS($1:7)),))</f>
        <v/>
      </c>
      <c r="C22" s="121"/>
      <c r="D22" s="122"/>
      <c r="E22" s="78"/>
      <c r="F22" s="123"/>
      <c r="G22" s="124"/>
    </row>
    <row r="23" spans="1:7" s="70" customFormat="1" ht="18.75" customHeight="1">
      <c r="A23" s="72" t="s">
        <v>80</v>
      </c>
      <c r="B23" s="73">
        <f ca="1">SUM(B24:B37)</f>
        <v>1060396000</v>
      </c>
      <c r="C23" s="78"/>
      <c r="D23" s="125"/>
      <c r="E23" s="80"/>
      <c r="F23" s="80"/>
      <c r="G23" s="80"/>
    </row>
    <row r="24" spans="1:7" s="79" customFormat="1" ht="18.75" customHeight="1">
      <c r="A24" s="81" t="str">
        <f ca="1">IF(ROWS($1:1)&gt;COUNT(Dong02),"","- "&amp;OFFSET('141-BH'!Q$1,SMALL(Dong02,ROWS($1:1)),)&amp;" - PNK số: " &amp;OFFSET('141-BH'!U$1,SMALL(Dong02,ROWS($1:1)),)&amp; " Tháng "&amp;$D$3&amp;"/2013")</f>
        <v>- Lê Hoàng Long - PNK số: NL04 &amp; NL15 Tháng 5/2013</v>
      </c>
      <c r="B24" s="82">
        <f ca="1">IF(ROWS($1:1)&gt;COUNT(Dong02),"",OFFSET('141-BH'!T$1,SMALL(Dong02,ROWS($1:1)),))</f>
        <v>170612000</v>
      </c>
      <c r="C24" s="126"/>
      <c r="D24" s="127"/>
      <c r="E24" s="128"/>
      <c r="F24" s="103"/>
      <c r="G24" s="124"/>
    </row>
    <row r="25" spans="1:7" s="79" customFormat="1" ht="18.75" customHeight="1">
      <c r="A25" s="81" t="str">
        <f ca="1">IF(ROWS($1:2)&gt;COUNT(Dong02),"","- "&amp;OFFSET('141-BH'!Q$1,SMALL(Dong02,ROWS($1:2)),)&amp;" - PNK số: " &amp;OFFSET('141-BH'!U$1,SMALL(Dong02,ROWS($1:2)),)&amp; " Tháng "&amp;$D$3&amp;"/2013")</f>
        <v>- Nguyễn Thị Kim Vân - PNK số: NL07 &amp; NL21 Tháng 5/2013</v>
      </c>
      <c r="B25" s="82">
        <f ca="1">IF(ROWS($1:2)&gt;COUNT(Dong02),"",OFFSET('141-BH'!T$1,SMALL(Dong02,ROWS($1:2)),))</f>
        <v>155791000</v>
      </c>
      <c r="C25" s="129"/>
      <c r="D25" s="130"/>
      <c r="E25" s="128"/>
      <c r="F25" s="103"/>
      <c r="G25" s="124"/>
    </row>
    <row r="26" spans="1:7" s="79" customFormat="1" ht="18.75" customHeight="1">
      <c r="A26" s="81" t="str">
        <f ca="1">IF(ROWS($1:3)&gt;COUNT(Dong02),"","- "&amp;OFFSET('141-BH'!Q$1,SMALL(Dong02,ROWS($1:3)),)&amp;" - PNK số: " &amp;OFFSET('141-BH'!U$1,SMALL(Dong02,ROWS($1:3)),)&amp; " Tháng "&amp;$D$3&amp;"/2013")</f>
        <v>- Phạm Thị Bảy - PNK số: NL06 &amp; NL20 Tháng 5/2013</v>
      </c>
      <c r="B26" s="82">
        <f ca="1">IF(ROWS($1:3)&gt;COUNT(Dong02),"",OFFSET('141-BH'!T$1,SMALL(Dong02,ROWS($1:3)),))</f>
        <v>167594000</v>
      </c>
      <c r="C26" s="131"/>
      <c r="D26" s="130"/>
      <c r="E26" s="128"/>
      <c r="F26" s="103"/>
      <c r="G26" s="124"/>
    </row>
    <row r="27" spans="1:7" s="79" customFormat="1" ht="18.75" customHeight="1">
      <c r="A27" s="81" t="str">
        <f ca="1">IF(ROWS($1:4)&gt;COUNT(Dong02),"","- "&amp;OFFSET('141-BH'!Q$1,SMALL(Dong02,ROWS($1:4)),)&amp;" - PNK số: " &amp;OFFSET('141-BH'!U$1,SMALL(Dong02,ROWS($1:4)),)&amp; " Tháng "&amp;$D$3&amp;"/2013")</f>
        <v>- Tiêu Vĩnh Phát - PNK số: NL02 &amp; NL13 Tháng 5/2013</v>
      </c>
      <c r="B27" s="82">
        <f ca="1">IF(ROWS($1:4)&gt;COUNT(Dong02),"",OFFSET('141-BH'!T$1,SMALL(Dong02,ROWS($1:4)),))</f>
        <v>188984000</v>
      </c>
      <c r="C27" s="50"/>
      <c r="D27" s="130"/>
      <c r="E27" s="128"/>
      <c r="F27" s="103"/>
      <c r="G27" s="124"/>
    </row>
    <row r="28" spans="1:7" s="79" customFormat="1" ht="18.75" customHeight="1">
      <c r="A28" s="81" t="str">
        <f ca="1">IF(ROWS($1:5)&gt;COUNT(Dong02),"","- "&amp;OFFSET('141-BH'!Q$1,SMALL(Dong02,ROWS($1:5)),)&amp;" - PNK số: " &amp;OFFSET('141-BH'!U$1,SMALL(Dong02,ROWS($1:5)),)&amp; " Tháng "&amp;$D$3&amp;"/2013")</f>
        <v>- Trần Ngọc Quyên - PNK số: NL01 &amp; NL12 Tháng 5/2013</v>
      </c>
      <c r="B28" s="82">
        <f ca="1">IF(ROWS($1:5)&gt;COUNT(Dong02),"",OFFSET('141-BH'!T$1,SMALL(Dong02,ROWS($1:5)),))</f>
        <v>196223000</v>
      </c>
      <c r="C28" s="90"/>
      <c r="D28" s="127"/>
      <c r="E28" s="128"/>
      <c r="F28" s="103"/>
      <c r="G28" s="124"/>
    </row>
    <row r="29" spans="1:7" s="79" customFormat="1" ht="18.75" customHeight="1">
      <c r="A29" s="81" t="str">
        <f ca="1">IF(ROWS($1:6)&gt;COUNT(Dong02),"","- "&amp;OFFSET('141-BH'!Q$1,SMALL(Dong02,ROWS($1:6)),)&amp;" - PNK số: " &amp;OFFSET('141-BH'!U$1,SMALL(Dong02,ROWS($1:6)),)&amp; " Tháng "&amp;$D$3&amp;"/2013")</f>
        <v>- Vương Hải Thạnh - PNK số: NL03 &amp; NL14 Tháng 5/2013</v>
      </c>
      <c r="B29" s="82">
        <f ca="1">IF(ROWS($1:6)&gt;COUNT(Dong02),"",OFFSET('141-BH'!T$1,SMALL(Dong02,ROWS($1:6)),))</f>
        <v>181192000</v>
      </c>
      <c r="C29" s="90"/>
      <c r="D29" s="130"/>
      <c r="E29" s="128"/>
      <c r="F29" s="103"/>
      <c r="G29" s="124"/>
    </row>
    <row r="30" spans="1:7" s="79" customFormat="1" ht="18.75" customHeight="1">
      <c r="A30" s="81" t="str">
        <f ca="1">IF(ROWS($1:7)&gt;COUNT(Dong02),"","- "&amp;OFFSET('141-BH'!Q$1,SMALL(Dong02,ROWS($1:7)),)&amp;" - PNK số: " &amp;OFFSET('141-BH'!U$1,SMALL(Dong02,ROWS($1:7)),)&amp; " Tháng "&amp;$D$3&amp;"/2013")</f>
        <v/>
      </c>
      <c r="B30" s="82" t="str">
        <f ca="1">IF(ROWS($1:7)&gt;COUNT(Dong02),"",OFFSET('141-BH'!T$1,SMALL(Dong02,ROWS($1:7)),))</f>
        <v/>
      </c>
      <c r="C30" s="50"/>
      <c r="D30" s="130"/>
      <c r="E30" s="128"/>
      <c r="F30" s="103"/>
      <c r="G30" s="124"/>
    </row>
    <row r="31" spans="1:7" s="79" customFormat="1" ht="18.75" customHeight="1">
      <c r="A31" s="81" t="str">
        <f ca="1">IF(ROWS($1:8)&gt;COUNT(Dong02),"","- "&amp;OFFSET('141-BH'!Q$1,SMALL(Dong02,ROWS($1:8)),)&amp;" - PNK số: " &amp;OFFSET('141-BH'!U$1,SMALL(Dong02,ROWS($1:8)),)&amp; " Tháng "&amp;$D$3&amp;"/2013")</f>
        <v/>
      </c>
      <c r="B31" s="82" t="str">
        <f ca="1">IF(ROWS($1:8)&gt;COUNT(Dong02),"",OFFSET('141-BH'!T$1,SMALL(Dong02,ROWS($1:8)),))</f>
        <v/>
      </c>
      <c r="C31" s="90"/>
      <c r="D31" s="130"/>
      <c r="E31" s="128"/>
      <c r="F31" s="103"/>
      <c r="G31" s="124"/>
    </row>
    <row r="32" spans="1:7" s="79" customFormat="1" ht="18.75" customHeight="1">
      <c r="A32" s="81" t="str">
        <f ca="1">IF(ROWS($1:9)&gt;COUNT(Dong02),"","- "&amp;OFFSET('141-BH'!Q$1,SMALL(Dong02,ROWS($1:9)),)&amp;" - PNK số: " &amp;OFFSET('141-BH'!U$1,SMALL(Dong02,ROWS($1:9)),)&amp; " Tháng "&amp;$D$3&amp;"/2013")</f>
        <v/>
      </c>
      <c r="B32" s="82" t="str">
        <f ca="1">IF(ROWS($1:9)&gt;COUNT(Dong02),"",OFFSET('141-BH'!T$1,SMALL(Dong02,ROWS($1:9)),))</f>
        <v/>
      </c>
      <c r="C32" s="90"/>
      <c r="D32" s="127"/>
      <c r="E32" s="128"/>
      <c r="F32" s="103"/>
      <c r="G32" s="124"/>
    </row>
    <row r="33" spans="1:7" s="79" customFormat="1" ht="18.75" customHeight="1">
      <c r="A33" s="81" t="str">
        <f ca="1">IF(ROWS($1:10)&gt;COUNT(Dong02),"","- "&amp;OFFSET('141-BH'!Q$1,SMALL(Dong02,ROWS($1:10)),)&amp;" - PNK số: " &amp;OFFSET('141-BH'!U$1,SMALL(Dong02,ROWS($1:10)),)&amp; " Tháng "&amp;$D$3&amp;"/2013")</f>
        <v/>
      </c>
      <c r="B33" s="82" t="str">
        <f ca="1">IF(ROWS($1:10)&gt;COUNT(Dong02),"",OFFSET('141-BH'!T$1,SMALL(Dong02,ROWS($1:10)),))</f>
        <v/>
      </c>
      <c r="C33" s="90"/>
      <c r="D33" s="130"/>
      <c r="E33" s="128"/>
      <c r="F33" s="103"/>
      <c r="G33" s="124"/>
    </row>
    <row r="34" spans="1:7" s="79" customFormat="1" ht="18.75" customHeight="1">
      <c r="A34" s="81" t="str">
        <f ca="1">IF(ROWS($1:11)&gt;COUNT(Dong02),"","- "&amp;OFFSET('141-BH'!Q$1,SMALL(Dong02,ROWS($1:11)),)&amp;" - PNK số: " &amp;OFFSET('141-BH'!U$1,SMALL(Dong02,ROWS($1:11)),)&amp; " Tháng "&amp;$D$3&amp;"/2013")</f>
        <v/>
      </c>
      <c r="B34" s="82" t="str">
        <f ca="1">IF(ROWS($1:11)&gt;COUNT(Dong02),"",OFFSET('141-BH'!T$1,SMALL(Dong02,ROWS($1:11)),))</f>
        <v/>
      </c>
      <c r="C34" s="90"/>
      <c r="D34" s="130"/>
      <c r="E34" s="128"/>
      <c r="F34" s="103"/>
      <c r="G34" s="124"/>
    </row>
    <row r="35" spans="1:7" s="79" customFormat="1" ht="18.75" customHeight="1">
      <c r="A35" s="81" t="str">
        <f ca="1">IF(ROWS($1:12)&gt;COUNT(Dong02),"","- "&amp;OFFSET('141-BH'!Q$1,SMALL(Dong02,ROWS($1:12)),)&amp;" - PNK số: " &amp;OFFSET('141-BH'!U$1,SMALL(Dong02,ROWS($1:12)),)&amp; " Tháng "&amp;$D$3&amp;"/2013")</f>
        <v/>
      </c>
      <c r="B35" s="82" t="str">
        <f ca="1">IF(ROWS($1:12)&gt;COUNT(Dong02),"",OFFSET('141-BH'!T$1,SMALL(Dong02,ROWS($1:12)),))</f>
        <v/>
      </c>
      <c r="C35" s="90"/>
      <c r="D35" s="127"/>
      <c r="E35" s="128"/>
      <c r="F35" s="103"/>
      <c r="G35" s="124"/>
    </row>
    <row r="36" spans="1:7" s="79" customFormat="1" ht="18.75" customHeight="1">
      <c r="A36" s="81" t="str">
        <f ca="1">IF(ROWS($1:13)&gt;COUNT(Dong02),"","- "&amp;OFFSET('141-BH'!Q$1,SMALL(Dong02,ROWS($1:13)),)&amp;" - PNK số: " &amp;OFFSET('141-BH'!U$1,SMALL(Dong02,ROWS($1:13)),)&amp; " Tháng "&amp;$D$3&amp;"/2013")</f>
        <v/>
      </c>
      <c r="B36" s="82" t="str">
        <f ca="1">IF(ROWS($1:13)&gt;COUNT(Dong02),"",OFFSET('141-BH'!T$1,SMALL(Dong02,ROWS($1:13)),))</f>
        <v/>
      </c>
      <c r="C36" s="90"/>
      <c r="D36" s="130"/>
      <c r="E36" s="128"/>
      <c r="F36" s="103"/>
      <c r="G36" s="124"/>
    </row>
    <row r="37" spans="1:7" s="79" customFormat="1" ht="18.75" customHeight="1">
      <c r="A37" s="81" t="str">
        <f ca="1">IF(ROWS($1:14)&gt;COUNT(Dong02),"","- "&amp;OFFSET('141-BH'!Q$1,SMALL(Dong02,ROWS($1:14)),)&amp;" - PNK số: " &amp;OFFSET('141-BH'!U$1,SMALL(Dong02,ROWS($1:14)),)&amp; " Tháng "&amp;$D$3&amp;"/2013")</f>
        <v/>
      </c>
      <c r="B37" s="82" t="str">
        <f ca="1">IF(ROWS($1:14)&gt;COUNT(Dong02),"",OFFSET('141-BH'!T$1,SMALL(Dong02,ROWS($1:14)),))</f>
        <v/>
      </c>
      <c r="C37" s="90"/>
      <c r="D37" s="130"/>
      <c r="E37" s="128"/>
      <c r="F37" s="103"/>
      <c r="G37" s="124"/>
    </row>
    <row r="38" spans="1:7" s="70" customFormat="1" ht="18.75" customHeight="1">
      <c r="A38" s="72" t="s">
        <v>81</v>
      </c>
      <c r="B38" s="73">
        <f ca="1">B13-B23</f>
        <v>1676400</v>
      </c>
      <c r="C38" s="130"/>
      <c r="D38" s="132"/>
      <c r="E38" s="128"/>
      <c r="F38" s="80"/>
      <c r="G38" s="80"/>
    </row>
    <row r="39" spans="1:7" ht="18.75" customHeight="1">
      <c r="A39" s="74" t="s">
        <v>82</v>
      </c>
      <c r="B39" s="75">
        <f ca="1">B38</f>
        <v>1676400</v>
      </c>
      <c r="C39" s="130"/>
      <c r="D39" s="132"/>
      <c r="E39" s="128"/>
    </row>
    <row r="40" spans="1:7" ht="18.75" customHeight="1">
      <c r="A40" s="74" t="s">
        <v>83</v>
      </c>
      <c r="B40" s="75"/>
      <c r="C40" s="130"/>
      <c r="D40" s="132"/>
      <c r="E40" s="128"/>
    </row>
    <row r="41" spans="1:7" ht="25.5" customHeight="1">
      <c r="A41" s="83" t="s">
        <v>84</v>
      </c>
      <c r="B41" s="83" t="s">
        <v>85</v>
      </c>
      <c r="C41" s="127"/>
      <c r="D41" s="132"/>
    </row>
    <row r="42" spans="1:7" ht="19.5" customHeight="1">
      <c r="A42" s="66" t="s">
        <v>86</v>
      </c>
      <c r="B42" s="84" t="s">
        <v>27</v>
      </c>
      <c r="C42" s="127"/>
      <c r="D42" s="127"/>
    </row>
    <row r="43" spans="1:7">
      <c r="A43" s="85"/>
      <c r="B43" s="85"/>
      <c r="C43" s="127"/>
      <c r="D43" s="127"/>
    </row>
    <row r="44" spans="1:7">
      <c r="A44" s="86"/>
      <c r="B44" s="86"/>
      <c r="C44" s="127"/>
      <c r="D44" s="127"/>
    </row>
    <row r="45" spans="1:7">
      <c r="A45" s="87"/>
      <c r="B45" s="87"/>
      <c r="C45" s="127"/>
      <c r="D45" s="127"/>
    </row>
    <row r="46" spans="1:7">
      <c r="C46" s="127"/>
      <c r="D46" s="127"/>
    </row>
    <row r="47" spans="1:7">
      <c r="C47" s="127"/>
      <c r="D47" s="127"/>
    </row>
    <row r="48" spans="1:7">
      <c r="C48" s="130"/>
      <c r="D48" s="130"/>
    </row>
    <row r="78" spans="4:4">
      <c r="D78" s="120" t="str">
        <f ca="1">IF(ROWS($1:24)&gt;COUNT(Dong),"",OFFSET('141-BH'!B$1,SMALL(Dong,ROWS($1:24)),))</f>
        <v/>
      </c>
    </row>
    <row r="79" spans="4:4">
      <c r="D79" s="120" t="str">
        <f ca="1">IF(ROWS($1:25)&gt;COUNT(Dong),"",OFFSET('141-BH'!B$1,SMALL(Dong,ROWS($1:25)),))</f>
        <v/>
      </c>
    </row>
    <row r="80" spans="4:4">
      <c r="D80" s="120" t="str">
        <f ca="1">IF(ROWS($1:26)&gt;COUNT(Dong),"",OFFSET('141-BH'!B$1,SMALL(Dong,ROWS($1:26)),))</f>
        <v/>
      </c>
    </row>
    <row r="81" spans="4:4">
      <c r="D81" s="120" t="str">
        <f ca="1">IF(ROWS($1:27)&gt;COUNT(Dong),"",OFFSET('141-BH'!B$1,SMALL(Dong,ROWS($1:27)),))</f>
        <v/>
      </c>
    </row>
    <row r="82" spans="4:4">
      <c r="D82" s="120" t="str">
        <f ca="1">IF(ROWS($1:28)&gt;COUNT(Dong),"",OFFSET('141-BH'!B$1,SMALL(Dong,ROWS($1:28)),))</f>
        <v/>
      </c>
    </row>
    <row r="83" spans="4:4">
      <c r="D83" s="120" t="str">
        <f ca="1">IF(ROWS($1:29)&gt;COUNT(Dong),"",OFFSET('141-BH'!B$1,SMALL(Dong,ROWS($1:29)),))</f>
        <v/>
      </c>
    </row>
    <row r="84" spans="4:4">
      <c r="D84" s="120" t="str">
        <f ca="1">IF(ROWS($1:30)&gt;COUNT(Dong),"",OFFSET('141-BH'!B$1,SMALL(Dong,ROWS($1:30)),))</f>
        <v/>
      </c>
    </row>
    <row r="85" spans="4:4">
      <c r="D85" s="120" t="str">
        <f ca="1">IF(ROWS($1:31)&gt;COUNT(Dong),"",OFFSET('141-BH'!B$1,SMALL(Dong,ROWS($1:31)),))</f>
        <v/>
      </c>
    </row>
    <row r="86" spans="4:4">
      <c r="D86" s="120" t="str">
        <f ca="1">IF(ROWS($1:32)&gt;COUNT(Dong),"",OFFSET('141-BH'!B$1,SMALL(Dong,ROWS($1:32)),))</f>
        <v/>
      </c>
    </row>
    <row r="87" spans="4:4">
      <c r="D87" s="120" t="str">
        <f ca="1">IF(ROWS($1:33)&gt;COUNT(Dong),"",OFFSET('141-BH'!B$1,SMALL(Dong,ROWS($1:33)),))</f>
        <v/>
      </c>
    </row>
    <row r="88" spans="4:4">
      <c r="D88" s="120" t="str">
        <f ca="1">IF(ROWS($1:34)&gt;COUNT(Dong),"",OFFSET('141-BH'!B$1,SMALL(Dong,ROWS($1:34)),))</f>
        <v/>
      </c>
    </row>
    <row r="89" spans="4:4">
      <c r="D89" s="120" t="str">
        <f ca="1">IF(ROWS($1:35)&gt;COUNT(Dong),"",OFFSET('141-BH'!B$1,SMALL(Dong,ROWS($1:35)),))</f>
        <v/>
      </c>
    </row>
    <row r="90" spans="4:4">
      <c r="D90" s="120" t="str">
        <f ca="1">IF(ROWS($1:36)&gt;COUNT(Dong),"",OFFSET('141-BH'!B$1,SMALL(Dong,ROWS($1:36)),))</f>
        <v/>
      </c>
    </row>
    <row r="91" spans="4:4">
      <c r="D91" s="120" t="str">
        <f ca="1">IF(ROWS($1:38)&gt;COUNT(Dong),"",OFFSET('141-BH'!B$1,SMALL(Dong,ROWS($1:38)),))</f>
        <v/>
      </c>
    </row>
    <row r="92" spans="4:4">
      <c r="D92" s="120" t="str">
        <f ca="1">IF(ROWS($1:39)&gt;COUNT(Dong),"",OFFSET('141-BH'!B$1,SMALL(Dong,ROWS($1:39)),))</f>
        <v/>
      </c>
    </row>
    <row r="93" spans="4:4">
      <c r="D93" s="120" t="str">
        <f ca="1">IF(ROWS($1:40)&gt;COUNT(Dong),"",OFFSET('141-BH'!B$1,SMALL(Dong,ROWS($1:40)),))</f>
        <v/>
      </c>
    </row>
    <row r="94" spans="4:4">
      <c r="D94" s="120" t="str">
        <f ca="1">IF(ROWS($1:41)&gt;COUNT(Dong),"",OFFSET('141-BH'!B$1,SMALL(Dong,ROWS($1:41)),))</f>
        <v/>
      </c>
    </row>
    <row r="95" spans="4:4">
      <c r="D95" s="120" t="str">
        <f ca="1">IF(ROWS($1:42)&gt;COUNT(Dong),"",OFFSET('141-BH'!B$1,SMALL(Dong,ROWS($1:42)),))</f>
        <v/>
      </c>
    </row>
    <row r="96" spans="4:4">
      <c r="D96" s="120" t="str">
        <f ca="1">IF(ROWS($1:43)&gt;COUNT(Dong),"",OFFSET('141-BH'!B$1,SMALL(Dong,ROWS($1:43)),))</f>
        <v/>
      </c>
    </row>
    <row r="97" spans="4:4">
      <c r="D97" s="120" t="str">
        <f ca="1">IF(ROWS($1:44)&gt;COUNT(Dong),"",OFFSET('141-BH'!B$1,SMALL(Dong,ROWS($1:44)),))</f>
        <v/>
      </c>
    </row>
    <row r="98" spans="4:4">
      <c r="D98" s="120" t="str">
        <f ca="1">IF(ROWS($1:45)&gt;COUNT(Dong),"",OFFSET('141-BH'!B$1,SMALL(Dong,ROWS($1:45)),))</f>
        <v/>
      </c>
    </row>
    <row r="99" spans="4:4">
      <c r="D99" s="120" t="str">
        <f ca="1">IF(ROWS($1:46)&gt;COUNT(Dong),"",OFFSET('141-BH'!B$1,SMALL(Dong,ROWS($1:46)),))</f>
        <v/>
      </c>
    </row>
    <row r="100" spans="4:4">
      <c r="D100" s="120" t="str">
        <f ca="1">IF(ROWS($1:47)&gt;COUNT(Dong),"",OFFSET('141-BH'!B$1,SMALL(Dong,ROWS($1:47)),))</f>
        <v/>
      </c>
    </row>
    <row r="101" spans="4:4">
      <c r="D101" s="120" t="str">
        <f ca="1">IF(ROWS($1:48)&gt;COUNT(Dong),"",OFFSET('141-BH'!B$1,SMALL(Dong,ROWS($1:48)),))</f>
        <v/>
      </c>
    </row>
    <row r="102" spans="4:4">
      <c r="D102" s="120" t="str">
        <f ca="1">IF(ROWS($1:49)&gt;COUNT(Dong),"",OFFSET('141-BH'!B$1,SMALL(Dong,ROWS($1:49)),))</f>
        <v/>
      </c>
    </row>
    <row r="103" spans="4:4">
      <c r="D103" s="120" t="str">
        <f ca="1">IF(ROWS($1:50)&gt;COUNT(Dong),"",OFFSET('141-BH'!B$1,SMALL(Dong,ROWS($1:50)),))</f>
        <v/>
      </c>
    </row>
    <row r="104" spans="4:4">
      <c r="D104" s="120" t="str">
        <f ca="1">IF(ROWS($1:51)&gt;COUNT(Dong),"",OFFSET('141-BH'!B$1,SMALL(Dong,ROWS($1:51)),))</f>
        <v/>
      </c>
    </row>
    <row r="105" spans="4:4">
      <c r="D105" s="120" t="str">
        <f ca="1">IF(ROWS($1:52)&gt;COUNT(Dong),"",OFFSET('141-BH'!B$1,SMALL(Dong,ROWS($1:52)),))</f>
        <v/>
      </c>
    </row>
    <row r="106" spans="4:4">
      <c r="D106" s="120" t="str">
        <f ca="1">IF(ROWS($1:53)&gt;COUNT(Dong),"",OFFSET('141-BH'!B$1,SMALL(Dong,ROWS($1:53)),))</f>
        <v/>
      </c>
    </row>
    <row r="107" spans="4:4">
      <c r="D107" s="120" t="str">
        <f ca="1">IF(ROWS($1:54)&gt;COUNT(Dong),"",OFFSET('141-BH'!B$1,SMALL(Dong,ROWS($1:54)),))</f>
        <v/>
      </c>
    </row>
    <row r="108" spans="4:4">
      <c r="D108" s="120" t="str">
        <f ca="1">IF(ROWS($1:55)&gt;COUNT(Dong),"",OFFSET('141-BH'!B$1,SMALL(Dong,ROWS($1:55)),))</f>
        <v/>
      </c>
    </row>
    <row r="109" spans="4:4">
      <c r="D109" s="120" t="str">
        <f ca="1">IF(ROWS($1:56)&gt;COUNT(Dong),"",OFFSET('141-BH'!B$1,SMALL(Dong,ROWS($1:56)),))</f>
        <v/>
      </c>
    </row>
    <row r="110" spans="4:4">
      <c r="D110" s="120" t="str">
        <f ca="1">IF(ROWS($1:57)&gt;COUNT(Dong),"",OFFSET('141-BH'!B$1,SMALL(Dong,ROWS($1:57)),))</f>
        <v/>
      </c>
    </row>
    <row r="111" spans="4:4">
      <c r="D111" s="120" t="str">
        <f ca="1">IF(ROWS($1:58)&gt;COUNT(Dong),"",OFFSET('141-BH'!B$1,SMALL(Dong,ROWS($1:58)),))</f>
        <v/>
      </c>
    </row>
    <row r="112" spans="4:4">
      <c r="D112" s="120" t="str">
        <f ca="1">IF(ROWS($1:59)&gt;COUNT(Dong),"",OFFSET('141-BH'!B$1,SMALL(Dong,ROWS($1:59)),))</f>
        <v/>
      </c>
    </row>
    <row r="113" spans="4:4">
      <c r="D113" s="120" t="str">
        <f ca="1">IF(ROWS($1:60)&gt;COUNT(Dong),"",OFFSET('141-BH'!B$1,SMALL(Dong,ROWS($1:60)),))</f>
        <v/>
      </c>
    </row>
    <row r="114" spans="4:4">
      <c r="D114" s="120" t="str">
        <f ca="1">IF(ROWS($1:61)&gt;COUNT(Dong),"",OFFSET('141-BH'!B$1,SMALL(Dong,ROWS($1:61)),))</f>
        <v/>
      </c>
    </row>
    <row r="115" spans="4:4">
      <c r="D115" s="120" t="str">
        <f ca="1">IF(ROWS($1:62)&gt;COUNT(Dong),"",OFFSET('141-BH'!B$1,SMALL(Dong,ROWS($1:62)),))</f>
        <v/>
      </c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53" right="0.21" top="0.39" bottom="0.17" header="0.41" footer="0.15"/>
  <pageSetup paperSize="9" scale="90" orientation="portrait" verticalDpi="0" r:id="rId1"/>
  <headerFooter alignWithMargins="0"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K53"/>
  <sheetViews>
    <sheetView topLeftCell="A3" workbookViewId="0">
      <pane ySplit="10" topLeftCell="A31" activePane="bottomLeft" state="frozen"/>
      <selection activeCell="B23" sqref="B23"/>
      <selection pane="bottomLeft" activeCell="D3" sqref="D3"/>
    </sheetView>
  </sheetViews>
  <sheetFormatPr defaultRowHeight="16.5"/>
  <cols>
    <col min="1" max="1" width="82.5703125" style="65" customWidth="1"/>
    <col min="2" max="2" width="19.28515625" style="65" customWidth="1"/>
    <col min="3" max="3" width="9.140625" style="120"/>
    <col min="4" max="4" width="10.5703125" style="120" customWidth="1"/>
    <col min="5" max="5" width="5.5703125" style="120" customWidth="1"/>
    <col min="6" max="6" width="4.85546875" style="120" customWidth="1"/>
    <col min="7" max="11" width="9.140625" style="120"/>
    <col min="12" max="16384" width="9.140625" style="65"/>
  </cols>
  <sheetData>
    <row r="1" spans="1:11" s="63" customFormat="1" ht="15">
      <c r="A1" s="15" t="s">
        <v>0</v>
      </c>
      <c r="B1" s="62"/>
      <c r="C1" s="116"/>
      <c r="D1" s="116"/>
      <c r="E1" s="117"/>
      <c r="F1" s="118"/>
      <c r="G1" s="118"/>
      <c r="H1" s="118"/>
      <c r="I1" s="118"/>
      <c r="J1" s="118"/>
      <c r="K1" s="118"/>
    </row>
    <row r="2" spans="1:11" s="63" customFormat="1" ht="15" customHeight="1">
      <c r="A2" s="15" t="s">
        <v>1</v>
      </c>
      <c r="B2" s="64"/>
      <c r="C2" s="116"/>
      <c r="D2" s="119" t="s">
        <v>88</v>
      </c>
      <c r="E2" s="117"/>
      <c r="F2" s="118"/>
      <c r="G2" s="118"/>
      <c r="H2" s="118"/>
      <c r="I2" s="118"/>
      <c r="J2" s="118"/>
      <c r="K2" s="118"/>
    </row>
    <row r="3" spans="1:11" ht="28.5" customHeight="1">
      <c r="A3" s="303" t="s">
        <v>69</v>
      </c>
      <c r="B3" s="303"/>
      <c r="D3" s="92">
        <v>4</v>
      </c>
    </row>
    <row r="4" spans="1:11" ht="14.25" customHeight="1">
      <c r="A4" s="285" t="str">
        <f ca="1">IF(ROWS($1:1)&gt;COUNT(Dong04),"","Ngày  "&amp;DAY(OFFSET('141-VV'!O$1,SMALL(Dong04,ROWS($1:1)),))&amp;"  tháng  "&amp;MONTH(OFFSET('141-VV'!O$1,SMALL(Dong04,ROWS($1:1)),))&amp;"   năm   "&amp;YEAR(OFFSET('141-VV'!O$1,SMALL(Dong04,ROWS($1:1)),)))</f>
        <v>Ngày  29  tháng  4   năm   2013</v>
      </c>
      <c r="B4" s="285"/>
      <c r="C4" s="53"/>
      <c r="D4" s="53"/>
    </row>
    <row r="5" spans="1:11" ht="14.25" customHeight="1">
      <c r="A5" s="304"/>
      <c r="B5" s="66" t="str">
        <f ca="1">IF(ROWS($1:1)&gt;COUNT(Dong04),"","Số:   "&amp;OFFSET('141-VV'!N$1,SMALL(Dong04,ROWS($1:1)),))</f>
        <v>Số:   TU02</v>
      </c>
    </row>
    <row r="6" spans="1:11" ht="14.25" customHeight="1">
      <c r="A6" s="304"/>
      <c r="B6" s="66" t="s">
        <v>70</v>
      </c>
    </row>
    <row r="7" spans="1:11" ht="14.25" customHeight="1">
      <c r="A7" s="304"/>
      <c r="B7" s="66" t="s">
        <v>71</v>
      </c>
    </row>
    <row r="8" spans="1:11" ht="15.75" customHeight="1">
      <c r="A8" s="67" t="s">
        <v>379</v>
      </c>
    </row>
    <row r="9" spans="1:11" ht="15.75" customHeight="1">
      <c r="A9" s="67" t="s">
        <v>73</v>
      </c>
    </row>
    <row r="10" spans="1:11" ht="15.75" customHeight="1">
      <c r="A10" s="68" t="s">
        <v>74</v>
      </c>
    </row>
    <row r="11" spans="1:11" s="70" customFormat="1" ht="24.75" customHeight="1">
      <c r="A11" s="69" t="s">
        <v>8</v>
      </c>
      <c r="B11" s="69" t="s">
        <v>75</v>
      </c>
      <c r="C11" s="80"/>
      <c r="D11" s="80"/>
      <c r="E11" s="80"/>
      <c r="F11" s="80"/>
      <c r="G11" s="80"/>
      <c r="H11" s="80"/>
      <c r="I11" s="80"/>
      <c r="J11" s="80"/>
      <c r="K11" s="80"/>
    </row>
    <row r="12" spans="1:11" ht="12.75" customHeight="1">
      <c r="A12" s="71" t="s">
        <v>16</v>
      </c>
      <c r="B12" s="71" t="s">
        <v>76</v>
      </c>
    </row>
    <row r="13" spans="1:11" s="70" customFormat="1" ht="20.25" customHeight="1">
      <c r="A13" s="72" t="s">
        <v>77</v>
      </c>
      <c r="B13" s="73">
        <f ca="1">B14+B15</f>
        <v>3860000000</v>
      </c>
      <c r="C13" s="80"/>
      <c r="D13" s="80"/>
      <c r="E13" s="80"/>
      <c r="F13" s="80"/>
      <c r="G13" s="80"/>
      <c r="H13" s="80"/>
      <c r="I13" s="80"/>
      <c r="J13" s="80"/>
      <c r="K13" s="80"/>
    </row>
    <row r="14" spans="1:11" ht="20.25" customHeight="1">
      <c r="A14" s="74" t="s">
        <v>78</v>
      </c>
      <c r="B14" s="75">
        <f ca="1">IF(ROWS($1:1)&gt;COUNT(_Dau1),0,OFFSET('141-VV'!H$1,SMALL(_Dau1,COUNT(_Dau1)),))</f>
        <v>0</v>
      </c>
    </row>
    <row r="15" spans="1:11" ht="20.25" customHeight="1">
      <c r="A15" s="74" t="s">
        <v>79</v>
      </c>
      <c r="B15" s="75">
        <f ca="1">SUM(B16:B22)</f>
        <v>3860000000</v>
      </c>
    </row>
    <row r="16" spans="1:11" s="79" customFormat="1" ht="20.25" customHeight="1">
      <c r="A16" s="76" t="str">
        <f ca="1">IF(ROWS($1:1)&gt;COUNT(Dong03),"","- Phiếu chi số: ........"&amp;OFFSET('141-VV'!N$1,SMALL(Dong03,ROWS($1:1)),)&amp;".....ngày...."&amp;DAY(OFFSET('141-VV'!O$1,SMALL(Dong03,ROWS($1:1)),))&amp;"/"&amp;MONTH(OFFSET('141-VV'!O$1,SMALL(Dong03,ROWS($1:1)),))&amp;"/"&amp;YEAR(OFFSET('141-VV'!O$1,SMALL(Dong03,ROWS($1:1)),)))</f>
        <v>- Phiếu chi số: ........C06.....ngày....10/1/2013</v>
      </c>
      <c r="B16" s="77">
        <f ca="1">IF(ROWS($1:1)&gt;COUNT(Dong03),"",OFFSET('141-VV'!R$1,SMALL(Dong03,ROWS($1:1)),))</f>
        <v>400000000</v>
      </c>
      <c r="C16" s="121"/>
      <c r="D16" s="145"/>
      <c r="E16" s="78"/>
      <c r="F16" s="123"/>
      <c r="G16" s="124"/>
      <c r="H16" s="124"/>
      <c r="I16" s="124"/>
      <c r="J16" s="124"/>
      <c r="K16" s="124"/>
    </row>
    <row r="17" spans="1:11" s="79" customFormat="1" ht="20.25" customHeight="1">
      <c r="A17" s="76" t="str">
        <f ca="1">IF(ROWS($1:2)&gt;COUNT(Dong03),"","- Phiếu chi số: ........"&amp;OFFSET('141-VV'!N$1,SMALL(Dong03,ROWS($1:2)),)&amp;".....ngày...."&amp;DAY(OFFSET('141-VV'!O$1,SMALL(Dong03,ROWS($1:2)),))&amp;"/"&amp;MONTH(OFFSET('141-VV'!O$1,SMALL(Dong03,ROWS($1:2)),))&amp;"/"&amp;YEAR(OFFSET('141-VV'!O$1,SMALL(Dong03,ROWS($1:2)),)))</f>
        <v>- Phiếu chi số: ........C06.....ngày....8/3/2013</v>
      </c>
      <c r="B17" s="77">
        <f ca="1">IF(ROWS($1:2)&gt;COUNT(Dong03),"",OFFSET('141-VV'!R$1,SMALL(Dong03,ROWS($1:2)),))</f>
        <v>600000000</v>
      </c>
      <c r="C17" s="121"/>
      <c r="D17" s="145"/>
      <c r="E17" s="78"/>
      <c r="F17" s="123"/>
      <c r="G17" s="124"/>
      <c r="H17" s="124"/>
      <c r="I17" s="124"/>
      <c r="J17" s="124"/>
      <c r="K17" s="124"/>
    </row>
    <row r="18" spans="1:11" s="79" customFormat="1" ht="20.25" customHeight="1">
      <c r="A18" s="76" t="str">
        <f ca="1">IF(ROWS($1:3)&gt;COUNT(Dong03),"","- Phiếu chi số: ........"&amp;OFFSET('141-VV'!N$1,SMALL(Dong03,ROWS($1:3)),)&amp;".....ngày...."&amp;DAY(OFFSET('141-VV'!O$1,SMALL(Dong03,ROWS($1:3)),))&amp;"/"&amp;MONTH(OFFSET('141-VV'!O$1,SMALL(Dong03,ROWS($1:3)),))&amp;"/"&amp;YEAR(OFFSET('141-VV'!O$1,SMALL(Dong03,ROWS($1:3)),)))</f>
        <v>- Phiếu chi số: ........C16.....ngày....27/3/2013</v>
      </c>
      <c r="B18" s="77">
        <f ca="1">IF(ROWS($1:3)&gt;COUNT(Dong03),"",OFFSET('141-VV'!R$1,SMALL(Dong03,ROWS($1:3)),))</f>
        <v>600000000</v>
      </c>
      <c r="C18" s="125"/>
      <c r="D18" s="125"/>
      <c r="E18" s="78"/>
      <c r="F18" s="123"/>
      <c r="G18" s="124"/>
      <c r="H18" s="124"/>
      <c r="I18" s="124"/>
      <c r="J18" s="124"/>
      <c r="K18" s="124"/>
    </row>
    <row r="19" spans="1:11" s="79" customFormat="1" ht="20.25" customHeight="1">
      <c r="A19" s="76" t="str">
        <f ca="1">IF(ROWS($1:4)&gt;COUNT(Dong03),"","- Phiếu chi số: ........"&amp;OFFSET('141-VV'!N$1,SMALL(Dong03,ROWS($1:4)),)&amp;".....ngày...."&amp;DAY(OFFSET('141-VV'!O$1,SMALL(Dong03,ROWS($1:4)),))&amp;"/"&amp;MONTH(OFFSET('141-VV'!O$1,SMALL(Dong03,ROWS($1:4)),))&amp;"/"&amp;YEAR(OFFSET('141-VV'!O$1,SMALL(Dong03,ROWS($1:4)),)))</f>
        <v>- Phiếu chi số: ........C10.....ngày....13/4/2013</v>
      </c>
      <c r="B19" s="77">
        <f ca="1">IF(ROWS($1:4)&gt;COUNT(Dong03),"",OFFSET('141-VV'!R$1,SMALL(Dong03,ROWS($1:4)),))</f>
        <v>600000000</v>
      </c>
      <c r="C19" s="121"/>
      <c r="D19" s="145"/>
      <c r="E19" s="78"/>
      <c r="F19" s="123"/>
      <c r="G19" s="124"/>
      <c r="H19" s="124"/>
      <c r="I19" s="124"/>
      <c r="J19" s="124"/>
      <c r="K19" s="124"/>
    </row>
    <row r="20" spans="1:11" s="79" customFormat="1" ht="20.25" customHeight="1">
      <c r="A20" s="76" t="str">
        <f ca="1">IF(ROWS($1:5)&gt;COUNT(Dong03),"","- Phiếu chi số: ........"&amp;OFFSET('141-VV'!N$1,SMALL(Dong03,ROWS($1:5)),)&amp;".....ngày...."&amp;DAY(OFFSET('141-VV'!O$1,SMALL(Dong03,ROWS($1:5)),))&amp;"/"&amp;MONTH(OFFSET('141-VV'!O$1,SMALL(Dong03,ROWS($1:5)),))&amp;"/"&amp;YEAR(OFFSET('141-VV'!O$1,SMALL(Dong03,ROWS($1:5)),)))</f>
        <v>- Phiếu chi số: ........C16.....ngày....17/4/2013</v>
      </c>
      <c r="B20" s="77">
        <f ca="1">IF(ROWS($1:5)&gt;COUNT(Dong03),"",OFFSET('141-VV'!R$1,SMALL(Dong03,ROWS($1:5)),))</f>
        <v>600000000</v>
      </c>
      <c r="C20" s="121"/>
      <c r="D20" s="145"/>
      <c r="E20" s="78"/>
      <c r="F20" s="123"/>
      <c r="G20" s="124"/>
      <c r="H20" s="124"/>
      <c r="I20" s="124"/>
      <c r="J20" s="124"/>
      <c r="K20" s="124"/>
    </row>
    <row r="21" spans="1:11" s="79" customFormat="1" ht="20.25" customHeight="1">
      <c r="A21" s="76" t="str">
        <f ca="1">IF(ROWS($1:6)&gt;COUNT(Dong03),"","- Phiếu chi số: ........"&amp;OFFSET('141-VV'!N$1,SMALL(Dong03,ROWS($1:6)),)&amp;".....ngày...."&amp;DAY(OFFSET('141-VV'!O$1,SMALL(Dong03,ROWS($1:6)),))&amp;"/"&amp;MONTH(OFFSET('141-VV'!O$1,SMALL(Dong03,ROWS($1:6)),))&amp;"/"&amp;YEAR(OFFSET('141-VV'!O$1,SMALL(Dong03,ROWS($1:6)),)))</f>
        <v>- Phiếu chi số: ........C18.....ngày....18/4/2013</v>
      </c>
      <c r="B21" s="77">
        <f ca="1">IF(ROWS($1:6)&gt;COUNT(Dong03),"",OFFSET('141-VV'!R$1,SMALL(Dong03,ROWS($1:6)),))</f>
        <v>600000000</v>
      </c>
      <c r="C21" s="121"/>
      <c r="D21" s="145"/>
      <c r="E21" s="78"/>
      <c r="F21" s="123"/>
      <c r="G21" s="124"/>
      <c r="H21" s="124"/>
      <c r="I21" s="124"/>
      <c r="J21" s="124"/>
      <c r="K21" s="124"/>
    </row>
    <row r="22" spans="1:11" s="79" customFormat="1" ht="20.25" customHeight="1">
      <c r="A22" s="76" t="str">
        <f ca="1">IF(ROWS($1:7)&gt;COUNT(Dong03),"","- Phiếu chi số: ........"&amp;OFFSET('141-VV'!N$1,SMALL(Dong03,ROWS($1:7)),)&amp;".....ngày...."&amp;DAY(OFFSET('141-VV'!O$1,SMALL(Dong03,ROWS($1:7)),))&amp;"/"&amp;MONTH(OFFSET('141-VV'!O$1,SMALL(Dong03,ROWS($1:7)),))&amp;"/"&amp;YEAR(OFFSET('141-VV'!O$1,SMALL(Dong03,ROWS($1:7)),)))</f>
        <v>- Phiếu chi số: ........C21.....ngày....21/4/2013</v>
      </c>
      <c r="B22" s="77">
        <f ca="1">IF(ROWS($1:7)&gt;COUNT(Dong03),"",OFFSET('141-VV'!R$1,SMALL(Dong03,ROWS($1:7)),))</f>
        <v>460000000</v>
      </c>
      <c r="C22" s="121"/>
      <c r="D22" s="145"/>
      <c r="E22" s="78"/>
      <c r="F22" s="123"/>
      <c r="G22" s="124"/>
      <c r="H22" s="124"/>
      <c r="I22" s="124"/>
      <c r="J22" s="124"/>
      <c r="K22" s="124"/>
    </row>
    <row r="23" spans="1:11" s="70" customFormat="1" ht="20.25" customHeight="1">
      <c r="A23" s="72" t="s">
        <v>80</v>
      </c>
      <c r="B23" s="73">
        <f ca="1">SUM(B24:B41)</f>
        <v>3850386500</v>
      </c>
      <c r="C23" s="78"/>
      <c r="D23" s="125"/>
      <c r="E23" s="80"/>
      <c r="F23" s="80"/>
      <c r="G23" s="80"/>
      <c r="H23" s="80"/>
      <c r="I23" s="80"/>
      <c r="J23" s="80"/>
      <c r="K23" s="80"/>
    </row>
    <row r="24" spans="1:11" s="79" customFormat="1" ht="20.25" customHeight="1">
      <c r="A24" s="81" t="str">
        <f ca="1">IF(ROWS($1:1)&gt;COUNT(Dong04),"","- "&amp;OFFSET('141-VV'!P$1,SMALL(Dong04,ROWS($1:1)),)&amp;" - PNK số: " &amp;OFFSET('141-VV'!T$1,SMALL(Dong04,ROWS($1:1)),)&amp; " Tháng "&amp;$D$3&amp;"/2013")</f>
        <v>- Đỗ Thị Hoàng Mai - PNK số: NL52 Tháng 4/2013</v>
      </c>
      <c r="B24" s="82">
        <f ca="1">IF(ROWS($1:1)&gt;COUNT(Dong04),"",OFFSET('141-VV'!S$1,SMALL(Dong04,ROWS($1:1)),))</f>
        <v>119168000</v>
      </c>
      <c r="C24" s="121"/>
      <c r="D24" s="58"/>
      <c r="E24" s="53"/>
      <c r="F24" s="103"/>
      <c r="G24" s="124"/>
      <c r="H24" s="124"/>
      <c r="I24" s="124"/>
      <c r="J24" s="124"/>
      <c r="K24" s="124"/>
    </row>
    <row r="25" spans="1:11" s="79" customFormat="1" ht="20.25" customHeight="1">
      <c r="A25" s="81" t="str">
        <f ca="1">IF(ROWS($1:2)&gt;COUNT(Dong04),"","- "&amp;OFFSET('141-VV'!P$1,SMALL(Dong04,ROWS($1:2)),)&amp;" - PNK số: " &amp;OFFSET('141-VV'!T$1,SMALL(Dong04,ROWS($1:2)),)&amp; " Tháng "&amp;$D$3&amp;"/2013")</f>
        <v>- Đỗ Tư - PNK số: NL17 &amp; NL26 Tháng 4/2013</v>
      </c>
      <c r="B25" s="82">
        <f ca="1">IF(ROWS($1:2)&gt;COUNT(Dong04),"",OFFSET('141-VV'!S$1,SMALL(Dong04,ROWS($1:2)),))</f>
        <v>151232000</v>
      </c>
      <c r="C25" s="90"/>
      <c r="D25" s="58"/>
      <c r="E25" s="53"/>
      <c r="F25" s="103"/>
      <c r="G25" s="124"/>
      <c r="H25" s="124"/>
      <c r="I25" s="124"/>
      <c r="J25" s="124"/>
      <c r="K25" s="124"/>
    </row>
    <row r="26" spans="1:11" s="79" customFormat="1" ht="20.25" customHeight="1">
      <c r="A26" s="81" t="str">
        <f ca="1">IF(ROWS($1:3)&gt;COUNT(Dong04),"","- "&amp;OFFSET('141-VV'!P$1,SMALL(Dong04,ROWS($1:3)),)&amp;" - PNK số: " &amp;OFFSET('141-VV'!T$1,SMALL(Dong04,ROWS($1:3)),)&amp; " Tháng "&amp;$D$3&amp;"/2013")</f>
        <v>- Đỗ Văn Tâm - PNK số: NL18 Tháng 4/2013</v>
      </c>
      <c r="B26" s="82">
        <f ca="1">IF(ROWS($1:3)&gt;COUNT(Dong04),"",OFFSET('141-VV'!S$1,SMALL(Dong04,ROWS($1:3)),))</f>
        <v>92191000</v>
      </c>
      <c r="C26" s="90"/>
      <c r="D26" s="58"/>
      <c r="E26" s="53"/>
      <c r="F26" s="103"/>
      <c r="G26" s="124"/>
      <c r="H26" s="124"/>
      <c r="I26" s="124"/>
      <c r="J26" s="124"/>
      <c r="K26" s="124"/>
    </row>
    <row r="27" spans="1:11" s="79" customFormat="1" ht="20.25" customHeight="1">
      <c r="A27" s="81" t="str">
        <f ca="1">IF(ROWS($1:4)&gt;COUNT(Dong04),"","- "&amp;OFFSET('141-VV'!P$1,SMALL(Dong04,ROWS($1:4)),)&amp;" - PNK số: " &amp;OFFSET('141-VV'!T$1,SMALL(Dong04,ROWS($1:4)),)&amp; " Tháng "&amp;$D$3&amp;"/2013")</f>
        <v>- Lê Thị Diễm - PNK số: NL40 Tháng 4/2013</v>
      </c>
      <c r="B27" s="82">
        <f ca="1">IF(ROWS($1:4)&gt;COUNT(Dong04),"",OFFSET('141-VV'!S$1,SMALL(Dong04,ROWS($1:4)),))</f>
        <v>139507500</v>
      </c>
      <c r="C27" s="90"/>
      <c r="D27" s="58"/>
      <c r="E27" s="53"/>
      <c r="F27" s="103"/>
      <c r="G27" s="124"/>
      <c r="H27" s="124"/>
      <c r="I27" s="124"/>
      <c r="J27" s="124"/>
      <c r="K27" s="124"/>
    </row>
    <row r="28" spans="1:11" s="79" customFormat="1" ht="20.25" customHeight="1">
      <c r="A28" s="81" t="str">
        <f ca="1">IF(ROWS($1:5)&gt;COUNT(Dong04),"","- "&amp;OFFSET('141-VV'!P$1,SMALL(Dong04,ROWS($1:5)),)&amp;" - PNK số: " &amp;OFFSET('141-VV'!T$1,SMALL(Dong04,ROWS($1:5)),)&amp; " Tháng "&amp;$D$3&amp;"/2013")</f>
        <v>- Lê Thị Kim Liên - PNK số: NL27 &amp; NL57 Tháng 4/2013</v>
      </c>
      <c r="B28" s="82">
        <f ca="1">IF(ROWS($1:5)&gt;COUNT(Dong04),"",OFFSET('141-VV'!S$1,SMALL(Dong04,ROWS($1:5)),))</f>
        <v>231205000</v>
      </c>
      <c r="C28" s="90"/>
      <c r="D28" s="58"/>
      <c r="E28" s="53"/>
      <c r="F28" s="103"/>
      <c r="G28" s="124"/>
      <c r="H28" s="124"/>
      <c r="I28" s="124"/>
      <c r="J28" s="124"/>
      <c r="K28" s="124"/>
    </row>
    <row r="29" spans="1:11" s="79" customFormat="1" ht="20.25" customHeight="1">
      <c r="A29" s="81" t="str">
        <f ca="1">IF(ROWS($1:6)&gt;COUNT(Dong04),"","- "&amp;OFFSET('141-VV'!P$1,SMALL(Dong04,ROWS($1:6)),)&amp;" - PNK số: " &amp;OFFSET('141-VV'!T$1,SMALL(Dong04,ROWS($1:6)),)&amp; " Tháng "&amp;$D$3&amp;"/2013")</f>
        <v>- Lê Thị Kim Thanh - PNK số: NL28 &amp; NL38 &amp; NL58 Tháng 4/2013</v>
      </c>
      <c r="B29" s="82">
        <f ca="1">IF(ROWS($1:6)&gt;COUNT(Dong04),"",OFFSET('141-VV'!S$1,SMALL(Dong04,ROWS($1:6)),))</f>
        <v>352218000</v>
      </c>
      <c r="C29" s="90"/>
      <c r="D29" s="58"/>
      <c r="E29" s="53"/>
      <c r="F29" s="103"/>
      <c r="G29" s="124"/>
      <c r="H29" s="124"/>
      <c r="I29" s="124"/>
      <c r="J29" s="124"/>
      <c r="K29" s="124"/>
    </row>
    <row r="30" spans="1:11" s="79" customFormat="1" ht="20.25" customHeight="1">
      <c r="A30" s="81" t="str">
        <f ca="1">IF(ROWS($1:7)&gt;COUNT(Dong04),"","- "&amp;OFFSET('141-VV'!P$1,SMALL(Dong04,ROWS($1:7)),)&amp;" - PNK số: " &amp;OFFSET('141-VV'!T$1,SMALL(Dong04,ROWS($1:7)),)&amp; " Tháng "&amp;$D$3&amp;"/2013")</f>
        <v>- Lê Văn Thành - PNK số: NL50 Tháng 4/2013</v>
      </c>
      <c r="B30" s="82">
        <f ca="1">IF(ROWS($1:7)&gt;COUNT(Dong04),"",OFFSET('141-VV'!S$1,SMALL(Dong04,ROWS($1:7)),))</f>
        <v>151848000</v>
      </c>
      <c r="C30" s="90"/>
      <c r="D30" s="58"/>
      <c r="E30" s="53"/>
      <c r="F30" s="103"/>
      <c r="G30" s="124"/>
      <c r="H30" s="124"/>
      <c r="I30" s="124"/>
      <c r="J30" s="124"/>
      <c r="K30" s="124"/>
    </row>
    <row r="31" spans="1:11" s="79" customFormat="1" ht="20.25" customHeight="1">
      <c r="A31" s="81" t="str">
        <f ca="1">IF(ROWS($1:8)&gt;COUNT(Dong04),"","- "&amp;OFFSET('141-VV'!P$1,SMALL(Dong04,ROWS($1:8)),)&amp;" - PNK số: " &amp;OFFSET('141-VV'!T$1,SMALL(Dong04,ROWS($1:8)),)&amp; " Tháng "&amp;$D$3&amp;"/2013")</f>
        <v>- Nguyễn Đức Tiến - PNK số: NL03 &amp; NL10 &amp; NL15 &amp; NL19 &amp; NL24 Tháng 4/2013</v>
      </c>
      <c r="B31" s="82">
        <f ca="1">IF(ROWS($1:8)&gt;COUNT(Dong04),"",OFFSET('141-VV'!S$1,SMALL(Dong04,ROWS($1:8)),))</f>
        <v>458524000</v>
      </c>
      <c r="C31" s="90"/>
      <c r="D31" s="58"/>
      <c r="E31" s="53"/>
      <c r="F31" s="103"/>
      <c r="G31" s="124"/>
      <c r="H31" s="124"/>
      <c r="I31" s="124"/>
      <c r="J31" s="124"/>
      <c r="K31" s="124"/>
    </row>
    <row r="32" spans="1:11" s="79" customFormat="1" ht="20.25" customHeight="1">
      <c r="A32" s="81" t="str">
        <f ca="1">IF(ROWS($1:9)&gt;COUNT(Dong04),"","- "&amp;OFFSET('141-VV'!P$1,SMALL(Dong04,ROWS($1:9)),)&amp;" - PNK số: " &amp;OFFSET('141-VV'!T$1,SMALL(Dong04,ROWS($1:9)),)&amp; " Tháng "&amp;$D$3&amp;"/2013")</f>
        <v>- Nguyễn Hành - PNK số: NL04 &amp; NL16 &amp; NL25 Tháng 4/2013</v>
      </c>
      <c r="B32" s="82">
        <f ca="1">IF(ROWS($1:9)&gt;COUNT(Dong04),"",OFFSET('141-VV'!S$1,SMALL(Dong04,ROWS($1:9)),))</f>
        <v>272918000</v>
      </c>
      <c r="C32" s="90"/>
      <c r="D32" s="58"/>
      <c r="E32" s="53"/>
      <c r="F32" s="103"/>
      <c r="G32" s="124"/>
      <c r="H32" s="124"/>
      <c r="I32" s="124"/>
      <c r="J32" s="124"/>
      <c r="K32" s="124"/>
    </row>
    <row r="33" spans="1:11" s="79" customFormat="1" ht="20.25" customHeight="1">
      <c r="A33" s="81" t="str">
        <f ca="1">IF(ROWS($1:10)&gt;COUNT(Dong04),"","- "&amp;OFFSET('141-VV'!P$1,SMALL(Dong04,ROWS($1:10)),)&amp;" - PNK số: " &amp;OFFSET('141-VV'!T$1,SMALL(Dong04,ROWS($1:10)),)&amp; " Tháng "&amp;$D$3&amp;"/2013")</f>
        <v>- Nguyễn Thanh Vinh - PNK số: NL07 &amp; NL12 &amp; NL21 Tháng 4/2013</v>
      </c>
      <c r="B33" s="82">
        <f ca="1">IF(ROWS($1:10)&gt;COUNT(Dong04),"",OFFSET('141-VV'!S$1,SMALL(Dong04,ROWS($1:10)),))</f>
        <v>289918000</v>
      </c>
      <c r="C33" s="90"/>
      <c r="D33" s="58"/>
      <c r="E33" s="53"/>
      <c r="F33" s="103"/>
      <c r="G33" s="124"/>
      <c r="H33" s="124"/>
      <c r="I33" s="124"/>
      <c r="J33" s="124"/>
      <c r="K33" s="124"/>
    </row>
    <row r="34" spans="1:11" s="79" customFormat="1" ht="20.25" customHeight="1">
      <c r="A34" s="81" t="str">
        <f ca="1">IF(ROWS($1:11)&gt;COUNT(Dong04),"","- "&amp;OFFSET('141-VV'!P$1,SMALL(Dong04,ROWS($1:11)),)&amp;" - PNK số: " &amp;OFFSET('141-VV'!T$1,SMALL(Dong04,ROWS($1:11)),)&amp; " Tháng "&amp;$D$3&amp;"/2013")</f>
        <v>- Nguyễn Thị Loan - PNK số: NL42 Tháng 4/2013</v>
      </c>
      <c r="B34" s="82">
        <f ca="1">IF(ROWS($1:11)&gt;COUNT(Dong04),"",OFFSET('141-VV'!S$1,SMALL(Dong04,ROWS($1:11)),))</f>
        <v>158536000</v>
      </c>
      <c r="C34" s="90"/>
      <c r="D34" s="58"/>
      <c r="E34" s="53"/>
      <c r="F34" s="103"/>
      <c r="G34" s="124"/>
      <c r="H34" s="124"/>
      <c r="I34" s="124"/>
      <c r="J34" s="124"/>
      <c r="K34" s="124"/>
    </row>
    <row r="35" spans="1:11" s="79" customFormat="1" ht="20.25" customHeight="1">
      <c r="A35" s="81" t="str">
        <f ca="1">IF(ROWS($1:12)&gt;COUNT(Dong04),"","- "&amp;OFFSET('141-VV'!P$1,SMALL(Dong04,ROWS($1:12)),)&amp;" - PNK số: " &amp;OFFSET('141-VV'!T$1,SMALL(Dong04,ROWS($1:12)),)&amp; " Tháng "&amp;$D$3&amp;"/2013")</f>
        <v>- Nguyễn Thị Mộng Tuyền - PNK số: NL35 Tháng 4/2013</v>
      </c>
      <c r="B35" s="82">
        <f ca="1">IF(ROWS($1:12)&gt;COUNT(Dong04),"",OFFSET('141-VV'!S$1,SMALL(Dong04,ROWS($1:12)),))</f>
        <v>14250000</v>
      </c>
      <c r="C35" s="90"/>
      <c r="D35" s="58"/>
      <c r="E35" s="53"/>
      <c r="F35" s="103"/>
      <c r="G35" s="124"/>
      <c r="H35" s="124"/>
      <c r="I35" s="124"/>
      <c r="J35" s="124"/>
      <c r="K35" s="124"/>
    </row>
    <row r="36" spans="1:11" s="79" customFormat="1" ht="20.25" customHeight="1">
      <c r="A36" s="81" t="str">
        <f ca="1">IF(ROWS($1:13)&gt;COUNT(Dong04),"","- "&amp;OFFSET('141-VV'!P$1,SMALL(Dong04,ROWS($1:13)),)&amp;" - PNK số: " &amp;OFFSET('141-VV'!T$1,SMALL(Dong04,ROWS($1:13)),)&amp; " Tháng "&amp;$D$3&amp;"/2013")</f>
        <v>- Nguyễn Văn Đức - PNK số: NL08 &amp; NL13 &amp; NL22 Tháng 4/2013</v>
      </c>
      <c r="B36" s="82">
        <f ca="1">IF(ROWS($1:13)&gt;COUNT(Dong04),"",OFFSET('141-VV'!S$1,SMALL(Dong04,ROWS($1:13)),))</f>
        <v>294049000</v>
      </c>
      <c r="C36" s="90"/>
      <c r="D36" s="58"/>
      <c r="E36" s="53"/>
      <c r="F36" s="103"/>
      <c r="G36" s="124"/>
      <c r="H36" s="124"/>
      <c r="I36" s="124"/>
      <c r="J36" s="124"/>
      <c r="K36" s="124"/>
    </row>
    <row r="37" spans="1:11" s="79" customFormat="1" ht="20.25" customHeight="1">
      <c r="A37" s="81" t="str">
        <f ca="1">IF(ROWS($1:14)&gt;COUNT(Dong04),"","- "&amp;OFFSET('141-VV'!P$1,SMALL(Dong04,ROWS($1:14)),)&amp;" - PNK số: " &amp;OFFSET('141-VV'!T$1,SMALL(Dong04,ROWS($1:14)),)&amp; " Tháng "&amp;$D$3&amp;"/2013")</f>
        <v>- Nguyễn Văn Lắm - PNK số: NL51 Tháng 4/2013</v>
      </c>
      <c r="B37" s="82">
        <f ca="1">IF(ROWS($1:14)&gt;COUNT(Dong04),"",OFFSET('141-VV'!S$1,SMALL(Dong04,ROWS($1:14)),))</f>
        <v>141008000</v>
      </c>
      <c r="C37" s="90"/>
      <c r="D37" s="58"/>
      <c r="E37" s="53"/>
      <c r="F37" s="103"/>
      <c r="G37" s="124"/>
      <c r="H37" s="124"/>
      <c r="I37" s="124"/>
      <c r="J37" s="124"/>
      <c r="K37" s="124"/>
    </row>
    <row r="38" spans="1:11" s="79" customFormat="1" ht="20.25" customHeight="1">
      <c r="A38" s="81" t="str">
        <f ca="1">IF(ROWS($1:15)&gt;COUNT(Dong04),"","- "&amp;OFFSET('141-VV'!P$1,SMALL(Dong04,ROWS($1:15)),)&amp;" - PNK số: " &amp;OFFSET('141-VV'!T$1,SMALL(Dong04,ROWS($1:15)),)&amp; " Tháng "&amp;$D$3&amp;"/2013")</f>
        <v>- Quang Minh - PNK số: NL29 &amp; NL37 &amp; NL47 &amp; &amp; NL59 Tháng 4/2013</v>
      </c>
      <c r="B38" s="82">
        <f ca="1">IF(ROWS($1:15)&gt;COUNT(Dong04),"",OFFSET('141-VV'!S$1,SMALL(Dong04,ROWS($1:15)),))</f>
        <v>381482000</v>
      </c>
      <c r="C38" s="90"/>
      <c r="D38" s="58"/>
      <c r="E38" s="53"/>
      <c r="F38" s="103"/>
      <c r="G38" s="124"/>
      <c r="H38" s="124"/>
      <c r="I38" s="124"/>
      <c r="J38" s="124"/>
      <c r="K38" s="124"/>
    </row>
    <row r="39" spans="1:11" s="79" customFormat="1" ht="20.25" customHeight="1">
      <c r="A39" s="81" t="str">
        <f ca="1">IF(ROWS($1:16)&gt;COUNT(Dong04),"","- "&amp;OFFSET('141-VV'!P$1,SMALL(Dong04,ROWS($1:16)),)&amp;" - PNK số: " &amp;OFFSET('141-VV'!T$1,SMALL(Dong04,ROWS($1:16)),)&amp; " Tháng "&amp;$D$3&amp;"/2013")</f>
        <v>- Trần Thị Lang - PNK số: NL36 &amp; NL49 Tháng 4/2013</v>
      </c>
      <c r="B39" s="82">
        <f ca="1">IF(ROWS($1:16)&gt;COUNT(Dong04),"",OFFSET('141-VV'!S$1,SMALL(Dong04,ROWS($1:16)),))</f>
        <v>276178000</v>
      </c>
      <c r="C39" s="90"/>
      <c r="D39" s="58"/>
      <c r="E39" s="53"/>
      <c r="F39" s="103"/>
      <c r="G39" s="124"/>
      <c r="H39" s="124"/>
      <c r="I39" s="124"/>
      <c r="J39" s="124"/>
      <c r="K39" s="124"/>
    </row>
    <row r="40" spans="1:11" s="79" customFormat="1" ht="20.25" customHeight="1">
      <c r="A40" s="81" t="str">
        <f ca="1">IF(ROWS($1:17)&gt;COUNT(Dong04),"","- "&amp;OFFSET('141-VV'!P$1,SMALL(Dong04,ROWS($1:17)),)&amp;" - PNK số: " &amp;OFFSET('141-VV'!T$1,SMALL(Dong04,ROWS($1:17)),)&amp; " Tháng "&amp;$D$3&amp;"/2013")</f>
        <v>- Trần Thị Nê - PNK số: NL41 Tháng 4/2013</v>
      </c>
      <c r="B40" s="82">
        <f ca="1">IF(ROWS($1:17)&gt;COUNT(Dong04),"",OFFSET('141-VV'!S$1,SMALL(Dong04,ROWS($1:17)),))</f>
        <v>166953000</v>
      </c>
      <c r="C40" s="90"/>
      <c r="D40" s="58"/>
      <c r="E40" s="53"/>
      <c r="F40" s="103"/>
      <c r="G40" s="124"/>
      <c r="H40" s="124"/>
      <c r="I40" s="124"/>
      <c r="J40" s="124"/>
      <c r="K40" s="124"/>
    </row>
    <row r="41" spans="1:11" s="79" customFormat="1" ht="20.25" customHeight="1">
      <c r="A41" s="81" t="str">
        <f ca="1">IF(ROWS($1:18)&gt;COUNT(Dong04),"","- "&amp;OFFSET('141-VV'!P$1,SMALL(Dong04,ROWS($1:18)),)&amp;" - PNK số: " &amp;OFFSET('141-VV'!T$1,SMALL(Dong04,ROWS($1:18)),)&amp; " Tháng "&amp;$D$3&amp;"/2013")</f>
        <v>- Trương Thị Mỉm - PNK số: NL39 Tháng 4/2013</v>
      </c>
      <c r="B41" s="82">
        <f ca="1">IF(ROWS($1:18)&gt;COUNT(Dong04),"",OFFSET('141-VV'!S$1,SMALL(Dong04,ROWS($1:18)),))</f>
        <v>159201000</v>
      </c>
      <c r="C41" s="90"/>
      <c r="D41" s="58"/>
      <c r="E41" s="53"/>
      <c r="F41" s="103"/>
      <c r="G41" s="124"/>
      <c r="H41" s="124"/>
      <c r="I41" s="124"/>
      <c r="J41" s="124"/>
      <c r="K41" s="124"/>
    </row>
    <row r="42" spans="1:11" s="70" customFormat="1" ht="20.25" customHeight="1">
      <c r="A42" s="72" t="s">
        <v>81</v>
      </c>
      <c r="B42" s="73">
        <f ca="1">B13-B23</f>
        <v>9613500</v>
      </c>
      <c r="C42" s="130"/>
      <c r="D42" s="132"/>
      <c r="E42" s="120"/>
      <c r="F42" s="80"/>
      <c r="G42" s="80"/>
      <c r="H42" s="80"/>
      <c r="I42" s="80"/>
      <c r="J42" s="80"/>
      <c r="K42" s="80"/>
    </row>
    <row r="43" spans="1:11" ht="20.25" customHeight="1">
      <c r="A43" s="74" t="s">
        <v>82</v>
      </c>
      <c r="B43" s="75">
        <f ca="1">B42</f>
        <v>9613500</v>
      </c>
      <c r="C43" s="130"/>
      <c r="D43" s="132"/>
    </row>
    <row r="44" spans="1:11" ht="20.25" customHeight="1">
      <c r="A44" s="74" t="s">
        <v>83</v>
      </c>
      <c r="B44" s="75"/>
      <c r="C44" s="130"/>
      <c r="D44" s="132"/>
    </row>
    <row r="45" spans="1:11" ht="14.25" customHeight="1">
      <c r="A45" s="88"/>
      <c r="C45" s="130"/>
      <c r="D45" s="132"/>
    </row>
    <row r="46" spans="1:11" ht="33" customHeight="1">
      <c r="A46" s="83" t="s">
        <v>84</v>
      </c>
      <c r="B46" s="83" t="s">
        <v>85</v>
      </c>
      <c r="C46" s="127"/>
      <c r="D46" s="132"/>
    </row>
    <row r="47" spans="1:11">
      <c r="A47" s="66" t="s">
        <v>87</v>
      </c>
      <c r="B47" s="84" t="s">
        <v>27</v>
      </c>
      <c r="C47" s="127"/>
      <c r="D47" s="127"/>
    </row>
    <row r="48" spans="1:11">
      <c r="A48" s="85"/>
      <c r="B48" s="85"/>
      <c r="C48" s="127"/>
      <c r="D48" s="127"/>
    </row>
    <row r="49" spans="1:4">
      <c r="A49" s="86"/>
      <c r="B49" s="86"/>
      <c r="C49" s="127"/>
      <c r="D49" s="127"/>
    </row>
    <row r="50" spans="1:4">
      <c r="A50" s="87"/>
      <c r="B50" s="87"/>
      <c r="C50" s="127"/>
      <c r="D50" s="127"/>
    </row>
    <row r="51" spans="1:4">
      <c r="C51" s="127"/>
      <c r="D51" s="127"/>
    </row>
    <row r="52" spans="1:4">
      <c r="C52" s="127"/>
      <c r="D52" s="127"/>
    </row>
    <row r="53" spans="1:4">
      <c r="C53" s="130"/>
      <c r="D53" s="130"/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ageMargins left="0.75" right="0.21" top="0.39" bottom="0.17" header="0.5" footer="0.15"/>
  <pageSetup paperSize="9" scale="9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311-341</vt:lpstr>
      <vt:lpstr>TH-VAY</vt:lpstr>
      <vt:lpstr>CT-VAY</vt:lpstr>
      <vt:lpstr>141-BH</vt:lpstr>
      <vt:lpstr>141-VV</vt:lpstr>
      <vt:lpstr>141-TT-BH</vt:lpstr>
      <vt:lpstr>141-TT-VV</vt:lpstr>
      <vt:lpstr>_TH1</vt:lpstr>
      <vt:lpstr>_TH2</vt:lpstr>
      <vt:lpstr>_TH3</vt:lpstr>
      <vt:lpstr>_TH4</vt:lpstr>
      <vt:lpstr>DSKU</vt:lpstr>
      <vt:lpstr>DSKU1</vt:lpstr>
      <vt:lpstr>DSKU2</vt:lpstr>
      <vt:lpstr>KUTH</vt:lpstr>
      <vt:lpstr>'311-341'!Print_Area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2015-09-10T07:41:50Z</cp:lastPrinted>
  <dcterms:created xsi:type="dcterms:W3CDTF">1996-10-14T23:33:28Z</dcterms:created>
  <dcterms:modified xsi:type="dcterms:W3CDTF">2015-12-16T03:52:41Z</dcterms:modified>
</cp:coreProperties>
</file>